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0 Projection\Filing Documents\"/>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workbook>
</file>

<file path=xl/calcChain.xml><?xml version="1.0" encoding="utf-8"?>
<calcChain xmlns="http://schemas.openxmlformats.org/spreadsheetml/2006/main">
  <c r="D23" i="14" l="1"/>
  <c r="A9"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3" i="14"/>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G24" i="4" s="1"/>
  <c r="F23" i="4"/>
  <c r="G23" i="4" s="1"/>
  <c r="F17" i="4"/>
  <c r="G17" i="4" s="1"/>
  <c r="F19" i="4"/>
  <c r="G19" i="4" s="1"/>
  <c r="F20" i="4"/>
  <c r="G20" i="4" s="1"/>
  <c r="G44" i="10"/>
  <c r="G51" i="10" s="1"/>
  <c r="I44" i="10"/>
  <c r="I51" i="10" s="1"/>
  <c r="H21" i="10"/>
  <c r="G25" i="4" l="1"/>
  <c r="I17" i="4"/>
  <c r="G21" i="4"/>
  <c r="F29" i="4"/>
  <c r="F24" i="10"/>
  <c r="G24" i="10" s="1"/>
  <c r="F23" i="10"/>
  <c r="G23" i="10" s="1"/>
  <c r="H25" i="10"/>
  <c r="G29" i="4" l="1"/>
  <c r="F25" i="10"/>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G40" i="6"/>
  <c r="F14" i="6" s="1"/>
  <c r="F40" i="6" l="1"/>
  <c r="F13" i="6" s="1"/>
  <c r="D40" i="6"/>
  <c r="F20" i="6" s="1"/>
  <c r="H20" i="6" s="1"/>
  <c r="D203" i="1" l="1"/>
  <c r="E11" i="3" s="1"/>
  <c r="F12" i="6"/>
  <c r="G203" i="1"/>
  <c r="H11" i="3" s="1"/>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I24" i="4" l="1"/>
  <c r="H25" i="4" l="1"/>
  <c r="I20" i="4" l="1"/>
  <c r="I23" i="4" l="1"/>
  <c r="I25" i="4" l="1"/>
  <c r="D92" i="1"/>
  <c r="I92" i="1" l="1"/>
  <c r="E40" i="6" l="1"/>
  <c r="F11" i="6" s="1"/>
  <c r="F15" i="6" s="1"/>
  <c r="D33" i="11"/>
  <c r="D35" i="11" s="1"/>
  <c r="C40" i="6"/>
  <c r="F19" i="6" s="1"/>
  <c r="H19" i="6" s="1"/>
  <c r="F21" i="6" l="1"/>
  <c r="D202" i="1"/>
  <c r="G202" i="1"/>
  <c r="D204" i="1" l="1"/>
  <c r="E12" i="3" s="1"/>
  <c r="F22" i="6"/>
  <c r="E10" i="3"/>
  <c r="H10" i="3"/>
  <c r="G21" i="6" l="1"/>
  <c r="E204" i="1" s="1"/>
  <c r="G19" i="6"/>
  <c r="D205" i="1"/>
  <c r="E13" i="3"/>
  <c r="G20" i="6"/>
  <c r="E203" i="1" s="1"/>
  <c r="E202" i="1"/>
  <c r="I19" i="6"/>
  <c r="I20" i="6" l="1"/>
  <c r="I21" i="6"/>
  <c r="I203" i="1"/>
  <c r="F11" i="3"/>
  <c r="I11" i="3" s="1"/>
  <c r="F10" i="3"/>
  <c r="I10" i="3" s="1"/>
  <c r="I202" i="1"/>
  <c r="F12" i="3"/>
  <c r="I12" i="3" s="1"/>
  <c r="I204" i="1"/>
  <c r="I22" i="6" l="1"/>
  <c r="I13" i="3"/>
  <c r="E18" i="3" s="1"/>
  <c r="I205" i="1"/>
  <c r="D154" i="1" s="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D168" i="1" s="1"/>
  <c r="D161" i="1" s="1"/>
  <c r="D165" i="1" s="1"/>
  <c r="D170" i="1" s="1"/>
  <c r="F59" i="2" l="1"/>
  <c r="F61" i="2" s="1"/>
  <c r="F69" i="2" s="1"/>
  <c r="I24" i="2"/>
  <c r="K24" i="2" s="1"/>
  <c r="I28" i="2"/>
  <c r="K28" i="2" s="1"/>
  <c r="I99" i="1"/>
  <c r="I102" i="1" s="1"/>
  <c r="I104" i="1" s="1"/>
  <c r="I19" i="2"/>
  <c r="I20" i="2" s="1"/>
  <c r="K20" i="2" s="1"/>
  <c r="J5" i="3" l="1"/>
  <c r="I168" i="1"/>
  <c r="J33" i="3" l="1"/>
  <c r="I40" i="2"/>
  <c r="I41" i="2" s="1"/>
  <c r="I161" i="1"/>
  <c r="I165" i="1" s="1"/>
  <c r="I170" i="1" s="1"/>
  <c r="I11" i="1" s="1"/>
  <c r="D20" i="14" s="1"/>
  <c r="J14" i="3"/>
  <c r="I25" i="3" s="1"/>
  <c r="I29" i="3" s="1"/>
  <c r="J29" i="3" s="1"/>
  <c r="J31" i="3" s="1"/>
  <c r="J37" i="3"/>
  <c r="D22" i="14" l="1"/>
  <c r="F20" i="14"/>
  <c r="K41" i="2"/>
  <c r="I36" i="2"/>
  <c r="I37" i="2" s="1"/>
  <c r="K37" i="2" s="1"/>
  <c r="K43" i="2" s="1"/>
  <c r="J34" i="3"/>
  <c r="J35" i="3" s="1"/>
  <c r="J36" i="3" s="1"/>
  <c r="J38" i="3" s="1"/>
  <c r="D25" i="14" l="1"/>
  <c r="F22" i="14"/>
  <c r="J64" i="2"/>
  <c r="K64" i="2" s="1"/>
  <c r="J59" i="2"/>
  <c r="K59" i="2" s="1"/>
  <c r="J63" i="2"/>
  <c r="K63" i="2" s="1"/>
  <c r="J60" i="2"/>
  <c r="K60" i="2" s="1"/>
  <c r="I43" i="2"/>
  <c r="P64" i="2"/>
  <c r="P63" i="2"/>
  <c r="P60" i="2"/>
  <c r="P59" i="2"/>
  <c r="D27" i="14" l="1"/>
  <c r="F25" i="14"/>
  <c r="P65" i="2"/>
  <c r="D32" i="1" s="1"/>
  <c r="K65" i="2"/>
  <c r="K61" i="2"/>
  <c r="P61" i="2"/>
  <c r="I211" i="1" l="1"/>
  <c r="D15" i="1" s="1"/>
  <c r="F27" i="14"/>
  <c r="K69" i="2"/>
  <c r="I19" i="4"/>
  <c r="D49" i="1"/>
  <c r="P69" i="2"/>
  <c r="D18" i="1" l="1"/>
  <c r="I15" i="1"/>
  <c r="I18" i="1" s="1"/>
  <c r="I30" i="2" s="1"/>
  <c r="I31" i="2" s="1"/>
  <c r="K31" i="2" s="1"/>
  <c r="K33" i="2" s="1"/>
  <c r="H21" i="4"/>
  <c r="H29" i="4" s="1"/>
  <c r="G60" i="2" l="1"/>
  <c r="H60" i="2" s="1"/>
  <c r="N60" i="2" s="1"/>
  <c r="G64" i="2"/>
  <c r="H64" i="2" s="1"/>
  <c r="N64" i="2" s="1"/>
  <c r="G63" i="2"/>
  <c r="H63" i="2" s="1"/>
  <c r="G59" i="2"/>
  <c r="H59" i="2" s="1"/>
  <c r="D9" i="7"/>
  <c r="G9" i="7" s="1"/>
  <c r="I21" i="4"/>
  <c r="I29" i="4" s="1"/>
  <c r="H61" i="2" l="1"/>
  <c r="N59" i="2"/>
  <c r="S64" i="2"/>
  <c r="Q64" i="2"/>
  <c r="H65" i="2"/>
  <c r="N63" i="2"/>
  <c r="Q60" i="2"/>
  <c r="S60" i="2"/>
  <c r="D23" i="7"/>
  <c r="D24" i="7" s="1"/>
  <c r="I56" i="7"/>
  <c r="S59" i="2" l="1"/>
  <c r="S61" i="2" s="1"/>
  <c r="N61" i="2"/>
  <c r="Q59" i="2"/>
  <c r="Q61" i="2" s="1"/>
  <c r="N65" i="2"/>
  <c r="S63" i="2"/>
  <c r="S65" i="2" s="1"/>
  <c r="Q63" i="2"/>
  <c r="Q65" i="2" s="1"/>
  <c r="H69" i="2"/>
  <c r="H23" i="7"/>
  <c r="K23" i="7" s="1"/>
  <c r="H24" i="7"/>
  <c r="K24" i="7" s="1"/>
  <c r="D25" i="7"/>
  <c r="Q69" i="2" l="1"/>
  <c r="N69" i="2"/>
  <c r="S69" i="2"/>
  <c r="H25" i="7"/>
  <c r="K25" i="7" s="1"/>
  <c r="D26" i="7"/>
  <c r="D27" i="7" l="1"/>
  <c r="H26" i="7"/>
  <c r="K26" i="7" s="1"/>
  <c r="D28" i="7" l="1"/>
  <c r="H27" i="7"/>
  <c r="K27" i="7" l="1"/>
  <c r="H28" i="7"/>
  <c r="K28" i="7" s="1"/>
  <c r="D29" i="7"/>
  <c r="D30" i="7" l="1"/>
  <c r="H29" i="7"/>
  <c r="K29" i="7" l="1"/>
  <c r="D31" i="7"/>
  <c r="H30" i="7"/>
  <c r="K30" i="7" s="1"/>
  <c r="D32" i="7" l="1"/>
  <c r="H31" i="7"/>
  <c r="K31" i="7" s="1"/>
  <c r="H32" i="7" l="1"/>
  <c r="K32" i="7" s="1"/>
  <c r="D33" i="7"/>
  <c r="H33" i="7" l="1"/>
  <c r="K33" i="7" s="1"/>
  <c r="D34" i="7"/>
  <c r="H34" i="7" s="1"/>
  <c r="K34" i="7" l="1"/>
  <c r="K35" i="7" s="1"/>
  <c r="D38" i="7" s="1"/>
  <c r="H38" i="7" s="1"/>
  <c r="K38" i="7" s="1"/>
  <c r="H35" i="7"/>
  <c r="I41" i="7" l="1"/>
  <c r="D41" i="7"/>
  <c r="K41" i="7" l="1"/>
  <c r="D42" i="7" s="1"/>
  <c r="H41" i="7"/>
  <c r="I42" i="7"/>
  <c r="I43" i="7" s="1"/>
  <c r="I44" i="7" s="1"/>
  <c r="I45" i="7" s="1"/>
  <c r="I46" i="7" s="1"/>
  <c r="I47" i="7" s="1"/>
  <c r="I48" i="7" s="1"/>
  <c r="I49" i="7" s="1"/>
  <c r="I50" i="7" s="1"/>
  <c r="I51" i="7" s="1"/>
  <c r="I52" i="7" s="1"/>
  <c r="I55" i="7" l="1"/>
  <c r="I57" i="7" s="1"/>
  <c r="K42" i="7"/>
  <c r="D43" i="7" s="1"/>
  <c r="H42" i="7"/>
  <c r="J31" i="4" l="1"/>
  <c r="J20" i="4" s="1"/>
  <c r="L20" i="4" s="1"/>
  <c r="T60" i="2" s="1"/>
  <c r="U60" i="2" s="1"/>
  <c r="K43" i="7"/>
  <c r="D44" i="7" s="1"/>
  <c r="H43" i="7"/>
  <c r="J23" i="4" l="1"/>
  <c r="L23" i="4" s="1"/>
  <c r="J19" i="4"/>
  <c r="J21" i="4" s="1"/>
  <c r="J24" i="4"/>
  <c r="L24" i="4" s="1"/>
  <c r="T64" i="2" s="1"/>
  <c r="U64" i="2" s="1"/>
  <c r="J17" i="4"/>
  <c r="L17" i="4" s="1"/>
  <c r="H44" i="7"/>
  <c r="K44" i="7"/>
  <c r="D45" i="7" s="1"/>
  <c r="L19" i="4" l="1"/>
  <c r="J25" i="4"/>
  <c r="J29" i="4" s="1"/>
  <c r="L25" i="4"/>
  <c r="T63" i="2"/>
  <c r="H45" i="7"/>
  <c r="K45" i="7"/>
  <c r="D46" i="7" s="1"/>
  <c r="L21" i="4" l="1"/>
  <c r="T59" i="2"/>
  <c r="D21" i="1"/>
  <c r="I21" i="1" s="1"/>
  <c r="I23" i="1" s="1"/>
  <c r="D29" i="1" s="1"/>
  <c r="T61" i="2"/>
  <c r="H46" i="7"/>
  <c r="K46" i="7"/>
  <c r="D47" i="7" s="1"/>
  <c r="T65" i="2"/>
  <c r="U63" i="2"/>
  <c r="U65" i="2" s="1"/>
  <c r="L29" i="4"/>
  <c r="U59" i="2" l="1"/>
  <c r="U61" i="2" s="1"/>
  <c r="D48" i="1" s="1"/>
  <c r="D50" i="1" s="1"/>
  <c r="K47" i="7"/>
  <c r="D48" i="7" s="1"/>
  <c r="H47" i="7"/>
  <c r="T69" i="2"/>
  <c r="D30" i="1" l="1"/>
  <c r="D31" i="1" s="1"/>
  <c r="D33" i="1" s="1"/>
  <c r="D38" i="1" s="1"/>
  <c r="D40" i="1" s="1"/>
  <c r="U69" i="2"/>
  <c r="K48" i="7"/>
  <c r="D49" i="7" s="1"/>
  <c r="H48" i="7"/>
  <c r="D39" i="1" l="1"/>
  <c r="D44" i="1"/>
  <c r="D43" i="1"/>
  <c r="D41" i="1"/>
  <c r="D42" i="1"/>
  <c r="H49" i="7"/>
  <c r="K49" i="7"/>
  <c r="D50" i="7" s="1"/>
  <c r="K50" i="7" l="1"/>
  <c r="D51" i="7" s="1"/>
  <c r="H50" i="7"/>
  <c r="K51" i="7" l="1"/>
  <c r="D52" i="7" s="1"/>
  <c r="H51" i="7"/>
  <c r="K52" i="7" l="1"/>
  <c r="H52" i="7"/>
  <c r="H53" i="7" s="1"/>
</calcChain>
</file>

<file path=xl/comments1.xml><?xml version="1.0" encoding="utf-8"?>
<comments xmlns="http://schemas.openxmlformats.org/spreadsheetml/2006/main">
  <authors>
    <author>s199989</author>
  </authors>
  <commentList>
    <comment ref="G19" authorId="0" shapeId="0">
      <text>
        <r>
          <rPr>
            <b/>
            <sz val="9"/>
            <color indexed="81"/>
            <rFont val="Tahoma"/>
            <family val="2"/>
          </rPr>
          <t xml:space="preserve">s199989:
</t>
        </r>
        <r>
          <rPr>
            <sz val="9"/>
            <color indexed="81"/>
            <rFont val="Tahoma"/>
            <family val="2"/>
          </rPr>
          <t>60/40 until project in service</t>
        </r>
      </text>
    </comment>
  </commentList>
</comments>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<sst xmlns="http://schemas.openxmlformats.org/spreadsheetml/2006/main" count="1294" uniqueCount="862">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</sst>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0" fontId="55" fillId="0" borderId="0" xfId="210" applyNumberFormat="1" applyFont="1" applyFill="1" applyAlignment="1" applyProtection="1">
      <alignment vertical="top" wrapText="1"/>
      <protection locked="0"/>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49" fontId="55" fillId="0" borderId="0" xfId="201" applyNumberFormat="1" applyFont="1" applyFill="1" applyBorder="1" applyAlignment="1">
      <alignment horizontal="left" vertical="top"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44196</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10108118.395194964</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f>(+'3-Project True-up'!I29+'3-Project True-up'!J29)</f>
        <v>326531.30527632381</v>
      </c>
      <c r="E21" s="127"/>
      <c r="F21" s="128" t="s">
        <v>77</v>
      </c>
      <c r="G21" s="499">
        <v>1</v>
      </c>
      <c r="H21" s="127"/>
      <c r="I21" s="15">
        <f>+G21*D21</f>
        <v>326531.30527632381</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10434649.700471288</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10434649.700471288</v>
      </c>
      <c r="E29" s="576"/>
      <c r="F29" s="576"/>
      <c r="G29" s="576"/>
      <c r="H29" s="576"/>
      <c r="J29" s="579"/>
      <c r="K29" s="578"/>
    </row>
    <row r="30" spans="1:13" s="583" customFormat="1" ht="25.5">
      <c r="A30" s="540">
        <f t="shared" ref="A30:A33" si="0">+A29+1</f>
        <v>11</v>
      </c>
      <c r="B30" s="574" t="s">
        <v>667</v>
      </c>
      <c r="C30" s="554" t="s">
        <v>670</v>
      </c>
      <c r="D30" s="612">
        <f>+'1-Project Rev Req'!U61</f>
        <v>10434649.700471289</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2020 AEP East Zone Network Service Peak Load (1 CP)</v>
      </c>
      <c r="D36" s="328">
        <v>22739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10434649.700471289</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10434649.700471289</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44196</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902"/>
      <c r="B58" s="902"/>
      <c r="C58" s="902"/>
      <c r="D58" s="902"/>
      <c r="E58" s="902"/>
      <c r="F58" s="902"/>
      <c r="G58" s="902"/>
      <c r="H58" s="902"/>
      <c r="I58" s="902"/>
      <c r="J58" s="902"/>
      <c r="K58" s="902"/>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80768508.364500016</v>
      </c>
      <c r="E65" s="25"/>
      <c r="F65" s="25" t="s">
        <v>15</v>
      </c>
      <c r="G65" s="168">
        <f>$I$188</f>
        <v>1</v>
      </c>
      <c r="H65" s="40"/>
      <c r="I65" s="15">
        <f>+G65*D65</f>
        <v>80768508.364500016</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184502.28326262307</v>
      </c>
      <c r="E67" s="25"/>
      <c r="F67" s="25" t="s">
        <v>23</v>
      </c>
      <c r="G67" s="168">
        <f>$I$196</f>
        <v>1</v>
      </c>
      <c r="H67" s="40"/>
      <c r="I67" s="149">
        <f>+G67*D67</f>
        <v>184502.28326262307</v>
      </c>
      <c r="J67" s="25"/>
      <c r="K67" s="25"/>
    </row>
    <row r="68" spans="1:11">
      <c r="A68" s="302">
        <f t="shared" si="2"/>
        <v>5</v>
      </c>
      <c r="B68" s="24" t="s">
        <v>220</v>
      </c>
      <c r="C68" s="25" t="s">
        <v>552</v>
      </c>
      <c r="D68" s="409">
        <f>SUM(D64:D67)</f>
        <v>80953010.647762641</v>
      </c>
      <c r="E68" s="25"/>
      <c r="F68" s="25" t="s">
        <v>24</v>
      </c>
      <c r="G68" s="333">
        <f>IF(I68&gt;0,I68/D68,1)</f>
        <v>1</v>
      </c>
      <c r="H68" s="40"/>
      <c r="I68" s="409">
        <f>SUM(I64:I67)</f>
        <v>80953010.647762641</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1250353.3356433408</v>
      </c>
      <c r="E72" s="25"/>
      <c r="F72" s="25" t="s">
        <v>15</v>
      </c>
      <c r="G72" s="168">
        <f>$I$188</f>
        <v>1</v>
      </c>
      <c r="H72" s="40"/>
      <c r="I72" s="15">
        <f>+G72*D72</f>
        <v>1250353.3356433408</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59312.730641498121</v>
      </c>
      <c r="E74" s="25"/>
      <c r="F74" s="25" t="s">
        <v>23</v>
      </c>
      <c r="G74" s="168">
        <f>$I$196</f>
        <v>1</v>
      </c>
      <c r="H74" s="40"/>
      <c r="I74" s="149">
        <f>+G74*D74</f>
        <v>59312.730641498121</v>
      </c>
      <c r="J74" s="25"/>
      <c r="K74" s="25"/>
    </row>
    <row r="75" spans="1:11">
      <c r="A75" s="302">
        <f t="shared" si="2"/>
        <v>11</v>
      </c>
      <c r="B75" s="27" t="s">
        <v>221</v>
      </c>
      <c r="C75" s="25" t="s">
        <v>235</v>
      </c>
      <c r="D75" s="409">
        <f>SUM(D71:D74)</f>
        <v>1309666.0662848391</v>
      </c>
      <c r="E75" s="25"/>
      <c r="F75" s="25"/>
      <c r="G75" s="23"/>
      <c r="H75" s="40"/>
      <c r="I75" s="409">
        <f>SUM(I71:I74)</f>
        <v>1309666.0662848391</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79518155.02885668</v>
      </c>
      <c r="E79" s="40"/>
      <c r="F79" s="40"/>
      <c r="G79" s="23"/>
      <c r="H79" s="40"/>
      <c r="I79" s="15">
        <f>I65-I72</f>
        <v>79518155.02885668</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125189.55262112495</v>
      </c>
      <c r="E81" s="40"/>
      <c r="F81" s="40"/>
      <c r="G81" s="150"/>
      <c r="H81" s="40"/>
      <c r="I81" s="149">
        <f>I67-I74</f>
        <v>125189.55262112495</v>
      </c>
      <c r="J81" s="25"/>
      <c r="K81" s="151"/>
    </row>
    <row r="82" spans="1:11">
      <c r="A82" s="302">
        <f t="shared" si="2"/>
        <v>17</v>
      </c>
      <c r="B82" s="27" t="s">
        <v>223</v>
      </c>
      <c r="C82" s="25" t="str">
        <f>"( Sum of line "&amp;A68&amp;" - line "&amp;A75&amp;")"</f>
        <v>( Sum of line 5 - line 11)</v>
      </c>
      <c r="D82" s="409">
        <f>SUM(D78:D81)</f>
        <v>79643344.581477806</v>
      </c>
      <c r="E82" s="40"/>
      <c r="F82" s="40" t="s">
        <v>26</v>
      </c>
      <c r="G82" s="333">
        <f>IF(I82&gt;0,I82/D82,1)</f>
        <v>1</v>
      </c>
      <c r="H82" s="40"/>
      <c r="I82" s="409">
        <f>SUM(I78:I81)</f>
        <v>79643344.581477806</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-670363.28493150673</v>
      </c>
      <c r="E86" s="25"/>
      <c r="F86" s="25" t="s">
        <v>27</v>
      </c>
      <c r="G86" s="168">
        <f>+$G$82</f>
        <v>1</v>
      </c>
      <c r="H86" s="40"/>
      <c r="I86" s="15">
        <f>D86*G86</f>
        <v>-670363.28493150673</v>
      </c>
      <c r="J86" s="25"/>
      <c r="K86" s="151"/>
    </row>
    <row r="87" spans="1:11">
      <c r="A87" s="302">
        <f t="shared" si="2"/>
        <v>21</v>
      </c>
      <c r="B87" s="27" t="s">
        <v>91</v>
      </c>
      <c r="C87" s="25" t="s">
        <v>563</v>
      </c>
      <c r="D87" s="45">
        <f>-'4- Rate Base'!G42</f>
        <v>-292873.5</v>
      </c>
      <c r="E87" s="25"/>
      <c r="F87" s="25" t="s">
        <v>27</v>
      </c>
      <c r="G87" s="168">
        <f>+$G$82</f>
        <v>1</v>
      </c>
      <c r="H87" s="40"/>
      <c r="I87" s="15">
        <f>D87*G87</f>
        <v>-292873.5</v>
      </c>
      <c r="J87" s="25"/>
      <c r="K87" s="151"/>
    </row>
    <row r="88" spans="1:11">
      <c r="A88" s="302">
        <f t="shared" si="2"/>
        <v>22</v>
      </c>
      <c r="B88" s="27" t="s">
        <v>96</v>
      </c>
      <c r="C88" s="25" t="s">
        <v>564</v>
      </c>
      <c r="D88" s="45">
        <f>+'4- Rate Base'!H42</f>
        <v>158016</v>
      </c>
      <c r="E88" s="25"/>
      <c r="F88" s="25" t="s">
        <v>27</v>
      </c>
      <c r="G88" s="168">
        <f>+$G$82</f>
        <v>1</v>
      </c>
      <c r="H88" s="40"/>
      <c r="I88" s="15">
        <f>D88*G88</f>
        <v>158016</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0</v>
      </c>
      <c r="E91" s="153"/>
      <c r="F91" s="154" t="str">
        <f>+F92</f>
        <v>DA</v>
      </c>
      <c r="G91" s="170">
        <v>1</v>
      </c>
      <c r="H91" s="153"/>
      <c r="I91" s="38">
        <f>+G91*D91</f>
        <v>0</v>
      </c>
      <c r="K91" s="151"/>
    </row>
    <row r="92" spans="1:11">
      <c r="A92" s="302">
        <f t="shared" si="2"/>
        <v>26</v>
      </c>
      <c r="B92" s="155" t="s">
        <v>104</v>
      </c>
      <c r="C92" s="156" t="s">
        <v>567</v>
      </c>
      <c r="D92" s="45">
        <f>+'4- Rate Base'!C42</f>
        <v>34194.250000000015</v>
      </c>
      <c r="E92" s="154"/>
      <c r="F92" s="154" t="str">
        <f>+F93</f>
        <v>DA</v>
      </c>
      <c r="G92" s="170">
        <v>1</v>
      </c>
      <c r="H92" s="154"/>
      <c r="I92" s="38">
        <f>+G92*D92</f>
        <v>34194.250000000015</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-771026.53493150673</v>
      </c>
      <c r="E94" s="25"/>
      <c r="F94" s="25"/>
      <c r="G94" s="486"/>
      <c r="H94" s="40"/>
      <c r="I94" s="15">
        <f>SUM(I85:I93)</f>
        <v>-771026.53493150673</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70278.38941813058</v>
      </c>
      <c r="E99" s="33"/>
      <c r="F99" s="33"/>
      <c r="G99" s="332"/>
      <c r="H99" s="160"/>
      <c r="I99" s="159">
        <f>(I133-I130)/8</f>
        <v>70278.38941813058</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58548.140000000007</v>
      </c>
      <c r="E101" s="25"/>
      <c r="F101" s="25" t="s">
        <v>28</v>
      </c>
      <c r="G101" s="332">
        <f>+$G$68</f>
        <v>1</v>
      </c>
      <c r="H101" s="40"/>
      <c r="I101" s="149">
        <f>+G101*D101</f>
        <v>58548.140000000007</v>
      </c>
      <c r="J101" s="25"/>
      <c r="K101" s="151"/>
    </row>
    <row r="102" spans="1:11">
      <c r="A102" s="106">
        <f t="shared" si="2"/>
        <v>34</v>
      </c>
      <c r="B102" s="27" t="s">
        <v>225</v>
      </c>
      <c r="C102" s="25" t="str">
        <f>"( Sum of line "&amp;A99&amp;" - line "&amp;A101&amp;")"</f>
        <v>( Sum of line 31 - line 33)</v>
      </c>
      <c r="D102" s="15">
        <f>SUM(D99:D101)</f>
        <v>128826.52941813058</v>
      </c>
      <c r="E102" s="111"/>
      <c r="F102" s="111"/>
      <c r="G102" s="157"/>
      <c r="H102" s="161"/>
      <c r="I102" s="15">
        <f>I99+I100+I101</f>
        <v>128826.52941813058</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79001144.575964436</v>
      </c>
      <c r="E104" s="40"/>
      <c r="F104" s="40"/>
      <c r="G104" s="163"/>
      <c r="H104" s="40"/>
      <c r="I104" s="162">
        <f>+I102+I96+I94+I82</f>
        <v>79001144.575964436</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44196</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3"/>
      <c r="B112" s="903"/>
      <c r="C112" s="903"/>
      <c r="D112" s="903"/>
      <c r="E112" s="903"/>
      <c r="F112" s="903"/>
      <c r="G112" s="903"/>
      <c r="H112" s="903"/>
      <c r="I112" s="903"/>
      <c r="J112" s="903"/>
      <c r="K112" s="903"/>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475714.69123637601</v>
      </c>
      <c r="E117" s="25"/>
      <c r="F117" s="25" t="s">
        <v>15</v>
      </c>
      <c r="G117" s="168">
        <f>$I$188</f>
        <v>1</v>
      </c>
      <c r="H117" s="40"/>
      <c r="I117" s="15">
        <f t="shared" ref="I117:I128" si="3">+G117*D117</f>
        <v>475714.69123637601</v>
      </c>
      <c r="J117" s="111"/>
      <c r="K117" s="25"/>
    </row>
    <row r="118" spans="1:11">
      <c r="A118" s="125">
        <f>+A117+1</f>
        <v>2</v>
      </c>
      <c r="B118" s="166" t="s">
        <v>98</v>
      </c>
      <c r="C118" s="25" t="s">
        <v>471</v>
      </c>
      <c r="D118" s="328">
        <v>81887.280473808802</v>
      </c>
      <c r="E118" s="156"/>
      <c r="F118" s="156" t="str">
        <f>+F117</f>
        <v>TP</v>
      </c>
      <c r="G118" s="168">
        <f>$I$188</f>
        <v>1</v>
      </c>
      <c r="H118" s="156"/>
      <c r="I118" s="159">
        <f>+G118*D118</f>
        <v>81887.280473808802</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159076.51705094901</v>
      </c>
      <c r="E120" s="25"/>
      <c r="F120" s="25" t="s">
        <v>23</v>
      </c>
      <c r="G120" s="168">
        <f t="shared" ref="G120:G125" si="5">$I$196</f>
        <v>1</v>
      </c>
      <c r="H120" s="40"/>
      <c r="I120" s="15">
        <f t="shared" si="3"/>
        <v>159076.51705094901</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0</v>
      </c>
      <c r="E123" s="25"/>
      <c r="F123" s="25" t="s">
        <v>23</v>
      </c>
      <c r="G123" s="168">
        <f t="shared" si="5"/>
        <v>1</v>
      </c>
      <c r="H123" s="40"/>
      <c r="I123" s="409">
        <f t="shared" ref="I123:I124" si="6">+G123*D123</f>
        <v>0</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-4175.5929422804029</v>
      </c>
      <c r="E127" s="100"/>
      <c r="F127" s="25" t="s">
        <v>23</v>
      </c>
      <c r="G127" s="168">
        <f>$I$196</f>
        <v>1</v>
      </c>
      <c r="H127" s="40"/>
      <c r="I127" s="15">
        <f>+G127*D127</f>
        <v>-4175.5929422804029</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68388.5</v>
      </c>
      <c r="E130" s="154"/>
      <c r="F130" s="154" t="s">
        <v>77</v>
      </c>
      <c r="G130" s="170">
        <v>1</v>
      </c>
      <c r="H130" s="154"/>
      <c r="I130" s="45">
        <f>+G130*D130</f>
        <v>68388.5</v>
      </c>
      <c r="K130" s="25"/>
    </row>
    <row r="131" spans="1:11">
      <c r="A131" s="329">
        <f t="shared" si="4"/>
        <v>15</v>
      </c>
      <c r="B131" s="509" t="s">
        <v>626</v>
      </c>
      <c r="C131" s="25"/>
      <c r="D131" s="328">
        <v>13498.780473808802</v>
      </c>
      <c r="E131" s="154"/>
      <c r="F131" s="154" t="s">
        <v>15</v>
      </c>
      <c r="G131" s="168">
        <f>$I$188</f>
        <v>1</v>
      </c>
      <c r="H131" s="154"/>
      <c r="I131" s="45">
        <f>+G131*D131</f>
        <v>13498.780473808802</v>
      </c>
      <c r="K131" s="25"/>
    </row>
    <row r="132" spans="1:11" ht="13.5" thickBot="1">
      <c r="A132" s="329">
        <f t="shared" si="4"/>
        <v>16</v>
      </c>
      <c r="B132" s="166" t="s">
        <v>100</v>
      </c>
      <c r="C132" s="156" t="str">
        <f>"( Sum of line "&amp;A130&amp;" - line "&amp;A131&amp;")"" Ties to 321.97b"</f>
        <v>( Sum of line 14 - line 15)" Ties to 321.97b</v>
      </c>
      <c r="D132" s="171">
        <f>SUM(D130:D131)</f>
        <v>81887.280473808802</v>
      </c>
      <c r="E132" s="154"/>
      <c r="F132" s="154"/>
      <c r="G132" s="170"/>
      <c r="H132" s="154"/>
      <c r="I132" s="171">
        <f>SUM(I130:I131)</f>
        <v>81887.280473808802</v>
      </c>
      <c r="K132" s="25"/>
    </row>
    <row r="133" spans="1:11">
      <c r="A133" s="329">
        <f t="shared" si="4"/>
        <v>17</v>
      </c>
      <c r="B133" s="172" t="s">
        <v>227</v>
      </c>
      <c r="C133" s="101" t="s">
        <v>625</v>
      </c>
      <c r="D133" s="15">
        <f>+D117-D118-D119+D120-D121-D122-D123-D124-D125+D126+D127+D128+D132</f>
        <v>630615.61534504464</v>
      </c>
      <c r="E133" s="15"/>
      <c r="F133" s="15"/>
      <c r="G133" s="15"/>
      <c r="H133" s="15"/>
      <c r="I133" s="409">
        <f>+I117-I118-I119+I120-I121-I122-I123-I124-I125+I126+I127+I128+I132</f>
        <v>630615.61534504464</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1572327.5258142799</v>
      </c>
      <c r="E136" s="15"/>
      <c r="F136" s="15" t="s">
        <v>15</v>
      </c>
      <c r="G136" s="168">
        <f>$I$188</f>
        <v>1</v>
      </c>
      <c r="H136" s="15"/>
      <c r="I136" s="15">
        <f>+G136*D136</f>
        <v>1572327.5258142799</v>
      </c>
      <c r="J136" s="25"/>
      <c r="K136" s="151"/>
    </row>
    <row r="137" spans="1:11">
      <c r="A137" s="329">
        <f t="shared" si="4"/>
        <v>20</v>
      </c>
      <c r="B137" s="173" t="s">
        <v>88</v>
      </c>
      <c r="C137" s="158" t="s">
        <v>475</v>
      </c>
      <c r="D137" s="841">
        <v>57336.645500614199</v>
      </c>
      <c r="E137" s="15"/>
      <c r="F137" s="15" t="s">
        <v>23</v>
      </c>
      <c r="G137" s="168">
        <f>$I$196</f>
        <v>1</v>
      </c>
      <c r="H137" s="15"/>
      <c r="I137" s="15">
        <f>+G137*D137</f>
        <v>57336.645500614199</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1629664.1713148942</v>
      </c>
      <c r="E139" s="15"/>
      <c r="F139" s="15"/>
      <c r="G139" s="168"/>
      <c r="H139" s="15"/>
      <c r="I139" s="15">
        <f>SUM(I136:I138)</f>
        <v>1629664.1713148942</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499.99999999999898</v>
      </c>
      <c r="E146" s="15"/>
      <c r="F146" s="15" t="s">
        <v>28</v>
      </c>
      <c r="G146" s="332">
        <f>+$G$68</f>
        <v>1</v>
      </c>
      <c r="H146" s="15"/>
      <c r="I146" s="15">
        <f>+G146*D146</f>
        <v>499.99999999999898</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499.99999999999898</v>
      </c>
      <c r="E150" s="15"/>
      <c r="F150" s="15"/>
      <c r="G150" s="15"/>
      <c r="H150" s="15"/>
      <c r="I150" s="15">
        <f>SUM(I143:I149)</f>
        <v>499.99999999999898</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0.28933512241004761</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1760993.4278758317</v>
      </c>
      <c r="E161" s="40"/>
      <c r="F161" s="40" t="s">
        <v>21</v>
      </c>
      <c r="G161" s="41"/>
      <c r="H161" s="40"/>
      <c r="I161" s="264">
        <f>+D154*I168</f>
        <v>1760993.4278758317</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1760993.4278758317</v>
      </c>
      <c r="E165" s="40"/>
      <c r="F165" s="40" t="s">
        <v>2</v>
      </c>
      <c r="G165" s="41" t="s">
        <v>2</v>
      </c>
      <c r="H165" s="40"/>
      <c r="I165" s="174">
        <f>SUM(I161:I164)</f>
        <v>1760993.4278758317</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6086345.1806591954</v>
      </c>
      <c r="E168" s="40"/>
      <c r="F168" s="40" t="s">
        <v>21</v>
      </c>
      <c r="G168" s="176"/>
      <c r="H168" s="40"/>
      <c r="I168" s="409">
        <f>+$I205*I104</f>
        <v>6086345.1806591954</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10108118.395194964</v>
      </c>
      <c r="E170" s="40"/>
      <c r="F170" s="40"/>
      <c r="G170" s="164"/>
      <c r="H170" s="40"/>
      <c r="I170" s="178">
        <f>+I168+I165+I150+I139+I133</f>
        <v>10108118.395194964</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44196</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3"/>
      <c r="B177" s="903"/>
      <c r="C177" s="903"/>
      <c r="D177" s="903"/>
      <c r="E177" s="903"/>
      <c r="F177" s="903"/>
      <c r="G177" s="903"/>
      <c r="H177" s="903"/>
      <c r="I177" s="903"/>
      <c r="J177" s="903"/>
      <c r="K177" s="903"/>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80768508.364500016</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80768508.364500016</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25240615.384615384</v>
      </c>
      <c r="E202" s="837">
        <f>+'5-Return'!G19</f>
        <v>0.39999999999999997</v>
      </c>
      <c r="F202" s="23"/>
      <c r="G202" s="372">
        <f>+'5-Return'!H19</f>
        <v>3.5103069655744092E-2</v>
      </c>
      <c r="H202" s="23"/>
      <c r="I202" s="215">
        <f>E202*G202</f>
        <v>1.4041227862297636E-2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37860923.07692308</v>
      </c>
      <c r="E204" s="838">
        <f>+'5-Return'!G21</f>
        <v>0.6</v>
      </c>
      <c r="F204" s="31"/>
      <c r="G204" s="372">
        <f>+'5-Return'!H21</f>
        <v>0.10500000000000001</v>
      </c>
      <c r="H204" s="32"/>
      <c r="I204" s="335">
        <f>E204*G204</f>
        <v>6.3E-2</v>
      </c>
      <c r="J204" s="25"/>
      <c r="K204" s="32"/>
    </row>
    <row r="205" spans="1:11">
      <c r="A205" s="302">
        <f t="shared" si="7"/>
        <v>18</v>
      </c>
      <c r="B205" s="27" t="s">
        <v>228</v>
      </c>
      <c r="C205" s="25" t="str">
        <f>"( Sum of line "&amp;A202&amp;" - line "&amp;A204&amp;")"</f>
        <v>( Sum of line 15 - line 17)</v>
      </c>
      <c r="D205" s="723">
        <f>SUM(D202:D204)</f>
        <v>63101538.461538464</v>
      </c>
      <c r="E205" s="25" t="s">
        <v>2</v>
      </c>
      <c r="F205" s="25"/>
      <c r="G205" s="25"/>
      <c r="H205" s="25"/>
      <c r="I205" s="215">
        <f>SUM(I202:I204)</f>
        <v>7.704122786229764E-2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44196</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3"/>
      <c r="B218" s="903"/>
      <c r="C218" s="903"/>
      <c r="D218" s="903"/>
      <c r="E218" s="903"/>
      <c r="F218" s="903"/>
      <c r="G218" s="903"/>
      <c r="H218" s="903"/>
      <c r="I218" s="903"/>
      <c r="J218" s="903"/>
      <c r="K218" s="903"/>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4"/>
      <c r="C222" s="904"/>
      <c r="D222" s="207"/>
      <c r="E222" s="207"/>
      <c r="F222" s="207"/>
      <c r="G222" s="207"/>
      <c r="H222" s="208"/>
      <c r="I222" s="207"/>
      <c r="J222" s="208"/>
      <c r="K222" s="207"/>
    </row>
    <row r="223" spans="1:11" ht="30" customHeight="1">
      <c r="A223" s="858" t="s">
        <v>183</v>
      </c>
      <c r="B223" s="906" t="s">
        <v>783</v>
      </c>
      <c r="C223" s="907"/>
      <c r="D223" s="907"/>
      <c r="E223" s="907"/>
      <c r="F223" s="907"/>
      <c r="G223" s="907"/>
      <c r="H223" s="907"/>
      <c r="I223" s="907"/>
      <c r="J223" s="907"/>
      <c r="K223" s="907"/>
    </row>
    <row r="224" spans="1:11">
      <c r="A224" s="858" t="s">
        <v>184</v>
      </c>
      <c r="B224" s="899" t="s">
        <v>287</v>
      </c>
      <c r="C224" s="899"/>
      <c r="D224" s="899"/>
      <c r="E224" s="899"/>
      <c r="F224" s="899"/>
      <c r="G224" s="899"/>
      <c r="H224" s="899"/>
      <c r="I224" s="899"/>
      <c r="J224" s="899"/>
      <c r="K224" s="899"/>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899" t="s">
        <v>566</v>
      </c>
      <c r="C226" s="899"/>
      <c r="D226" s="899"/>
      <c r="E226" s="899"/>
      <c r="F226" s="899"/>
      <c r="G226" s="899"/>
      <c r="H226" s="899"/>
      <c r="I226" s="899"/>
      <c r="J226" s="899"/>
      <c r="K226" s="899"/>
    </row>
    <row r="227" spans="1:11" s="12" customFormat="1" ht="28.5" customHeight="1">
      <c r="A227" s="859" t="s">
        <v>66</v>
      </c>
      <c r="B227" s="905" t="s">
        <v>362</v>
      </c>
      <c r="C227" s="905"/>
      <c r="D227" s="905"/>
      <c r="E227" s="905"/>
      <c r="F227" s="905"/>
      <c r="G227" s="905"/>
      <c r="H227" s="905"/>
      <c r="I227" s="905"/>
      <c r="J227" s="905"/>
      <c r="K227" s="905"/>
    </row>
    <row r="228" spans="1:11" ht="19.5" customHeight="1">
      <c r="A228" s="859" t="s">
        <v>67</v>
      </c>
      <c r="B228" s="908" t="s">
        <v>715</v>
      </c>
      <c r="C228" s="908"/>
      <c r="D228" s="908"/>
      <c r="E228" s="908"/>
      <c r="F228" s="908"/>
      <c r="G228" s="908"/>
      <c r="H228" s="908"/>
      <c r="I228" s="908"/>
      <c r="J228" s="908"/>
      <c r="K228" s="908"/>
    </row>
    <row r="229" spans="1:11">
      <c r="A229" s="858" t="s">
        <v>68</v>
      </c>
      <c r="B229" s="899" t="s">
        <v>645</v>
      </c>
      <c r="C229" s="899"/>
      <c r="D229" s="899"/>
      <c r="E229" s="899"/>
      <c r="F229" s="899"/>
      <c r="G229" s="899"/>
      <c r="H229" s="899"/>
      <c r="I229" s="899"/>
      <c r="J229" s="899"/>
      <c r="K229" s="899"/>
    </row>
    <row r="230" spans="1:11" ht="29.25" customHeight="1">
      <c r="A230" s="858" t="s">
        <v>69</v>
      </c>
      <c r="B230" s="899" t="s">
        <v>570</v>
      </c>
      <c r="C230" s="899"/>
      <c r="D230" s="899"/>
      <c r="E230" s="899"/>
      <c r="F230" s="899"/>
      <c r="G230" s="899"/>
      <c r="H230" s="899"/>
      <c r="I230" s="899"/>
      <c r="J230" s="899"/>
      <c r="K230" s="899"/>
    </row>
    <row r="231" spans="1:11">
      <c r="A231" s="860" t="s">
        <v>70</v>
      </c>
      <c r="B231" s="899" t="s">
        <v>117</v>
      </c>
      <c r="C231" s="899"/>
      <c r="D231" s="899"/>
      <c r="E231" s="899"/>
      <c r="F231" s="899"/>
      <c r="G231" s="899"/>
      <c r="H231" s="899"/>
      <c r="I231" s="899"/>
      <c r="J231" s="899"/>
      <c r="K231" s="899"/>
    </row>
    <row r="232" spans="1:11" s="217" customFormat="1" ht="15.75" customHeight="1">
      <c r="A232" s="858" t="s">
        <v>71</v>
      </c>
      <c r="B232" s="899" t="s">
        <v>624</v>
      </c>
      <c r="C232" s="899"/>
      <c r="D232" s="899"/>
      <c r="E232" s="899"/>
      <c r="F232" s="899"/>
      <c r="G232" s="899"/>
      <c r="H232" s="899"/>
      <c r="I232" s="899"/>
      <c r="J232" s="899"/>
      <c r="K232" s="899"/>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899" t="s">
        <v>646</v>
      </c>
      <c r="C234" s="899"/>
      <c r="D234" s="899"/>
      <c r="E234" s="899"/>
      <c r="F234" s="899"/>
      <c r="G234" s="899"/>
      <c r="H234" s="899"/>
      <c r="I234" s="899"/>
      <c r="J234" s="899"/>
      <c r="K234" s="899"/>
    </row>
    <row r="235" spans="1:11" ht="51" customHeight="1">
      <c r="A235" s="900" t="s">
        <v>586</v>
      </c>
      <c r="B235" s="899" t="s">
        <v>185</v>
      </c>
      <c r="C235" s="899"/>
      <c r="D235" s="899"/>
      <c r="E235" s="899"/>
      <c r="F235" s="899"/>
      <c r="G235" s="899"/>
      <c r="H235" s="899"/>
      <c r="I235" s="899"/>
      <c r="J235" s="899"/>
      <c r="K235" s="899"/>
    </row>
    <row r="236" spans="1:11">
      <c r="A236" s="900"/>
      <c r="B236" s="254" t="s">
        <v>72</v>
      </c>
      <c r="C236" s="254" t="s">
        <v>754</v>
      </c>
      <c r="D236" s="390">
        <v>0.21</v>
      </c>
      <c r="E236" s="254" t="s">
        <v>363</v>
      </c>
      <c r="F236" s="254"/>
      <c r="G236" s="254"/>
      <c r="H236" s="254"/>
      <c r="I236" s="254"/>
      <c r="J236" s="254"/>
      <c r="K236" s="254"/>
    </row>
    <row r="237" spans="1:11">
      <c r="A237" s="900"/>
      <c r="B237" s="254"/>
      <c r="C237" s="254" t="s">
        <v>73</v>
      </c>
      <c r="D237" s="390">
        <v>6.5000000000000002E-2</v>
      </c>
      <c r="E237" s="254" t="s">
        <v>118</v>
      </c>
      <c r="F237" s="254"/>
      <c r="G237" s="254"/>
      <c r="H237" s="254"/>
      <c r="I237" s="254"/>
      <c r="J237" s="254"/>
      <c r="K237" s="254"/>
    </row>
    <row r="238" spans="1:11">
      <c r="A238" s="900"/>
      <c r="B238" s="254"/>
      <c r="C238" s="254" t="s">
        <v>74</v>
      </c>
      <c r="D238" s="390">
        <v>0</v>
      </c>
      <c r="E238" s="254" t="s">
        <v>119</v>
      </c>
      <c r="F238" s="254"/>
      <c r="G238" s="254"/>
      <c r="H238" s="254"/>
      <c r="I238" s="254"/>
      <c r="J238" s="254"/>
      <c r="K238" s="254"/>
    </row>
    <row r="239" spans="1:11">
      <c r="A239" s="900"/>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899" t="s">
        <v>123</v>
      </c>
      <c r="C241" s="899"/>
      <c r="D241" s="899"/>
      <c r="E241" s="899"/>
      <c r="F241" s="899"/>
      <c r="G241" s="899"/>
      <c r="H241" s="899"/>
      <c r="I241" s="899"/>
      <c r="J241" s="899"/>
      <c r="K241" s="899"/>
    </row>
    <row r="242" spans="1:11" s="583" customFormat="1" ht="81" customHeight="1">
      <c r="A242" s="858" t="s">
        <v>125</v>
      </c>
      <c r="B242" s="901" t="s">
        <v>790</v>
      </c>
      <c r="C242" s="901"/>
      <c r="D242" s="901"/>
      <c r="E242" s="901"/>
      <c r="F242" s="901"/>
      <c r="G242" s="901"/>
      <c r="H242" s="901"/>
      <c r="I242" s="901"/>
      <c r="J242" s="901"/>
      <c r="K242" s="901"/>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899" t="s">
        <v>604</v>
      </c>
      <c r="C244" s="899"/>
      <c r="D244" s="899"/>
      <c r="E244" s="899"/>
      <c r="F244" s="899"/>
      <c r="G244" s="899"/>
      <c r="H244" s="899"/>
      <c r="I244" s="899"/>
      <c r="J244" s="899"/>
      <c r="K244" s="899"/>
    </row>
    <row r="245" spans="1:11" ht="21" customHeight="1">
      <c r="A245" s="858" t="s">
        <v>600</v>
      </c>
      <c r="B245" s="899" t="s">
        <v>717</v>
      </c>
      <c r="C245" s="899"/>
      <c r="D245" s="899"/>
      <c r="E245" s="899"/>
      <c r="F245" s="899"/>
      <c r="G245" s="899"/>
      <c r="H245" s="899"/>
      <c r="I245" s="899"/>
      <c r="J245" s="899"/>
      <c r="K245" s="899"/>
    </row>
    <row r="246" spans="1:11">
      <c r="A246" s="858" t="s">
        <v>602</v>
      </c>
      <c r="B246" s="899" t="s">
        <v>603</v>
      </c>
      <c r="C246" s="899"/>
      <c r="D246" s="899"/>
      <c r="E246" s="899"/>
      <c r="F246" s="899"/>
      <c r="G246" s="899"/>
      <c r="H246" s="899"/>
      <c r="I246" s="899"/>
      <c r="J246" s="899"/>
      <c r="K246" s="899"/>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4:K244"/>
    <mergeCell ref="B245:K245"/>
    <mergeCell ref="B246:K246"/>
    <mergeCell ref="A235:A239"/>
    <mergeCell ref="B242:K242"/>
    <mergeCell ref="B235:K235"/>
    <mergeCell ref="B241:K241"/>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D13" sqref="D13"/>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B6" sqref="B6:F6"/>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4" t="str">
        <f>+'Attachment H-26'!D5</f>
        <v>Transource West Virginia, LLC</v>
      </c>
      <c r="B3" s="924"/>
      <c r="C3" s="924"/>
      <c r="D3" s="924"/>
      <c r="E3" s="924"/>
      <c r="F3" s="924"/>
      <c r="G3" s="924"/>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0</v>
      </c>
      <c r="E12" s="337"/>
      <c r="F12" s="337"/>
      <c r="G12" s="339"/>
      <c r="H12" s="337"/>
      <c r="I12" s="337"/>
      <c r="J12" s="337"/>
      <c r="K12" s="337"/>
      <c r="L12" s="337"/>
    </row>
    <row r="13" spans="1:12" s="336" customFormat="1" ht="16.5" customHeight="1">
      <c r="A13" s="398">
        <f>+A12+1</f>
        <v>2</v>
      </c>
      <c r="B13" s="399" t="s">
        <v>497</v>
      </c>
      <c r="C13" s="337"/>
      <c r="D13" s="296">
        <v>0</v>
      </c>
      <c r="E13" s="337"/>
      <c r="F13" s="337"/>
      <c r="G13" s="339"/>
      <c r="H13" s="337"/>
      <c r="I13" s="337"/>
      <c r="J13" s="337"/>
      <c r="K13" s="337"/>
      <c r="L13" s="337"/>
    </row>
    <row r="14" spans="1:12" s="336" customFormat="1" ht="16.5" customHeight="1">
      <c r="A14" s="261">
        <f>+A13+1</f>
        <v>3</v>
      </c>
      <c r="B14" s="24" t="s">
        <v>498</v>
      </c>
      <c r="D14" s="298">
        <f>SUM(D12:D13)</f>
        <v>0</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0</v>
      </c>
      <c r="E20" s="382"/>
      <c r="F20" s="382"/>
      <c r="H20" s="337"/>
      <c r="I20" s="337"/>
      <c r="J20" s="337"/>
      <c r="K20" s="337"/>
      <c r="L20" s="337"/>
    </row>
    <row r="21" spans="1:12" s="336" customFormat="1" ht="16.5" customHeight="1">
      <c r="A21" s="387">
        <f>+A20+1</f>
        <v>5</v>
      </c>
      <c r="B21" s="5" t="s">
        <v>85</v>
      </c>
      <c r="C21" s="382"/>
      <c r="D21" s="295">
        <v>0</v>
      </c>
      <c r="E21" s="382"/>
      <c r="F21" s="382"/>
      <c r="H21" s="337"/>
      <c r="I21" s="337"/>
      <c r="J21" s="337"/>
      <c r="K21" s="337"/>
      <c r="L21" s="337"/>
    </row>
    <row r="22" spans="1:12" s="336" customFormat="1" ht="16.5" customHeight="1">
      <c r="A22" s="387">
        <f t="shared" ref="A22:A33" si="0">+A21+1</f>
        <v>6</v>
      </c>
      <c r="B22" s="1" t="s">
        <v>84</v>
      </c>
      <c r="C22" s="382"/>
      <c r="D22" s="295">
        <v>0</v>
      </c>
      <c r="E22" s="382"/>
      <c r="F22" s="382"/>
      <c r="H22" s="337"/>
      <c r="I22" s="337"/>
      <c r="J22" s="337"/>
      <c r="K22" s="337"/>
      <c r="L22" s="337"/>
    </row>
    <row r="23" spans="1:12" s="336" customFormat="1" ht="16.5" customHeight="1">
      <c r="A23" s="387">
        <f t="shared" si="0"/>
        <v>7</v>
      </c>
      <c r="B23" s="1" t="s">
        <v>170</v>
      </c>
      <c r="C23" s="382"/>
      <c r="D23" s="295">
        <v>0</v>
      </c>
      <c r="E23" s="382"/>
      <c r="F23" s="382"/>
      <c r="H23" s="337"/>
      <c r="I23" s="337"/>
      <c r="J23" s="337"/>
      <c r="K23" s="337"/>
      <c r="L23" s="337"/>
    </row>
    <row r="24" spans="1:12" s="336" customFormat="1" ht="16.5" customHeight="1">
      <c r="A24" s="387">
        <f t="shared" si="0"/>
        <v>8</v>
      </c>
      <c r="B24" s="1" t="s">
        <v>76</v>
      </c>
      <c r="C24" s="382"/>
      <c r="D24" s="295">
        <v>0</v>
      </c>
      <c r="E24" s="382"/>
      <c r="F24" s="382"/>
      <c r="H24" s="337"/>
      <c r="I24" s="337"/>
      <c r="J24" s="337"/>
      <c r="K24" s="337"/>
      <c r="L24" s="337"/>
    </row>
    <row r="25" spans="1:12" s="336" customFormat="1" ht="16.5" customHeight="1">
      <c r="A25" s="387">
        <f t="shared" si="0"/>
        <v>9</v>
      </c>
      <c r="B25" s="1" t="s">
        <v>75</v>
      </c>
      <c r="C25" s="382"/>
      <c r="D25" s="295">
        <v>0</v>
      </c>
      <c r="E25" s="382"/>
      <c r="F25" s="382"/>
      <c r="H25" s="337"/>
      <c r="I25" s="337"/>
      <c r="J25" s="337"/>
      <c r="K25" s="337"/>
      <c r="L25" s="337"/>
    </row>
    <row r="26" spans="1:12" s="336" customFormat="1" ht="16.5" customHeight="1">
      <c r="A26" s="387">
        <f t="shared" si="0"/>
        <v>10</v>
      </c>
      <c r="B26" s="1" t="s">
        <v>95</v>
      </c>
      <c r="C26" s="382"/>
      <c r="D26" s="295">
        <v>0</v>
      </c>
      <c r="E26" s="382"/>
      <c r="F26" s="382"/>
      <c r="H26" s="337"/>
      <c r="I26" s="337"/>
      <c r="J26" s="337"/>
      <c r="K26" s="337"/>
      <c r="L26" s="337"/>
    </row>
    <row r="27" spans="1:12" s="336" customFormat="1" ht="16.5" customHeight="1">
      <c r="A27" s="387">
        <f t="shared" si="0"/>
        <v>11</v>
      </c>
      <c r="B27" s="1" t="s">
        <v>82</v>
      </c>
      <c r="C27" s="382"/>
      <c r="D27" s="295">
        <v>0</v>
      </c>
      <c r="E27" s="382"/>
      <c r="F27" s="382"/>
      <c r="H27" s="337"/>
      <c r="I27" s="337"/>
      <c r="J27" s="337"/>
      <c r="K27" s="337"/>
      <c r="L27" s="337"/>
    </row>
    <row r="28" spans="1:12" s="336" customFormat="1" ht="16.5" customHeight="1">
      <c r="A28" s="387">
        <f t="shared" si="0"/>
        <v>12</v>
      </c>
      <c r="B28" s="1" t="s">
        <v>171</v>
      </c>
      <c r="C28" s="382"/>
      <c r="D28" s="295">
        <v>0</v>
      </c>
      <c r="E28" s="382"/>
      <c r="F28" s="382"/>
      <c r="H28" s="337"/>
      <c r="I28" s="337"/>
      <c r="J28" s="337"/>
      <c r="K28" s="337"/>
      <c r="L28" s="337"/>
    </row>
    <row r="29" spans="1:12" s="336" customFormat="1" ht="16.5" customHeight="1">
      <c r="A29" s="387">
        <f t="shared" si="0"/>
        <v>13</v>
      </c>
      <c r="B29" s="1" t="s">
        <v>80</v>
      </c>
      <c r="C29" s="382"/>
      <c r="D29" s="295">
        <v>0</v>
      </c>
      <c r="E29" s="382"/>
      <c r="F29" s="382"/>
      <c r="H29" s="337"/>
      <c r="I29" s="337"/>
      <c r="J29" s="337"/>
      <c r="K29" s="337"/>
      <c r="L29" s="337"/>
    </row>
    <row r="30" spans="1:12" s="336" customFormat="1" ht="16.5" customHeight="1">
      <c r="A30" s="387">
        <f t="shared" si="0"/>
        <v>14</v>
      </c>
      <c r="B30" s="1" t="s">
        <v>86</v>
      </c>
      <c r="C30" s="382"/>
      <c r="D30" s="295">
        <v>0</v>
      </c>
      <c r="E30" s="382"/>
      <c r="F30" s="382"/>
      <c r="H30" s="337"/>
      <c r="I30" s="337"/>
      <c r="J30" s="337"/>
      <c r="K30" s="337"/>
      <c r="L30" s="337"/>
    </row>
    <row r="31" spans="1:12" s="336" customFormat="1" ht="16.5" customHeight="1">
      <c r="A31" s="387">
        <f t="shared" si="0"/>
        <v>15</v>
      </c>
      <c r="B31" s="1" t="s">
        <v>79</v>
      </c>
      <c r="C31" s="382"/>
      <c r="D31" s="295">
        <v>0</v>
      </c>
      <c r="E31" s="382"/>
      <c r="F31" s="382"/>
      <c r="H31" s="337"/>
      <c r="I31" s="337"/>
      <c r="J31" s="337"/>
      <c r="K31" s="337"/>
      <c r="L31" s="337"/>
    </row>
    <row r="32" spans="1:12" s="336" customFormat="1" ht="16.5" customHeight="1">
      <c r="A32" s="387">
        <f t="shared" si="0"/>
        <v>16</v>
      </c>
      <c r="B32" s="1" t="s">
        <v>194</v>
      </c>
      <c r="C32" s="382"/>
      <c r="D32" s="295">
        <v>0</v>
      </c>
      <c r="E32" s="382"/>
      <c r="F32" s="382"/>
      <c r="H32" s="337"/>
      <c r="I32" s="337"/>
      <c r="J32" s="337"/>
      <c r="K32" s="337"/>
      <c r="L32" s="337"/>
    </row>
    <row r="33" spans="1:12" s="336" customFormat="1" ht="16.5" customHeight="1">
      <c r="A33" s="387">
        <f t="shared" si="0"/>
        <v>17</v>
      </c>
      <c r="B33" s="6" t="s">
        <v>258</v>
      </c>
      <c r="C33" s="382"/>
      <c r="D33" s="604">
        <f>SUM(D20:D32)/13</f>
        <v>0</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t="e">
        <f>D14/D33</f>
        <v>#DIV/0!</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5" t="s">
        <v>491</v>
      </c>
      <c r="C38" s="905"/>
      <c r="D38" s="905"/>
      <c r="E38" s="905"/>
      <c r="F38" s="905"/>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2" t="s">
        <v>530</v>
      </c>
      <c r="B1" s="922"/>
      <c r="C1" s="922"/>
      <c r="D1" s="922"/>
      <c r="E1" s="922"/>
      <c r="F1" s="922"/>
      <c r="G1" s="922"/>
      <c r="H1" s="922"/>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18" sqref="F18"/>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2" t="s">
        <v>531</v>
      </c>
      <c r="B1" s="922"/>
      <c r="C1" s="922"/>
      <c r="D1" s="922"/>
      <c r="E1" s="922"/>
      <c r="F1" s="922"/>
      <c r="G1" s="922"/>
      <c r="H1" s="922"/>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24" sqref="D24"/>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2" t="s">
        <v>765</v>
      </c>
      <c r="B1" s="922"/>
      <c r="C1" s="922"/>
      <c r="D1" s="922"/>
      <c r="E1" s="922"/>
      <c r="F1" s="922"/>
      <c r="G1" s="922"/>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0</v>
      </c>
      <c r="E19" s="819">
        <v>0</v>
      </c>
      <c r="F19" s="832">
        <f t="shared" si="2"/>
        <v>0</v>
      </c>
    </row>
    <row r="20" spans="1:9" ht="12.75">
      <c r="A20" s="350">
        <f t="shared" si="3"/>
        <v>13</v>
      </c>
      <c r="B20" s="336" t="s">
        <v>778</v>
      </c>
      <c r="C20" s="336" t="s">
        <v>768</v>
      </c>
      <c r="D20" s="819">
        <f>'Attachment H-26'!I11</f>
        <v>10108118.395194964</v>
      </c>
      <c r="E20" s="819">
        <v>0</v>
      </c>
      <c r="F20" s="832">
        <f t="shared" si="2"/>
        <v>10108118.395194964</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10108118.395194964</v>
      </c>
      <c r="E22" s="821">
        <f>+SUM(E17:E21)</f>
        <v>0</v>
      </c>
      <c r="F22" s="834">
        <f t="shared" si="2"/>
        <v>10108118.395194964</v>
      </c>
    </row>
    <row r="23" spans="1:9" ht="12.75">
      <c r="A23" s="350">
        <f>+A22+1</f>
        <v>16</v>
      </c>
      <c r="B23" s="336" t="s">
        <v>780</v>
      </c>
      <c r="C23" s="822"/>
      <c r="D23" s="819">
        <f>D20</f>
        <v>10108118.395194964</v>
      </c>
      <c r="E23" s="823"/>
      <c r="F23" s="832">
        <f t="shared" si="2"/>
        <v>10108118.395194964</v>
      </c>
    </row>
    <row r="24" spans="1:9" ht="12.75">
      <c r="A24" s="350">
        <f t="shared" ref="A24:A25" si="4">+A23+1</f>
        <v>17</v>
      </c>
      <c r="B24" s="336" t="s">
        <v>788</v>
      </c>
      <c r="C24" s="822"/>
      <c r="D24" s="823">
        <v>0</v>
      </c>
      <c r="E24" s="823"/>
      <c r="F24" s="832">
        <f t="shared" si="2"/>
        <v>0</v>
      </c>
    </row>
    <row r="25" spans="1:9" ht="12.75">
      <c r="A25" s="350">
        <f t="shared" si="4"/>
        <v>18</v>
      </c>
      <c r="B25" s="822" t="s">
        <v>785</v>
      </c>
      <c r="C25" s="553" t="str">
        <f>"(Line "&amp;A22&amp;" - line "&amp;A23&amp;")"</f>
        <v>(Line 15 - line 16)</v>
      </c>
      <c r="D25" s="821">
        <f>+D22-D23-D24</f>
        <v>0</v>
      </c>
      <c r="E25" s="821">
        <f>+E22-E23-E24</f>
        <v>0</v>
      </c>
      <c r="F25" s="834">
        <f t="shared" si="2"/>
        <v>0</v>
      </c>
    </row>
    <row r="26" spans="1:9" ht="12.75">
      <c r="A26" s="350"/>
      <c r="B26" s="822"/>
      <c r="C26" s="822"/>
      <c r="D26" s="824"/>
      <c r="E26" s="824"/>
    </row>
    <row r="27" spans="1:9" ht="12.75">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90" zoomScaleNormal="90" zoomScaleSheetLayoutView="90" workbookViewId="0"/>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80768508.364500016</v>
      </c>
      <c r="R15" s="18"/>
      <c r="S15" s="18"/>
      <c r="T15" s="22"/>
      <c r="U15" s="18"/>
      <c r="V15" s="18"/>
      <c r="W15" s="58"/>
    </row>
    <row r="16" spans="1:23">
      <c r="A16" s="19">
        <v>2</v>
      </c>
      <c r="C16" s="58" t="s">
        <v>539</v>
      </c>
      <c r="D16" s="560"/>
      <c r="E16" s="58"/>
      <c r="F16" s="65" t="s">
        <v>842</v>
      </c>
      <c r="G16" s="19"/>
      <c r="I16" s="45">
        <f>+'Attachment H-26'!I79+'Attachment H-26'!I91+'Attachment H-26'!I93</f>
        <v>79518155.02885668</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630615.61534504464</v>
      </c>
      <c r="R19" s="18"/>
      <c r="S19" s="18"/>
      <c r="T19" s="18"/>
      <c r="U19" s="18"/>
      <c r="V19" s="18"/>
      <c r="W19" s="58"/>
    </row>
    <row r="20" spans="1:23">
      <c r="A20" s="19">
        <v>4</v>
      </c>
      <c r="C20" s="58" t="s">
        <v>129</v>
      </c>
      <c r="D20" s="560"/>
      <c r="E20" s="58"/>
      <c r="F20" s="65" t="s">
        <v>130</v>
      </c>
      <c r="G20" s="19"/>
      <c r="I20" s="506">
        <f>IF(I19=0,0,+I19/I15)</f>
        <v>7.8076917367241811E-3</v>
      </c>
      <c r="J20" s="392"/>
      <c r="K20" s="66">
        <f>I20</f>
        <v>7.8076917367241811E-3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57336.645500614199</v>
      </c>
      <c r="K23" s="506"/>
      <c r="L23" s="393"/>
      <c r="R23" s="18"/>
      <c r="S23" s="67"/>
      <c r="T23" s="68"/>
      <c r="U23" s="69"/>
      <c r="V23" s="18"/>
      <c r="W23" s="58"/>
    </row>
    <row r="24" spans="1:23">
      <c r="A24" s="57" t="s">
        <v>132</v>
      </c>
      <c r="C24" s="58" t="s">
        <v>349</v>
      </c>
      <c r="D24" s="560"/>
      <c r="E24" s="58"/>
      <c r="F24" s="65" t="s">
        <v>133</v>
      </c>
      <c r="G24" s="19"/>
      <c r="I24" s="506">
        <f>IF(I23=0,0,I23/I15)</f>
        <v>7.0988862691211011E-4</v>
      </c>
      <c r="J24" s="46"/>
      <c r="K24" s="66">
        <f>I24</f>
        <v>7.0988862691211011E-4</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499.99999999999898</v>
      </c>
      <c r="J27" s="46"/>
      <c r="K27" s="506"/>
      <c r="L27" s="393"/>
      <c r="R27" s="18"/>
      <c r="S27" s="62"/>
      <c r="T27" s="18"/>
      <c r="U27" s="19"/>
      <c r="V27" s="56"/>
      <c r="W27" s="58"/>
    </row>
    <row r="28" spans="1:23">
      <c r="A28" s="57" t="s">
        <v>137</v>
      </c>
      <c r="C28" s="58" t="s">
        <v>138</v>
      </c>
      <c r="D28" s="560"/>
      <c r="E28" s="58"/>
      <c r="F28" s="65" t="s">
        <v>139</v>
      </c>
      <c r="G28" s="19"/>
      <c r="I28" s="506">
        <f>IF(I27=0,0,I27/I15)</f>
        <v>6.1905315589530279E-6</v>
      </c>
      <c r="J28" s="46"/>
      <c r="K28" s="66">
        <f>I28</f>
        <v>6.1905315589530279E-6</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8.5237708951952443E-3</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1760993.4278758317</v>
      </c>
      <c r="K36" s="506"/>
      <c r="L36" s="393"/>
      <c r="O36" s="18"/>
      <c r="P36" s="18"/>
      <c r="Q36" s="18"/>
      <c r="R36" s="77"/>
      <c r="S36" s="76"/>
      <c r="V36" s="56"/>
      <c r="W36" s="18"/>
    </row>
    <row r="37" spans="1:23">
      <c r="A37" s="57" t="s">
        <v>148</v>
      </c>
      <c r="B37" s="76"/>
      <c r="C37" s="18" t="s">
        <v>145</v>
      </c>
      <c r="D37" s="550"/>
      <c r="E37" s="18"/>
      <c r="F37" s="65" t="s">
        <v>150</v>
      </c>
      <c r="G37" s="19"/>
      <c r="I37" s="506">
        <f>IF(I16=0,0,I36/I16)</f>
        <v>2.214580339844124E-2</v>
      </c>
      <c r="K37" s="66">
        <f>I37</f>
        <v>2.214580339844124E-2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6086345.1806591954</v>
      </c>
      <c r="K40" s="506"/>
      <c r="L40" s="393"/>
      <c r="O40" s="18"/>
      <c r="P40" s="18"/>
      <c r="Q40" s="18"/>
      <c r="R40" s="18"/>
      <c r="T40" s="18"/>
      <c r="U40" s="18"/>
      <c r="V40" s="18"/>
      <c r="W40" s="58"/>
    </row>
    <row r="41" spans="1:23">
      <c r="A41" s="57" t="s">
        <v>174</v>
      </c>
      <c r="B41" s="76"/>
      <c r="C41" s="18" t="s">
        <v>149</v>
      </c>
      <c r="D41" s="550"/>
      <c r="E41" s="18"/>
      <c r="F41" s="65" t="s">
        <v>357</v>
      </c>
      <c r="G41" s="19"/>
      <c r="I41" s="506">
        <f>IF(I16=0,0,I40/I16)</f>
        <v>7.6540321873042647E-2</v>
      </c>
      <c r="K41" s="66">
        <f>I41</f>
        <v>7.6540321873042647E-2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9.868612527148389E-2</v>
      </c>
      <c r="K43" s="74">
        <f>K37+K41</f>
        <v>9.868612527148389E-2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0" t="s">
        <v>818</v>
      </c>
      <c r="D52" s="910"/>
      <c r="E52" s="910"/>
      <c r="F52" s="910"/>
      <c r="G52" s="910"/>
      <c r="H52" s="910"/>
      <c r="I52" s="910"/>
      <c r="J52" s="910"/>
      <c r="K52" s="910"/>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80768508.364500016</v>
      </c>
      <c r="G59" s="393">
        <f>$K$33</f>
        <v>8.5237708951952443E-3</v>
      </c>
      <c r="H59" s="268">
        <f>F59*G59</f>
        <v>688452.26084565884</v>
      </c>
      <c r="I59" s="97">
        <f>+I16</f>
        <v>79518155.02885668</v>
      </c>
      <c r="J59" s="393">
        <f>$K$43</f>
        <v>9.868612527148389E-2</v>
      </c>
      <c r="K59" s="586">
        <f>I59*J59</f>
        <v>7847338.6085350271</v>
      </c>
      <c r="L59" s="521" t="str">
        <f>+A59</f>
        <v>1a</v>
      </c>
      <c r="M59" s="581">
        <f>+'Attachment H-26'!I136</f>
        <v>1572327.5258142799</v>
      </c>
      <c r="N59" s="268">
        <f>H59+K59+M59</f>
        <v>10108118.395194966</v>
      </c>
      <c r="O59" s="283">
        <v>0</v>
      </c>
      <c r="P59" s="268">
        <f>O59/100*'2-Incentive ROE'!$J$38*I59</f>
        <v>0</v>
      </c>
      <c r="Q59" s="268">
        <f>+N59+P59</f>
        <v>10108118.395194966</v>
      </c>
      <c r="R59" s="581">
        <v>0</v>
      </c>
      <c r="S59" s="586">
        <f>+N59+P59-R59</f>
        <v>10108118.395194966</v>
      </c>
      <c r="T59" s="581">
        <f>'3-Project True-up'!L19</f>
        <v>326531.30527632381</v>
      </c>
      <c r="U59" s="268">
        <f>+S59+T59</f>
        <v>10434649.700471289</v>
      </c>
    </row>
    <row r="60" spans="1:23">
      <c r="A60" s="521" t="s">
        <v>543</v>
      </c>
      <c r="B60" s="94"/>
      <c r="C60" s="95"/>
      <c r="D60" s="570"/>
      <c r="E60" s="96"/>
      <c r="F60" s="581">
        <v>0</v>
      </c>
      <c r="G60" s="393">
        <f>$K$33</f>
        <v>8.5237708951952443E-3</v>
      </c>
      <c r="H60" s="268">
        <f>F60*G60</f>
        <v>0</v>
      </c>
      <c r="I60" s="97">
        <v>0</v>
      </c>
      <c r="J60" s="393">
        <f>$K$43</f>
        <v>9.868612527148389E-2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80768508.364500016</v>
      </c>
      <c r="G61" s="519"/>
      <c r="H61" s="520">
        <f>+H59+H60</f>
        <v>688452.26084565884</v>
      </c>
      <c r="I61" s="547">
        <f>+I59+I60</f>
        <v>79518155.02885668</v>
      </c>
      <c r="J61" s="519"/>
      <c r="K61" s="520">
        <f>+K59+K60</f>
        <v>7847338.6085350271</v>
      </c>
      <c r="L61" s="544">
        <f>+A61</f>
        <v>2</v>
      </c>
      <c r="M61" s="548">
        <f>+M59+M60</f>
        <v>1572327.5258142799</v>
      </c>
      <c r="N61" s="520">
        <f>+N59+N60</f>
        <v>10108118.395194966</v>
      </c>
      <c r="O61" s="523"/>
      <c r="P61" s="520">
        <f t="shared" ref="P61:U61" si="1">+P59+P60</f>
        <v>0</v>
      </c>
      <c r="Q61" s="520">
        <f t="shared" si="1"/>
        <v>10108118.395194966</v>
      </c>
      <c r="R61" s="548">
        <f t="shared" si="1"/>
        <v>0</v>
      </c>
      <c r="S61" s="520">
        <f t="shared" si="1"/>
        <v>10108118.395194966</v>
      </c>
      <c r="T61" s="548">
        <f t="shared" si="1"/>
        <v>326531.30527632381</v>
      </c>
      <c r="U61" s="520">
        <f t="shared" si="1"/>
        <v>10434649.700471289</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8.5237708951952443E-3</v>
      </c>
      <c r="H63" s="268">
        <f>F63*G63</f>
        <v>0</v>
      </c>
      <c r="I63" s="97">
        <v>0</v>
      </c>
      <c r="J63" s="393">
        <f>$K$43</f>
        <v>9.868612527148389E-2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8.5237708951952443E-3</v>
      </c>
      <c r="H64" s="268">
        <f>F64*G64</f>
        <v>0</v>
      </c>
      <c r="I64" s="97">
        <v>0</v>
      </c>
      <c r="J64" s="393">
        <f>$K$43</f>
        <v>9.868612527148389E-2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80768508.364500016</v>
      </c>
      <c r="G69" s="709"/>
      <c r="H69" s="712">
        <f t="shared" ref="H69:I69" si="4">+H61+H65+H67</f>
        <v>688452.26084565884</v>
      </c>
      <c r="I69" s="708">
        <f t="shared" si="4"/>
        <v>79518155.02885668</v>
      </c>
      <c r="J69" s="710"/>
      <c r="K69" s="712">
        <f>+K61+K65+K67</f>
        <v>7847338.6085350271</v>
      </c>
      <c r="L69" s="705">
        <f t="shared" si="2"/>
        <v>6</v>
      </c>
      <c r="M69" s="708">
        <f t="shared" ref="M69" si="5">+M61+M65+M67</f>
        <v>1572327.5258142799</v>
      </c>
      <c r="N69" s="712">
        <f>+N61+N65+N67</f>
        <v>10108118.395194966</v>
      </c>
      <c r="O69" s="711"/>
      <c r="P69" s="712">
        <f t="shared" ref="P69:U69" si="6">+P61+P65+P67</f>
        <v>0</v>
      </c>
      <c r="Q69" s="712">
        <f t="shared" si="6"/>
        <v>10108118.395194966</v>
      </c>
      <c r="R69" s="712">
        <f t="shared" si="6"/>
        <v>0</v>
      </c>
      <c r="S69" s="712">
        <f t="shared" si="6"/>
        <v>10108118.395194966</v>
      </c>
      <c r="T69" s="712">
        <f t="shared" si="6"/>
        <v>326531.30527632381</v>
      </c>
      <c r="U69" s="712">
        <f t="shared" si="6"/>
        <v>10434649.700471289</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1" t="s">
        <v>791</v>
      </c>
      <c r="D81" s="911"/>
      <c r="E81" s="911"/>
      <c r="F81" s="911"/>
      <c r="G81" s="911"/>
      <c r="H81" s="911"/>
      <c r="I81" s="911"/>
      <c r="J81" s="911"/>
      <c r="K81" s="911"/>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1" t="s">
        <v>659</v>
      </c>
      <c r="D82" s="911"/>
      <c r="E82" s="911"/>
      <c r="F82" s="911"/>
      <c r="G82" s="911"/>
      <c r="H82" s="911"/>
      <c r="I82" s="911"/>
      <c r="J82" s="911"/>
      <c r="K82" s="911"/>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79001144.575964436</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25240615.384615384</v>
      </c>
      <c r="F10" s="476">
        <f>+'Attachment H-26'!E202</f>
        <v>0.39999999999999997</v>
      </c>
      <c r="G10" s="477"/>
      <c r="H10" s="480">
        <f>+'Attachment H-26'!G202</f>
        <v>3.5103069655744092E-2</v>
      </c>
      <c r="I10" s="478">
        <f>F10*H10</f>
        <v>1.4041227862297636E-2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37860923.07692308</v>
      </c>
      <c r="F12" s="476">
        <f>+'Attachment H-26'!E204</f>
        <v>0.6</v>
      </c>
      <c r="G12" s="477"/>
      <c r="H12" s="480">
        <f>+'Attachment H-26'!G204+0.01</f>
        <v>0.115</v>
      </c>
      <c r="I12" s="479">
        <f>F12*H12</f>
        <v>6.9000000000000006E-2</v>
      </c>
      <c r="J12" s="233"/>
    </row>
    <row r="13" spans="1:10">
      <c r="A13" s="229">
        <f>+A12+1</f>
        <v>6</v>
      </c>
      <c r="B13" s="234" t="s">
        <v>555</v>
      </c>
      <c r="C13" s="238"/>
      <c r="D13" s="238"/>
      <c r="E13" s="474">
        <f>SUM(E10:E12)</f>
        <v>63101538.461538464</v>
      </c>
      <c r="F13" s="228" t="s">
        <v>2</v>
      </c>
      <c r="G13" s="228"/>
      <c r="H13" s="475"/>
      <c r="I13" s="478">
        <f>SUM(I10:I12)</f>
        <v>8.3041227862297645E-2</v>
      </c>
      <c r="J13" s="233"/>
    </row>
    <row r="14" spans="1:10">
      <c r="A14" s="229">
        <f t="shared" ref="A14:A38" si="0">+A13+1</f>
        <v>7</v>
      </c>
      <c r="B14" s="234" t="s">
        <v>255</v>
      </c>
      <c r="C14" s="238"/>
      <c r="D14" s="238"/>
      <c r="E14" s="239"/>
      <c r="F14" s="231"/>
      <c r="G14" s="231"/>
      <c r="H14" s="231"/>
      <c r="I14" s="490"/>
      <c r="J14" s="263">
        <f>+I13*J5</f>
        <v>6560352.0481149824</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0.29399444931125529</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1928707.08767353</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1928707.08767353</v>
      </c>
      <c r="J29" s="263">
        <f>+I29</f>
        <v>1928707.08767353</v>
      </c>
    </row>
    <row r="30" spans="1:10">
      <c r="A30" s="229"/>
      <c r="I30" s="491"/>
      <c r="J30" s="491"/>
    </row>
    <row r="31" spans="1:10">
      <c r="A31" s="229">
        <f>+A29+1</f>
        <v>22</v>
      </c>
      <c r="B31" s="237" t="s">
        <v>251</v>
      </c>
      <c r="I31" s="491"/>
      <c r="J31" s="263">
        <f>+J29+J14</f>
        <v>8489059.1357885115</v>
      </c>
    </row>
    <row r="32" spans="1:10">
      <c r="A32" s="229"/>
      <c r="I32" s="491"/>
      <c r="J32" s="491"/>
    </row>
    <row r="33" spans="1:10">
      <c r="A33" s="229">
        <f>+A31+1</f>
        <v>23</v>
      </c>
      <c r="B33" s="227" t="s">
        <v>839</v>
      </c>
      <c r="I33" s="491"/>
      <c r="J33" s="263">
        <f>+'Attachment H-26'!I168</f>
        <v>6086345.1806591954</v>
      </c>
    </row>
    <row r="34" spans="1:10">
      <c r="A34" s="229">
        <f t="shared" si="0"/>
        <v>24</v>
      </c>
      <c r="B34" s="227" t="s">
        <v>840</v>
      </c>
      <c r="I34" s="491"/>
      <c r="J34" s="263">
        <f>+'Attachment H-26'!I165</f>
        <v>1760993.4278758317</v>
      </c>
    </row>
    <row r="35" spans="1:10">
      <c r="A35" s="229">
        <f t="shared" si="0"/>
        <v>25</v>
      </c>
      <c r="B35" s="237" t="s">
        <v>252</v>
      </c>
      <c r="I35" s="491"/>
      <c r="J35" s="495">
        <f>SUM(J33:J34)</f>
        <v>7847338.6085350271</v>
      </c>
    </row>
    <row r="36" spans="1:10">
      <c r="A36" s="229">
        <f t="shared" si="0"/>
        <v>26</v>
      </c>
      <c r="B36" s="237" t="s">
        <v>253</v>
      </c>
      <c r="I36" s="227"/>
      <c r="J36" s="228">
        <f>+J31-J35</f>
        <v>641720.52725348435</v>
      </c>
    </row>
    <row r="37" spans="1:10">
      <c r="A37" s="229">
        <f t="shared" si="0"/>
        <v>27</v>
      </c>
      <c r="B37" s="227" t="s">
        <v>308</v>
      </c>
      <c r="I37" s="227"/>
      <c r="J37" s="279">
        <f>+J5</f>
        <v>79001144.575964436</v>
      </c>
    </row>
    <row r="38" spans="1:10">
      <c r="A38" s="229">
        <f t="shared" si="0"/>
        <v>28</v>
      </c>
      <c r="B38" s="227" t="s">
        <v>254</v>
      </c>
      <c r="I38" s="227"/>
      <c r="J38" s="478">
        <f>IF(J37=0,0,J36/J37)</f>
        <v>8.1229269613483993E-3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L19" sqref="L19"/>
    </sheetView>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5" t="s">
        <v>661</v>
      </c>
      <c r="C6" s="905"/>
      <c r="D6" s="905"/>
      <c r="E6" s="905"/>
      <c r="F6" s="905"/>
      <c r="G6" s="905"/>
      <c r="H6" s="905"/>
      <c r="I6" s="905"/>
      <c r="J6" s="905"/>
      <c r="K6" s="905"/>
      <c r="L6" s="905"/>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2018</v>
      </c>
      <c r="C11" s="590"/>
      <c r="D11" s="418"/>
      <c r="E11" s="428"/>
      <c r="F11" s="428"/>
      <c r="G11" s="611">
        <v>2692398.96</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2692398.9966039485</v>
      </c>
      <c r="F19" s="468">
        <f>IF(E$29=0,0,E19/E$29)</f>
        <v>1</v>
      </c>
      <c r="G19" s="458">
        <f>IF(G$11=0,0,F19*G$11)</f>
        <v>2692398.96</v>
      </c>
      <c r="H19" s="896">
        <v>2988346.0423284797</v>
      </c>
      <c r="I19" s="464">
        <f>+H19-G19</f>
        <v>295947.08232847974</v>
      </c>
      <c r="J19" s="462">
        <f>+$J$31*F19</f>
        <v>30584.222947844071</v>
      </c>
      <c r="K19" s="465">
        <v>0</v>
      </c>
      <c r="L19" s="614">
        <f>+I19+J19+K19</f>
        <v>326531.30527632381</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2692398.9966039485</v>
      </c>
      <c r="F21" s="535"/>
      <c r="G21" s="534">
        <f t="shared" ref="G21:L21" si="0">+G19+G20</f>
        <v>2692398.96</v>
      </c>
      <c r="H21" s="534">
        <f t="shared" si="0"/>
        <v>2988346.0423284797</v>
      </c>
      <c r="I21" s="534">
        <f t="shared" si="0"/>
        <v>295947.08232847974</v>
      </c>
      <c r="J21" s="534">
        <f t="shared" si="0"/>
        <v>30584.222947844071</v>
      </c>
      <c r="K21" s="534">
        <f t="shared" si="0"/>
        <v>0</v>
      </c>
      <c r="L21" s="537">
        <f t="shared" si="0"/>
        <v>326531.30527632381</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2692398.9966039485</v>
      </c>
      <c r="F29" s="470">
        <f t="shared" ref="F29" si="2">SUM(F17:F28)</f>
        <v>1</v>
      </c>
      <c r="G29" s="612">
        <f t="shared" ref="G29:L29" si="3">+G17+G21+G25+G27</f>
        <v>2692398.96</v>
      </c>
      <c r="H29" s="612">
        <f t="shared" si="3"/>
        <v>2988346.0423284797</v>
      </c>
      <c r="I29" s="612">
        <f t="shared" si="3"/>
        <v>295947.08232847974</v>
      </c>
      <c r="J29" s="612">
        <f t="shared" si="3"/>
        <v>30584.222947844071</v>
      </c>
      <c r="K29" s="612">
        <f>+K17+K21+K25+K27</f>
        <v>0</v>
      </c>
      <c r="L29" s="612">
        <f t="shared" si="3"/>
        <v>326531.30527632381</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30584.222947844071</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5" t="s">
        <v>746</v>
      </c>
      <c r="C45" s="905"/>
      <c r="D45" s="905"/>
      <c r="E45" s="905"/>
      <c r="F45" s="905"/>
      <c r="G45" s="905"/>
      <c r="H45" s="905"/>
      <c r="I45" s="905"/>
      <c r="J45" s="905"/>
      <c r="K45" s="905"/>
      <c r="L45" s="905"/>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election activeCell="J22" sqref="J22"/>
    </sheetView>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2" t="s">
        <v>189</v>
      </c>
      <c r="C1" s="922"/>
      <c r="D1" s="922"/>
      <c r="E1" s="922"/>
      <c r="F1" s="922"/>
      <c r="G1" s="922"/>
      <c r="H1" s="922"/>
      <c r="I1" s="922"/>
      <c r="J1" s="1" t="s">
        <v>686</v>
      </c>
    </row>
    <row r="2" spans="1:12">
      <c r="A2" s="220"/>
      <c r="B2" s="923" t="s">
        <v>257</v>
      </c>
      <c r="C2" s="923"/>
      <c r="D2" s="923"/>
      <c r="E2" s="923"/>
      <c r="F2" s="923"/>
      <c r="G2" s="923"/>
      <c r="H2" s="923"/>
      <c r="I2" s="923"/>
      <c r="J2" s="1"/>
      <c r="L2" s="219"/>
    </row>
    <row r="3" spans="1:12">
      <c r="A3" s="220"/>
      <c r="B3" s="924" t="str">
        <f>+'Attachment H-26'!D5</f>
        <v>Transource West Virginia, LLC</v>
      </c>
      <c r="C3" s="924"/>
      <c r="D3" s="924"/>
      <c r="E3" s="924"/>
      <c r="F3" s="924"/>
      <c r="G3" s="924"/>
      <c r="H3" s="924"/>
      <c r="I3" s="924"/>
      <c r="J3" s="1"/>
    </row>
    <row r="4" spans="1:12">
      <c r="A4" s="220"/>
      <c r="C4" s="1"/>
      <c r="D4" s="1"/>
      <c r="E4" s="1"/>
      <c r="F4" s="1"/>
      <c r="G4" s="1"/>
      <c r="H4" s="1"/>
      <c r="I4" s="1"/>
      <c r="J4" s="1"/>
    </row>
    <row r="5" spans="1:12">
      <c r="A5" s="220"/>
      <c r="B5" s="2"/>
      <c r="C5" s="2"/>
      <c r="D5" s="2"/>
      <c r="E5" s="2"/>
      <c r="F5" s="2"/>
      <c r="G5" s="2"/>
      <c r="H5" s="2"/>
      <c r="I5" s="2"/>
      <c r="J5" s="2"/>
    </row>
    <row r="6" spans="1:12">
      <c r="A6" s="220"/>
      <c r="B6" s="2"/>
      <c r="C6" s="928" t="s">
        <v>208</v>
      </c>
      <c r="D6" s="928"/>
      <c r="E6" s="9" t="s">
        <v>210</v>
      </c>
      <c r="F6" s="9" t="s">
        <v>211</v>
      </c>
      <c r="G6" s="928" t="s">
        <v>209</v>
      </c>
      <c r="H6" s="928"/>
      <c r="I6" s="927" t="s">
        <v>207</v>
      </c>
      <c r="J6" s="927"/>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80768508.364500001</v>
      </c>
      <c r="D10" s="897">
        <v>184502.28326262312</v>
      </c>
      <c r="E10" s="897">
        <v>0</v>
      </c>
      <c r="F10" s="897">
        <v>0</v>
      </c>
      <c r="G10" s="897">
        <v>0</v>
      </c>
      <c r="H10" s="897">
        <v>58548.14</v>
      </c>
      <c r="I10" s="897">
        <v>556791.11748473404</v>
      </c>
      <c r="J10" s="897">
        <v>33320.292160240904</v>
      </c>
    </row>
    <row r="11" spans="1:12">
      <c r="A11" s="220">
        <v>2</v>
      </c>
      <c r="B11" s="5" t="s">
        <v>85</v>
      </c>
      <c r="C11" s="897">
        <v>80768508.364500001</v>
      </c>
      <c r="D11" s="897">
        <v>184502.28326262312</v>
      </c>
      <c r="E11" s="897">
        <v>0</v>
      </c>
      <c r="F11" s="897">
        <v>0</v>
      </c>
      <c r="G11" s="897">
        <v>0</v>
      </c>
      <c r="H11" s="897">
        <v>58548.14</v>
      </c>
      <c r="I11" s="897">
        <v>672902.27993302513</v>
      </c>
      <c r="J11" s="897">
        <v>36487.945854458601</v>
      </c>
    </row>
    <row r="12" spans="1:12">
      <c r="A12" s="220">
        <v>3</v>
      </c>
      <c r="B12" s="1" t="s">
        <v>84</v>
      </c>
      <c r="C12" s="897">
        <v>80768508.364500001</v>
      </c>
      <c r="D12" s="897">
        <v>184502.28326262312</v>
      </c>
      <c r="E12" s="897">
        <v>0</v>
      </c>
      <c r="F12" s="897">
        <v>0</v>
      </c>
      <c r="G12" s="897">
        <v>0</v>
      </c>
      <c r="H12" s="897">
        <v>58548.14</v>
      </c>
      <c r="I12" s="897">
        <v>788474.43310107407</v>
      </c>
      <c r="J12" s="897">
        <v>39888.788606838098</v>
      </c>
    </row>
    <row r="13" spans="1:12">
      <c r="A13" s="220">
        <v>4</v>
      </c>
      <c r="B13" s="1" t="s">
        <v>170</v>
      </c>
      <c r="C13" s="897">
        <v>80768508.364500001</v>
      </c>
      <c r="D13" s="897">
        <v>184502.28326262312</v>
      </c>
      <c r="E13" s="897">
        <v>0</v>
      </c>
      <c r="F13" s="897">
        <v>0</v>
      </c>
      <c r="G13" s="897">
        <v>0</v>
      </c>
      <c r="H13" s="897">
        <v>58548.14</v>
      </c>
      <c r="I13" s="897">
        <v>903775.34849330201</v>
      </c>
      <c r="J13" s="897">
        <v>43625.796734293697</v>
      </c>
    </row>
    <row r="14" spans="1:12">
      <c r="A14" s="220">
        <v>5</v>
      </c>
      <c r="B14" s="1" t="s">
        <v>76</v>
      </c>
      <c r="C14" s="897">
        <v>80768508.364500001</v>
      </c>
      <c r="D14" s="897">
        <v>184502.28326262312</v>
      </c>
      <c r="E14" s="897">
        <v>0</v>
      </c>
      <c r="F14" s="897">
        <v>0</v>
      </c>
      <c r="G14" s="897">
        <v>0</v>
      </c>
      <c r="H14" s="897">
        <v>58548.14</v>
      </c>
      <c r="I14" s="897">
        <v>1019302.189842676</v>
      </c>
      <c r="J14" s="897">
        <v>48012.781602437695</v>
      </c>
    </row>
    <row r="15" spans="1:12">
      <c r="A15" s="220">
        <v>6</v>
      </c>
      <c r="B15" s="1" t="s">
        <v>75</v>
      </c>
      <c r="C15" s="897">
        <v>80768508.364500001</v>
      </c>
      <c r="D15" s="897">
        <v>184502.28326262312</v>
      </c>
      <c r="E15" s="897">
        <v>0</v>
      </c>
      <c r="F15" s="897">
        <v>0</v>
      </c>
      <c r="G15" s="897">
        <v>0</v>
      </c>
      <c r="H15" s="897">
        <v>58548.14</v>
      </c>
      <c r="I15" s="897">
        <v>1134829.7469387031</v>
      </c>
      <c r="J15" s="897">
        <v>52789.721679781498</v>
      </c>
    </row>
    <row r="16" spans="1:12">
      <c r="A16" s="220">
        <v>7</v>
      </c>
      <c r="B16" s="1" t="s">
        <v>95</v>
      </c>
      <c r="C16" s="897">
        <v>80768508.364500001</v>
      </c>
      <c r="D16" s="897">
        <v>184502.28326262312</v>
      </c>
      <c r="E16" s="897">
        <v>0</v>
      </c>
      <c r="F16" s="897">
        <v>0</v>
      </c>
      <c r="G16" s="897">
        <v>0</v>
      </c>
      <c r="H16" s="897">
        <v>58548.14</v>
      </c>
      <c r="I16" s="897">
        <v>1250357.3452409522</v>
      </c>
      <c r="J16" s="897">
        <v>57971.595585868701</v>
      </c>
    </row>
    <row r="17" spans="1:10">
      <c r="A17" s="220">
        <v>8</v>
      </c>
      <c r="B17" s="1" t="s">
        <v>82</v>
      </c>
      <c r="C17" s="897">
        <v>80768508.364500001</v>
      </c>
      <c r="D17" s="897">
        <v>184502.28326262312</v>
      </c>
      <c r="E17" s="897">
        <v>0</v>
      </c>
      <c r="F17" s="897">
        <v>0</v>
      </c>
      <c r="G17" s="897">
        <v>0</v>
      </c>
      <c r="H17" s="897">
        <v>58548.14</v>
      </c>
      <c r="I17" s="897">
        <v>1365885.1878959662</v>
      </c>
      <c r="J17" s="897">
        <v>63583.706999441194</v>
      </c>
    </row>
    <row r="18" spans="1:10">
      <c r="A18" s="220">
        <v>9</v>
      </c>
      <c r="B18" s="1" t="s">
        <v>171</v>
      </c>
      <c r="C18" s="897">
        <v>80768508.364500001</v>
      </c>
      <c r="D18" s="897">
        <v>184502.28326262312</v>
      </c>
      <c r="E18" s="897">
        <v>0</v>
      </c>
      <c r="F18" s="897">
        <v>0</v>
      </c>
      <c r="G18" s="897">
        <v>0</v>
      </c>
      <c r="H18" s="897">
        <v>58548.14</v>
      </c>
      <c r="I18" s="897">
        <v>1481413.3099988711</v>
      </c>
      <c r="J18" s="897">
        <v>69657.862172070003</v>
      </c>
    </row>
    <row r="19" spans="1:10">
      <c r="A19" s="220">
        <v>10</v>
      </c>
      <c r="B19" s="1" t="s">
        <v>80</v>
      </c>
      <c r="C19" s="897">
        <v>80768508.364500001</v>
      </c>
      <c r="D19" s="897">
        <v>184502.28326262312</v>
      </c>
      <c r="E19" s="897">
        <v>0</v>
      </c>
      <c r="F19" s="897">
        <v>0</v>
      </c>
      <c r="G19" s="897">
        <v>0</v>
      </c>
      <c r="H19" s="897">
        <v>58548.14</v>
      </c>
      <c r="I19" s="897">
        <v>1596923.5542831209</v>
      </c>
      <c r="J19" s="897">
        <v>76189.808515484794</v>
      </c>
    </row>
    <row r="20" spans="1:10">
      <c r="A20" s="220">
        <v>11</v>
      </c>
      <c r="B20" s="1" t="s">
        <v>86</v>
      </c>
      <c r="C20" s="897">
        <v>80768508.364500001</v>
      </c>
      <c r="D20" s="897">
        <v>184502.28326262312</v>
      </c>
      <c r="E20" s="897">
        <v>0</v>
      </c>
      <c r="F20" s="897">
        <v>0</v>
      </c>
      <c r="G20" s="897">
        <v>0</v>
      </c>
      <c r="H20" s="897">
        <v>58548.14</v>
      </c>
      <c r="I20" s="897">
        <v>1712451.6116409749</v>
      </c>
      <c r="J20" s="897">
        <v>83179.066142853495</v>
      </c>
    </row>
    <row r="21" spans="1:10">
      <c r="A21" s="220">
        <v>12</v>
      </c>
      <c r="B21" s="1" t="s">
        <v>79</v>
      </c>
      <c r="C21" s="897">
        <v>80768508.364500001</v>
      </c>
      <c r="D21" s="897">
        <v>184502.28326262312</v>
      </c>
      <c r="E21" s="897">
        <v>0</v>
      </c>
      <c r="F21" s="897">
        <v>0</v>
      </c>
      <c r="G21" s="897">
        <v>0</v>
      </c>
      <c r="H21" s="897">
        <v>58548.14</v>
      </c>
      <c r="I21" s="897">
        <v>1827979.5792046099</v>
      </c>
      <c r="J21" s="897">
        <v>83179.066142853495</v>
      </c>
    </row>
    <row r="22" spans="1:10">
      <c r="A22" s="220">
        <v>13</v>
      </c>
      <c r="B22" s="1" t="s">
        <v>194</v>
      </c>
      <c r="C22" s="897">
        <v>80768508.364500001</v>
      </c>
      <c r="D22" s="897">
        <v>184502.28326262312</v>
      </c>
      <c r="E22" s="897">
        <v>0</v>
      </c>
      <c r="F22" s="897">
        <v>0</v>
      </c>
      <c r="G22" s="897">
        <v>0</v>
      </c>
      <c r="H22" s="897">
        <v>58548.14</v>
      </c>
      <c r="I22" s="897">
        <v>1943507.6593054198</v>
      </c>
      <c r="J22" s="897">
        <v>83179.066142853495</v>
      </c>
    </row>
    <row r="23" spans="1:10" ht="13.5" thickBot="1">
      <c r="A23" s="220">
        <v>14</v>
      </c>
      <c r="B23" s="6" t="s">
        <v>258</v>
      </c>
      <c r="C23" s="656">
        <f t="shared" ref="C23:H23" si="0">SUM(C10:C22)/13</f>
        <v>80768508.364500016</v>
      </c>
      <c r="D23" s="656">
        <f>SUM(D10:D22)/13</f>
        <v>184502.28326262307</v>
      </c>
      <c r="E23" s="656">
        <f t="shared" si="0"/>
        <v>0</v>
      </c>
      <c r="F23" s="656">
        <f t="shared" si="0"/>
        <v>0</v>
      </c>
      <c r="G23" s="656">
        <f t="shared" si="0"/>
        <v>0</v>
      </c>
      <c r="H23" s="656">
        <f t="shared" si="0"/>
        <v>58548.140000000007</v>
      </c>
      <c r="I23" s="656">
        <f>SUM(I10:I22)/13</f>
        <v>1250353.3356433408</v>
      </c>
      <c r="J23" s="656">
        <f>SUM(J10:J22)/13</f>
        <v>59312.730641498121</v>
      </c>
    </row>
    <row r="24" spans="1:10" ht="13.5" thickTop="1">
      <c r="A24" s="220"/>
      <c r="B24" s="1"/>
      <c r="C24" s="7"/>
      <c r="D24" s="14"/>
      <c r="E24" s="14"/>
      <c r="F24" s="14"/>
      <c r="G24" s="7"/>
      <c r="H24" s="7"/>
      <c r="I24" s="7"/>
    </row>
    <row r="25" spans="1:10">
      <c r="A25" s="220"/>
      <c r="B25" s="8"/>
      <c r="C25" s="927" t="s">
        <v>212</v>
      </c>
      <c r="D25" s="927"/>
      <c r="E25" s="927"/>
      <c r="F25" s="927"/>
      <c r="G25" s="927"/>
      <c r="H25" s="927"/>
      <c r="I25" s="927"/>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68388.5</v>
      </c>
      <c r="D29" s="897">
        <v>0</v>
      </c>
      <c r="E29" s="897">
        <v>0</v>
      </c>
      <c r="F29" s="897">
        <v>455923</v>
      </c>
      <c r="G29" s="897">
        <v>156601</v>
      </c>
      <c r="H29" s="897">
        <v>127891</v>
      </c>
      <c r="I29" s="897">
        <v>0</v>
      </c>
    </row>
    <row r="30" spans="1:10">
      <c r="A30" s="220">
        <v>16</v>
      </c>
      <c r="B30" s="5" t="s">
        <v>85</v>
      </c>
      <c r="C30" s="897">
        <v>62689.458333333336</v>
      </c>
      <c r="D30" s="897">
        <v>0</v>
      </c>
      <c r="E30" s="286"/>
      <c r="F30" s="286"/>
      <c r="G30" s="286"/>
      <c r="H30" s="286"/>
      <c r="I30" s="897">
        <v>0</v>
      </c>
    </row>
    <row r="31" spans="1:10">
      <c r="A31" s="220">
        <v>17</v>
      </c>
      <c r="B31" s="1" t="s">
        <v>84</v>
      </c>
      <c r="C31" s="897">
        <v>56990.416666666672</v>
      </c>
      <c r="D31" s="897">
        <v>0</v>
      </c>
      <c r="E31" s="286"/>
      <c r="F31" s="286"/>
      <c r="G31" s="286"/>
      <c r="H31" s="286"/>
      <c r="I31" s="897">
        <v>0</v>
      </c>
    </row>
    <row r="32" spans="1:10">
      <c r="A32" s="220">
        <v>18</v>
      </c>
      <c r="B32" s="1" t="s">
        <v>170</v>
      </c>
      <c r="C32" s="897">
        <v>51291.375000000007</v>
      </c>
      <c r="D32" s="897">
        <v>0</v>
      </c>
      <c r="E32" s="286"/>
      <c r="F32" s="286"/>
      <c r="G32" s="286"/>
      <c r="H32" s="286"/>
      <c r="I32" s="897">
        <v>0</v>
      </c>
    </row>
    <row r="33" spans="1:15">
      <c r="A33" s="220">
        <v>19</v>
      </c>
      <c r="B33" s="1" t="s">
        <v>76</v>
      </c>
      <c r="C33" s="897">
        <v>45592.333333333343</v>
      </c>
      <c r="D33" s="897">
        <v>0</v>
      </c>
      <c r="E33" s="286"/>
      <c r="F33" s="286"/>
      <c r="G33" s="286"/>
      <c r="H33" s="286"/>
      <c r="I33" s="897">
        <v>0</v>
      </c>
    </row>
    <row r="34" spans="1:15">
      <c r="A34" s="220">
        <v>20</v>
      </c>
      <c r="B34" s="1" t="s">
        <v>75</v>
      </c>
      <c r="C34" s="897">
        <v>39893.291666666679</v>
      </c>
      <c r="D34" s="897">
        <v>0</v>
      </c>
      <c r="E34" s="286"/>
      <c r="F34" s="286"/>
      <c r="G34" s="286"/>
      <c r="H34" s="286"/>
      <c r="I34" s="897">
        <v>0</v>
      </c>
    </row>
    <row r="35" spans="1:15">
      <c r="A35" s="220">
        <v>21</v>
      </c>
      <c r="B35" s="1" t="s">
        <v>95</v>
      </c>
      <c r="C35" s="897">
        <v>34194.250000000015</v>
      </c>
      <c r="D35" s="897">
        <v>0</v>
      </c>
      <c r="E35" s="286"/>
      <c r="F35" s="286"/>
      <c r="G35" s="286"/>
      <c r="H35" s="286"/>
      <c r="I35" s="897">
        <v>0</v>
      </c>
    </row>
    <row r="36" spans="1:15">
      <c r="A36" s="220">
        <v>22</v>
      </c>
      <c r="B36" s="1" t="s">
        <v>82</v>
      </c>
      <c r="C36" s="897">
        <v>28495.208333333347</v>
      </c>
      <c r="D36" s="897">
        <v>0</v>
      </c>
      <c r="E36" s="286"/>
      <c r="F36" s="286"/>
      <c r="G36" s="286"/>
      <c r="H36" s="286"/>
      <c r="I36" s="897">
        <v>0</v>
      </c>
    </row>
    <row r="37" spans="1:15">
      <c r="A37" s="220">
        <v>23</v>
      </c>
      <c r="B37" s="1" t="s">
        <v>171</v>
      </c>
      <c r="C37" s="897">
        <v>22796.166666666679</v>
      </c>
      <c r="D37" s="897">
        <v>0</v>
      </c>
      <c r="E37" s="286"/>
      <c r="F37" s="286"/>
      <c r="G37" s="286"/>
      <c r="H37" s="286"/>
      <c r="I37" s="897">
        <v>0</v>
      </c>
    </row>
    <row r="38" spans="1:15">
      <c r="A38" s="220">
        <v>24</v>
      </c>
      <c r="B38" s="1" t="s">
        <v>80</v>
      </c>
      <c r="C38" s="897">
        <v>17097.125000000011</v>
      </c>
      <c r="D38" s="897">
        <v>0</v>
      </c>
      <c r="E38" s="286"/>
      <c r="F38" s="286"/>
      <c r="G38" s="286"/>
      <c r="H38" s="286"/>
      <c r="I38" s="897">
        <v>0</v>
      </c>
    </row>
    <row r="39" spans="1:15">
      <c r="A39" s="220">
        <v>25</v>
      </c>
      <c r="B39" s="1" t="s">
        <v>86</v>
      </c>
      <c r="C39" s="897">
        <v>11398.083333333343</v>
      </c>
      <c r="D39" s="897">
        <v>0</v>
      </c>
      <c r="E39" s="286"/>
      <c r="F39" s="286"/>
      <c r="G39" s="286"/>
      <c r="H39" s="286"/>
      <c r="I39" s="897">
        <v>0</v>
      </c>
    </row>
    <row r="40" spans="1:15">
      <c r="A40" s="220">
        <v>26</v>
      </c>
      <c r="B40" s="1" t="s">
        <v>79</v>
      </c>
      <c r="C40" s="897">
        <v>5699.0416666666761</v>
      </c>
      <c r="D40" s="897">
        <v>0</v>
      </c>
      <c r="E40" s="286"/>
      <c r="F40" s="286"/>
      <c r="G40" s="286"/>
      <c r="H40" s="286"/>
      <c r="I40" s="897">
        <v>0</v>
      </c>
    </row>
    <row r="41" spans="1:15">
      <c r="A41" s="220">
        <v>27</v>
      </c>
      <c r="B41" s="1" t="s">
        <v>194</v>
      </c>
      <c r="C41" s="897">
        <v>9.0949470177292824E-12</v>
      </c>
      <c r="D41" s="897">
        <v>0</v>
      </c>
      <c r="E41" s="897">
        <v>0</v>
      </c>
      <c r="F41" s="897">
        <v>884803.56986301346</v>
      </c>
      <c r="G41" s="897">
        <v>429146</v>
      </c>
      <c r="H41" s="897">
        <v>188141</v>
      </c>
      <c r="I41" s="897">
        <v>0</v>
      </c>
    </row>
    <row r="42" spans="1:15" ht="13.5" thickBot="1">
      <c r="A42" s="220">
        <v>28</v>
      </c>
      <c r="B42" s="6" t="s">
        <v>259</v>
      </c>
      <c r="C42" s="656">
        <f t="shared" ref="C42:I42" si="1">SUM(C29:C41)/13</f>
        <v>34194.250000000015</v>
      </c>
      <c r="D42" s="656">
        <f t="shared" si="1"/>
        <v>0</v>
      </c>
      <c r="E42" s="656">
        <f>(E29+E41)/2</f>
        <v>0</v>
      </c>
      <c r="F42" s="656">
        <f>(F29+F41)/2</f>
        <v>670363.28493150673</v>
      </c>
      <c r="G42" s="656">
        <f>(G29+G41)/2</f>
        <v>292873.5</v>
      </c>
      <c r="H42" s="656">
        <f>(H29+H41)/2</f>
        <v>158016</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9" t="s">
        <v>681</v>
      </c>
      <c r="D49" s="929" t="s">
        <v>685</v>
      </c>
      <c r="E49" s="929" t="s">
        <v>684</v>
      </c>
      <c r="L49" s="12"/>
      <c r="M49" s="12"/>
      <c r="N49" s="12"/>
      <c r="O49" s="12"/>
    </row>
    <row r="50" spans="1:15" s="324" customFormat="1" ht="12.75" customHeight="1">
      <c r="A50" s="652"/>
      <c r="B50" s="218"/>
      <c r="C50" s="929"/>
      <c r="D50" s="929"/>
      <c r="E50" s="929"/>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0</v>
      </c>
      <c r="D53" s="897">
        <v>0</v>
      </c>
      <c r="E53" s="367">
        <f t="shared" ref="E53:E65" si="2">+C53-D53</f>
        <v>0</v>
      </c>
      <c r="L53" s="12"/>
      <c r="M53" s="12"/>
      <c r="N53" s="12"/>
      <c r="O53" s="12"/>
    </row>
    <row r="54" spans="1:15" s="324" customFormat="1">
      <c r="A54" s="652">
        <f>+A53+1</f>
        <v>30</v>
      </c>
      <c r="B54" s="5" t="s">
        <v>85</v>
      </c>
      <c r="C54" s="882">
        <v>0</v>
      </c>
      <c r="D54" s="897">
        <v>0</v>
      </c>
      <c r="E54" s="367">
        <f t="shared" si="2"/>
        <v>0</v>
      </c>
      <c r="L54" s="12"/>
      <c r="M54" s="12"/>
      <c r="N54" s="12"/>
      <c r="O54" s="12"/>
    </row>
    <row r="55" spans="1:15" s="324" customFormat="1">
      <c r="A55" s="652">
        <f t="shared" ref="A55:A65" si="3">+A54+1</f>
        <v>31</v>
      </c>
      <c r="B55" s="1" t="s">
        <v>84</v>
      </c>
      <c r="C55" s="882">
        <v>0</v>
      </c>
      <c r="D55" s="897">
        <v>0</v>
      </c>
      <c r="E55" s="655">
        <f t="shared" si="2"/>
        <v>0</v>
      </c>
      <c r="L55" s="12"/>
      <c r="M55" s="12"/>
      <c r="N55" s="12"/>
      <c r="O55" s="12"/>
    </row>
    <row r="56" spans="1:15" s="324" customFormat="1">
      <c r="A56" s="652">
        <f t="shared" si="3"/>
        <v>32</v>
      </c>
      <c r="B56" s="1" t="s">
        <v>170</v>
      </c>
      <c r="C56" s="882">
        <v>0</v>
      </c>
      <c r="D56" s="897">
        <v>0</v>
      </c>
      <c r="E56" s="655">
        <f t="shared" si="2"/>
        <v>0</v>
      </c>
      <c r="L56" s="12"/>
      <c r="M56" s="12"/>
      <c r="N56" s="12"/>
      <c r="O56" s="12"/>
    </row>
    <row r="57" spans="1:15" s="324" customFormat="1">
      <c r="A57" s="652">
        <f t="shared" si="3"/>
        <v>33</v>
      </c>
      <c r="B57" s="1" t="s">
        <v>76</v>
      </c>
      <c r="C57" s="882">
        <v>0</v>
      </c>
      <c r="D57" s="897">
        <v>0</v>
      </c>
      <c r="E57" s="655">
        <f t="shared" si="2"/>
        <v>0</v>
      </c>
      <c r="L57" s="12"/>
      <c r="M57" s="12"/>
      <c r="N57" s="12"/>
      <c r="O57" s="12"/>
    </row>
    <row r="58" spans="1:15" s="324" customFormat="1">
      <c r="A58" s="652">
        <f t="shared" si="3"/>
        <v>34</v>
      </c>
      <c r="B58" s="1" t="s">
        <v>75</v>
      </c>
      <c r="C58" s="882">
        <v>0</v>
      </c>
      <c r="D58" s="897">
        <v>0</v>
      </c>
      <c r="E58" s="655">
        <f t="shared" si="2"/>
        <v>0</v>
      </c>
      <c r="L58" s="12"/>
      <c r="M58" s="12"/>
      <c r="N58" s="12"/>
      <c r="O58" s="12"/>
    </row>
    <row r="59" spans="1:15" s="324" customFormat="1">
      <c r="A59" s="652">
        <f t="shared" si="3"/>
        <v>35</v>
      </c>
      <c r="B59" s="1" t="s">
        <v>95</v>
      </c>
      <c r="C59" s="882">
        <v>0</v>
      </c>
      <c r="D59" s="897">
        <v>0</v>
      </c>
      <c r="E59" s="655">
        <f t="shared" si="2"/>
        <v>0</v>
      </c>
      <c r="L59" s="12"/>
      <c r="M59" s="12"/>
      <c r="N59" s="12"/>
      <c r="O59" s="12"/>
    </row>
    <row r="60" spans="1:15" s="324" customFormat="1">
      <c r="A60" s="652">
        <f t="shared" si="3"/>
        <v>36</v>
      </c>
      <c r="B60" s="1" t="s">
        <v>82</v>
      </c>
      <c r="C60" s="882">
        <v>0</v>
      </c>
      <c r="D60" s="897">
        <v>0</v>
      </c>
      <c r="E60" s="655">
        <f t="shared" si="2"/>
        <v>0</v>
      </c>
      <c r="L60" s="12"/>
      <c r="M60" s="12"/>
      <c r="N60" s="12"/>
      <c r="O60" s="12"/>
    </row>
    <row r="61" spans="1:15" s="324" customFormat="1">
      <c r="A61" s="652">
        <f t="shared" si="3"/>
        <v>37</v>
      </c>
      <c r="B61" s="1" t="s">
        <v>171</v>
      </c>
      <c r="C61" s="882">
        <v>0</v>
      </c>
      <c r="D61" s="897">
        <v>0</v>
      </c>
      <c r="E61" s="655">
        <f t="shared" si="2"/>
        <v>0</v>
      </c>
      <c r="L61" s="12"/>
      <c r="M61" s="12"/>
      <c r="N61" s="12"/>
      <c r="O61" s="12"/>
    </row>
    <row r="62" spans="1:15" s="324" customFormat="1">
      <c r="A62" s="652">
        <f t="shared" si="3"/>
        <v>38</v>
      </c>
      <c r="B62" s="1" t="s">
        <v>80</v>
      </c>
      <c r="C62" s="882">
        <v>0</v>
      </c>
      <c r="D62" s="897">
        <v>0</v>
      </c>
      <c r="E62" s="655">
        <f t="shared" si="2"/>
        <v>0</v>
      </c>
      <c r="L62" s="12"/>
      <c r="M62" s="12"/>
      <c r="N62" s="12"/>
      <c r="O62" s="12"/>
    </row>
    <row r="63" spans="1:15" s="324" customFormat="1">
      <c r="A63" s="652">
        <f t="shared" si="3"/>
        <v>39</v>
      </c>
      <c r="B63" s="1" t="s">
        <v>86</v>
      </c>
      <c r="C63" s="882">
        <v>0</v>
      </c>
      <c r="D63" s="897">
        <v>0</v>
      </c>
      <c r="E63" s="655">
        <f t="shared" si="2"/>
        <v>0</v>
      </c>
      <c r="L63" s="12"/>
      <c r="M63" s="12"/>
      <c r="N63" s="12"/>
      <c r="O63" s="12"/>
    </row>
    <row r="64" spans="1:15" s="324" customFormat="1">
      <c r="A64" s="652">
        <f t="shared" si="3"/>
        <v>40</v>
      </c>
      <c r="B64" s="1" t="s">
        <v>79</v>
      </c>
      <c r="C64" s="882">
        <v>0</v>
      </c>
      <c r="D64" s="897">
        <v>0</v>
      </c>
      <c r="E64" s="655">
        <f t="shared" si="2"/>
        <v>0</v>
      </c>
      <c r="L64" s="12"/>
      <c r="M64" s="12"/>
      <c r="N64" s="12"/>
      <c r="O64" s="12"/>
    </row>
    <row r="65" spans="1:16" s="324" customFormat="1">
      <c r="A65" s="652">
        <f t="shared" si="3"/>
        <v>41</v>
      </c>
      <c r="B65" s="1" t="s">
        <v>194</v>
      </c>
      <c r="C65" s="882">
        <v>0</v>
      </c>
      <c r="D65" s="897">
        <v>0</v>
      </c>
      <c r="E65" s="655">
        <f t="shared" si="2"/>
        <v>0</v>
      </c>
      <c r="L65" s="12"/>
      <c r="M65" s="12"/>
      <c r="N65" s="12"/>
      <c r="O65" s="12"/>
    </row>
    <row r="66" spans="1:16" s="324" customFormat="1" ht="13.5" thickBot="1">
      <c r="A66" s="652"/>
      <c r="B66" s="218"/>
      <c r="C66" s="656">
        <f>+E66+D66</f>
        <v>0</v>
      </c>
      <c r="D66" s="656">
        <f>SUM(D53:D65)/13</f>
        <v>0</v>
      </c>
      <c r="E66" s="656">
        <f>SUM(E53:E65)/13</f>
        <v>0</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5" t="s">
        <v>813</v>
      </c>
      <c r="C78" s="905"/>
      <c r="D78" s="905"/>
      <c r="E78" s="905"/>
      <c r="F78" s="905"/>
      <c r="G78" s="905"/>
      <c r="H78" s="905"/>
      <c r="I78" s="905"/>
      <c r="J78" s="853"/>
      <c r="K78" s="446"/>
    </row>
    <row r="79" spans="1:16" ht="27.75" customHeight="1">
      <c r="A79" s="325" t="s">
        <v>64</v>
      </c>
      <c r="B79" s="905" t="s">
        <v>545</v>
      </c>
      <c r="C79" s="905"/>
      <c r="D79" s="905"/>
      <c r="E79" s="905"/>
      <c r="F79" s="905"/>
      <c r="G79" s="905"/>
      <c r="H79" s="905"/>
      <c r="I79" s="905"/>
      <c r="J79" s="853"/>
      <c r="K79" s="853"/>
    </row>
    <row r="80" spans="1:16" ht="12.75" customHeight="1">
      <c r="A80" s="325" t="s">
        <v>65</v>
      </c>
      <c r="B80" s="905" t="s">
        <v>365</v>
      </c>
      <c r="C80" s="905"/>
      <c r="D80" s="905"/>
      <c r="E80" s="905"/>
      <c r="F80" s="905"/>
      <c r="G80" s="905"/>
      <c r="H80" s="905"/>
      <c r="I80" s="905"/>
      <c r="J80" s="853"/>
      <c r="K80" s="853"/>
      <c r="L80" s="219"/>
    </row>
    <row r="81" spans="1:11">
      <c r="A81" s="325" t="s">
        <v>66</v>
      </c>
      <c r="B81" s="905" t="s">
        <v>633</v>
      </c>
      <c r="C81" s="905"/>
      <c r="D81" s="905"/>
      <c r="E81" s="905"/>
      <c r="F81" s="905"/>
      <c r="G81" s="905"/>
      <c r="H81" s="905"/>
      <c r="I81" s="905"/>
      <c r="J81" s="850"/>
      <c r="K81" s="850"/>
    </row>
    <row r="82" spans="1:11" s="217" customFormat="1" ht="60.75" customHeight="1">
      <c r="A82" s="325" t="s">
        <v>67</v>
      </c>
      <c r="B82" s="905" t="s">
        <v>721</v>
      </c>
      <c r="C82" s="905"/>
      <c r="D82" s="905"/>
      <c r="E82" s="905"/>
      <c r="F82" s="905"/>
      <c r="G82" s="905"/>
      <c r="H82" s="905"/>
      <c r="I82" s="905"/>
      <c r="J82" s="854"/>
      <c r="K82" s="854"/>
    </row>
    <row r="83" spans="1:11" ht="24.75" customHeight="1">
      <c r="A83" s="325" t="s">
        <v>68</v>
      </c>
      <c r="B83" s="925" t="s">
        <v>810</v>
      </c>
      <c r="C83" s="925"/>
      <c r="D83" s="925"/>
      <c r="E83" s="925"/>
      <c r="F83" s="925"/>
      <c r="G83" s="925"/>
      <c r="H83" s="925"/>
      <c r="I83" s="925"/>
      <c r="J83" s="854"/>
      <c r="K83" s="849"/>
    </row>
    <row r="84" spans="1:11" ht="18" customHeight="1">
      <c r="A84" s="325" t="s">
        <v>69</v>
      </c>
      <c r="B84" s="926" t="s">
        <v>723</v>
      </c>
      <c r="C84" s="926"/>
      <c r="D84" s="926"/>
      <c r="E84" s="926"/>
      <c r="F84" s="926"/>
      <c r="G84" s="926"/>
      <c r="H84" s="926"/>
      <c r="I84" s="926"/>
      <c r="J84" s="849"/>
      <c r="K84" s="849"/>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G26" sqref="G26"/>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2" t="s">
        <v>190</v>
      </c>
      <c r="B1" s="922"/>
      <c r="C1" s="922"/>
      <c r="D1" s="922"/>
      <c r="E1" s="922"/>
      <c r="F1" s="922"/>
      <c r="G1" s="922"/>
      <c r="H1" s="922"/>
      <c r="I1" s="922"/>
      <c r="J1" s="922"/>
    </row>
    <row r="2" spans="1:15" ht="15" customHeight="1">
      <c r="A2" s="931" t="s">
        <v>483</v>
      </c>
      <c r="B2" s="931"/>
      <c r="C2" s="931"/>
      <c r="D2" s="931"/>
      <c r="E2" s="931"/>
      <c r="F2" s="931"/>
      <c r="G2" s="931"/>
      <c r="H2" s="931"/>
      <c r="I2" s="931"/>
      <c r="J2" s="931"/>
    </row>
    <row r="3" spans="1:15">
      <c r="A3" s="924" t="str">
        <f>+'Attachment H-26'!$D$5</f>
        <v>Transource West Virginia, LLC</v>
      </c>
      <c r="B3" s="924"/>
      <c r="C3" s="924"/>
      <c r="D3" s="924"/>
      <c r="E3" s="924"/>
      <c r="F3" s="924"/>
      <c r="G3" s="924"/>
      <c r="H3" s="924"/>
      <c r="I3" s="924"/>
      <c r="J3" s="924"/>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886023.07999999984</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37860923.07692308</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37860923.07692308</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25240615.384615384</v>
      </c>
      <c r="G19" s="898">
        <f>F19/$F$22</f>
        <v>0.39999999999999997</v>
      </c>
      <c r="H19" s="372">
        <f>F7/F19</f>
        <v>3.5103069655744092E-2</v>
      </c>
      <c r="I19" s="215">
        <f>G19*H19</f>
        <v>1.4041227862297636E-2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37860923.07692308</v>
      </c>
      <c r="G21" s="898">
        <f>F21/$F$22</f>
        <v>0.6</v>
      </c>
      <c r="H21" s="883">
        <f>0.1+0.005</f>
        <v>0.10500000000000001</v>
      </c>
      <c r="I21" s="335">
        <f>G21*H21</f>
        <v>6.3E-2</v>
      </c>
      <c r="J21" s="553"/>
    </row>
    <row r="22" spans="1:10">
      <c r="A22" s="261">
        <f t="shared" si="0"/>
        <v>11</v>
      </c>
      <c r="B22" s="554" t="s">
        <v>228</v>
      </c>
      <c r="C22" s="32" t="s">
        <v>492</v>
      </c>
      <c r="F22" s="194">
        <f>SUM(F19:F21)</f>
        <v>63101538.461538464</v>
      </c>
      <c r="G22" s="553" t="s">
        <v>2</v>
      </c>
      <c r="H22" s="511"/>
      <c r="I22" s="215">
        <f>SUM(I19:I21)</f>
        <v>7.704122786229764E-2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25856000</v>
      </c>
      <c r="D27" s="295">
        <v>0</v>
      </c>
      <c r="E27" s="295">
        <v>38784000</v>
      </c>
      <c r="F27" s="295">
        <v>0</v>
      </c>
      <c r="G27" s="295">
        <v>0</v>
      </c>
    </row>
    <row r="28" spans="1:10">
      <c r="A28" s="374">
        <f>+A27+1</f>
        <v>13</v>
      </c>
      <c r="B28" s="377" t="s">
        <v>85</v>
      </c>
      <c r="C28" s="295">
        <v>25656000</v>
      </c>
      <c r="D28" s="295">
        <v>0</v>
      </c>
      <c r="E28" s="295">
        <v>38484000</v>
      </c>
      <c r="F28" s="295">
        <v>0</v>
      </c>
      <c r="G28" s="295">
        <v>0</v>
      </c>
    </row>
    <row r="29" spans="1:10">
      <c r="A29" s="374">
        <f t="shared" ref="A29:A40" si="2">+A28+1</f>
        <v>14</v>
      </c>
      <c r="B29" s="378" t="s">
        <v>84</v>
      </c>
      <c r="C29" s="295">
        <v>25656000</v>
      </c>
      <c r="D29" s="295">
        <v>0</v>
      </c>
      <c r="E29" s="295">
        <v>38484000</v>
      </c>
      <c r="F29" s="295">
        <v>0</v>
      </c>
      <c r="G29" s="295">
        <v>0</v>
      </c>
    </row>
    <row r="30" spans="1:10">
      <c r="A30" s="374">
        <f t="shared" si="2"/>
        <v>15</v>
      </c>
      <c r="B30" s="378" t="s">
        <v>83</v>
      </c>
      <c r="C30" s="295">
        <v>25456000</v>
      </c>
      <c r="D30" s="295">
        <v>0</v>
      </c>
      <c r="E30" s="295">
        <v>38184000</v>
      </c>
      <c r="F30" s="295">
        <v>0</v>
      </c>
      <c r="G30" s="295">
        <v>0</v>
      </c>
    </row>
    <row r="31" spans="1:10">
      <c r="A31" s="374">
        <f t="shared" si="2"/>
        <v>16</v>
      </c>
      <c r="B31" s="377" t="s">
        <v>76</v>
      </c>
      <c r="C31" s="295">
        <v>25456000</v>
      </c>
      <c r="D31" s="295">
        <v>0</v>
      </c>
      <c r="E31" s="295">
        <v>38184000</v>
      </c>
      <c r="F31" s="295">
        <v>0</v>
      </c>
      <c r="G31" s="295">
        <v>0</v>
      </c>
    </row>
    <row r="32" spans="1:10">
      <c r="A32" s="374">
        <f t="shared" si="2"/>
        <v>17</v>
      </c>
      <c r="B32" s="378" t="s">
        <v>75</v>
      </c>
      <c r="C32" s="295">
        <v>25256000</v>
      </c>
      <c r="D32" s="295">
        <v>0</v>
      </c>
      <c r="E32" s="295">
        <v>37884000</v>
      </c>
      <c r="F32" s="295">
        <v>0</v>
      </c>
      <c r="G32" s="295">
        <v>0</v>
      </c>
    </row>
    <row r="33" spans="1:13">
      <c r="A33" s="374">
        <f t="shared" si="2"/>
        <v>18</v>
      </c>
      <c r="B33" s="378" t="s">
        <v>480</v>
      </c>
      <c r="C33" s="295">
        <v>25256000</v>
      </c>
      <c r="D33" s="295">
        <v>0</v>
      </c>
      <c r="E33" s="295">
        <v>37884000</v>
      </c>
      <c r="F33" s="295">
        <v>0</v>
      </c>
      <c r="G33" s="295">
        <v>0</v>
      </c>
    </row>
    <row r="34" spans="1:13">
      <c r="A34" s="374">
        <f t="shared" si="2"/>
        <v>19</v>
      </c>
      <c r="B34" s="377" t="s">
        <v>82</v>
      </c>
      <c r="C34" s="295">
        <v>25056000</v>
      </c>
      <c r="D34" s="295">
        <v>0</v>
      </c>
      <c r="E34" s="295">
        <v>37584000</v>
      </c>
      <c r="F34" s="295">
        <v>0</v>
      </c>
      <c r="G34" s="295">
        <v>0</v>
      </c>
    </row>
    <row r="35" spans="1:13">
      <c r="A35" s="374">
        <f t="shared" si="2"/>
        <v>20</v>
      </c>
      <c r="B35" s="378" t="s">
        <v>81</v>
      </c>
      <c r="C35" s="295">
        <v>25056000</v>
      </c>
      <c r="D35" s="295">
        <v>0</v>
      </c>
      <c r="E35" s="295">
        <v>37584000</v>
      </c>
      <c r="F35" s="295">
        <v>0</v>
      </c>
      <c r="G35" s="295">
        <v>0</v>
      </c>
    </row>
    <row r="36" spans="1:13">
      <c r="A36" s="374">
        <f t="shared" si="2"/>
        <v>21</v>
      </c>
      <c r="B36" s="378" t="s">
        <v>80</v>
      </c>
      <c r="C36" s="295">
        <v>24856000</v>
      </c>
      <c r="D36" s="295">
        <v>0</v>
      </c>
      <c r="E36" s="295">
        <v>37284000</v>
      </c>
      <c r="F36" s="295">
        <v>0</v>
      </c>
      <c r="G36" s="295">
        <v>0</v>
      </c>
    </row>
    <row r="37" spans="1:13">
      <c r="A37" s="374">
        <f t="shared" si="2"/>
        <v>22</v>
      </c>
      <c r="B37" s="377" t="s">
        <v>481</v>
      </c>
      <c r="C37" s="295">
        <v>24856000</v>
      </c>
      <c r="D37" s="295">
        <v>0</v>
      </c>
      <c r="E37" s="295">
        <v>37284000</v>
      </c>
      <c r="F37" s="295">
        <v>0</v>
      </c>
      <c r="G37" s="295">
        <v>0</v>
      </c>
    </row>
    <row r="38" spans="1:13">
      <c r="A38" s="374">
        <f t="shared" si="2"/>
        <v>23</v>
      </c>
      <c r="B38" s="377" t="s">
        <v>79</v>
      </c>
      <c r="C38" s="295">
        <v>24856000</v>
      </c>
      <c r="D38" s="295">
        <v>0</v>
      </c>
      <c r="E38" s="295">
        <v>37284000</v>
      </c>
      <c r="F38" s="295">
        <v>0</v>
      </c>
      <c r="G38" s="295">
        <v>0</v>
      </c>
    </row>
    <row r="39" spans="1:13">
      <c r="A39" s="374">
        <f t="shared" si="2"/>
        <v>24</v>
      </c>
      <c r="B39" s="378" t="s">
        <v>78</v>
      </c>
      <c r="C39" s="295">
        <v>24856000</v>
      </c>
      <c r="D39" s="295">
        <v>0</v>
      </c>
      <c r="E39" s="295">
        <v>37284000</v>
      </c>
      <c r="F39" s="295">
        <v>0</v>
      </c>
      <c r="G39" s="295">
        <v>0</v>
      </c>
    </row>
    <row r="40" spans="1:13">
      <c r="A40" s="374">
        <f t="shared" si="2"/>
        <v>25</v>
      </c>
      <c r="B40" s="379" t="s">
        <v>631</v>
      </c>
      <c r="C40" s="605">
        <f>+SUM(C27:C39)/13</f>
        <v>25240615.384615384</v>
      </c>
      <c r="D40" s="605">
        <f>+SUM(D27:D39)/13</f>
        <v>0</v>
      </c>
      <c r="E40" s="605">
        <f>+SUM(E27:E39)/13</f>
        <v>37860923.07692308</v>
      </c>
      <c r="F40" s="605">
        <f>+SUM(F27:F39)/13</f>
        <v>0</v>
      </c>
      <c r="G40" s="605">
        <f>+SUM(G27:G39)/13</f>
        <v>0</v>
      </c>
    </row>
    <row r="42" spans="1:13">
      <c r="A42" s="703" t="s">
        <v>579</v>
      </c>
    </row>
    <row r="43" spans="1:13" ht="15" customHeight="1">
      <c r="A43" s="262" t="s">
        <v>62</v>
      </c>
      <c r="B43" s="910" t="s">
        <v>491</v>
      </c>
      <c r="C43" s="910"/>
      <c r="D43" s="910"/>
      <c r="E43" s="910"/>
      <c r="F43" s="910"/>
      <c r="G43" s="910"/>
      <c r="H43" s="910"/>
      <c r="I43" s="910"/>
    </row>
    <row r="44" spans="1:13" s="583" customFormat="1">
      <c r="B44" s="910"/>
      <c r="C44" s="910"/>
      <c r="D44" s="910"/>
      <c r="E44" s="910"/>
      <c r="F44" s="910"/>
      <c r="G44" s="910"/>
      <c r="H44" s="910"/>
      <c r="I44" s="910"/>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K46" sqref="K46"/>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2" t="s">
        <v>191</v>
      </c>
      <c r="B1" s="922"/>
      <c r="C1" s="922"/>
      <c r="D1" s="922"/>
      <c r="E1" s="922"/>
      <c r="F1" s="922"/>
      <c r="G1" s="922"/>
      <c r="H1" s="922"/>
      <c r="I1" s="922"/>
      <c r="J1" s="922"/>
      <c r="K1" s="922"/>
    </row>
    <row r="2" spans="1:11" s="659" customFormat="1">
      <c r="A2" s="923" t="s">
        <v>706</v>
      </c>
      <c r="B2" s="923"/>
      <c r="C2" s="923"/>
      <c r="D2" s="923"/>
      <c r="E2" s="923"/>
      <c r="F2" s="923"/>
      <c r="G2" s="923"/>
      <c r="H2" s="923"/>
      <c r="I2" s="923"/>
      <c r="J2" s="923"/>
      <c r="K2" s="923"/>
    </row>
    <row r="3" spans="1:11" s="659" customFormat="1" ht="18" customHeight="1">
      <c r="A3" s="924" t="str">
        <f>+'Attachment H-26'!D5</f>
        <v>Transource West Virginia, LLC</v>
      </c>
      <c r="B3" s="924"/>
      <c r="C3" s="924"/>
      <c r="D3" s="924"/>
      <c r="E3" s="924"/>
      <c r="F3" s="924"/>
      <c r="G3" s="924"/>
      <c r="H3" s="924"/>
      <c r="I3" s="924"/>
      <c r="J3" s="924"/>
      <c r="K3" s="924"/>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2018</v>
      </c>
      <c r="B6" s="671"/>
      <c r="C6" s="671"/>
      <c r="D6" s="839">
        <f>+A6</f>
        <v>2018</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f>'3-Project True-up'!E19</f>
        <v>2692398.9966039485</v>
      </c>
      <c r="B9" s="677" t="s">
        <v>690</v>
      </c>
      <c r="C9" s="678"/>
      <c r="D9" s="676">
        <f>'3-Project True-up'!H29</f>
        <v>2988346.0423284797</v>
      </c>
      <c r="E9" s="679"/>
      <c r="F9" s="677" t="s">
        <v>691</v>
      </c>
      <c r="G9" s="680">
        <f>IF(D9=0,0,A9-D9)</f>
        <v>-295947.04572453117</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3.9975490196078418E-3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2018</v>
      </c>
      <c r="C23" s="672"/>
      <c r="D23" s="866">
        <f>+G9/12</f>
        <v>-24662.253810377599</v>
      </c>
      <c r="E23" s="694"/>
      <c r="F23" s="695">
        <f>+F17</f>
        <v>3.9975490196078418E-3</v>
      </c>
      <c r="G23" s="694">
        <v>12</v>
      </c>
      <c r="H23" s="866">
        <f>F23*D23*G23*-1</f>
        <v>1183.0628224919367</v>
      </c>
      <c r="I23" s="866"/>
      <c r="J23" s="866"/>
      <c r="K23" s="866">
        <f>(-H23+D23)*-1</f>
        <v>25845.316632869537</v>
      </c>
    </row>
    <row r="24" spans="1:11" s="582" customFormat="1" ht="12.75">
      <c r="A24" s="672" t="s">
        <v>84</v>
      </c>
      <c r="B24" s="693" t="str">
        <f>+B23</f>
        <v>Year 2018</v>
      </c>
      <c r="C24" s="672"/>
      <c r="D24" s="866">
        <f>+D23</f>
        <v>-24662.253810377599</v>
      </c>
      <c r="E24" s="694"/>
      <c r="F24" s="695">
        <f>+F23</f>
        <v>3.9975490196078418E-3</v>
      </c>
      <c r="G24" s="367">
        <f t="shared" ref="G24:G34" si="0">+G23-1</f>
        <v>11</v>
      </c>
      <c r="H24" s="866">
        <f t="shared" ref="H24:H34" si="1">F24*D24*G24*-1</f>
        <v>1084.4742539509421</v>
      </c>
      <c r="I24" s="866"/>
      <c r="J24" s="866"/>
      <c r="K24" s="866">
        <f t="shared" ref="K24:K34" si="2">(-H24+D24)*-1</f>
        <v>25746.728064328541</v>
      </c>
    </row>
    <row r="25" spans="1:11" s="582" customFormat="1" ht="12.75">
      <c r="A25" s="672" t="s">
        <v>83</v>
      </c>
      <c r="B25" s="693" t="str">
        <f t="shared" ref="B25:B34" si="3">+B24</f>
        <v>Year 2018</v>
      </c>
      <c r="C25" s="672"/>
      <c r="D25" s="866">
        <f t="shared" ref="D25:D34" si="4">+D24</f>
        <v>-24662.253810377599</v>
      </c>
      <c r="E25" s="694"/>
      <c r="F25" s="695">
        <f t="shared" ref="F25:F34" si="5">+F24</f>
        <v>3.9975490196078418E-3</v>
      </c>
      <c r="G25" s="367">
        <f t="shared" si="0"/>
        <v>10</v>
      </c>
      <c r="H25" s="866">
        <f t="shared" si="1"/>
        <v>985.88568540994731</v>
      </c>
      <c r="I25" s="866"/>
      <c r="J25" s="866"/>
      <c r="K25" s="866">
        <f t="shared" si="2"/>
        <v>25648.139495787545</v>
      </c>
    </row>
    <row r="26" spans="1:11" s="582" customFormat="1" ht="12.75">
      <c r="A26" s="672" t="s">
        <v>76</v>
      </c>
      <c r="B26" s="693" t="str">
        <f t="shared" si="3"/>
        <v>Year 2018</v>
      </c>
      <c r="C26" s="672"/>
      <c r="D26" s="866">
        <f t="shared" si="4"/>
        <v>-24662.253810377599</v>
      </c>
      <c r="E26" s="694"/>
      <c r="F26" s="695">
        <f t="shared" si="5"/>
        <v>3.9975490196078418E-3</v>
      </c>
      <c r="G26" s="367">
        <f t="shared" si="0"/>
        <v>9</v>
      </c>
      <c r="H26" s="866">
        <f t="shared" si="1"/>
        <v>887.29711686895257</v>
      </c>
      <c r="I26" s="866"/>
      <c r="J26" s="866"/>
      <c r="K26" s="866">
        <f t="shared" si="2"/>
        <v>25549.55092724655</v>
      </c>
    </row>
    <row r="27" spans="1:11" s="582" customFormat="1" ht="12.75">
      <c r="A27" s="672" t="s">
        <v>75</v>
      </c>
      <c r="B27" s="693" t="str">
        <f t="shared" si="3"/>
        <v>Year 2018</v>
      </c>
      <c r="C27" s="672"/>
      <c r="D27" s="866">
        <f t="shared" si="4"/>
        <v>-24662.253810377599</v>
      </c>
      <c r="E27" s="694"/>
      <c r="F27" s="695">
        <f t="shared" si="5"/>
        <v>3.9975490196078418E-3</v>
      </c>
      <c r="G27" s="367">
        <f t="shared" si="0"/>
        <v>8</v>
      </c>
      <c r="H27" s="866">
        <f t="shared" si="1"/>
        <v>788.70854832795783</v>
      </c>
      <c r="I27" s="866"/>
      <c r="J27" s="866"/>
      <c r="K27" s="866">
        <f t="shared" si="2"/>
        <v>25450.962358705558</v>
      </c>
    </row>
    <row r="28" spans="1:11" s="582" customFormat="1" ht="12.75">
      <c r="A28" s="672" t="s">
        <v>95</v>
      </c>
      <c r="B28" s="693" t="str">
        <f t="shared" si="3"/>
        <v>Year 2018</v>
      </c>
      <c r="C28" s="672"/>
      <c r="D28" s="866">
        <f t="shared" si="4"/>
        <v>-24662.253810377599</v>
      </c>
      <c r="E28" s="694"/>
      <c r="F28" s="695">
        <f t="shared" si="5"/>
        <v>3.9975490196078418E-3</v>
      </c>
      <c r="G28" s="367">
        <f t="shared" si="0"/>
        <v>7</v>
      </c>
      <c r="H28" s="866">
        <f t="shared" si="1"/>
        <v>690.11997978696309</v>
      </c>
      <c r="I28" s="866"/>
      <c r="J28" s="866"/>
      <c r="K28" s="866">
        <f t="shared" si="2"/>
        <v>25352.373790164562</v>
      </c>
    </row>
    <row r="29" spans="1:11" s="582" customFormat="1" ht="12.75">
      <c r="A29" s="672" t="s">
        <v>82</v>
      </c>
      <c r="B29" s="693" t="str">
        <f t="shared" si="3"/>
        <v>Year 2018</v>
      </c>
      <c r="C29" s="672"/>
      <c r="D29" s="866">
        <f t="shared" si="4"/>
        <v>-24662.253810377599</v>
      </c>
      <c r="E29" s="694"/>
      <c r="F29" s="695">
        <f t="shared" si="5"/>
        <v>3.9975490196078418E-3</v>
      </c>
      <c r="G29" s="367">
        <f t="shared" si="0"/>
        <v>6</v>
      </c>
      <c r="H29" s="866">
        <f t="shared" si="1"/>
        <v>591.53141124596834</v>
      </c>
      <c r="I29" s="866"/>
      <c r="J29" s="866"/>
      <c r="K29" s="866">
        <f t="shared" si="2"/>
        <v>25253.785221623566</v>
      </c>
    </row>
    <row r="30" spans="1:11" s="582" customFormat="1" ht="12.75">
      <c r="A30" s="672" t="s">
        <v>81</v>
      </c>
      <c r="B30" s="693" t="str">
        <f t="shared" si="3"/>
        <v>Year 2018</v>
      </c>
      <c r="C30" s="672"/>
      <c r="D30" s="866">
        <f t="shared" si="4"/>
        <v>-24662.253810377599</v>
      </c>
      <c r="E30" s="694"/>
      <c r="F30" s="695">
        <f t="shared" si="5"/>
        <v>3.9975490196078418E-3</v>
      </c>
      <c r="G30" s="367">
        <f t="shared" si="0"/>
        <v>5</v>
      </c>
      <c r="H30" s="866">
        <f t="shared" si="1"/>
        <v>492.94284270497366</v>
      </c>
      <c r="I30" s="866"/>
      <c r="J30" s="866"/>
      <c r="K30" s="866">
        <f t="shared" si="2"/>
        <v>25155.196653082574</v>
      </c>
    </row>
    <row r="31" spans="1:11" s="582" customFormat="1" ht="12.75">
      <c r="A31" s="672" t="s">
        <v>80</v>
      </c>
      <c r="B31" s="693" t="str">
        <f t="shared" si="3"/>
        <v>Year 2018</v>
      </c>
      <c r="C31" s="672"/>
      <c r="D31" s="866">
        <f t="shared" si="4"/>
        <v>-24662.253810377599</v>
      </c>
      <c r="E31" s="694"/>
      <c r="F31" s="695">
        <f t="shared" si="5"/>
        <v>3.9975490196078418E-3</v>
      </c>
      <c r="G31" s="367">
        <f t="shared" si="0"/>
        <v>4</v>
      </c>
      <c r="H31" s="866">
        <f t="shared" si="1"/>
        <v>394.35427416397891</v>
      </c>
      <c r="I31" s="866"/>
      <c r="J31" s="866"/>
      <c r="K31" s="866">
        <f t="shared" si="2"/>
        <v>25056.608084541578</v>
      </c>
    </row>
    <row r="32" spans="1:11" s="582" customFormat="1" ht="12.75">
      <c r="A32" s="672" t="s">
        <v>86</v>
      </c>
      <c r="B32" s="693" t="str">
        <f t="shared" si="3"/>
        <v>Year 2018</v>
      </c>
      <c r="C32" s="672"/>
      <c r="D32" s="866">
        <f t="shared" si="4"/>
        <v>-24662.253810377599</v>
      </c>
      <c r="E32" s="694"/>
      <c r="F32" s="695">
        <f t="shared" si="5"/>
        <v>3.9975490196078418E-3</v>
      </c>
      <c r="G32" s="367">
        <f t="shared" si="0"/>
        <v>3</v>
      </c>
      <c r="H32" s="866">
        <f t="shared" si="1"/>
        <v>295.76570562298417</v>
      </c>
      <c r="I32" s="866"/>
      <c r="J32" s="866"/>
      <c r="K32" s="866">
        <f t="shared" si="2"/>
        <v>24958.019516000582</v>
      </c>
    </row>
    <row r="33" spans="1:13" s="582" customFormat="1" ht="12.75">
      <c r="A33" s="672" t="s">
        <v>79</v>
      </c>
      <c r="B33" s="693" t="str">
        <f t="shared" si="3"/>
        <v>Year 2018</v>
      </c>
      <c r="C33" s="672"/>
      <c r="D33" s="866">
        <f>+D32</f>
        <v>-24662.253810377599</v>
      </c>
      <c r="E33" s="694"/>
      <c r="F33" s="695">
        <f>+F32</f>
        <v>3.9975490196078418E-3</v>
      </c>
      <c r="G33" s="367">
        <f t="shared" si="0"/>
        <v>2</v>
      </c>
      <c r="H33" s="866">
        <f t="shared" si="1"/>
        <v>197.17713708198946</v>
      </c>
      <c r="I33" s="866"/>
      <c r="J33" s="866"/>
      <c r="K33" s="866">
        <f t="shared" si="2"/>
        <v>24859.430947459587</v>
      </c>
    </row>
    <row r="34" spans="1:13" s="582" customFormat="1" ht="12.75">
      <c r="A34" s="672" t="s">
        <v>78</v>
      </c>
      <c r="B34" s="693" t="str">
        <f t="shared" si="3"/>
        <v>Year 2018</v>
      </c>
      <c r="C34" s="672"/>
      <c r="D34" s="866">
        <f t="shared" si="4"/>
        <v>-24662.253810377599</v>
      </c>
      <c r="E34" s="694"/>
      <c r="F34" s="695">
        <f t="shared" si="5"/>
        <v>3.9975490196078418E-3</v>
      </c>
      <c r="G34" s="367">
        <f t="shared" si="0"/>
        <v>1</v>
      </c>
      <c r="H34" s="868">
        <f t="shared" si="1"/>
        <v>98.588568540994729</v>
      </c>
      <c r="I34" s="866"/>
      <c r="J34" s="866"/>
      <c r="K34" s="866">
        <f t="shared" si="2"/>
        <v>24760.842378918594</v>
      </c>
    </row>
    <row r="35" spans="1:13" s="582" customFormat="1" ht="12.75">
      <c r="A35" s="672"/>
      <c r="B35" s="672"/>
      <c r="C35" s="672"/>
      <c r="D35" s="866"/>
      <c r="E35" s="694"/>
      <c r="F35" s="695"/>
      <c r="G35" s="367"/>
      <c r="H35" s="866">
        <f>SUM(H23:H34)</f>
        <v>7689.9083461975888</v>
      </c>
      <c r="I35" s="866"/>
      <c r="J35" s="866"/>
      <c r="K35" s="867">
        <f>SUM(K23:K34)</f>
        <v>303636.9540707288</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2019</v>
      </c>
      <c r="C38" s="672"/>
      <c r="D38" s="866">
        <f>K35</f>
        <v>303636.9540707288</v>
      </c>
      <c r="E38" s="679"/>
      <c r="F38" s="695">
        <f>+F34</f>
        <v>3.9975490196078418E-3</v>
      </c>
      <c r="G38" s="694">
        <v>12</v>
      </c>
      <c r="H38" s="694">
        <f>+G38*F38*D38</f>
        <v>14565.643296745837</v>
      </c>
      <c r="I38" s="694"/>
      <c r="J38" s="694"/>
      <c r="K38" s="696">
        <f>+D38+H38</f>
        <v>318202.59736747463</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2020</v>
      </c>
      <c r="C41" s="672"/>
      <c r="D41" s="867">
        <f>-K38</f>
        <v>-318202.59736747463</v>
      </c>
      <c r="E41" s="679"/>
      <c r="F41" s="695">
        <f>+F34</f>
        <v>3.9975490196078418E-3</v>
      </c>
      <c r="G41" s="672"/>
      <c r="H41" s="866">
        <f xml:space="preserve"> -F41*D41</f>
        <v>1272.0304811430171</v>
      </c>
      <c r="I41" s="866">
        <f>PMT(F41,12,K$38)</f>
        <v>-27210.939056031268</v>
      </c>
      <c r="J41" s="866"/>
      <c r="K41" s="866">
        <f>(+D41+D41*F41-I41)*-1</f>
        <v>292263.68879258638</v>
      </c>
      <c r="L41" s="699"/>
      <c r="M41" s="700"/>
    </row>
    <row r="42" spans="1:13" s="582" customFormat="1" ht="12.75">
      <c r="A42" s="672" t="s">
        <v>84</v>
      </c>
      <c r="B42" s="693" t="str">
        <f>+B41</f>
        <v>Year 2020</v>
      </c>
      <c r="C42" s="672"/>
      <c r="D42" s="866">
        <f>-K41</f>
        <v>-292263.68879258638</v>
      </c>
      <c r="E42" s="679"/>
      <c r="F42" s="695">
        <f>+F41</f>
        <v>3.9975490196078418E-3</v>
      </c>
      <c r="G42" s="672"/>
      <c r="H42" s="866">
        <f t="shared" ref="H42:H52" si="6" xml:space="preserve"> -F42*D42</f>
        <v>1168.3384225997752</v>
      </c>
      <c r="I42" s="866">
        <f>I41</f>
        <v>-27210.939056031268</v>
      </c>
      <c r="J42" s="866"/>
      <c r="K42" s="866">
        <f t="shared" ref="K42:K52" si="7">(+D42+D42*F42-I42)*-1</f>
        <v>266221.08815915487</v>
      </c>
      <c r="L42" s="699"/>
      <c r="M42" s="700"/>
    </row>
    <row r="43" spans="1:13" s="582" customFormat="1" ht="12.75">
      <c r="A43" s="672" t="s">
        <v>83</v>
      </c>
      <c r="B43" s="693" t="str">
        <f>+B42</f>
        <v>Year 2020</v>
      </c>
      <c r="C43" s="672"/>
      <c r="D43" s="866">
        <f t="shared" ref="D43:D52" si="8">-K42</f>
        <v>-266221.08815915487</v>
      </c>
      <c r="E43" s="679"/>
      <c r="F43" s="695">
        <f t="shared" ref="F43:F52" si="9">+F42</f>
        <v>3.9975490196078418E-3</v>
      </c>
      <c r="G43" s="672"/>
      <c r="H43" s="866">
        <f t="shared" si="6"/>
        <v>1064.2318499695623</v>
      </c>
      <c r="I43" s="866">
        <f t="shared" ref="I43:I52" si="10">I42</f>
        <v>-27210.939056031268</v>
      </c>
      <c r="J43" s="866"/>
      <c r="K43" s="866">
        <f t="shared" si="7"/>
        <v>240074.38095309315</v>
      </c>
      <c r="L43" s="699"/>
      <c r="M43" s="700"/>
    </row>
    <row r="44" spans="1:13" s="582" customFormat="1" ht="12.75">
      <c r="A44" s="672" t="s">
        <v>76</v>
      </c>
      <c r="B44" s="693" t="str">
        <f>+B43</f>
        <v>Year 2020</v>
      </c>
      <c r="C44" s="672"/>
      <c r="D44" s="866">
        <f t="shared" si="8"/>
        <v>-240074.38095309315</v>
      </c>
      <c r="E44" s="679"/>
      <c r="F44" s="695">
        <f t="shared" si="9"/>
        <v>3.9975490196078418E-3</v>
      </c>
      <c r="G44" s="672"/>
      <c r="H44" s="866">
        <f t="shared" si="6"/>
        <v>959.7091062119971</v>
      </c>
      <c r="I44" s="866">
        <f t="shared" si="10"/>
        <v>-27210.939056031268</v>
      </c>
      <c r="J44" s="866"/>
      <c r="K44" s="866">
        <f t="shared" si="7"/>
        <v>213823.15100327387</v>
      </c>
      <c r="L44" s="699"/>
      <c r="M44" s="700"/>
    </row>
    <row r="45" spans="1:13" s="582" customFormat="1" ht="12.75">
      <c r="A45" s="672" t="s">
        <v>75</v>
      </c>
      <c r="B45" s="693" t="str">
        <f>+B44</f>
        <v>Year 2020</v>
      </c>
      <c r="C45" s="672"/>
      <c r="D45" s="866">
        <f t="shared" si="8"/>
        <v>-213823.15100327387</v>
      </c>
      <c r="E45" s="679"/>
      <c r="F45" s="695">
        <f t="shared" si="9"/>
        <v>3.9975490196078418E-3</v>
      </c>
      <c r="G45" s="672"/>
      <c r="H45" s="866">
        <f t="shared" si="6"/>
        <v>854.76852766259697</v>
      </c>
      <c r="I45" s="866">
        <f t="shared" si="10"/>
        <v>-27210.939056031268</v>
      </c>
      <c r="J45" s="866"/>
      <c r="K45" s="866">
        <f t="shared" si="7"/>
        <v>187466.9804749052</v>
      </c>
      <c r="L45" s="699"/>
      <c r="M45" s="700"/>
    </row>
    <row r="46" spans="1:13" s="582" customFormat="1" ht="12.75">
      <c r="A46" s="672" t="s">
        <v>95</v>
      </c>
      <c r="B46" s="693" t="str">
        <f>B45</f>
        <v>Year 2020</v>
      </c>
      <c r="C46" s="672"/>
      <c r="D46" s="866">
        <f t="shared" si="8"/>
        <v>-187466.9804749052</v>
      </c>
      <c r="E46" s="679"/>
      <c r="F46" s="695">
        <f t="shared" si="9"/>
        <v>3.9975490196078418E-3</v>
      </c>
      <c r="G46" s="672"/>
      <c r="H46" s="866">
        <f t="shared" si="6"/>
        <v>749.40844400629965</v>
      </c>
      <c r="I46" s="866">
        <f t="shared" si="10"/>
        <v>-27210.939056031268</v>
      </c>
      <c r="J46" s="866"/>
      <c r="K46" s="866">
        <f t="shared" si="7"/>
        <v>161005.44986288022</v>
      </c>
      <c r="L46" s="699"/>
      <c r="M46" s="700"/>
    </row>
    <row r="47" spans="1:13" s="582" customFormat="1" ht="12.75">
      <c r="A47" s="672" t="s">
        <v>82</v>
      </c>
      <c r="B47" s="693" t="str">
        <f t="shared" ref="B47:B52" si="11">+B46</f>
        <v>Year 2020</v>
      </c>
      <c r="C47" s="672"/>
      <c r="D47" s="866">
        <f t="shared" si="8"/>
        <v>-161005.44986288022</v>
      </c>
      <c r="E47" s="679"/>
      <c r="F47" s="695">
        <f t="shared" si="9"/>
        <v>3.9975490196078418E-3</v>
      </c>
      <c r="G47" s="672"/>
      <c r="H47" s="866">
        <f t="shared" si="6"/>
        <v>643.62717825087634</v>
      </c>
      <c r="I47" s="866">
        <f t="shared" si="10"/>
        <v>-27210.939056031268</v>
      </c>
      <c r="J47" s="866"/>
      <c r="K47" s="866">
        <f t="shared" si="7"/>
        <v>134438.13798509983</v>
      </c>
      <c r="L47" s="699"/>
      <c r="M47" s="700"/>
    </row>
    <row r="48" spans="1:13" s="582" customFormat="1" ht="12.75">
      <c r="A48" s="672" t="s">
        <v>81</v>
      </c>
      <c r="B48" s="693" t="str">
        <f t="shared" si="11"/>
        <v>Year 2020</v>
      </c>
      <c r="C48" s="672"/>
      <c r="D48" s="866">
        <f t="shared" si="8"/>
        <v>-134438.13798509983</v>
      </c>
      <c r="E48" s="679"/>
      <c r="F48" s="695">
        <f t="shared" si="9"/>
        <v>3.9975490196078418E-3</v>
      </c>
      <c r="G48" s="672"/>
      <c r="H48" s="866">
        <f t="shared" si="6"/>
        <v>537.42304670023964</v>
      </c>
      <c r="I48" s="866">
        <f t="shared" si="10"/>
        <v>-27210.939056031268</v>
      </c>
      <c r="J48" s="866"/>
      <c r="K48" s="866">
        <f t="shared" si="7"/>
        <v>107764.62197576882</v>
      </c>
      <c r="L48" s="699"/>
      <c r="M48" s="700"/>
    </row>
    <row r="49" spans="1:13" s="582" customFormat="1" ht="12.75">
      <c r="A49" s="672" t="s">
        <v>80</v>
      </c>
      <c r="B49" s="693" t="str">
        <f t="shared" si="11"/>
        <v>Year 2020</v>
      </c>
      <c r="C49" s="672"/>
      <c r="D49" s="866">
        <f t="shared" si="8"/>
        <v>-107764.62197576882</v>
      </c>
      <c r="E49" s="679"/>
      <c r="F49" s="695">
        <f t="shared" si="9"/>
        <v>3.9975490196078418E-3</v>
      </c>
      <c r="G49" s="672"/>
      <c r="H49" s="866">
        <f t="shared" si="6"/>
        <v>430.79435892764434</v>
      </c>
      <c r="I49" s="866">
        <f t="shared" si="10"/>
        <v>-27210.939056031268</v>
      </c>
      <c r="J49" s="866"/>
      <c r="K49" s="866">
        <f t="shared" si="7"/>
        <v>80984.477278665203</v>
      </c>
      <c r="L49" s="699"/>
      <c r="M49" s="700"/>
    </row>
    <row r="50" spans="1:13" s="582" customFormat="1" ht="12.75">
      <c r="A50" s="672" t="s">
        <v>86</v>
      </c>
      <c r="B50" s="693" t="str">
        <f t="shared" si="11"/>
        <v>Year 2020</v>
      </c>
      <c r="C50" s="672"/>
      <c r="D50" s="866">
        <f t="shared" si="8"/>
        <v>-80984.477278665203</v>
      </c>
      <c r="E50" s="679"/>
      <c r="F50" s="695">
        <f t="shared" si="9"/>
        <v>3.9975490196078418E-3</v>
      </c>
      <c r="G50" s="672"/>
      <c r="H50" s="866">
        <f t="shared" si="6"/>
        <v>323.73941774878165</v>
      </c>
      <c r="I50" s="866">
        <f t="shared" si="10"/>
        <v>-27210.939056031268</v>
      </c>
      <c r="J50" s="866"/>
      <c r="K50" s="866">
        <f t="shared" si="7"/>
        <v>54097.277640382723</v>
      </c>
      <c r="L50" s="699"/>
      <c r="M50" s="700"/>
    </row>
    <row r="51" spans="1:13" s="582" customFormat="1" ht="12.75">
      <c r="A51" s="672" t="s">
        <v>79</v>
      </c>
      <c r="B51" s="693" t="str">
        <f t="shared" si="11"/>
        <v>Year 2020</v>
      </c>
      <c r="C51" s="672"/>
      <c r="D51" s="866">
        <f t="shared" si="8"/>
        <v>-54097.277640382723</v>
      </c>
      <c r="E51" s="679"/>
      <c r="F51" s="695">
        <f t="shared" si="9"/>
        <v>3.9975490196078418E-3</v>
      </c>
      <c r="G51" s="672"/>
      <c r="H51" s="866">
        <f t="shared" si="6"/>
        <v>216.25651919476519</v>
      </c>
      <c r="I51" s="866">
        <f t="shared" si="10"/>
        <v>-27210.939056031268</v>
      </c>
      <c r="J51" s="866"/>
      <c r="K51" s="866">
        <f t="shared" si="7"/>
        <v>27102.59510354622</v>
      </c>
      <c r="L51" s="699"/>
      <c r="M51" s="700"/>
    </row>
    <row r="52" spans="1:13" s="582" customFormat="1" ht="12.75">
      <c r="A52" s="672" t="s">
        <v>78</v>
      </c>
      <c r="B52" s="693" t="str">
        <f t="shared" si="11"/>
        <v>Year 2020</v>
      </c>
      <c r="C52" s="672"/>
      <c r="D52" s="866">
        <f t="shared" si="8"/>
        <v>-27102.59510354622</v>
      </c>
      <c r="E52" s="679"/>
      <c r="F52" s="695">
        <f t="shared" si="9"/>
        <v>3.9975490196078418E-3</v>
      </c>
      <c r="G52" s="672"/>
      <c r="H52" s="868">
        <f t="shared" si="6"/>
        <v>108.34395248500948</v>
      </c>
      <c r="I52" s="866">
        <f t="shared" si="10"/>
        <v>-27210.939056031268</v>
      </c>
      <c r="J52" s="866"/>
      <c r="K52" s="866">
        <f t="shared" si="7"/>
        <v>-3.637978807091713E-11</v>
      </c>
      <c r="L52" s="699"/>
      <c r="M52" s="700"/>
    </row>
    <row r="53" spans="1:13" s="582" customFormat="1" ht="12.75">
      <c r="A53" s="672"/>
      <c r="B53" s="672"/>
      <c r="C53" s="672"/>
      <c r="D53" s="679"/>
      <c r="E53" s="679"/>
      <c r="F53" s="701"/>
      <c r="G53" s="672"/>
      <c r="H53" s="866">
        <f>SUM(H41:H52)</f>
        <v>8328.6713049005648</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326531.26867237524</v>
      </c>
      <c r="J55" s="584"/>
      <c r="K55" s="584"/>
    </row>
    <row r="56" spans="1:13" s="582" customFormat="1" ht="12.75">
      <c r="A56" s="672" t="s">
        <v>704</v>
      </c>
      <c r="B56" s="584"/>
      <c r="C56" s="584"/>
      <c r="D56" s="584"/>
      <c r="E56" s="584"/>
      <c r="F56" s="584"/>
      <c r="G56" s="584"/>
      <c r="H56" s="584"/>
      <c r="I56" s="702">
        <f>+G9</f>
        <v>-295947.04572453117</v>
      </c>
      <c r="J56" s="584"/>
      <c r="K56" s="584"/>
    </row>
    <row r="57" spans="1:13" s="582" customFormat="1" ht="12.75">
      <c r="A57" s="672" t="s">
        <v>705</v>
      </c>
      <c r="B57" s="584"/>
      <c r="C57" s="584"/>
      <c r="D57" s="584"/>
      <c r="E57" s="584"/>
      <c r="F57" s="584"/>
      <c r="G57" s="584"/>
      <c r="H57" s="584"/>
      <c r="I57" s="702">
        <f>(I55+I56)</f>
        <v>30584.222947844071</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4.2500000000000003E-2</v>
      </c>
      <c r="F11" s="415"/>
      <c r="G11" s="415"/>
      <c r="H11" s="415"/>
    </row>
    <row r="12" spans="1:8">
      <c r="A12" s="810">
        <v>2</v>
      </c>
      <c r="C12" s="774" t="s">
        <v>457</v>
      </c>
      <c r="D12" s="324"/>
      <c r="E12" s="898">
        <v>4.2500000000000003E-2</v>
      </c>
      <c r="F12" s="415"/>
      <c r="G12" s="415"/>
      <c r="H12" s="415"/>
    </row>
    <row r="13" spans="1:8">
      <c r="A13" s="810">
        <v>3</v>
      </c>
      <c r="C13" s="774" t="s">
        <v>458</v>
      </c>
      <c r="D13" s="324"/>
      <c r="E13" s="898">
        <v>4.2500000000000003E-2</v>
      </c>
      <c r="F13" s="415"/>
      <c r="G13" s="415"/>
      <c r="H13" s="415"/>
    </row>
    <row r="14" spans="1:8">
      <c r="A14" s="810">
        <v>4</v>
      </c>
      <c r="C14" s="774" t="s">
        <v>459</v>
      </c>
      <c r="D14" s="324"/>
      <c r="E14" s="898">
        <v>4.4699999999999997E-2</v>
      </c>
      <c r="F14" s="415"/>
      <c r="G14" s="415"/>
      <c r="H14" s="415"/>
    </row>
    <row r="15" spans="1:8">
      <c r="A15" s="810">
        <v>5</v>
      </c>
      <c r="C15" s="774" t="s">
        <v>460</v>
      </c>
      <c r="D15" s="324"/>
      <c r="E15" s="898">
        <v>4.4699999999999997E-2</v>
      </c>
      <c r="F15" s="415"/>
      <c r="G15" s="415"/>
      <c r="H15" s="415"/>
    </row>
    <row r="16" spans="1:8">
      <c r="A16" s="810">
        <v>6</v>
      </c>
      <c r="C16" s="774" t="s">
        <v>461</v>
      </c>
      <c r="D16" s="324"/>
      <c r="E16" s="898">
        <v>4.4699999999999997E-2</v>
      </c>
      <c r="F16" s="415"/>
      <c r="G16" s="415"/>
      <c r="H16" s="415"/>
    </row>
    <row r="17" spans="1:8">
      <c r="A17" s="810">
        <v>7</v>
      </c>
      <c r="C17" s="774" t="s">
        <v>462</v>
      </c>
      <c r="D17" s="324"/>
      <c r="E17" s="898">
        <v>4.6899999999999997E-2</v>
      </c>
      <c r="F17" s="415"/>
      <c r="G17" s="415"/>
      <c r="H17" s="415"/>
    </row>
    <row r="18" spans="1:8">
      <c r="A18" s="810">
        <v>8</v>
      </c>
      <c r="C18" s="774" t="s">
        <v>463</v>
      </c>
      <c r="D18" s="324"/>
      <c r="E18" s="898">
        <v>4.6899999999999997E-2</v>
      </c>
      <c r="F18" s="415"/>
      <c r="G18" s="415"/>
      <c r="H18" s="415"/>
    </row>
    <row r="19" spans="1:8">
      <c r="A19" s="810">
        <v>9</v>
      </c>
      <c r="C19" s="774" t="s">
        <v>464</v>
      </c>
      <c r="D19" s="324"/>
      <c r="E19" s="898">
        <v>4.6899999999999997E-2</v>
      </c>
      <c r="F19" s="415"/>
      <c r="G19" s="415"/>
      <c r="H19" s="415"/>
    </row>
    <row r="20" spans="1:8">
      <c r="A20" s="810">
        <v>10</v>
      </c>
      <c r="C20" s="774" t="s">
        <v>465</v>
      </c>
      <c r="D20" s="324"/>
      <c r="E20" s="898">
        <v>4.9599999999999998E-2</v>
      </c>
      <c r="F20" s="415"/>
      <c r="G20" s="415"/>
      <c r="H20" s="415"/>
    </row>
    <row r="21" spans="1:8">
      <c r="A21" s="810">
        <v>11</v>
      </c>
      <c r="C21" s="774" t="s">
        <v>466</v>
      </c>
      <c r="D21" s="324"/>
      <c r="E21" s="898">
        <v>4.9599999999999998E-2</v>
      </c>
      <c r="F21" s="415"/>
      <c r="G21" s="415"/>
      <c r="H21" s="415"/>
    </row>
    <row r="22" spans="1:8">
      <c r="A22" s="810">
        <v>12</v>
      </c>
      <c r="C22" s="774" t="s">
        <v>467</v>
      </c>
      <c r="D22" s="324"/>
      <c r="E22" s="898">
        <v>4.9599999999999998E-2</v>
      </c>
      <c r="F22" s="415"/>
      <c r="G22" s="415"/>
      <c r="H22" s="415"/>
    </row>
    <row r="23" spans="1:8">
      <c r="A23" s="810">
        <f>+A22+1</f>
        <v>13</v>
      </c>
      <c r="C23" s="774" t="s">
        <v>638</v>
      </c>
      <c r="D23" s="324"/>
      <c r="E23" s="898">
        <v>5.1799999999999999E-2</v>
      </c>
      <c r="F23" s="415"/>
      <c r="G23" s="415"/>
      <c r="H23" s="415"/>
    </row>
    <row r="24" spans="1:8">
      <c r="A24" s="810">
        <f t="shared" ref="A24:A27" si="0">+A23+1</f>
        <v>14</v>
      </c>
      <c r="C24" s="774" t="s">
        <v>639</v>
      </c>
      <c r="D24" s="324"/>
      <c r="E24" s="898">
        <v>5.1799999999999999E-2</v>
      </c>
      <c r="F24" s="415"/>
      <c r="G24" s="415"/>
      <c r="H24" s="415"/>
    </row>
    <row r="25" spans="1:8">
      <c r="A25" s="810">
        <f t="shared" si="0"/>
        <v>15</v>
      </c>
      <c r="C25" s="774" t="s">
        <v>640</v>
      </c>
      <c r="D25" s="324"/>
      <c r="E25" s="898">
        <v>5.1799999999999999E-2</v>
      </c>
      <c r="F25" s="415"/>
      <c r="G25" s="415"/>
      <c r="H25" s="415"/>
    </row>
    <row r="26" spans="1:8">
      <c r="A26" s="810">
        <f t="shared" si="0"/>
        <v>16</v>
      </c>
      <c r="C26" s="774" t="s">
        <v>641</v>
      </c>
      <c r="D26" s="324"/>
      <c r="E26" s="898">
        <v>5.45E-2</v>
      </c>
      <c r="F26" s="415"/>
      <c r="G26" s="415"/>
      <c r="H26" s="415"/>
    </row>
    <row r="27" spans="1:8">
      <c r="A27" s="810">
        <f t="shared" si="0"/>
        <v>17</v>
      </c>
      <c r="C27" s="774" t="s">
        <v>642</v>
      </c>
      <c r="D27" s="324"/>
      <c r="E27" s="898">
        <v>5.45E-2</v>
      </c>
      <c r="F27" s="415"/>
      <c r="G27" s="415"/>
      <c r="H27" s="415"/>
    </row>
    <row r="28" spans="1:8">
      <c r="A28" s="810"/>
      <c r="C28" s="770"/>
      <c r="D28" s="775"/>
      <c r="E28" s="775"/>
      <c r="F28" s="415"/>
      <c r="G28" s="415"/>
      <c r="H28" s="324"/>
    </row>
    <row r="29" spans="1:8">
      <c r="A29" s="810">
        <f>+A27+1</f>
        <v>18</v>
      </c>
      <c r="B29" s="776" t="s">
        <v>637</v>
      </c>
      <c r="C29" s="769"/>
      <c r="D29" s="775"/>
      <c r="E29" s="777">
        <f>+AVERAGE(E11:E27)</f>
        <v>4.7970588235294105E-2</v>
      </c>
      <c r="F29" s="415"/>
      <c r="G29" s="415"/>
      <c r="H29" s="324"/>
    </row>
    <row r="30" spans="1:8">
      <c r="A30" s="810">
        <f>+A29+1</f>
        <v>19</v>
      </c>
      <c r="B30" s="596" t="s">
        <v>513</v>
      </c>
      <c r="E30" s="215">
        <f>+E29/12</f>
        <v>3.9975490196078418E-3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166085.02697591472</v>
      </c>
      <c r="E14" s="508">
        <v>0</v>
      </c>
      <c r="F14" s="319"/>
      <c r="G14" s="551"/>
      <c r="H14" s="551"/>
      <c r="I14" s="280"/>
    </row>
    <row r="15" spans="1:9">
      <c r="A15" s="305">
        <v>8</v>
      </c>
      <c r="B15" s="308" t="s">
        <v>413</v>
      </c>
      <c r="C15" s="308" t="s">
        <v>348</v>
      </c>
      <c r="D15" s="754">
        <f>D13*D14</f>
        <v>-4175.5929422804029</v>
      </c>
      <c r="E15" s="754">
        <f>E13*E14</f>
        <v>0</v>
      </c>
      <c r="F15" s="548">
        <f>SUM(D15:E15)</f>
        <v>-4175.5929422804029</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6" t="s">
        <v>808</v>
      </c>
      <c r="C24" s="926"/>
      <c r="D24" s="926"/>
      <c r="E24" s="926"/>
      <c r="F24" s="926"/>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B77756D4-4066-4F94-BA13-33E4F68961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2019-09-30T17:45:44Z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