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hidePivotFieldList="1" defaultThemeVersion="124226"/>
  <bookViews>
    <workbookView xWindow="360" yWindow="6132" windowWidth="16872" windowHeight="2436" tabRatio="990"/>
  </bookViews>
  <sheets>
    <sheet name="Appendix A" sheetId="1" r:id="rId1"/>
    <sheet name="ATT1A-ADIT " sheetId="2" r:id="rId2"/>
    <sheet name="ADITI-ADIT" sheetId="14" r:id="rId3"/>
    <sheet name="ATT 2 - Other Taxes" sheetId="4" r:id="rId4"/>
    <sheet name="3 - Revenue Credits" sheetId="5" r:id="rId5"/>
    <sheet name="4 - 100 Basis Pt ROE" sheetId="6" r:id="rId6"/>
    <sheet name="5 - Cost Support" sheetId="7" r:id="rId7"/>
    <sheet name="6- True-Up Adjustment " sheetId="8" r:id="rId8"/>
    <sheet name="6A-Estimate &amp; Reconcile" sheetId="9" r:id="rId9"/>
    <sheet name="7 -TEC" sheetId="10" r:id="rId10"/>
    <sheet name="8 - Depreciation Rates" sheetId="11" r:id="rId11"/>
  </sheets>
  <externalReferences>
    <externalReference r:id="rId12"/>
  </externalReferences>
  <definedNames>
    <definedName name="_xlnm.Print_Area" localSheetId="4">'3 - Revenue Credits'!$A$2:$D$44</definedName>
    <definedName name="_xlnm.Print_Area" localSheetId="6">'5 - Cost Support'!$A$1:$U$232</definedName>
    <definedName name="_xlnm.Print_Area" localSheetId="7">'6- True-Up Adjustment '!$A$1:$K$102</definedName>
    <definedName name="_xlnm.Print_Area" localSheetId="8">'6A-Estimate &amp; Reconcile'!$A$1:$CJ$70</definedName>
    <definedName name="_xlnm.Print_Area" localSheetId="9">'7 -TEC'!$E$1:$GL$57</definedName>
    <definedName name="_xlnm.Print_Area" localSheetId="2">'ADITI-ADIT'!$A$1:$G$192</definedName>
    <definedName name="_xlnm.Print_Area" localSheetId="0">'Appendix A'!$A$3:$H$305</definedName>
    <definedName name="_xlnm.Print_Area" localSheetId="3">'ATT 2 - Other Taxes'!$A$1:$H$68</definedName>
    <definedName name="_xlnm.Print_Area" localSheetId="1">'ATT1A-ADIT '!$A$1:$G$120</definedName>
    <definedName name="_xlnm.Print_Titles" localSheetId="6">'5 - Cost Support'!$1:$4</definedName>
    <definedName name="_xlnm.Print_Titles" localSheetId="8">'6A-Estimate &amp; Reconcile'!$1:$5</definedName>
    <definedName name="_xlnm.Print_Titles" localSheetId="9">'7 -TEC'!$A:$D,'7 -TEC'!$1:$27</definedName>
    <definedName name="_xlnm.Print_Titles" localSheetId="0">'Appendix A'!$2:$6</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9" hidden="1">'7 -TEC'!#REF!</definedName>
    <definedName name="Z_28948E05_8F34_4F1E_96FB_A80A6A844600_.wvu.Cols" localSheetId="2" hidden="1">'ADITI-ADIT'!#REF!</definedName>
    <definedName name="Z_28948E05_8F34_4F1E_96FB_A80A6A844600_.wvu.Cols" localSheetId="1" hidden="1">'ATT1A-ADIT '!#REF!</definedName>
    <definedName name="Z_28948E05_8F34_4F1E_96FB_A80A6A844600_.wvu.PrintArea" localSheetId="4" hidden="1">'3 - Revenue Credits'!$A$2:$D$38</definedName>
    <definedName name="Z_28948E05_8F34_4F1E_96FB_A80A6A844600_.wvu.PrintArea" localSheetId="2" hidden="1">'ADITI-ADIT'!$A$1:$G$179</definedName>
    <definedName name="Z_28948E05_8F34_4F1E_96FB_A80A6A844600_.wvu.PrintArea" localSheetId="0" hidden="1">'Appendix A'!$A$2:$H$300</definedName>
    <definedName name="Z_28948E05_8F34_4F1E_96FB_A80A6A844600_.wvu.PrintArea" localSheetId="1" hidden="1">'ATT1A-ADIT '!$A$1:$G$110</definedName>
    <definedName name="Z_28948E05_8F34_4F1E_96FB_A80A6A844600_.wvu.PrintTitles" localSheetId="9" hidden="1">'7 -TEC'!$C:$D</definedName>
    <definedName name="Z_28948E05_8F34_4F1E_96FB_A80A6A844600_.wvu.Rows" localSheetId="5" hidden="1">'4 - 100 Basis Pt ROE'!#REF!,'4 - 100 Basis Pt ROE'!#REF!</definedName>
    <definedName name="Z_28948E05_8F34_4F1E_96FB_A80A6A844600_.wvu.Rows" localSheetId="0" hidden="1">'Appendix A'!#REF!</definedName>
    <definedName name="Z_3A38DF7A_C35E_4DD3_9893_26310A3EF836_.wvu.Cols" localSheetId="9" hidden="1">'7 -TEC'!#REF!</definedName>
    <definedName name="Z_3A38DF7A_C35E_4DD3_9893_26310A3EF836_.wvu.PrintArea" localSheetId="4" hidden="1">'3 - Revenue Credits'!$A$2:$D$38</definedName>
    <definedName name="Z_3A38DF7A_C35E_4DD3_9893_26310A3EF836_.wvu.PrintArea" localSheetId="0" hidden="1">'Appendix A'!$A$2:$H$300</definedName>
    <definedName name="Z_3A38DF7A_C35E_4DD3_9893_26310A3EF836_.wvu.PrintTitles" localSheetId="9" hidden="1">'7 -TEC'!$C:$D</definedName>
    <definedName name="Z_3A38DF7A_C35E_4DD3_9893_26310A3EF836_.wvu.Rows" localSheetId="5" hidden="1">'4 - 100 Basis Pt ROE'!#REF!</definedName>
    <definedName name="Z_416404B7_8533_4A12_ABD0_58CFDEB49D80_.wvu.PrintArea" localSheetId="4" hidden="1">'3 - Revenue Credits'!$A$2:$D$44</definedName>
    <definedName name="Z_416404B7_8533_4A12_ABD0_58CFDEB49D80_.wvu.PrintArea" localSheetId="6" hidden="1">'5 - Cost Support'!$A$1:$U$232</definedName>
    <definedName name="Z_416404B7_8533_4A12_ABD0_58CFDEB49D80_.wvu.PrintArea" localSheetId="7" hidden="1">'6- True-Up Adjustment '!$A$1:$K$102</definedName>
    <definedName name="Z_416404B7_8533_4A12_ABD0_58CFDEB49D80_.wvu.PrintArea" localSheetId="8" hidden="1">'6A-Estimate &amp; Reconcile'!$A$1:$AS$71</definedName>
    <definedName name="Z_416404B7_8533_4A12_ABD0_58CFDEB49D80_.wvu.PrintArea" localSheetId="9" hidden="1">'7 -TEC'!$E$1:$DR$56</definedName>
    <definedName name="Z_416404B7_8533_4A12_ABD0_58CFDEB49D80_.wvu.PrintArea" localSheetId="2" hidden="1">'ADITI-ADIT'!$A$1:$G$192</definedName>
    <definedName name="Z_416404B7_8533_4A12_ABD0_58CFDEB49D80_.wvu.PrintArea" localSheetId="0" hidden="1">'Appendix A'!$A$3:$H$305</definedName>
    <definedName name="Z_416404B7_8533_4A12_ABD0_58CFDEB49D80_.wvu.PrintArea" localSheetId="3" hidden="1">'ATT 2 - Other Taxes'!$A$1:$H$68</definedName>
    <definedName name="Z_416404B7_8533_4A12_ABD0_58CFDEB49D80_.wvu.PrintArea" localSheetId="1" hidden="1">'ATT1A-ADIT '!$A$1:$G$120</definedName>
    <definedName name="Z_416404B7_8533_4A12_ABD0_58CFDEB49D80_.wvu.PrintTitles" localSheetId="6" hidden="1">'5 - Cost Support'!$1:$4</definedName>
    <definedName name="Z_416404B7_8533_4A12_ABD0_58CFDEB49D80_.wvu.PrintTitles" localSheetId="8" hidden="1">'6A-Estimate &amp; Reconcile'!$1:$5</definedName>
    <definedName name="Z_416404B7_8533_4A12_ABD0_58CFDEB49D80_.wvu.PrintTitles" localSheetId="9" hidden="1">'7 -TEC'!$A:$D,'7 -TEC'!$1:$27</definedName>
    <definedName name="Z_416404B7_8533_4A12_ABD0_58CFDEB49D80_.wvu.PrintTitles" localSheetId="0" hidden="1">'Appendix A'!$2:$6</definedName>
    <definedName name="Z_4C7C2344_134C_465A_ADEB_A5E96AAE2308_.wvu.Cols" localSheetId="9" hidden="1">'7 -TEC'!#REF!</definedName>
    <definedName name="Z_4C7C2344_134C_465A_ADEB_A5E96AAE2308_.wvu.PrintArea" localSheetId="4" hidden="1">'3 - Revenue Credits'!$A$2:$D$38</definedName>
    <definedName name="Z_4C7C2344_134C_465A_ADEB_A5E96AAE2308_.wvu.PrintArea" localSheetId="0" hidden="1">'Appendix A'!$A$2:$H$300</definedName>
    <definedName name="Z_4C7C2344_134C_465A_ADEB_A5E96AAE2308_.wvu.PrintTitles" localSheetId="9" hidden="1">'7 -TEC'!$C:$D</definedName>
    <definedName name="Z_4C7C2344_134C_465A_ADEB_A5E96AAE2308_.wvu.Rows" localSheetId="5" hidden="1">'4 - 100 Basis Pt ROE'!#REF!</definedName>
    <definedName name="Z_63011E91_4609_4523_98FE_FD252E915668_.wvu.Cols" localSheetId="2" hidden="1">'ADITI-ADIT'!#REF!</definedName>
    <definedName name="Z_63011E91_4609_4523_98FE_FD252E915668_.wvu.Cols" localSheetId="1" hidden="1">'ATT1A-ADIT '!#REF!</definedName>
    <definedName name="Z_63011E91_4609_4523_98FE_FD252E915668_.wvu.PrintArea" localSheetId="2" hidden="1">'ADITI-ADIT'!$A$1:$G$179</definedName>
    <definedName name="Z_63011E91_4609_4523_98FE_FD252E915668_.wvu.PrintArea" localSheetId="1" hidden="1">'ATT1A-ADIT '!$A$1:$G$110</definedName>
    <definedName name="Z_6928E596_79BD_4CEC_9F0D_07E62D69B2A5_.wvu.Cols" localSheetId="2" hidden="1">'ADITI-ADIT'!#REF!</definedName>
    <definedName name="Z_6928E596_79BD_4CEC_9F0D_07E62D69B2A5_.wvu.Cols" localSheetId="1" hidden="1">'ATT1A-ADIT '!#REF!</definedName>
    <definedName name="Z_6928E596_79BD_4CEC_9F0D_07E62D69B2A5_.wvu.PrintArea" localSheetId="2" hidden="1">'ADITI-ADIT'!$A$1:$G$179</definedName>
    <definedName name="Z_6928E596_79BD_4CEC_9F0D_07E62D69B2A5_.wvu.PrintArea" localSheetId="1" hidden="1">'ATT1A-ADIT '!$A$1:$G$110</definedName>
    <definedName name="Z_71B42B22_A376_44B5_B0C1_23FC1AA3DBA2_.wvu.Cols" localSheetId="9" hidden="1">'7 -TEC'!#REF!</definedName>
    <definedName name="Z_71B42B22_A376_44B5_B0C1_23FC1AA3DBA2_.wvu.Cols" localSheetId="2" hidden="1">'ADITI-ADIT'!#REF!</definedName>
    <definedName name="Z_71B42B22_A376_44B5_B0C1_23FC1AA3DBA2_.wvu.Cols" localSheetId="1" hidden="1">'ATT1A-ADIT '!#REF!</definedName>
    <definedName name="Z_71B42B22_A376_44B5_B0C1_23FC1AA3DBA2_.wvu.PrintArea" localSheetId="4" hidden="1">'3 - Revenue Credits'!$A$2:$D$38</definedName>
    <definedName name="Z_71B42B22_A376_44B5_B0C1_23FC1AA3DBA2_.wvu.PrintArea" localSheetId="2" hidden="1">'ADITI-ADIT'!$A$1:$G$179</definedName>
    <definedName name="Z_71B42B22_A376_44B5_B0C1_23FC1AA3DBA2_.wvu.PrintArea" localSheetId="0" hidden="1">'Appendix A'!$A$2:$H$300</definedName>
    <definedName name="Z_71B42B22_A376_44B5_B0C1_23FC1AA3DBA2_.wvu.PrintArea" localSheetId="1" hidden="1">'ATT1A-ADIT '!$A$1:$G$110</definedName>
    <definedName name="Z_71B42B22_A376_44B5_B0C1_23FC1AA3DBA2_.wvu.PrintTitles" localSheetId="9" hidden="1">'7 -TEC'!$C:$D</definedName>
    <definedName name="Z_71B42B22_A376_44B5_B0C1_23FC1AA3DBA2_.wvu.Rows" localSheetId="5" hidden="1">'4 - 100 Basis Pt ROE'!#REF!,'4 - 100 Basis Pt ROE'!#REF!</definedName>
    <definedName name="Z_71B42B22_A376_44B5_B0C1_23FC1AA3DBA2_.wvu.Rows" localSheetId="0" hidden="1">'Appendix A'!#REF!</definedName>
    <definedName name="Z_8FBB4DC9_2D51_4AB9_80D8_F8474B404C29_.wvu.Cols" localSheetId="2" hidden="1">'ADITI-ADIT'!#REF!</definedName>
    <definedName name="Z_8FBB4DC9_2D51_4AB9_80D8_F8474B404C29_.wvu.Cols" localSheetId="1" hidden="1">'ATT1A-ADIT '!#REF!</definedName>
    <definedName name="Z_8FBB4DC9_2D51_4AB9_80D8_F8474B404C29_.wvu.PrintArea" localSheetId="2" hidden="1">'ADITI-ADIT'!$A$1:$G$179</definedName>
    <definedName name="Z_8FBB4DC9_2D51_4AB9_80D8_F8474B404C29_.wvu.PrintArea" localSheetId="1" hidden="1">'ATT1A-ADIT '!$A$1:$G$110</definedName>
    <definedName name="Z_B647CB7F_C846_4278_B6B1_1EF7F3C004F5_.wvu.Cols" localSheetId="2" hidden="1">'ADITI-ADIT'!#REF!</definedName>
    <definedName name="Z_B647CB7F_C846_4278_B6B1_1EF7F3C004F5_.wvu.Cols" localSheetId="1" hidden="1">'ATT1A-ADIT '!#REF!</definedName>
    <definedName name="Z_B647CB7F_C846_4278_B6B1_1EF7F3C004F5_.wvu.PrintArea" localSheetId="2" hidden="1">'ADITI-ADIT'!$A$1:$G$179</definedName>
    <definedName name="Z_B647CB7F_C846_4278_B6B1_1EF7F3C004F5_.wvu.PrintArea" localSheetId="1" hidden="1">'ATT1A-ADIT '!$A$1:$G$110</definedName>
    <definedName name="Z_DA967730_B71F_4038_B1B7_9D4790729C5D_.wvu.Cols" localSheetId="9" hidden="1">'7 -TEC'!#REF!</definedName>
    <definedName name="Z_DA967730_B71F_4038_B1B7_9D4790729C5D_.wvu.PrintArea" localSheetId="4" hidden="1">'3 - Revenue Credits'!$A$2:$D$38</definedName>
    <definedName name="Z_DA967730_B71F_4038_B1B7_9D4790729C5D_.wvu.PrintArea" localSheetId="0" hidden="1">'Appendix A'!$A$2:$H$300</definedName>
    <definedName name="Z_DA967730_B71F_4038_B1B7_9D4790729C5D_.wvu.PrintTitles" localSheetId="9" hidden="1">'7 -TEC'!$C:$D</definedName>
    <definedName name="Z_DA967730_B71F_4038_B1B7_9D4790729C5D_.wvu.Rows" localSheetId="5" hidden="1">'4 - 100 Basis Pt ROE'!#REF!</definedName>
    <definedName name="Z_DC91DEF3_837B_4BB9_A81E_3B78C5914E6C_.wvu.Cols" localSheetId="9" hidden="1">'7 -TEC'!#REF!</definedName>
    <definedName name="Z_DC91DEF3_837B_4BB9_A81E_3B78C5914E6C_.wvu.Cols" localSheetId="2" hidden="1">'ADITI-ADIT'!#REF!</definedName>
    <definedName name="Z_DC91DEF3_837B_4BB9_A81E_3B78C5914E6C_.wvu.Cols" localSheetId="1" hidden="1">'ATT1A-ADIT '!#REF!</definedName>
    <definedName name="Z_DC91DEF3_837B_4BB9_A81E_3B78C5914E6C_.wvu.PrintArea" localSheetId="4" hidden="1">'3 - Revenue Credits'!$A$2:$D$38</definedName>
    <definedName name="Z_DC91DEF3_837B_4BB9_A81E_3B78C5914E6C_.wvu.PrintArea" localSheetId="2" hidden="1">'ADITI-ADIT'!$A$1:$G$179</definedName>
    <definedName name="Z_DC91DEF3_837B_4BB9_A81E_3B78C5914E6C_.wvu.PrintArea" localSheetId="0" hidden="1">'Appendix A'!$A$2:$H$300</definedName>
    <definedName name="Z_DC91DEF3_837B_4BB9_A81E_3B78C5914E6C_.wvu.PrintArea" localSheetId="1" hidden="1">'ATT1A-ADIT '!$A$1:$G$110</definedName>
    <definedName name="Z_DC91DEF3_837B_4BB9_A81E_3B78C5914E6C_.wvu.PrintTitles" localSheetId="9" hidden="1">'7 -TEC'!$C:$D</definedName>
    <definedName name="Z_DC91DEF3_837B_4BB9_A81E_3B78C5914E6C_.wvu.Rows" localSheetId="5" hidden="1">'4 - 100 Basis Pt ROE'!#REF!</definedName>
    <definedName name="Z_F96D6087_3330_4A81_95EC_26BA83722A49_.wvu.Cols" localSheetId="9" hidden="1">'7 -TEC'!#REF!</definedName>
    <definedName name="Z_F96D6087_3330_4A81_95EC_26BA83722A49_.wvu.PrintArea" localSheetId="4" hidden="1">'3 - Revenue Credits'!$A$2:$D$38</definedName>
    <definedName name="Z_F96D6087_3330_4A81_95EC_26BA83722A49_.wvu.PrintArea" localSheetId="0" hidden="1">'Appendix A'!$A$2:$H$300</definedName>
    <definedName name="Z_F96D6087_3330_4A81_95EC_26BA83722A49_.wvu.PrintTitles" localSheetId="9" hidden="1">'7 -TEC'!$C:$D</definedName>
    <definedName name="Z_F96D6087_3330_4A81_95EC_26BA83722A49_.wvu.Rows" localSheetId="5" hidden="1">'4 - 100 Basis Pt ROE'!#REF!</definedName>
    <definedName name="Z_FAAD9AAC_1337_43AB_BF1F_CCF9DFCF5B78_.wvu.Cols" localSheetId="9" hidden="1">'7 -TEC'!#REF!</definedName>
    <definedName name="Z_FAAD9AAC_1337_43AB_BF1F_CCF9DFCF5B78_.wvu.Cols" localSheetId="2" hidden="1">'ADITI-ADIT'!#REF!</definedName>
    <definedName name="Z_FAAD9AAC_1337_43AB_BF1F_CCF9DFCF5B78_.wvu.Cols" localSheetId="1" hidden="1">'ATT1A-ADIT '!#REF!</definedName>
    <definedName name="Z_FAAD9AAC_1337_43AB_BF1F_CCF9DFCF5B78_.wvu.PrintArea" localSheetId="4" hidden="1">'3 - Revenue Credits'!$A$2:$D$38</definedName>
    <definedName name="Z_FAAD9AAC_1337_43AB_BF1F_CCF9DFCF5B78_.wvu.PrintArea" localSheetId="2" hidden="1">'ADITI-ADIT'!$A$1:$G$179</definedName>
    <definedName name="Z_FAAD9AAC_1337_43AB_BF1F_CCF9DFCF5B78_.wvu.PrintArea" localSheetId="0" hidden="1">'Appendix A'!$A$2:$H$300</definedName>
    <definedName name="Z_FAAD9AAC_1337_43AB_BF1F_CCF9DFCF5B78_.wvu.PrintArea" localSheetId="1" hidden="1">'ATT1A-ADIT '!$A$1:$G$110</definedName>
    <definedName name="Z_FAAD9AAC_1337_43AB_BF1F_CCF9DFCF5B78_.wvu.PrintTitles" localSheetId="9" hidden="1">'7 -TEC'!$C:$D</definedName>
    <definedName name="Z_FAAD9AAC_1337_43AB_BF1F_CCF9DFCF5B78_.wvu.Rows" localSheetId="5" hidden="1">'4 - 100 Basis Pt ROE'!#REF!</definedName>
  </definedNames>
  <calcPr calcId="145621"/>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workbook>
</file>

<file path=xl/calcChain.xml><?xml version="1.0" encoding="utf-8"?>
<calcChain xmlns="http://schemas.openxmlformats.org/spreadsheetml/2006/main">
  <c r="B181" i="14" l="1"/>
  <c r="B182" i="14"/>
  <c r="B170" i="14"/>
  <c r="B171" i="14"/>
  <c r="B172" i="14"/>
  <c r="B173" i="14"/>
  <c r="B174" i="14"/>
  <c r="B175" i="14"/>
  <c r="B176" i="14"/>
  <c r="B177" i="14"/>
  <c r="B178" i="14"/>
  <c r="B179" i="14"/>
  <c r="B180"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45" i="14"/>
  <c r="B144" i="14"/>
  <c r="B94" i="14"/>
  <c r="B95" i="14"/>
  <c r="B96" i="14"/>
  <c r="B97" i="14"/>
  <c r="B93" i="14"/>
  <c r="B92" i="14"/>
  <c r="B43" i="14"/>
  <c r="B44" i="14"/>
  <c r="B45" i="14"/>
  <c r="B46" i="14"/>
  <c r="B47" i="14"/>
  <c r="B48" i="14"/>
  <c r="B49" i="14"/>
  <c r="B50" i="14"/>
  <c r="B51" i="14"/>
  <c r="B52" i="14"/>
  <c r="B53" i="14"/>
  <c r="B54" i="14"/>
  <c r="B55" i="14"/>
  <c r="B57" i="14"/>
  <c r="B58" i="14"/>
  <c r="B59" i="14"/>
  <c r="B60" i="14"/>
  <c r="B61" i="14"/>
  <c r="B62" i="14"/>
  <c r="B63" i="14"/>
  <c r="B33" i="14"/>
  <c r="B34" i="14"/>
  <c r="B36" i="14"/>
  <c r="B37" i="14"/>
  <c r="B38" i="14"/>
  <c r="B39" i="14"/>
  <c r="B40" i="14"/>
  <c r="B41" i="14"/>
  <c r="B42" i="14"/>
  <c r="B32" i="14"/>
  <c r="B31" i="14"/>
  <c r="B73" i="2"/>
  <c r="B72" i="2"/>
  <c r="B71" i="2"/>
  <c r="B38" i="2"/>
  <c r="B39" i="2"/>
  <c r="B40" i="2"/>
  <c r="B41" i="2"/>
  <c r="B42" i="2"/>
  <c r="B35" i="2"/>
  <c r="B36" i="2"/>
  <c r="B37" i="2"/>
  <c r="B32" i="2"/>
  <c r="B33" i="2"/>
  <c r="B34" i="2"/>
  <c r="B31" i="2"/>
  <c r="H274" i="1" l="1"/>
  <c r="C17" i="2" l="1"/>
  <c r="A52" i="8" l="1"/>
  <c r="D32" i="5" l="1"/>
  <c r="CH36" i="10" l="1"/>
  <c r="GC35" i="10"/>
  <c r="FZ35" i="10"/>
  <c r="FW35" i="10"/>
  <c r="FT35" i="10"/>
  <c r="FQ35" i="10"/>
  <c r="FN35" i="10"/>
  <c r="FK35" i="10"/>
  <c r="FH35" i="10"/>
  <c r="FE35" i="10"/>
  <c r="FB35" i="10"/>
  <c r="EY35" i="10"/>
  <c r="EV35" i="10"/>
  <c r="ES35" i="10"/>
  <c r="EP35" i="10"/>
  <c r="EM35" i="10"/>
  <c r="EJ35" i="10"/>
  <c r="EG35" i="10"/>
  <c r="ED35" i="10"/>
  <c r="EA35" i="10"/>
  <c r="DX35" i="10"/>
  <c r="DU35" i="10"/>
  <c r="DR35" i="10"/>
  <c r="DO37" i="10"/>
  <c r="DI35" i="10"/>
  <c r="DF35" i="10"/>
  <c r="DC37" i="10"/>
  <c r="CW37" i="10"/>
  <c r="CZ35" i="10"/>
  <c r="CH56" i="10" l="1"/>
  <c r="CH57" i="10" s="1"/>
  <c r="BQ57" i="10"/>
  <c r="BP57" i="10"/>
  <c r="BN57" i="10"/>
  <c r="BM57" i="10"/>
  <c r="FN56" i="10"/>
  <c r="DR56" i="10"/>
  <c r="DF56" i="10"/>
  <c r="R56" i="10"/>
  <c r="R57" i="10" s="1"/>
  <c r="GJ55" i="10"/>
  <c r="GK54" i="10"/>
  <c r="GJ53" i="10"/>
  <c r="GK52" i="10"/>
  <c r="GJ51" i="10"/>
  <c r="GL50" i="10"/>
  <c r="GK50" i="10"/>
  <c r="GJ49" i="10"/>
  <c r="GK48" i="10"/>
  <c r="GJ47" i="10"/>
  <c r="GK46" i="10"/>
  <c r="GJ45" i="10"/>
  <c r="GK44" i="10"/>
  <c r="GJ43" i="10"/>
  <c r="C43" i="10"/>
  <c r="C45" i="10" s="1"/>
  <c r="C47" i="10" s="1"/>
  <c r="C49" i="10" s="1"/>
  <c r="C51" i="10" s="1"/>
  <c r="C53" i="10" s="1"/>
  <c r="C55" i="10" s="1"/>
  <c r="C57" i="10" s="1"/>
  <c r="GK42" i="10"/>
  <c r="D42" i="10"/>
  <c r="D44" i="10" s="1"/>
  <c r="D46" i="10" s="1"/>
  <c r="D48" i="10" s="1"/>
  <c r="D50" i="10" s="1"/>
  <c r="D52" i="10" s="1"/>
  <c r="D54" i="10" s="1"/>
  <c r="GJ41" i="10"/>
  <c r="D41" i="10"/>
  <c r="D43" i="10" s="1"/>
  <c r="D45" i="10" s="1"/>
  <c r="D47" i="10" s="1"/>
  <c r="D49" i="10" s="1"/>
  <c r="D51" i="10" s="1"/>
  <c r="D53" i="10" s="1"/>
  <c r="D55" i="10" s="1"/>
  <c r="GK40" i="10"/>
  <c r="C42" i="10"/>
  <c r="C44" i="10" s="1"/>
  <c r="C46" i="10" s="1"/>
  <c r="C48" i="10" s="1"/>
  <c r="C50" i="10" s="1"/>
  <c r="C52" i="10" s="1"/>
  <c r="C54" i="10" s="1"/>
  <c r="C56" i="10" s="1"/>
  <c r="A40" i="10"/>
  <c r="A41" i="10" s="1"/>
  <c r="A42" i="10" s="1"/>
  <c r="A43" i="10" s="1"/>
  <c r="A44" i="10" s="1"/>
  <c r="A45" i="10" s="1"/>
  <c r="A46" i="10" s="1"/>
  <c r="A47" i="10" s="1"/>
  <c r="A48" i="10" s="1"/>
  <c r="A49" i="10" s="1"/>
  <c r="A50" i="10" s="1"/>
  <c r="A51" i="10" s="1"/>
  <c r="A52" i="10" s="1"/>
  <c r="A53" i="10" s="1"/>
  <c r="A54" i="10" s="1"/>
  <c r="A55" i="10" s="1"/>
  <c r="A56" i="10" s="1"/>
  <c r="A57" i="10" s="1"/>
  <c r="GC36" i="10"/>
  <c r="FW36" i="10"/>
  <c r="FT36" i="10"/>
  <c r="FQ36" i="10"/>
  <c r="FE36" i="10"/>
  <c r="EY36" i="10"/>
  <c r="ES36" i="10"/>
  <c r="EM36" i="10"/>
  <c r="EG36" i="10"/>
  <c r="EA36" i="10"/>
  <c r="DU36" i="10"/>
  <c r="BP36" i="10"/>
  <c r="BM36" i="10"/>
  <c r="GC56" i="10"/>
  <c r="GC57" i="10" s="1"/>
  <c r="FW56" i="10"/>
  <c r="FT56" i="10"/>
  <c r="FQ56" i="10"/>
  <c r="FQ57" i="10" s="1"/>
  <c r="FN36" i="10"/>
  <c r="FK56" i="10"/>
  <c r="FH56" i="10"/>
  <c r="FE56" i="10"/>
  <c r="FE57" i="10" s="1"/>
  <c r="EY56" i="10"/>
  <c r="ES56" i="10"/>
  <c r="ES57" i="10" s="1"/>
  <c r="EM56" i="10"/>
  <c r="EJ56" i="10"/>
  <c r="EG56" i="10"/>
  <c r="EG57" i="10" s="1"/>
  <c r="EA56" i="10"/>
  <c r="DX56" i="10"/>
  <c r="DU56" i="10"/>
  <c r="DU57" i="10" s="1"/>
  <c r="DR36" i="10"/>
  <c r="DI56" i="10"/>
  <c r="DI57" i="10" s="1"/>
  <c r="DF36" i="10"/>
  <c r="CQ56" i="10"/>
  <c r="CN56" i="10"/>
  <c r="CN57" i="10" s="1"/>
  <c r="CK56" i="10"/>
  <c r="CK57" i="10" s="1"/>
  <c r="CE56" i="10"/>
  <c r="CB56" i="10"/>
  <c r="BY56" i="10"/>
  <c r="BY57" i="10" s="1"/>
  <c r="BS56" i="10"/>
  <c r="BG56" i="10"/>
  <c r="BA56" i="10"/>
  <c r="BA57" i="10" s="1"/>
  <c r="AX36" i="10"/>
  <c r="AY56" i="10" s="1"/>
  <c r="AY57" i="10" s="1"/>
  <c r="AU36" i="10"/>
  <c r="AV56" i="10" s="1"/>
  <c r="AV57" i="10" s="1"/>
  <c r="AR56" i="10"/>
  <c r="AO56" i="10"/>
  <c r="AI56" i="10"/>
  <c r="AF56" i="10"/>
  <c r="AF57" i="10" s="1"/>
  <c r="AC56" i="10"/>
  <c r="AC57" i="10" s="1"/>
  <c r="W56" i="10"/>
  <c r="T56" i="10"/>
  <c r="Q56" i="10"/>
  <c r="Q57" i="10" s="1"/>
  <c r="N56" i="10"/>
  <c r="K56" i="10"/>
  <c r="H56" i="10"/>
  <c r="E56" i="10"/>
  <c r="DI32" i="10"/>
  <c r="DI31" i="10"/>
  <c r="DI30" i="10"/>
  <c r="DI36" i="10" s="1"/>
  <c r="DI29" i="10"/>
  <c r="A29" i="10"/>
  <c r="A30" i="10" s="1"/>
  <c r="A31" i="10" s="1"/>
  <c r="A32" i="10" s="1"/>
  <c r="A33" i="10" s="1"/>
  <c r="A34" i="10" s="1"/>
  <c r="A35" i="10" s="1"/>
  <c r="A36" i="10" s="1"/>
  <c r="A37" i="10" s="1"/>
  <c r="AU52" i="9"/>
  <c r="AU51" i="9"/>
  <c r="AW50" i="9"/>
  <c r="AW51" i="9" s="1"/>
  <c r="AW52" i="9" s="1"/>
  <c r="AU50" i="9"/>
  <c r="AU49" i="9"/>
  <c r="AU48" i="9"/>
  <c r="AU47" i="9"/>
  <c r="AV46" i="9"/>
  <c r="AV47" i="9" s="1"/>
  <c r="AV48" i="9" s="1"/>
  <c r="AV49" i="9" s="1"/>
  <c r="AV50" i="9" s="1"/>
  <c r="AV51" i="9" s="1"/>
  <c r="AV52" i="9" s="1"/>
  <c r="AU46" i="9"/>
  <c r="AU45" i="9"/>
  <c r="AU44" i="9"/>
  <c r="AU43" i="9"/>
  <c r="AU42" i="9"/>
  <c r="CI45" i="9"/>
  <c r="CI46" i="9" s="1"/>
  <c r="CI47" i="9" s="1"/>
  <c r="CI48" i="9" s="1"/>
  <c r="CI49" i="9" s="1"/>
  <c r="CI50" i="9" s="1"/>
  <c r="CI51" i="9" s="1"/>
  <c r="CI52" i="9" s="1"/>
  <c r="AU41" i="9"/>
  <c r="CH45" i="9"/>
  <c r="CH46" i="9" s="1"/>
  <c r="CH47" i="9" s="1"/>
  <c r="CH48" i="9" s="1"/>
  <c r="CH49" i="9" s="1"/>
  <c r="CH50" i="9" s="1"/>
  <c r="CH51" i="9" s="1"/>
  <c r="CH52" i="9" s="1"/>
  <c r="CD45" i="9"/>
  <c r="CD46" i="9" s="1"/>
  <c r="CD47" i="9" s="1"/>
  <c r="CD48" i="9" s="1"/>
  <c r="CD49" i="9" s="1"/>
  <c r="CD50" i="9" s="1"/>
  <c r="CD51" i="9" s="1"/>
  <c r="CD52" i="9" s="1"/>
  <c r="CB45" i="9"/>
  <c r="CB46" i="9" s="1"/>
  <c r="CB47" i="9" s="1"/>
  <c r="CB48" i="9" s="1"/>
  <c r="CB49" i="9" s="1"/>
  <c r="CB50" i="9" s="1"/>
  <c r="CB51" i="9" s="1"/>
  <c r="CB52" i="9" s="1"/>
  <c r="CA45" i="9"/>
  <c r="CA46" i="9" s="1"/>
  <c r="CA47" i="9" s="1"/>
  <c r="CA48" i="9" s="1"/>
  <c r="CA49" i="9" s="1"/>
  <c r="CA50" i="9" s="1"/>
  <c r="CA51" i="9" s="1"/>
  <c r="CA52" i="9" s="1"/>
  <c r="BZ45" i="9"/>
  <c r="BZ46" i="9" s="1"/>
  <c r="BZ47" i="9" s="1"/>
  <c r="BZ48" i="9" s="1"/>
  <c r="BZ49" i="9" s="1"/>
  <c r="BZ50" i="9" s="1"/>
  <c r="BZ51" i="9" s="1"/>
  <c r="BZ52" i="9" s="1"/>
  <c r="BV45" i="9"/>
  <c r="BV46" i="9" s="1"/>
  <c r="BV47" i="9" s="1"/>
  <c r="BV48" i="9" s="1"/>
  <c r="BV49" i="9" s="1"/>
  <c r="BV50" i="9" s="1"/>
  <c r="BV51" i="9" s="1"/>
  <c r="BV52" i="9" s="1"/>
  <c r="BT45" i="9"/>
  <c r="BT46" i="9" s="1"/>
  <c r="BT47" i="9" s="1"/>
  <c r="BT48" i="9" s="1"/>
  <c r="BT49" i="9" s="1"/>
  <c r="BT50" i="9" s="1"/>
  <c r="BT51" i="9" s="1"/>
  <c r="BT52" i="9" s="1"/>
  <c r="BR45" i="9"/>
  <c r="BR46" i="9" s="1"/>
  <c r="BR47" i="9" s="1"/>
  <c r="BR48" i="9" s="1"/>
  <c r="BR49" i="9" s="1"/>
  <c r="BR50" i="9" s="1"/>
  <c r="BR51" i="9" s="1"/>
  <c r="BR52" i="9" s="1"/>
  <c r="BP40" i="9"/>
  <c r="BO40" i="9"/>
  <c r="BO41" i="9" s="1"/>
  <c r="BO42" i="9" s="1"/>
  <c r="BO43" i="9" s="1"/>
  <c r="BO44" i="9" s="1"/>
  <c r="BO45" i="9" s="1"/>
  <c r="BO46" i="9" s="1"/>
  <c r="BO47" i="9" s="1"/>
  <c r="BO48" i="9" s="1"/>
  <c r="BO49" i="9" s="1"/>
  <c r="BO50" i="9" s="1"/>
  <c r="BO51" i="9" s="1"/>
  <c r="BO52" i="9" s="1"/>
  <c r="BN40" i="9"/>
  <c r="BN41" i="9" s="1"/>
  <c r="BN42" i="9" s="1"/>
  <c r="BN43" i="9" s="1"/>
  <c r="BN44" i="9" s="1"/>
  <c r="BN45" i="9" s="1"/>
  <c r="BN46" i="9" s="1"/>
  <c r="BN47" i="9" s="1"/>
  <c r="BM40" i="9"/>
  <c r="BL40" i="9"/>
  <c r="BK40" i="9"/>
  <c r="BK41" i="9" s="1"/>
  <c r="BK42" i="9" s="1"/>
  <c r="BK43" i="9" s="1"/>
  <c r="BK44" i="9" s="1"/>
  <c r="BK45" i="9" s="1"/>
  <c r="BK46" i="9" s="1"/>
  <c r="BK47" i="9" s="1"/>
  <c r="BK48" i="9" s="1"/>
  <c r="BK49" i="9" s="1"/>
  <c r="BK50" i="9" s="1"/>
  <c r="BK51" i="9" s="1"/>
  <c r="BK52" i="9" s="1"/>
  <c r="BJ40" i="9"/>
  <c r="BJ41" i="9" s="1"/>
  <c r="BJ42" i="9" s="1"/>
  <c r="BJ43" i="9" s="1"/>
  <c r="BJ44" i="9" s="1"/>
  <c r="BJ46" i="9" s="1"/>
  <c r="BI40" i="9"/>
  <c r="BI41" i="9" s="1"/>
  <c r="BI42" i="9" s="1"/>
  <c r="BI43" i="9" s="1"/>
  <c r="BI44" i="9" s="1"/>
  <c r="BI45" i="9" s="1"/>
  <c r="BI46" i="9" s="1"/>
  <c r="BI47" i="9" s="1"/>
  <c r="BI48" i="9" s="1"/>
  <c r="BI49" i="9" s="1"/>
  <c r="BI50" i="9" s="1"/>
  <c r="BI51" i="9" s="1"/>
  <c r="BI52" i="9" s="1"/>
  <c r="BH40" i="9"/>
  <c r="BG40" i="9"/>
  <c r="BG41" i="9" s="1"/>
  <c r="BF40" i="9"/>
  <c r="BF41" i="9" s="1"/>
  <c r="BF42" i="9" s="1"/>
  <c r="BF43" i="9" s="1"/>
  <c r="BF44" i="9" s="1"/>
  <c r="BF45" i="9" s="1"/>
  <c r="BF46" i="9" s="1"/>
  <c r="BF47" i="9" s="1"/>
  <c r="BF48" i="9" s="1"/>
  <c r="BF49" i="9" s="1"/>
  <c r="BF50" i="9" s="1"/>
  <c r="BF51" i="9" s="1"/>
  <c r="BF52" i="9" s="1"/>
  <c r="BE40" i="9"/>
  <c r="BD40" i="9"/>
  <c r="BC40" i="9"/>
  <c r="BB40" i="9"/>
  <c r="BB41" i="9" s="1"/>
  <c r="BB42" i="9" s="1"/>
  <c r="BB43" i="9" s="1"/>
  <c r="BB44" i="9" s="1"/>
  <c r="BB45" i="9" s="1"/>
  <c r="BB46" i="9" s="1"/>
  <c r="BB47" i="9" s="1"/>
  <c r="BB48" i="9" s="1"/>
  <c r="BB49" i="9" s="1"/>
  <c r="BB50" i="9" s="1"/>
  <c r="BB51" i="9" s="1"/>
  <c r="BB52" i="9" s="1"/>
  <c r="BA40" i="9"/>
  <c r="BA41" i="9" s="1"/>
  <c r="BA42" i="9" s="1"/>
  <c r="BA43" i="9" s="1"/>
  <c r="BA44" i="9" s="1"/>
  <c r="BA45" i="9" s="1"/>
  <c r="BA46" i="9" s="1"/>
  <c r="BA47" i="9" s="1"/>
  <c r="BA48" i="9" s="1"/>
  <c r="BA49" i="9" s="1"/>
  <c r="BA50" i="9" s="1"/>
  <c r="BA51" i="9" s="1"/>
  <c r="BA52" i="9" s="1"/>
  <c r="AX40" i="9"/>
  <c r="AU53" i="9" l="1"/>
  <c r="AI36" i="10"/>
  <c r="AJ56" i="10" s="1"/>
  <c r="AJ57" i="10" s="1"/>
  <c r="AU56" i="10"/>
  <c r="AU57" i="10" s="1"/>
  <c r="GL45" i="10"/>
  <c r="H36" i="10"/>
  <c r="I56" i="10" s="1"/>
  <c r="I57" i="10" s="1"/>
  <c r="GL43" i="10"/>
  <c r="GL41" i="10"/>
  <c r="GL49" i="10"/>
  <c r="BG36" i="10"/>
  <c r="GL51" i="10"/>
  <c r="CE36" i="10"/>
  <c r="AR36" i="10"/>
  <c r="AS56" i="10" s="1"/>
  <c r="AS57" i="10" s="1"/>
  <c r="W36" i="10"/>
  <c r="X56" i="10" s="1"/>
  <c r="X57" i="10" s="1"/>
  <c r="CQ36" i="10"/>
  <c r="T36" i="10"/>
  <c r="U56" i="10" s="1"/>
  <c r="U57" i="10" s="1"/>
  <c r="CK36" i="10"/>
  <c r="AC36" i="10"/>
  <c r="AD56" i="10" s="1"/>
  <c r="AD57" i="10" s="1"/>
  <c r="BA36" i="10"/>
  <c r="BB56" i="10" s="1"/>
  <c r="BB57" i="10" s="1"/>
  <c r="BY36" i="10"/>
  <c r="GL55" i="10"/>
  <c r="GL47" i="10"/>
  <c r="H57" i="10"/>
  <c r="N57" i="10"/>
  <c r="Z36" i="10"/>
  <c r="AA56" i="10" s="1"/>
  <c r="AA57" i="10" s="1"/>
  <c r="Z56" i="10"/>
  <c r="AL56" i="10"/>
  <c r="AL36" i="10"/>
  <c r="AM56" i="10" s="1"/>
  <c r="AM57" i="10" s="1"/>
  <c r="BJ36" i="10"/>
  <c r="BK56" i="10" s="1"/>
  <c r="BK57" i="10" s="1"/>
  <c r="BJ56" i="10"/>
  <c r="CZ56" i="10"/>
  <c r="CZ36" i="10"/>
  <c r="DX57" i="10"/>
  <c r="EJ57" i="10"/>
  <c r="EV56" i="10"/>
  <c r="EV36" i="10"/>
  <c r="FH57" i="10"/>
  <c r="FT57" i="10"/>
  <c r="EJ36" i="10"/>
  <c r="DF57" i="10"/>
  <c r="FN57" i="10"/>
  <c r="DX36" i="10"/>
  <c r="FH36" i="10"/>
  <c r="DR57" i="10"/>
  <c r="CB57" i="10"/>
  <c r="T57" i="10"/>
  <c r="AR57" i="10"/>
  <c r="BD56" i="10"/>
  <c r="BD36" i="10"/>
  <c r="BE56" i="10" s="1"/>
  <c r="BE57" i="10" s="1"/>
  <c r="BV56" i="10"/>
  <c r="BV36" i="10"/>
  <c r="CT36" i="10"/>
  <c r="CT56" i="10"/>
  <c r="ED36" i="10"/>
  <c r="ED56" i="10"/>
  <c r="EP36" i="10"/>
  <c r="EP56" i="10"/>
  <c r="FB36" i="10"/>
  <c r="FB56" i="10"/>
  <c r="FZ36" i="10"/>
  <c r="FZ56" i="10"/>
  <c r="N36" i="10"/>
  <c r="O56" i="10" s="1"/>
  <c r="O57" i="10" s="1"/>
  <c r="AF36" i="10"/>
  <c r="AG56" i="10" s="1"/>
  <c r="AG57" i="10" s="1"/>
  <c r="CN36" i="10"/>
  <c r="W57" i="10"/>
  <c r="AX56" i="10"/>
  <c r="K57" i="10"/>
  <c r="BG57" i="10"/>
  <c r="CB36" i="10"/>
  <c r="CC56" i="10" s="1"/>
  <c r="CC57" i="10" s="1"/>
  <c r="CE57" i="10"/>
  <c r="AO57" i="10"/>
  <c r="BS57" i="10"/>
  <c r="CQ57" i="10"/>
  <c r="EA57" i="10"/>
  <c r="EM57" i="10"/>
  <c r="EY57" i="10"/>
  <c r="FK57" i="10"/>
  <c r="FW57" i="10"/>
  <c r="E36" i="10"/>
  <c r="F56" i="10" s="1"/>
  <c r="F57" i="10" s="1"/>
  <c r="AO36" i="10"/>
  <c r="AP56" i="10" s="1"/>
  <c r="AP57" i="10" s="1"/>
  <c r="BS36" i="10"/>
  <c r="BT56" i="10" s="1"/>
  <c r="BT57" i="10" s="1"/>
  <c r="FK36" i="10"/>
  <c r="E57" i="10"/>
  <c r="AI57" i="10"/>
  <c r="K36" i="10"/>
  <c r="L56" i="10" s="1"/>
  <c r="L57" i="10" s="1"/>
  <c r="GL53" i="10"/>
  <c r="BG42" i="9"/>
  <c r="BG43" i="9" s="1"/>
  <c r="BG44" i="9" s="1"/>
  <c r="BG45" i="9" s="1"/>
  <c r="BG46" i="9" s="1"/>
  <c r="BG47" i="9" s="1"/>
  <c r="BG48" i="9" s="1"/>
  <c r="BG49" i="9" s="1"/>
  <c r="BG50" i="9" s="1"/>
  <c r="BG51" i="9" s="1"/>
  <c r="BG52" i="9" s="1"/>
  <c r="BG53" i="9"/>
  <c r="BG54" i="9" s="1"/>
  <c r="BG55" i="9" s="1"/>
  <c r="CT37" i="10" s="1"/>
  <c r="BY45" i="9"/>
  <c r="BY46" i="9" s="1"/>
  <c r="BY47" i="9" s="1"/>
  <c r="BY48" i="9" s="1"/>
  <c r="BY49" i="9" s="1"/>
  <c r="BY50" i="9" s="1"/>
  <c r="BY51" i="9" s="1"/>
  <c r="BY52" i="9" s="1"/>
  <c r="CC45" i="9"/>
  <c r="CC46" i="9" s="1"/>
  <c r="CC47" i="9" s="1"/>
  <c r="CC48" i="9" s="1"/>
  <c r="CC49" i="9" s="1"/>
  <c r="CC50" i="9" s="1"/>
  <c r="CC51" i="9" s="1"/>
  <c r="CC52" i="9" s="1"/>
  <c r="CG45" i="9"/>
  <c r="CG46" i="9" s="1"/>
  <c r="CG47" i="9" s="1"/>
  <c r="CG48" i="9" s="1"/>
  <c r="CG49" i="9" s="1"/>
  <c r="CG50" i="9" s="1"/>
  <c r="CG51" i="9" s="1"/>
  <c r="CG52" i="9" s="1"/>
  <c r="BE41" i="9"/>
  <c r="BE42" i="9" s="1"/>
  <c r="BE43" i="9" s="1"/>
  <c r="BE44" i="9" s="1"/>
  <c r="BE45" i="9" s="1"/>
  <c r="BE46" i="9" s="1"/>
  <c r="BE47" i="9" s="1"/>
  <c r="BE48" i="9" s="1"/>
  <c r="BE49" i="9" s="1"/>
  <c r="BE50" i="9" s="1"/>
  <c r="BE51" i="9" s="1"/>
  <c r="BE52" i="9" s="1"/>
  <c r="BU45" i="9"/>
  <c r="BU46" i="9" s="1"/>
  <c r="BU47" i="9" s="1"/>
  <c r="BU48" i="9" s="1"/>
  <c r="BU49" i="9" s="1"/>
  <c r="BU50" i="9" s="1"/>
  <c r="BU51" i="9" s="1"/>
  <c r="BU52" i="9" s="1"/>
  <c r="CI53" i="9"/>
  <c r="CI56" i="9" s="1"/>
  <c r="CI55" i="9" s="1"/>
  <c r="FZ37" i="10" s="1"/>
  <c r="BQ45" i="9"/>
  <c r="BQ46" i="9" s="1"/>
  <c r="BQ47" i="9" s="1"/>
  <c r="BQ48" i="9" s="1"/>
  <c r="BQ49" i="9" s="1"/>
  <c r="BQ50" i="9" s="1"/>
  <c r="BQ51" i="9" s="1"/>
  <c r="BQ52" i="9" s="1"/>
  <c r="BK53" i="9"/>
  <c r="BK56" i="9" s="1"/>
  <c r="BK55" i="9" s="1"/>
  <c r="DF37" i="10" s="1"/>
  <c r="BO53" i="9"/>
  <c r="BO56" i="9" s="1"/>
  <c r="BO55" i="9" s="1"/>
  <c r="DR37" i="10" s="1"/>
  <c r="CA53" i="9"/>
  <c r="CA56" i="9" s="1"/>
  <c r="CA55" i="9" s="1"/>
  <c r="FB37" i="10" s="1"/>
  <c r="BM41" i="9"/>
  <c r="BM42" i="9" s="1"/>
  <c r="BM43" i="9" s="1"/>
  <c r="BM44" i="9" s="1"/>
  <c r="BM45" i="9" s="1"/>
  <c r="BM46" i="9" s="1"/>
  <c r="BM47" i="9" s="1"/>
  <c r="BM48" i="9" s="1"/>
  <c r="BM49" i="9" s="1"/>
  <c r="BM50" i="9" s="1"/>
  <c r="BM51" i="9" s="1"/>
  <c r="BW45" i="9"/>
  <c r="BW46" i="9" s="1"/>
  <c r="BW47" i="9" s="1"/>
  <c r="BW48" i="9" s="1"/>
  <c r="BW49" i="9" s="1"/>
  <c r="BW50" i="9" s="1"/>
  <c r="BW51" i="9" s="1"/>
  <c r="BW52" i="9" s="1"/>
  <c r="CE45" i="9"/>
  <c r="CE46" i="9" s="1"/>
  <c r="CE47" i="9" s="1"/>
  <c r="CE48" i="9" s="1"/>
  <c r="CE49" i="9" s="1"/>
  <c r="CE50" i="9" s="1"/>
  <c r="CE51" i="9" s="1"/>
  <c r="CE52" i="9" s="1"/>
  <c r="BT53" i="9"/>
  <c r="BT56" i="9" s="1"/>
  <c r="BT55" i="9" s="1"/>
  <c r="EG37" i="10" s="1"/>
  <c r="AX41" i="9"/>
  <c r="AX42" i="9" s="1"/>
  <c r="AX43" i="9" s="1"/>
  <c r="AX44" i="9" s="1"/>
  <c r="AX45" i="9" s="1"/>
  <c r="AX46" i="9" s="1"/>
  <c r="AX47" i="9" s="1"/>
  <c r="AX48" i="9" s="1"/>
  <c r="AX49" i="9" s="1"/>
  <c r="AX50" i="9" s="1"/>
  <c r="AX51" i="9" s="1"/>
  <c r="AX52" i="9" s="1"/>
  <c r="BD41" i="9"/>
  <c r="BD42" i="9" s="1"/>
  <c r="BD43" i="9" s="1"/>
  <c r="BD44" i="9" s="1"/>
  <c r="BD45" i="9" s="1"/>
  <c r="BD46" i="9" s="1"/>
  <c r="BD47" i="9" s="1"/>
  <c r="BD48" i="9" s="1"/>
  <c r="BD49" i="9" s="1"/>
  <c r="BD50" i="9" s="1"/>
  <c r="BD51" i="9" s="1"/>
  <c r="BD52" i="9" s="1"/>
  <c r="BH41" i="9"/>
  <c r="BH42" i="9" s="1"/>
  <c r="BH43" i="9" s="1"/>
  <c r="BL41" i="9"/>
  <c r="BL42" i="9" s="1"/>
  <c r="BL43" i="9" s="1"/>
  <c r="BL44" i="9" s="1"/>
  <c r="BL45" i="9" s="1"/>
  <c r="BL46" i="9" s="1"/>
  <c r="BL47" i="9" s="1"/>
  <c r="BL48" i="9" s="1"/>
  <c r="BL49" i="9" s="1"/>
  <c r="BL50" i="9" s="1"/>
  <c r="BL51" i="9" s="1"/>
  <c r="BL52" i="9" s="1"/>
  <c r="BP41" i="9"/>
  <c r="BP42" i="9" s="1"/>
  <c r="BP43" i="9" s="1"/>
  <c r="BP44" i="9" s="1"/>
  <c r="BP45" i="9" s="1"/>
  <c r="BP46" i="9" s="1"/>
  <c r="BP47" i="9" s="1"/>
  <c r="BP48" i="9" s="1"/>
  <c r="BP49" i="9" s="1"/>
  <c r="BP50" i="9" s="1"/>
  <c r="BP51" i="9" s="1"/>
  <c r="BP52" i="9" s="1"/>
  <c r="BX45" i="9"/>
  <c r="BX46" i="9" s="1"/>
  <c r="BX47" i="9" s="1"/>
  <c r="BX48" i="9" s="1"/>
  <c r="BX49" i="9" s="1"/>
  <c r="BX50" i="9" s="1"/>
  <c r="BX51" i="9" s="1"/>
  <c r="BX52" i="9" s="1"/>
  <c r="CF45" i="9"/>
  <c r="CF46" i="9" s="1"/>
  <c r="CF47" i="9" s="1"/>
  <c r="CF48" i="9" s="1"/>
  <c r="CF49" i="9" s="1"/>
  <c r="CF50" i="9" s="1"/>
  <c r="CF51" i="9" s="1"/>
  <c r="CF52" i="9" s="1"/>
  <c r="CJ45" i="9"/>
  <c r="CJ46" i="9" s="1"/>
  <c r="CJ47" i="9" s="1"/>
  <c r="CJ48" i="9" s="1"/>
  <c r="CJ49" i="9" s="1"/>
  <c r="CJ50" i="9" s="1"/>
  <c r="CJ51" i="9" s="1"/>
  <c r="CJ52" i="9" s="1"/>
  <c r="BC41" i="9"/>
  <c r="BC42" i="9" s="1"/>
  <c r="BC43" i="9" s="1"/>
  <c r="BC44" i="9" s="1"/>
  <c r="BC45" i="9" s="1"/>
  <c r="BC46" i="9" s="1"/>
  <c r="BC47" i="9" s="1"/>
  <c r="BC48" i="9" s="1"/>
  <c r="BC49" i="9" s="1"/>
  <c r="BC50" i="9" s="1"/>
  <c r="BC51" i="9" s="1"/>
  <c r="BC52" i="9" s="1"/>
  <c r="BS45" i="9"/>
  <c r="BS46" i="9" s="1"/>
  <c r="BS47" i="9" s="1"/>
  <c r="BS48" i="9" s="1"/>
  <c r="BS49" i="9" s="1"/>
  <c r="BS50" i="9" s="1"/>
  <c r="BS51" i="9" s="1"/>
  <c r="BS52" i="9" s="1"/>
  <c r="AW53" i="9"/>
  <c r="AW54" i="9" s="1"/>
  <c r="AW55" i="9" s="1"/>
  <c r="BY37" i="10" s="1"/>
  <c r="CB53" i="9"/>
  <c r="CB56" i="9" s="1"/>
  <c r="CB55" i="9" s="1"/>
  <c r="FE37" i="10" s="1"/>
  <c r="BA53" i="9"/>
  <c r="BA54" i="9" s="1"/>
  <c r="BA55" i="9" s="1"/>
  <c r="CB37" i="10" s="1"/>
  <c r="BI53" i="9"/>
  <c r="BI56" i="9" s="1"/>
  <c r="BI55" i="9" s="1"/>
  <c r="CZ37" i="10" s="1"/>
  <c r="BB53" i="9"/>
  <c r="BB54" i="9" s="1"/>
  <c r="BB55" i="9" s="1"/>
  <c r="CE37" i="10" s="1"/>
  <c r="BF53" i="9"/>
  <c r="BF54" i="9" s="1"/>
  <c r="BF55" i="9" s="1"/>
  <c r="CQ37" i="10" s="1"/>
  <c r="BJ53" i="9"/>
  <c r="BJ56" i="9" s="1"/>
  <c r="DC35" i="10" s="1"/>
  <c r="BN53" i="9"/>
  <c r="BN56" i="9" s="1"/>
  <c r="DO35" i="10" s="1"/>
  <c r="DO56" i="10" s="1"/>
  <c r="DO57" i="10" s="1"/>
  <c r="BR53" i="9"/>
  <c r="BR56" i="9" s="1"/>
  <c r="BR55" i="9" s="1"/>
  <c r="EA37" i="10" s="1"/>
  <c r="BV53" i="9"/>
  <c r="BV56" i="9" s="1"/>
  <c r="BV55" i="9" s="1"/>
  <c r="EM37" i="10" s="1"/>
  <c r="BZ53" i="9"/>
  <c r="BZ56" i="9" s="1"/>
  <c r="BZ55" i="9" s="1"/>
  <c r="CD53" i="9"/>
  <c r="CD56" i="9" s="1"/>
  <c r="CD55" i="9" s="1"/>
  <c r="FK37" i="10" s="1"/>
  <c r="CH53" i="9"/>
  <c r="CH56" i="9" s="1"/>
  <c r="CH55" i="9" s="1"/>
  <c r="FW37" i="10" s="1"/>
  <c r="AV53" i="9"/>
  <c r="AV54" i="9" s="1"/>
  <c r="AV55" i="9" s="1"/>
  <c r="BV37" i="10" s="1"/>
  <c r="BW56" i="10" l="1"/>
  <c r="BW57" i="10" s="1"/>
  <c r="CR56" i="10"/>
  <c r="CR57" i="10" s="1"/>
  <c r="CU56" i="10"/>
  <c r="CU57" i="10" s="1"/>
  <c r="BZ56" i="10"/>
  <c r="BZ57" i="10" s="1"/>
  <c r="CF56" i="10"/>
  <c r="CF57" i="10" s="1"/>
  <c r="BS53" i="9"/>
  <c r="BS56" i="9" s="1"/>
  <c r="BS55" i="9" s="1"/>
  <c r="ED37" i="10" s="1"/>
  <c r="BP53" i="9"/>
  <c r="BP56" i="9" s="1"/>
  <c r="BP55" i="9" s="1"/>
  <c r="DU37" i="10" s="1"/>
  <c r="CF53" i="9"/>
  <c r="CF56" i="9" s="1"/>
  <c r="CF55" i="9" s="1"/>
  <c r="FQ37" i="10" s="1"/>
  <c r="AX53" i="9"/>
  <c r="AX54" i="9" s="1"/>
  <c r="AX55" i="9" s="1"/>
  <c r="BG37" i="10" s="1"/>
  <c r="BH56" i="10" s="1"/>
  <c r="BH57" i="10" s="1"/>
  <c r="EV37" i="10"/>
  <c r="EY37" i="10"/>
  <c r="DC36" i="10"/>
  <c r="DC56" i="10"/>
  <c r="DC57" i="10" s="1"/>
  <c r="CE53" i="9"/>
  <c r="CE56" i="9" s="1"/>
  <c r="CE55" i="9" s="1"/>
  <c r="FN37" i="10" s="1"/>
  <c r="BE53" i="9"/>
  <c r="BE54" i="9" s="1"/>
  <c r="BE55" i="9" s="1"/>
  <c r="CN37" i="10" s="1"/>
  <c r="CO56" i="10" s="1"/>
  <c r="CO57" i="10" s="1"/>
  <c r="DO36" i="10"/>
  <c r="ED57" i="10"/>
  <c r="BJ57" i="10"/>
  <c r="FZ57" i="10"/>
  <c r="EP57" i="10"/>
  <c r="CT57" i="10"/>
  <c r="EV57" i="10"/>
  <c r="CZ57" i="10"/>
  <c r="BV57" i="10"/>
  <c r="AL57" i="10"/>
  <c r="AX57" i="10"/>
  <c r="FB57" i="10"/>
  <c r="Z57" i="10"/>
  <c r="BD57" i="10"/>
  <c r="CG53" i="9"/>
  <c r="CG56" i="9" s="1"/>
  <c r="CG55" i="9" s="1"/>
  <c r="FT37" i="10" s="1"/>
  <c r="BY53" i="9"/>
  <c r="BY56" i="9" s="1"/>
  <c r="BY55" i="9" s="1"/>
  <c r="CJ53" i="9"/>
  <c r="CJ56" i="9" s="1"/>
  <c r="CJ55" i="9" s="1"/>
  <c r="GC37" i="10" s="1"/>
  <c r="BX53" i="9"/>
  <c r="BX56" i="9" s="1"/>
  <c r="BX55" i="9" s="1"/>
  <c r="ES37" i="10" s="1"/>
  <c r="BL53" i="9"/>
  <c r="BL56" i="9" s="1"/>
  <c r="BL55" i="9" s="1"/>
  <c r="BD53" i="9"/>
  <c r="BD54" i="9" s="1"/>
  <c r="BD55" i="9" s="1"/>
  <c r="CK37" i="10" s="1"/>
  <c r="CL56" i="10" s="1"/>
  <c r="CL57" i="10" s="1"/>
  <c r="CC53" i="9"/>
  <c r="CC56" i="9" s="1"/>
  <c r="CC55" i="9" s="1"/>
  <c r="FH37" i="10" s="1"/>
  <c r="BU53" i="9"/>
  <c r="BU56" i="9" s="1"/>
  <c r="BU55" i="9" s="1"/>
  <c r="EJ37" i="10" s="1"/>
  <c r="BH53" i="9"/>
  <c r="BH56" i="9" s="1"/>
  <c r="CW35" i="10" s="1"/>
  <c r="BW53" i="9"/>
  <c r="BW56" i="9" s="1"/>
  <c r="BW55" i="9" s="1"/>
  <c r="EP37" i="10" s="1"/>
  <c r="BC53" i="9"/>
  <c r="BC54" i="9" s="1"/>
  <c r="BC55" i="9" s="1"/>
  <c r="CH37" i="10" s="1"/>
  <c r="BQ53" i="9"/>
  <c r="BQ56" i="9" s="1"/>
  <c r="BQ55" i="9" s="1"/>
  <c r="DX37" i="10" s="1"/>
  <c r="BM53" i="9"/>
  <c r="BM56" i="9" s="1"/>
  <c r="DL35" i="10" s="1"/>
  <c r="CI56" i="10" l="1"/>
  <c r="CI57" i="10"/>
  <c r="DL56" i="10"/>
  <c r="DL57" i="10" s="1"/>
  <c r="DL36" i="10"/>
  <c r="CW36" i="10"/>
  <c r="CW56" i="10"/>
  <c r="CW57" i="10" s="1"/>
  <c r="DI37" i="10"/>
  <c r="DL37" i="10"/>
  <c r="S185" i="7"/>
  <c r="E11" i="2" l="1"/>
  <c r="C11" i="2"/>
  <c r="B110" i="2"/>
  <c r="B109" i="2"/>
  <c r="B108" i="2"/>
  <c r="B107" i="2"/>
  <c r="B106" i="2"/>
  <c r="B105" i="2"/>
  <c r="B104" i="2"/>
  <c r="B103" i="2"/>
  <c r="C22" i="2" s="1"/>
  <c r="B102" i="2"/>
  <c r="B101" i="2"/>
  <c r="B100" i="2"/>
  <c r="B98" i="2"/>
  <c r="B97" i="2"/>
  <c r="B95" i="2"/>
  <c r="A88" i="2"/>
  <c r="A86" i="2"/>
  <c r="E75" i="2"/>
  <c r="B75" i="2" s="1"/>
  <c r="E10" i="2"/>
  <c r="E74" i="2"/>
  <c r="B74" i="2"/>
  <c r="A58" i="2"/>
  <c r="A56" i="2"/>
  <c r="C12" i="2"/>
  <c r="B45" i="2"/>
  <c r="F45" i="2" s="1"/>
  <c r="E44" i="2"/>
  <c r="B44" i="2" s="1"/>
  <c r="F43" i="2"/>
  <c r="E43" i="2"/>
  <c r="C43" i="2"/>
  <c r="C10" i="2"/>
  <c r="C187" i="14"/>
  <c r="E185" i="14"/>
  <c r="E187" i="14" s="1"/>
  <c r="D11" i="14" s="1"/>
  <c r="F184" i="14"/>
  <c r="F187" i="14" s="1"/>
  <c r="E11" i="14" s="1"/>
  <c r="E184" i="14"/>
  <c r="D184" i="14"/>
  <c r="D187" i="14" s="1"/>
  <c r="C11" i="14" s="1"/>
  <c r="C184" i="14"/>
  <c r="B184" i="14"/>
  <c r="A137" i="14"/>
  <c r="A135" i="14"/>
  <c r="E126" i="14"/>
  <c r="C126" i="14"/>
  <c r="E124" i="14"/>
  <c r="B124" i="14"/>
  <c r="F123" i="14"/>
  <c r="F126" i="14" s="1"/>
  <c r="E10" i="14" s="1"/>
  <c r="E123" i="14"/>
  <c r="C123" i="14"/>
  <c r="B123" i="14"/>
  <c r="B126" i="14" s="1"/>
  <c r="A79" i="14"/>
  <c r="A77" i="14"/>
  <c r="E67" i="14"/>
  <c r="B66" i="14"/>
  <c r="F66" i="14" s="1"/>
  <c r="E65" i="14"/>
  <c r="B65" i="14"/>
  <c r="F64" i="14"/>
  <c r="B64" i="14" s="1"/>
  <c r="E64" i="14"/>
  <c r="D64" i="14"/>
  <c r="D67" i="14" s="1"/>
  <c r="C12" i="14" s="1"/>
  <c r="C64" i="14"/>
  <c r="C67" i="14" s="1"/>
  <c r="C22" i="14"/>
  <c r="D12" i="14"/>
  <c r="D10" i="14"/>
  <c r="C10" i="14"/>
  <c r="E46" i="2" l="1"/>
  <c r="D12" i="2" s="1"/>
  <c r="F46" i="2"/>
  <c r="E12" i="2" s="1"/>
  <c r="E13" i="2" s="1"/>
  <c r="E112" i="2"/>
  <c r="B112" i="2" s="1"/>
  <c r="C111" i="2"/>
  <c r="C114" i="2" s="1"/>
  <c r="B96" i="2"/>
  <c r="B77" i="2"/>
  <c r="B43" i="2"/>
  <c r="E77" i="2"/>
  <c r="D10" i="2" s="1"/>
  <c r="E111" i="2"/>
  <c r="C13" i="2"/>
  <c r="C16" i="2" s="1"/>
  <c r="C18" i="2" s="1"/>
  <c r="B99" i="2"/>
  <c r="C46" i="2"/>
  <c r="B67" i="14"/>
  <c r="C13" i="14"/>
  <c r="C16" i="14" s="1"/>
  <c r="D13" i="14"/>
  <c r="F67" i="14"/>
  <c r="E12" i="14" s="1"/>
  <c r="E13" i="14" s="1"/>
  <c r="B185" i="14"/>
  <c r="B187" i="14" s="1"/>
  <c r="B46" i="2" l="1"/>
  <c r="E114" i="2"/>
  <c r="D11" i="2" s="1"/>
  <c r="B111" i="2"/>
  <c r="B114" i="2" s="1"/>
  <c r="D13" i="2" l="1"/>
  <c r="H118" i="1" l="1"/>
  <c r="BL63" i="9" l="1"/>
  <c r="Q26" i="10" l="1"/>
  <c r="Z26" i="10" s="1"/>
  <c r="AL26" i="10" s="1"/>
  <c r="AX26" i="10" s="1"/>
  <c r="BJ26" i="10" s="1"/>
  <c r="Q25" i="10"/>
  <c r="Z25" i="10" s="1"/>
  <c r="AL25" i="10" s="1"/>
  <c r="AX25" i="10" s="1"/>
  <c r="BJ25" i="10" s="1"/>
  <c r="Q24" i="10"/>
  <c r="Z24" i="10" s="1"/>
  <c r="AL24" i="10" s="1"/>
  <c r="AX24" i="10" s="1"/>
  <c r="BJ24" i="10" s="1"/>
  <c r="Q23" i="10"/>
  <c r="Z23" i="10" s="1"/>
  <c r="AL23" i="10" s="1"/>
  <c r="AX23" i="10" s="1"/>
  <c r="BJ23" i="10" s="1"/>
  <c r="Q22" i="10"/>
  <c r="Z22" i="10" s="1"/>
  <c r="AL22" i="10" s="1"/>
  <c r="AX22" i="10" s="1"/>
  <c r="BJ22" i="10" s="1"/>
  <c r="Q21" i="10"/>
  <c r="Z21" i="10" s="1"/>
  <c r="AL21" i="10" s="1"/>
  <c r="AX21" i="10" s="1"/>
  <c r="BJ21" i="10" s="1"/>
  <c r="T3" i="10"/>
  <c r="AD3" i="10" s="1"/>
  <c r="AP3" i="10" s="1"/>
  <c r="BB3" i="10" s="1"/>
  <c r="BN3" i="10" s="1"/>
  <c r="BZ3" i="10" s="1"/>
  <c r="BL69" i="9"/>
  <c r="V24" i="9"/>
  <c r="U24" i="9"/>
  <c r="T24" i="9"/>
  <c r="S24" i="9"/>
  <c r="R24" i="9"/>
  <c r="Q24" i="9"/>
  <c r="P24" i="9"/>
  <c r="N24" i="9"/>
  <c r="M24" i="9"/>
  <c r="L24" i="9"/>
  <c r="K24" i="9"/>
  <c r="J24" i="9"/>
  <c r="I24" i="9"/>
  <c r="H24" i="9"/>
  <c r="F24" i="9"/>
  <c r="E24" i="9"/>
  <c r="D24" i="9"/>
  <c r="C24" i="9"/>
  <c r="B24" i="9"/>
  <c r="Y23" i="9"/>
  <c r="Y22" i="9"/>
  <c r="Y21" i="9"/>
  <c r="Y20" i="9"/>
  <c r="Y19" i="9"/>
  <c r="Y18" i="9"/>
  <c r="AB17" i="9"/>
  <c r="AB18" i="9" s="1"/>
  <c r="Z17" i="9"/>
  <c r="Z18" i="9" s="1"/>
  <c r="Z19" i="9" s="1"/>
  <c r="Z20" i="9" s="1"/>
  <c r="Z21" i="9" s="1"/>
  <c r="Z22" i="9" s="1"/>
  <c r="Z23" i="9" s="1"/>
  <c r="Y17" i="9"/>
  <c r="Y16" i="9"/>
  <c r="Y15" i="9"/>
  <c r="Y14" i="9"/>
  <c r="Y13" i="9"/>
  <c r="Y12" i="9"/>
  <c r="AS11" i="9"/>
  <c r="AR11" i="9"/>
  <c r="AR12" i="9" s="1"/>
  <c r="AR13" i="9" s="1"/>
  <c r="AR14" i="9" s="1"/>
  <c r="AR15" i="9" s="1"/>
  <c r="AR16" i="9" s="1"/>
  <c r="AR17" i="9" s="1"/>
  <c r="AR18" i="9" s="1"/>
  <c r="AR19" i="9" s="1"/>
  <c r="AR20" i="9" s="1"/>
  <c r="AR21" i="9" s="1"/>
  <c r="AR22" i="9" s="1"/>
  <c r="AR23" i="9" s="1"/>
  <c r="AQ11" i="9"/>
  <c r="AQ12" i="9" s="1"/>
  <c r="AQ13" i="9" s="1"/>
  <c r="AQ14" i="9" s="1"/>
  <c r="AQ15" i="9" s="1"/>
  <c r="AQ16" i="9" s="1"/>
  <c r="AP11" i="9"/>
  <c r="AP12" i="9" s="1"/>
  <c r="AP13" i="9" s="1"/>
  <c r="AP14" i="9" s="1"/>
  <c r="AP15" i="9" s="1"/>
  <c r="AO11" i="9"/>
  <c r="AN11" i="9"/>
  <c r="AN12" i="9" s="1"/>
  <c r="AN13" i="9" s="1"/>
  <c r="AM11" i="9"/>
  <c r="AM12" i="9" s="1"/>
  <c r="AM13" i="9" s="1"/>
  <c r="AM14" i="9" s="1"/>
  <c r="AM15" i="9" s="1"/>
  <c r="AM16" i="9" s="1"/>
  <c r="AL11" i="9"/>
  <c r="AL12" i="9" s="1"/>
  <c r="AL13" i="9" s="1"/>
  <c r="AL14" i="9" s="1"/>
  <c r="AL15" i="9" s="1"/>
  <c r="AL16" i="9" s="1"/>
  <c r="AK11" i="9"/>
  <c r="AJ11" i="9"/>
  <c r="AJ12" i="9" s="1"/>
  <c r="AJ13" i="9" s="1"/>
  <c r="AJ14" i="9" s="1"/>
  <c r="AJ15" i="9" s="1"/>
  <c r="AJ16" i="9" s="1"/>
  <c r="AJ17" i="9" s="1"/>
  <c r="AJ18" i="9" s="1"/>
  <c r="AJ19" i="9" s="1"/>
  <c r="AJ20" i="9" s="1"/>
  <c r="AJ21" i="9" s="1"/>
  <c r="AJ22" i="9" s="1"/>
  <c r="AJ23" i="9" s="1"/>
  <c r="AI11" i="9"/>
  <c r="AI12" i="9" s="1"/>
  <c r="AI13" i="9" s="1"/>
  <c r="AI14" i="9" s="1"/>
  <c r="AI15" i="9" s="1"/>
  <c r="AI16" i="9" s="1"/>
  <c r="AI17" i="9" s="1"/>
  <c r="AI18" i="9" s="1"/>
  <c r="AI19" i="9" s="1"/>
  <c r="AI20" i="9" s="1"/>
  <c r="AI21" i="9" s="1"/>
  <c r="AI22" i="9" s="1"/>
  <c r="AI23" i="9" s="1"/>
  <c r="AH11" i="9"/>
  <c r="AH12" i="9" s="1"/>
  <c r="AH13" i="9" s="1"/>
  <c r="AH14" i="9" s="1"/>
  <c r="AH15" i="9" s="1"/>
  <c r="AH16" i="9" s="1"/>
  <c r="AH17" i="9" s="1"/>
  <c r="AH18" i="9" s="1"/>
  <c r="AH19" i="9" s="1"/>
  <c r="AH20" i="9" s="1"/>
  <c r="AH21" i="9" s="1"/>
  <c r="AH22" i="9" s="1"/>
  <c r="AH23" i="9" s="1"/>
  <c r="AG11" i="9"/>
  <c r="AF11" i="9"/>
  <c r="AF12" i="9" s="1"/>
  <c r="AF13" i="9" s="1"/>
  <c r="AF14" i="9" s="1"/>
  <c r="AF15" i="9" s="1"/>
  <c r="AF16" i="9" s="1"/>
  <c r="AF17" i="9" s="1"/>
  <c r="AF18" i="9" s="1"/>
  <c r="AF19" i="9" s="1"/>
  <c r="AF20" i="9" s="1"/>
  <c r="AF21" i="9" s="1"/>
  <c r="AF22" i="9" s="1"/>
  <c r="AF23" i="9" s="1"/>
  <c r="AE11" i="9"/>
  <c r="AE12" i="9" s="1"/>
  <c r="AE13" i="9" s="1"/>
  <c r="AE14" i="9" s="1"/>
  <c r="AE15" i="9" s="1"/>
  <c r="AE16" i="9" s="1"/>
  <c r="AE17" i="9" s="1"/>
  <c r="AE18" i="9" s="1"/>
  <c r="AE19" i="9" s="1"/>
  <c r="AE20" i="9" s="1"/>
  <c r="AE21" i="9" s="1"/>
  <c r="AE22" i="9" s="1"/>
  <c r="AE23" i="9" s="1"/>
  <c r="AC11" i="9"/>
  <c r="AC12" i="9" s="1"/>
  <c r="AC13" i="9" s="1"/>
  <c r="AC14" i="9" s="1"/>
  <c r="AC15" i="9" s="1"/>
  <c r="AC16" i="9" s="1"/>
  <c r="AC17" i="9" s="1"/>
  <c r="AC18" i="9" s="1"/>
  <c r="AC19" i="9" s="1"/>
  <c r="AC20" i="9" s="1"/>
  <c r="AC21" i="9" s="1"/>
  <c r="AC22" i="9" s="1"/>
  <c r="AC23" i="9" s="1"/>
  <c r="AA11" i="9"/>
  <c r="AA12" i="9" s="1"/>
  <c r="AA13" i="9" s="1"/>
  <c r="AA14" i="9" s="1"/>
  <c r="AA15" i="9" s="1"/>
  <c r="AA16" i="9" s="1"/>
  <c r="AA17" i="9" s="1"/>
  <c r="AA18" i="9" s="1"/>
  <c r="AA19" i="9" s="1"/>
  <c r="AA20" i="9" s="1"/>
  <c r="AA21" i="9" s="1"/>
  <c r="AA22" i="9" s="1"/>
  <c r="AA23" i="9" s="1"/>
  <c r="M9" i="9"/>
  <c r="AN14" i="9" l="1"/>
  <c r="AN15" i="9" s="1"/>
  <c r="AN16" i="9" s="1"/>
  <c r="AN17" i="9" s="1"/>
  <c r="AN18" i="9" s="1"/>
  <c r="AN19" i="9" s="1"/>
  <c r="AN20" i="9" s="1"/>
  <c r="AN21" i="9" s="1"/>
  <c r="AN22" i="9" s="1"/>
  <c r="AN23" i="9" s="1"/>
  <c r="AE24" i="9"/>
  <c r="AE25" i="9" s="1"/>
  <c r="AE26" i="9" s="1"/>
  <c r="AM24" i="9"/>
  <c r="AM27" i="9" s="1"/>
  <c r="AQ24" i="9"/>
  <c r="AQ27" i="9" s="1"/>
  <c r="AB19" i="9"/>
  <c r="AB20" i="9" s="1"/>
  <c r="AB21" i="9" s="1"/>
  <c r="AB22" i="9" s="1"/>
  <c r="AB23" i="9" s="1"/>
  <c r="AA24" i="9"/>
  <c r="AA25" i="9" s="1"/>
  <c r="AA26" i="9" s="1"/>
  <c r="AR24" i="9"/>
  <c r="AR27" i="9" s="1"/>
  <c r="AR26" i="9" s="1"/>
  <c r="AG12" i="9"/>
  <c r="AG13" i="9" s="1"/>
  <c r="AG14" i="9" s="1"/>
  <c r="AG15" i="9" s="1"/>
  <c r="AG16" i="9" s="1"/>
  <c r="AG17" i="9" s="1"/>
  <c r="AG18" i="9" s="1"/>
  <c r="AG19" i="9" s="1"/>
  <c r="AG20" i="9" s="1"/>
  <c r="AG21" i="9" s="1"/>
  <c r="AG22" i="9" s="1"/>
  <c r="AG23" i="9" s="1"/>
  <c r="AK12" i="9"/>
  <c r="AK13" i="9" s="1"/>
  <c r="AK14" i="9" s="1"/>
  <c r="AK15" i="9" s="1"/>
  <c r="AK16" i="9" s="1"/>
  <c r="AK17" i="9" s="1"/>
  <c r="AK18" i="9" s="1"/>
  <c r="AK19" i="9" s="1"/>
  <c r="AK20" i="9" s="1"/>
  <c r="AK21" i="9" s="1"/>
  <c r="AK22" i="9" s="1"/>
  <c r="AK23" i="9" s="1"/>
  <c r="AO12" i="9"/>
  <c r="AO13" i="9" s="1"/>
  <c r="AO14" i="9" s="1"/>
  <c r="AO15" i="9" s="1"/>
  <c r="AO16" i="9" s="1"/>
  <c r="AO17" i="9" s="1"/>
  <c r="AO18" i="9" s="1"/>
  <c r="AO19" i="9" s="1"/>
  <c r="AO20" i="9" s="1"/>
  <c r="AO21" i="9" s="1"/>
  <c r="AO22" i="9" s="1"/>
  <c r="AO23" i="9" s="1"/>
  <c r="AS12" i="9"/>
  <c r="AS13" i="9" s="1"/>
  <c r="AS14" i="9" s="1"/>
  <c r="AS15" i="9" s="1"/>
  <c r="AS16" i="9" s="1"/>
  <c r="AS17" i="9" s="1"/>
  <c r="AS18" i="9" s="1"/>
  <c r="AS19" i="9" s="1"/>
  <c r="AS20" i="9" s="1"/>
  <c r="AS21" i="9" s="1"/>
  <c r="AS22" i="9" s="1"/>
  <c r="AS23" i="9" s="1"/>
  <c r="AF24" i="9"/>
  <c r="AF25" i="9" s="1"/>
  <c r="AF26" i="9" s="1"/>
  <c r="AI24" i="9"/>
  <c r="AI25" i="9" s="1"/>
  <c r="AI26" i="9" s="1"/>
  <c r="AC24" i="9"/>
  <c r="AC25" i="9" s="1"/>
  <c r="AC26" i="9" s="1"/>
  <c r="AH24" i="9"/>
  <c r="AH25" i="9" s="1"/>
  <c r="AH26" i="9" s="1"/>
  <c r="AL24" i="9"/>
  <c r="AL27" i="9" s="1"/>
  <c r="AP24" i="9"/>
  <c r="AP27" i="9" s="1"/>
  <c r="Y24" i="9"/>
  <c r="Y25" i="9" s="1"/>
  <c r="Y26" i="9" s="1"/>
  <c r="Z24" i="9"/>
  <c r="Z25" i="9" s="1"/>
  <c r="Z26" i="9" s="1"/>
  <c r="AJ24" i="9"/>
  <c r="AJ25" i="9" s="1"/>
  <c r="AJ26" i="9" s="1"/>
  <c r="H225" i="7"/>
  <c r="H226" i="7" s="1"/>
  <c r="AO24" i="9" l="1"/>
  <c r="AO27" i="9" s="1"/>
  <c r="AO26" i="9" s="1"/>
  <c r="AG24" i="9"/>
  <c r="AG25" i="9" s="1"/>
  <c r="AG26" i="9" s="1"/>
  <c r="AB24" i="9"/>
  <c r="AB25" i="9" s="1"/>
  <c r="AB26" i="9" s="1"/>
  <c r="AN24" i="9"/>
  <c r="AN27" i="9" s="1"/>
  <c r="AN26" i="9" s="1"/>
  <c r="AS24" i="9"/>
  <c r="AS27" i="9" s="1"/>
  <c r="AS26" i="9" s="1"/>
  <c r="AK24" i="9"/>
  <c r="AK27" i="9" s="1"/>
  <c r="H167" i="1"/>
  <c r="H80" i="1" l="1"/>
  <c r="AK26" i="9"/>
  <c r="S166" i="7" l="1"/>
  <c r="R166" i="7"/>
  <c r="T110" i="7" l="1"/>
  <c r="T14" i="7"/>
  <c r="H26" i="1" s="1"/>
  <c r="T13" i="7"/>
  <c r="H25" i="1" s="1"/>
  <c r="T12" i="7"/>
  <c r="H24" i="1" s="1"/>
  <c r="T11" i="7"/>
  <c r="H23" i="1" s="1"/>
  <c r="T10" i="7"/>
  <c r="T9" i="7"/>
  <c r="H19" i="1" s="1"/>
  <c r="E15" i="4"/>
  <c r="E16" i="4" s="1"/>
  <c r="E25" i="4"/>
  <c r="E34" i="4"/>
  <c r="E48" i="4"/>
  <c r="A3" i="11"/>
  <c r="A2" i="11"/>
  <c r="D102" i="8"/>
  <c r="G72" i="8"/>
  <c r="A49" i="8"/>
  <c r="A46" i="8"/>
  <c r="A43" i="8"/>
  <c r="A40" i="8"/>
  <c r="B37" i="8"/>
  <c r="A3" i="8"/>
  <c r="A2" i="8"/>
  <c r="J225" i="7"/>
  <c r="J226" i="7" s="1"/>
  <c r="I225" i="7"/>
  <c r="I226" i="7" s="1"/>
  <c r="F222" i="7"/>
  <c r="C214" i="7"/>
  <c r="C206" i="7"/>
  <c r="C198" i="7"/>
  <c r="T191" i="7"/>
  <c r="H240" i="1" s="1"/>
  <c r="C191" i="7"/>
  <c r="C185" i="7"/>
  <c r="C178" i="7"/>
  <c r="T170" i="7"/>
  <c r="H184" i="1" s="1"/>
  <c r="T169" i="7"/>
  <c r="H182" i="1" s="1"/>
  <c r="T168" i="7"/>
  <c r="H181" i="1" s="1"/>
  <c r="T167" i="7"/>
  <c r="H180" i="1" s="1"/>
  <c r="T166" i="7"/>
  <c r="H179" i="1" s="1"/>
  <c r="T165" i="7"/>
  <c r="H175" i="1" s="1"/>
  <c r="T164" i="7"/>
  <c r="H173" i="1" s="1"/>
  <c r="T163" i="7"/>
  <c r="H172" i="1" s="1"/>
  <c r="U154" i="7"/>
  <c r="U135" i="7"/>
  <c r="C135" i="7"/>
  <c r="U127" i="7"/>
  <c r="C118" i="7"/>
  <c r="C110" i="7"/>
  <c r="T73" i="7"/>
  <c r="H103" i="1" s="1"/>
  <c r="T65" i="7"/>
  <c r="H94" i="1" s="1"/>
  <c r="T64" i="7"/>
  <c r="H91" i="1" s="1"/>
  <c r="R54" i="7"/>
  <c r="T46" i="7"/>
  <c r="H85" i="1" s="1"/>
  <c r="T44" i="7"/>
  <c r="A37" i="7"/>
  <c r="T29" i="7"/>
  <c r="H68" i="1" s="1"/>
  <c r="T28" i="7"/>
  <c r="T26" i="7"/>
  <c r="H60" i="1" s="1"/>
  <c r="T25" i="7"/>
  <c r="T23" i="7"/>
  <c r="H51" i="1" s="1"/>
  <c r="T22" i="7"/>
  <c r="H47" i="1" s="1"/>
  <c r="T21" i="7"/>
  <c r="H46" i="1" s="1"/>
  <c r="T20" i="7"/>
  <c r="H44" i="1" s="1"/>
  <c r="T19" i="7"/>
  <c r="T18" i="7"/>
  <c r="H42" i="1" s="1"/>
  <c r="T17" i="7"/>
  <c r="H40" i="1" s="1"/>
  <c r="A74" i="6"/>
  <c r="A72" i="6"/>
  <c r="A68" i="6"/>
  <c r="A67" i="6"/>
  <c r="A66" i="6"/>
  <c r="G65" i="6"/>
  <c r="A65" i="6"/>
  <c r="A60" i="6"/>
  <c r="I59" i="6"/>
  <c r="G59" i="6"/>
  <c r="A59" i="6"/>
  <c r="A58" i="6"/>
  <c r="I57" i="6"/>
  <c r="A57" i="6"/>
  <c r="C52" i="6"/>
  <c r="A52" i="6"/>
  <c r="C50" i="6"/>
  <c r="A50" i="6"/>
  <c r="F49" i="6"/>
  <c r="D49" i="6"/>
  <c r="A49" i="6"/>
  <c r="F48" i="6"/>
  <c r="D48" i="6"/>
  <c r="A48" i="6"/>
  <c r="F47" i="6"/>
  <c r="D47" i="6"/>
  <c r="A47" i="6"/>
  <c r="F45" i="6"/>
  <c r="D45" i="6"/>
  <c r="A45" i="6"/>
  <c r="F44" i="6"/>
  <c r="D44" i="6"/>
  <c r="A44" i="6"/>
  <c r="F43" i="6"/>
  <c r="D43" i="6"/>
  <c r="A43" i="6"/>
  <c r="F41" i="6"/>
  <c r="D41" i="6"/>
  <c r="A41" i="6"/>
  <c r="F40" i="6"/>
  <c r="D40" i="6"/>
  <c r="A40" i="6"/>
  <c r="F39" i="6"/>
  <c r="D39" i="6"/>
  <c r="A39" i="6"/>
  <c r="D37" i="6"/>
  <c r="A37" i="6"/>
  <c r="D36" i="6"/>
  <c r="A36" i="6"/>
  <c r="G35" i="6"/>
  <c r="D35" i="6"/>
  <c r="A35" i="6"/>
  <c r="D34" i="6"/>
  <c r="A34" i="6"/>
  <c r="G33" i="6"/>
  <c r="D33" i="6"/>
  <c r="A33" i="6"/>
  <c r="G32" i="6"/>
  <c r="D32" i="6"/>
  <c r="A32" i="6"/>
  <c r="G31" i="6"/>
  <c r="D31" i="6"/>
  <c r="A31" i="6"/>
  <c r="G30" i="6"/>
  <c r="D30" i="6"/>
  <c r="A30" i="6"/>
  <c r="C29" i="6"/>
  <c r="D27" i="6"/>
  <c r="A27" i="6"/>
  <c r="G26" i="6"/>
  <c r="D26" i="6"/>
  <c r="A26" i="6"/>
  <c r="D25" i="6"/>
  <c r="A25" i="6"/>
  <c r="A24" i="6"/>
  <c r="G23" i="6"/>
  <c r="D23" i="6"/>
  <c r="A23" i="6"/>
  <c r="C22" i="6"/>
  <c r="I20" i="6"/>
  <c r="G20" i="6"/>
  <c r="F20" i="6"/>
  <c r="C20" i="6"/>
  <c r="A20" i="6"/>
  <c r="G18" i="6"/>
  <c r="C18" i="6"/>
  <c r="A18" i="6"/>
  <c r="C16" i="6"/>
  <c r="D11" i="6"/>
  <c r="G9" i="6"/>
  <c r="A2" i="6"/>
  <c r="A1" i="6"/>
  <c r="A37" i="5"/>
  <c r="A36" i="5"/>
  <c r="A35" i="5"/>
  <c r="A34" i="5"/>
  <c r="A33" i="5"/>
  <c r="A32" i="5"/>
  <c r="C29" i="5"/>
  <c r="A29" i="5"/>
  <c r="C28" i="5"/>
  <c r="A28" i="5"/>
  <c r="A25" i="5"/>
  <c r="A23" i="5"/>
  <c r="A22" i="5"/>
  <c r="A21" i="5"/>
  <c r="A20" i="5"/>
  <c r="A19" i="5"/>
  <c r="A18" i="5"/>
  <c r="A3" i="5"/>
  <c r="A2" i="5"/>
  <c r="G16" i="4"/>
  <c r="A16" i="4"/>
  <c r="A20" i="4" s="1"/>
  <c r="A21" i="4" s="1"/>
  <c r="A22" i="4" s="1"/>
  <c r="A23" i="4" s="1"/>
  <c r="A24" i="4" s="1"/>
  <c r="A25" i="4" s="1"/>
  <c r="A30" i="4" s="1"/>
  <c r="A31" i="4" s="1"/>
  <c r="A32" i="4" s="1"/>
  <c r="A33" i="4" s="1"/>
  <c r="A34" i="4" s="1"/>
  <c r="A36" i="4" s="1"/>
  <c r="A41" i="4" s="1"/>
  <c r="A42" i="4" s="1"/>
  <c r="A43" i="4" s="1"/>
  <c r="A44" i="4" s="1"/>
  <c r="A45" i="4" s="1"/>
  <c r="A46" i="4" s="1"/>
  <c r="A47" i="4" s="1"/>
  <c r="A48" i="4" s="1"/>
  <c r="A50" i="4" s="1"/>
  <c r="A52" i="4" s="1"/>
  <c r="A54" i="4" s="1"/>
  <c r="A3" i="4"/>
  <c r="A2" i="4"/>
  <c r="E274" i="1"/>
  <c r="E214" i="7"/>
  <c r="H270" i="1"/>
  <c r="C263" i="1"/>
  <c r="C253" i="1"/>
  <c r="H248" i="1"/>
  <c r="E248" i="1"/>
  <c r="E198" i="7" s="1"/>
  <c r="E247" i="1"/>
  <c r="E240" i="1"/>
  <c r="E191" i="7" s="1"/>
  <c r="C239" i="1"/>
  <c r="H213" i="1"/>
  <c r="E213" i="1"/>
  <c r="E185" i="7" s="1"/>
  <c r="H207" i="1"/>
  <c r="E206" i="1"/>
  <c r="E178" i="7" s="1"/>
  <c r="H194" i="1"/>
  <c r="E194" i="1"/>
  <c r="E184" i="1"/>
  <c r="E182" i="1"/>
  <c r="E169" i="7" s="1"/>
  <c r="E181" i="1"/>
  <c r="E170" i="7" s="1"/>
  <c r="E180" i="1"/>
  <c r="E167" i="7" s="1"/>
  <c r="E179" i="1"/>
  <c r="E175" i="1"/>
  <c r="E165" i="7" s="1"/>
  <c r="E173" i="1"/>
  <c r="E166" i="7" s="1"/>
  <c r="E164" i="7"/>
  <c r="E172" i="1"/>
  <c r="E163" i="7" s="1"/>
  <c r="E161" i="1"/>
  <c r="H153" i="1"/>
  <c r="E153" i="1"/>
  <c r="E148" i="7" s="1"/>
  <c r="F151" i="1"/>
  <c r="H149" i="1"/>
  <c r="E149" i="1"/>
  <c r="E147" i="7" s="1"/>
  <c r="H147" i="1"/>
  <c r="F147" i="1"/>
  <c r="E147" i="1"/>
  <c r="E146" i="7" s="1"/>
  <c r="H146" i="1"/>
  <c r="E146" i="1"/>
  <c r="E145" i="7" s="1"/>
  <c r="E145" i="1"/>
  <c r="H144" i="1"/>
  <c r="E144" i="1"/>
  <c r="E144" i="7" s="1"/>
  <c r="H134" i="1"/>
  <c r="E134" i="1"/>
  <c r="H130" i="1"/>
  <c r="E130" i="1"/>
  <c r="E135" i="7" s="1"/>
  <c r="H129" i="1"/>
  <c r="E129" i="1"/>
  <c r="E110" i="7" s="1"/>
  <c r="F125" i="1"/>
  <c r="H123" i="1"/>
  <c r="E123" i="1"/>
  <c r="E118" i="7" s="1"/>
  <c r="H122" i="1"/>
  <c r="E122" i="1"/>
  <c r="H121" i="1"/>
  <c r="E121" i="1"/>
  <c r="E106" i="7" s="1"/>
  <c r="H120" i="1"/>
  <c r="E120" i="1"/>
  <c r="H119" i="1"/>
  <c r="E119" i="1"/>
  <c r="E118" i="1"/>
  <c r="H117" i="1"/>
  <c r="E117" i="1"/>
  <c r="H113" i="1"/>
  <c r="E113" i="1"/>
  <c r="H112" i="1"/>
  <c r="E112" i="1"/>
  <c r="E79" i="7" s="1"/>
  <c r="E103" i="1"/>
  <c r="E73" i="7" s="1"/>
  <c r="H99" i="1"/>
  <c r="E94" i="1"/>
  <c r="E65" i="7" s="1"/>
  <c r="F92" i="1"/>
  <c r="E91" i="1"/>
  <c r="E64" i="7" s="1"/>
  <c r="E88" i="1"/>
  <c r="E54" i="7" s="1"/>
  <c r="F85" i="1"/>
  <c r="E85" i="1"/>
  <c r="E44" i="7" s="1"/>
  <c r="E83" i="1"/>
  <c r="E80" i="1"/>
  <c r="E77" i="1"/>
  <c r="E68" i="1"/>
  <c r="E29" i="7" s="1"/>
  <c r="F66" i="1"/>
  <c r="C66" i="1"/>
  <c r="E64" i="1"/>
  <c r="C64" i="1"/>
  <c r="E62" i="1"/>
  <c r="E28" i="7" s="1"/>
  <c r="E61" i="1"/>
  <c r="E27" i="7" s="1"/>
  <c r="E60" i="1"/>
  <c r="E26" i="7" s="1"/>
  <c r="E58" i="1"/>
  <c r="E25" i="7" s="1"/>
  <c r="E51" i="1"/>
  <c r="E23" i="7" s="1"/>
  <c r="F49" i="1"/>
  <c r="E47" i="1"/>
  <c r="E22" i="7" s="1"/>
  <c r="E46" i="1"/>
  <c r="E21" i="7" s="1"/>
  <c r="E44" i="1"/>
  <c r="E20" i="7" s="1"/>
  <c r="E43" i="1"/>
  <c r="E19" i="7" s="1"/>
  <c r="E42" i="1"/>
  <c r="E18" i="7" s="1"/>
  <c r="E40" i="1"/>
  <c r="E17" i="7" s="1"/>
  <c r="E26" i="1"/>
  <c r="E14" i="7" s="1"/>
  <c r="E25" i="1"/>
  <c r="E13" i="7" s="1"/>
  <c r="E24" i="1"/>
  <c r="E12" i="7" s="1"/>
  <c r="E23" i="1"/>
  <c r="E11" i="7" s="1"/>
  <c r="E19" i="1"/>
  <c r="E9" i="7" s="1"/>
  <c r="A19" i="1"/>
  <c r="A9" i="7" s="1"/>
  <c r="H13" i="1"/>
  <c r="E13" i="1"/>
  <c r="H12" i="1"/>
  <c r="E12" i="1"/>
  <c r="A12" i="1"/>
  <c r="H10" i="1"/>
  <c r="E10" i="1"/>
  <c r="H43" i="1"/>
  <c r="I45" i="6"/>
  <c r="E168" i="7"/>
  <c r="H58" i="1"/>
  <c r="T27" i="7"/>
  <c r="H61" i="1" s="1"/>
  <c r="E36" i="4" l="1"/>
  <c r="E50" i="4" s="1"/>
  <c r="E54" i="4" s="1"/>
  <c r="H62" i="1"/>
  <c r="H209" i="1"/>
  <c r="I58" i="6"/>
  <c r="I31" i="6"/>
  <c r="H64" i="1"/>
  <c r="H131" i="1"/>
  <c r="H239" i="1"/>
  <c r="H148" i="1"/>
  <c r="I23" i="6"/>
  <c r="H214" i="1"/>
  <c r="I32" i="6"/>
  <c r="H133" i="1"/>
  <c r="H20" i="1"/>
  <c r="I26" i="6"/>
  <c r="I33" i="6"/>
  <c r="H124" i="1"/>
  <c r="H83" i="1"/>
  <c r="H145" i="1"/>
  <c r="H14" i="1"/>
  <c r="H114" i="1"/>
  <c r="H27" i="1"/>
  <c r="A20" i="1"/>
  <c r="D25" i="5"/>
  <c r="E127" i="7"/>
  <c r="I18" i="6"/>
  <c r="A13" i="1"/>
  <c r="F14" i="1" s="1"/>
  <c r="A35" i="7"/>
  <c r="I65" i="6"/>
  <c r="I24" i="6"/>
  <c r="I30" i="6"/>
  <c r="H183" i="1"/>
  <c r="H174" i="1"/>
  <c r="I35" i="6"/>
  <c r="I44" i="6" s="1"/>
  <c r="H45" i="1"/>
  <c r="H63" i="1" l="1"/>
  <c r="I60" i="6"/>
  <c r="I62" i="6" s="1"/>
  <c r="D33" i="5"/>
  <c r="D34" i="5" s="1"/>
  <c r="D36" i="5" s="1"/>
  <c r="D37" i="5" s="1"/>
  <c r="D28" i="5" s="1"/>
  <c r="D29" i="5" s="1"/>
  <c r="H247" i="1" s="1"/>
  <c r="H210" i="1"/>
  <c r="H135" i="1"/>
  <c r="H48" i="1"/>
  <c r="I34" i="6"/>
  <c r="I43" i="6" s="1"/>
  <c r="H150" i="1"/>
  <c r="H21" i="1"/>
  <c r="I25" i="6"/>
  <c r="I27" i="6" s="1"/>
  <c r="I36" i="6" s="1"/>
  <c r="I66" i="6"/>
  <c r="H192" i="1"/>
  <c r="H16" i="1"/>
  <c r="E14" i="14" s="1"/>
  <c r="H241" i="1"/>
  <c r="A21" i="1"/>
  <c r="A23" i="1" s="1"/>
  <c r="A10" i="7"/>
  <c r="H176" i="1"/>
  <c r="A14" i="1"/>
  <c r="F16" i="1" s="1"/>
  <c r="A36" i="7"/>
  <c r="I61" i="6" l="1"/>
  <c r="S54" i="7"/>
  <c r="T54" i="7" s="1"/>
  <c r="H88" i="1" s="1"/>
  <c r="H65" i="1"/>
  <c r="F25" i="4"/>
  <c r="G25" i="4" s="1"/>
  <c r="G36" i="4" s="1"/>
  <c r="H161" i="1" s="1"/>
  <c r="E14" i="2"/>
  <c r="I37" i="6"/>
  <c r="I39" i="6" s="1"/>
  <c r="I47" i="6" s="1"/>
  <c r="H66" i="1"/>
  <c r="H49" i="1"/>
  <c r="H50" i="1" s="1"/>
  <c r="H92" i="1"/>
  <c r="H29" i="1"/>
  <c r="H185" i="1"/>
  <c r="H125" i="1"/>
  <c r="H151" i="1"/>
  <c r="H242" i="1"/>
  <c r="A11" i="7"/>
  <c r="A24" i="1"/>
  <c r="E16" i="2" l="1"/>
  <c r="E16" i="14"/>
  <c r="E17" i="2" s="1"/>
  <c r="H67" i="1"/>
  <c r="H163" i="1"/>
  <c r="I41" i="6"/>
  <c r="I49" i="6" s="1"/>
  <c r="I40" i="6"/>
  <c r="I48" i="6" s="1"/>
  <c r="H254" i="1"/>
  <c r="H186" i="1"/>
  <c r="H52" i="1"/>
  <c r="H152" i="1"/>
  <c r="H126" i="1"/>
  <c r="H93" i="1"/>
  <c r="A12" i="7"/>
  <c r="A25" i="1"/>
  <c r="F64" i="1"/>
  <c r="H190" i="1" l="1"/>
  <c r="E18" i="2"/>
  <c r="H70" i="1"/>
  <c r="H232" i="1"/>
  <c r="I50" i="6"/>
  <c r="H263" i="1"/>
  <c r="H198" i="1"/>
  <c r="H189" i="1"/>
  <c r="H188" i="1"/>
  <c r="H95" i="1"/>
  <c r="H54" i="1"/>
  <c r="H154" i="1"/>
  <c r="A26" i="1"/>
  <c r="A13" i="7"/>
  <c r="H31" i="1" l="1"/>
  <c r="H72" i="1"/>
  <c r="H157" i="1"/>
  <c r="H197" i="1"/>
  <c r="H196" i="1"/>
  <c r="F27" i="1"/>
  <c r="A14" i="7"/>
  <c r="A27" i="1"/>
  <c r="H226" i="1" l="1"/>
  <c r="H34" i="1"/>
  <c r="H199" i="1"/>
  <c r="H231" i="1"/>
  <c r="H32" i="1"/>
  <c r="A29" i="1"/>
  <c r="A31" i="1" s="1"/>
  <c r="F29" i="1"/>
  <c r="H35" i="1" l="1"/>
  <c r="A32" i="1"/>
  <c r="A34" i="1" s="1"/>
  <c r="F32" i="1"/>
  <c r="D15" i="14" l="1"/>
  <c r="D16" i="14" s="1"/>
  <c r="D15" i="2"/>
  <c r="H215" i="1"/>
  <c r="H136" i="1"/>
  <c r="F34" i="4"/>
  <c r="I67" i="6"/>
  <c r="I68" i="6" s="1"/>
  <c r="A35" i="1"/>
  <c r="F35" i="1"/>
  <c r="D16" i="2" l="1"/>
  <c r="F16" i="2" s="1"/>
  <c r="D17" i="2"/>
  <c r="F16" i="14"/>
  <c r="H137" i="1"/>
  <c r="H216" i="1"/>
  <c r="A40" i="1"/>
  <c r="F136" i="1"/>
  <c r="F215" i="1"/>
  <c r="G67" i="6" s="1"/>
  <c r="F17" i="2" l="1"/>
  <c r="F18" i="2" s="1"/>
  <c r="H77" i="1" s="1"/>
  <c r="D18" i="2"/>
  <c r="H139" i="1"/>
  <c r="A42" i="1"/>
  <c r="A17" i="7"/>
  <c r="F239" i="1"/>
  <c r="H98" i="1" l="1"/>
  <c r="H230" i="1"/>
  <c r="A18" i="7"/>
  <c r="A43" i="1"/>
  <c r="H100" i="1" l="1"/>
  <c r="A44" i="1"/>
  <c r="A19" i="7"/>
  <c r="H105" i="1" l="1"/>
  <c r="A20" i="7"/>
  <c r="F20" i="1"/>
  <c r="F45" i="1"/>
  <c r="A45" i="1"/>
  <c r="A46" i="1" s="1"/>
  <c r="A21" i="7" s="1"/>
  <c r="A47" i="1" l="1"/>
  <c r="H227" i="1"/>
  <c r="H107" i="1"/>
  <c r="A22" i="7"/>
  <c r="A48" i="1"/>
  <c r="F48" i="1"/>
  <c r="H201" i="1" l="1"/>
  <c r="I16" i="6"/>
  <c r="I52" i="6" s="1"/>
  <c r="I72" i="6" s="1"/>
  <c r="I74" i="6" s="1"/>
  <c r="I9" i="6" s="1"/>
  <c r="H261" i="1" s="1"/>
  <c r="H228" i="1"/>
  <c r="F50" i="1"/>
  <c r="A49" i="1"/>
  <c r="A50" i="1" s="1"/>
  <c r="H219" i="1" l="1"/>
  <c r="H233" i="1"/>
  <c r="A51" i="1"/>
  <c r="H221" i="1" l="1"/>
  <c r="A52" i="1"/>
  <c r="A23" i="7"/>
  <c r="F52" i="1"/>
  <c r="H234" i="1" l="1"/>
  <c r="A54" i="1"/>
  <c r="F54" i="1"/>
  <c r="H236" i="1" l="1"/>
  <c r="A58" i="1"/>
  <c r="F31" i="1"/>
  <c r="H243" i="1" l="1"/>
  <c r="A60" i="1"/>
  <c r="A25" i="7"/>
  <c r="H260" i="1" l="1"/>
  <c r="H253" i="1"/>
  <c r="H244" i="1"/>
  <c r="A26" i="7"/>
  <c r="A61" i="1"/>
  <c r="H250" i="1" l="1"/>
  <c r="H255" i="1"/>
  <c r="H257" i="1"/>
  <c r="H256" i="1"/>
  <c r="H262" i="1"/>
  <c r="A62" i="1"/>
  <c r="A27" i="7"/>
  <c r="H265" i="1" l="1"/>
  <c r="I13" i="10"/>
  <c r="CH33" i="10" s="1"/>
  <c r="CJ56" i="10" s="1"/>
  <c r="I19" i="10"/>
  <c r="V19" i="10" s="1"/>
  <c r="AE19" i="10" s="1"/>
  <c r="AQ19" i="10" s="1"/>
  <c r="BC19" i="10" s="1"/>
  <c r="H267" i="1"/>
  <c r="H264" i="1"/>
  <c r="A28" i="7"/>
  <c r="A63" i="1"/>
  <c r="F63" i="1"/>
  <c r="BO19" i="10" l="1"/>
  <c r="CM19" i="10" s="1"/>
  <c r="DK19" i="10" s="1"/>
  <c r="EI19" i="10" s="1"/>
  <c r="FG19" i="10" s="1"/>
  <c r="GE19" i="10" s="1"/>
  <c r="CA19" i="10"/>
  <c r="CY19" i="10" s="1"/>
  <c r="DW19" i="10" s="1"/>
  <c r="EU19" i="10" s="1"/>
  <c r="FS19" i="10" s="1"/>
  <c r="GC33" i="10"/>
  <c r="FQ33" i="10"/>
  <c r="FS56" i="10" s="1"/>
  <c r="FS57" i="10" s="1"/>
  <c r="BG63" i="9" s="1"/>
  <c r="BG69" i="9" s="1"/>
  <c r="FE33" i="10"/>
  <c r="FG56" i="10" s="1"/>
  <c r="FG57" i="10" s="1"/>
  <c r="BC63" i="9" s="1"/>
  <c r="BC69" i="9" s="1"/>
  <c r="ES33" i="10"/>
  <c r="EU56" i="10" s="1"/>
  <c r="EU57" i="10" s="1"/>
  <c r="AY63" i="9" s="1"/>
  <c r="AY69" i="9" s="1"/>
  <c r="EG33" i="10"/>
  <c r="EI56" i="10" s="1"/>
  <c r="EI57" i="10" s="1"/>
  <c r="AU63" i="9" s="1"/>
  <c r="AU69" i="9" s="1"/>
  <c r="DU33" i="10"/>
  <c r="DW56" i="10" s="1"/>
  <c r="DI33" i="10"/>
  <c r="DK56" i="10" s="1"/>
  <c r="CW33" i="10"/>
  <c r="CY56" i="10" s="1"/>
  <c r="CK33" i="10"/>
  <c r="CM56" i="10" s="1"/>
  <c r="CM57" i="10" s="1"/>
  <c r="AE63" i="9" s="1"/>
  <c r="AE69" i="9" s="1"/>
  <c r="BY33" i="10"/>
  <c r="BM33" i="10"/>
  <c r="BO56" i="10" s="1"/>
  <c r="BO57" i="10" s="1"/>
  <c r="BA33" i="10"/>
  <c r="BC56" i="10" s="1"/>
  <c r="BC57" i="10" s="1"/>
  <c r="S63" i="9" s="1"/>
  <c r="S69" i="9" s="1"/>
  <c r="AO33" i="10"/>
  <c r="AQ56" i="10" s="1"/>
  <c r="AQ57" i="10" s="1"/>
  <c r="O63" i="9" s="1"/>
  <c r="O69" i="9" s="1"/>
  <c r="AC33" i="10"/>
  <c r="AE56" i="10" s="1"/>
  <c r="AE57" i="10" s="1"/>
  <c r="K63" i="9" s="1"/>
  <c r="K69" i="9" s="1"/>
  <c r="Q33" i="10"/>
  <c r="E33" i="10"/>
  <c r="G56" i="10" s="1"/>
  <c r="FZ33" i="10"/>
  <c r="GB56" i="10" s="1"/>
  <c r="GB57" i="10" s="1"/>
  <c r="BJ63" i="9" s="1"/>
  <c r="BJ69" i="9" s="1"/>
  <c r="FN33" i="10"/>
  <c r="FP56" i="10" s="1"/>
  <c r="FP57" i="10" s="1"/>
  <c r="BF63" i="9" s="1"/>
  <c r="BF69" i="9" s="1"/>
  <c r="EP33" i="10"/>
  <c r="ER56" i="10" s="1"/>
  <c r="ER57" i="10" s="1"/>
  <c r="AX63" i="9" s="1"/>
  <c r="AX69" i="9" s="1"/>
  <c r="ED33" i="10"/>
  <c r="EF56" i="10" s="1"/>
  <c r="EF57" i="10" s="1"/>
  <c r="AT63" i="9" s="1"/>
  <c r="AT69" i="9" s="1"/>
  <c r="DF33" i="10"/>
  <c r="DH56" i="10" s="1"/>
  <c r="BJ33" i="10"/>
  <c r="BL56" i="10" s="1"/>
  <c r="BL57" i="10" s="1"/>
  <c r="V63" i="9" s="1"/>
  <c r="V69" i="9" s="1"/>
  <c r="AL33" i="10"/>
  <c r="AN56" i="10" s="1"/>
  <c r="AN57" i="10" s="1"/>
  <c r="N63" i="9" s="1"/>
  <c r="N69" i="9" s="1"/>
  <c r="N33" i="10"/>
  <c r="P56" i="10" s="1"/>
  <c r="P57" i="10" s="1"/>
  <c r="F63" i="9" s="1"/>
  <c r="F69" i="9" s="1"/>
  <c r="FW33" i="10"/>
  <c r="FK33" i="10"/>
  <c r="EY33" i="10"/>
  <c r="EM33" i="10"/>
  <c r="EA33" i="10"/>
  <c r="DO33" i="10"/>
  <c r="DC33" i="10"/>
  <c r="CQ33" i="10"/>
  <c r="CE33" i="10"/>
  <c r="BS33" i="10"/>
  <c r="BG33" i="10"/>
  <c r="AU33" i="10"/>
  <c r="AI33" i="10"/>
  <c r="W33" i="10"/>
  <c r="K33" i="10"/>
  <c r="FT33" i="10"/>
  <c r="FH33" i="10"/>
  <c r="EV33" i="10"/>
  <c r="EJ33" i="10"/>
  <c r="DX33" i="10"/>
  <c r="DL33" i="10"/>
  <c r="CZ33" i="10"/>
  <c r="CN33" i="10"/>
  <c r="CB33" i="10"/>
  <c r="BP33" i="10"/>
  <c r="BR56" i="10" s="1"/>
  <c r="BR57" i="10" s="1"/>
  <c r="X63" i="9" s="1"/>
  <c r="X69" i="9" s="1"/>
  <c r="BD33" i="10"/>
  <c r="AR33" i="10"/>
  <c r="AF33" i="10"/>
  <c r="T33" i="10"/>
  <c r="H33" i="10"/>
  <c r="FB33" i="10"/>
  <c r="FD56" i="10" s="1"/>
  <c r="FD57" i="10" s="1"/>
  <c r="BB63" i="9" s="1"/>
  <c r="BB69" i="9" s="1"/>
  <c r="DR33" i="10"/>
  <c r="DT56" i="10" s="1"/>
  <c r="CT33" i="10"/>
  <c r="CV56" i="10" s="1"/>
  <c r="BV33" i="10"/>
  <c r="BX56" i="10" s="1"/>
  <c r="BX57" i="10" s="1"/>
  <c r="Z63" i="9" s="1"/>
  <c r="Z69" i="9" s="1"/>
  <c r="AX33" i="10"/>
  <c r="AZ56" i="10" s="1"/>
  <c r="AZ57" i="10" s="1"/>
  <c r="R63" i="9" s="1"/>
  <c r="R69" i="9" s="1"/>
  <c r="Z33" i="10"/>
  <c r="AB56" i="10" s="1"/>
  <c r="AB57" i="10" s="1"/>
  <c r="J63" i="9" s="1"/>
  <c r="J69" i="9" s="1"/>
  <c r="V13" i="10"/>
  <c r="AE13" i="10" s="1"/>
  <c r="AQ13" i="10" s="1"/>
  <c r="BC13" i="10" s="1"/>
  <c r="I14" i="10"/>
  <c r="V14" i="10" s="1"/>
  <c r="AE14" i="10" s="1"/>
  <c r="AQ14" i="10" s="1"/>
  <c r="BC14" i="10" s="1"/>
  <c r="A64" i="1"/>
  <c r="A65" i="1" s="1"/>
  <c r="BO14" i="10" l="1"/>
  <c r="CM14" i="10" s="1"/>
  <c r="DK14" i="10" s="1"/>
  <c r="EI14" i="10" s="1"/>
  <c r="FG14" i="10" s="1"/>
  <c r="GE14" i="10" s="1"/>
  <c r="CA14" i="10"/>
  <c r="CY14" i="10" s="1"/>
  <c r="DW14" i="10" s="1"/>
  <c r="EU14" i="10" s="1"/>
  <c r="FS14" i="10" s="1"/>
  <c r="BO13" i="10"/>
  <c r="CM13" i="10" s="1"/>
  <c r="DK13" i="10" s="1"/>
  <c r="EI13" i="10" s="1"/>
  <c r="FG13" i="10" s="1"/>
  <c r="GE13" i="10" s="1"/>
  <c r="CA13" i="10"/>
  <c r="CY13" i="10" s="1"/>
  <c r="DW13" i="10" s="1"/>
  <c r="EU13" i="10" s="1"/>
  <c r="FS13" i="10" s="1"/>
  <c r="J56" i="10"/>
  <c r="J57" i="10" s="1"/>
  <c r="D63" i="9" s="1"/>
  <c r="D69" i="9" s="1"/>
  <c r="BF56" i="10"/>
  <c r="BF57" i="10" s="1"/>
  <c r="T63" i="9" s="1"/>
  <c r="T69" i="9" s="1"/>
  <c r="DB56" i="10"/>
  <c r="EX56" i="10"/>
  <c r="EX57" i="10" s="1"/>
  <c r="AZ63" i="9" s="1"/>
  <c r="AZ69" i="9" s="1"/>
  <c r="Y56" i="10"/>
  <c r="Y57" i="10" s="1"/>
  <c r="I63" i="9" s="1"/>
  <c r="I69" i="9" s="1"/>
  <c r="BU56" i="10"/>
  <c r="BU57" i="10" s="1"/>
  <c r="Y63" i="9" s="1"/>
  <c r="Y69" i="9" s="1"/>
  <c r="DQ56" i="10"/>
  <c r="FM56" i="10"/>
  <c r="FM57" i="10" s="1"/>
  <c r="BE63" i="9" s="1"/>
  <c r="BE69" i="9" s="1"/>
  <c r="S56" i="10"/>
  <c r="S57" i="10" s="1"/>
  <c r="G63" i="9" s="1"/>
  <c r="G69" i="9" s="1"/>
  <c r="V56" i="10"/>
  <c r="V57" i="10" s="1"/>
  <c r="H63" i="9" s="1"/>
  <c r="H69" i="9" s="1"/>
  <c r="DN56" i="10"/>
  <c r="FJ56" i="10"/>
  <c r="FJ57" i="10" s="1"/>
  <c r="BD63" i="9" s="1"/>
  <c r="BD69" i="9" s="1"/>
  <c r="AK56" i="10"/>
  <c r="AK57" i="10" s="1"/>
  <c r="M63" i="9" s="1"/>
  <c r="M69" i="9" s="1"/>
  <c r="CG56" i="10"/>
  <c r="EC56" i="10"/>
  <c r="EC57" i="10" s="1"/>
  <c r="AS63" i="9" s="1"/>
  <c r="AS69" i="9" s="1"/>
  <c r="FY56" i="10"/>
  <c r="FY57" i="10" s="1"/>
  <c r="BI63" i="9" s="1"/>
  <c r="BI69" i="9" s="1"/>
  <c r="CA56" i="10"/>
  <c r="CA57" i="10" s="1"/>
  <c r="AA63" i="9" s="1"/>
  <c r="AA69" i="9" s="1"/>
  <c r="AH56" i="10"/>
  <c r="AH57" i="10" s="1"/>
  <c r="L63" i="9" s="1"/>
  <c r="L69" i="9" s="1"/>
  <c r="CD56" i="10"/>
  <c r="DZ56" i="10"/>
  <c r="DZ57" i="10" s="1"/>
  <c r="AR63" i="9" s="1"/>
  <c r="AR69" i="9" s="1"/>
  <c r="FV56" i="10"/>
  <c r="FV57" i="10" s="1"/>
  <c r="BH63" i="9" s="1"/>
  <c r="BH69" i="9" s="1"/>
  <c r="AW56" i="10"/>
  <c r="AW57" i="10" s="1"/>
  <c r="Q63" i="9" s="1"/>
  <c r="Q69" i="9" s="1"/>
  <c r="CS56" i="10"/>
  <c r="CS57" i="10" s="1"/>
  <c r="AF63" i="9" s="1"/>
  <c r="AF69" i="9" s="1"/>
  <c r="EO56" i="10"/>
  <c r="EO57" i="10" s="1"/>
  <c r="AW63" i="9" s="1"/>
  <c r="AW69" i="9" s="1"/>
  <c r="GE56" i="10"/>
  <c r="GE57" i="10" s="1"/>
  <c r="BK63" i="9" s="1"/>
  <c r="BK69" i="9" s="1"/>
  <c r="AT56" i="10"/>
  <c r="AT57" i="10" s="1"/>
  <c r="P63" i="9" s="1"/>
  <c r="P69" i="9" s="1"/>
  <c r="CP56" i="10"/>
  <c r="CP57" i="10" s="1"/>
  <c r="AH63" i="9" s="1"/>
  <c r="AH69" i="9" s="1"/>
  <c r="EL56" i="10"/>
  <c r="EL57" i="10" s="1"/>
  <c r="AV63" i="9" s="1"/>
  <c r="AV69" i="9" s="1"/>
  <c r="M56" i="10"/>
  <c r="M57" i="10" s="1"/>
  <c r="E63" i="9" s="1"/>
  <c r="E69" i="9" s="1"/>
  <c r="BI56" i="10"/>
  <c r="BI57" i="10" s="1"/>
  <c r="U63" i="9" s="1"/>
  <c r="U69" i="9" s="1"/>
  <c r="DE56" i="10"/>
  <c r="FA56" i="10"/>
  <c r="FA57" i="10" s="1"/>
  <c r="BA63" i="9" s="1"/>
  <c r="BA69" i="9" s="1"/>
  <c r="G57" i="10"/>
  <c r="W63" i="9"/>
  <c r="W69" i="9" s="1"/>
  <c r="I15" i="10"/>
  <c r="F65" i="1"/>
  <c r="A66" i="1"/>
  <c r="A67" i="1" s="1"/>
  <c r="BD34" i="10" l="1"/>
  <c r="CH34" i="10"/>
  <c r="CJ57" i="10" s="1"/>
  <c r="AD63" i="9" s="1"/>
  <c r="AD69" i="9" s="1"/>
  <c r="GI56" i="10"/>
  <c r="GK56" i="10" s="1"/>
  <c r="EY34" i="10"/>
  <c r="BG34" i="10"/>
  <c r="EJ34" i="10"/>
  <c r="AR34" i="10"/>
  <c r="EM34" i="10"/>
  <c r="AU34" i="10"/>
  <c r="DX34" i="10"/>
  <c r="AF34" i="10"/>
  <c r="FW34" i="10"/>
  <c r="CE34" i="10"/>
  <c r="CG57" i="10" s="1"/>
  <c r="AC63" i="9" s="1"/>
  <c r="AC69" i="9" s="1"/>
  <c r="FH34" i="10"/>
  <c r="T34" i="10"/>
  <c r="FK34" i="10"/>
  <c r="BS34" i="10"/>
  <c r="EV34" i="10"/>
  <c r="FB34" i="10"/>
  <c r="ED34" i="10"/>
  <c r="CT34" i="10"/>
  <c r="CV57" i="10" s="1"/>
  <c r="AG63" i="9" s="1"/>
  <c r="AG69" i="9" s="1"/>
  <c r="BJ34" i="10"/>
  <c r="AL34" i="10"/>
  <c r="ES34" i="10"/>
  <c r="BA34" i="10"/>
  <c r="FZ34" i="10"/>
  <c r="EP34" i="10"/>
  <c r="DF34" i="10"/>
  <c r="DH57" i="10" s="1"/>
  <c r="AL63" i="9" s="1"/>
  <c r="AL69" i="9" s="1"/>
  <c r="AX34" i="10"/>
  <c r="N34" i="10"/>
  <c r="FN34" i="10"/>
  <c r="EG34" i="10"/>
  <c r="CW34" i="10"/>
  <c r="CY57" i="10" s="1"/>
  <c r="AJ63" i="9" s="1"/>
  <c r="AJ69" i="9" s="1"/>
  <c r="BV34" i="10"/>
  <c r="AO34" i="10"/>
  <c r="E34" i="10"/>
  <c r="DR34" i="10"/>
  <c r="DT57" i="10" s="1"/>
  <c r="AP63" i="9" s="1"/>
  <c r="AP69" i="9" s="1"/>
  <c r="CK34" i="10"/>
  <c r="Z34" i="10"/>
  <c r="DU34" i="10"/>
  <c r="DW57" i="10" s="1"/>
  <c r="AQ63" i="9" s="1"/>
  <c r="AQ69" i="9" s="1"/>
  <c r="BP34" i="10"/>
  <c r="FQ34" i="10"/>
  <c r="BM34" i="10"/>
  <c r="FE34" i="10"/>
  <c r="DI34" i="10"/>
  <c r="DK57" i="10" s="1"/>
  <c r="AM63" i="9" s="1"/>
  <c r="AM69" i="9" s="1"/>
  <c r="AC34" i="10"/>
  <c r="C63" i="9"/>
  <c r="C69" i="9" s="1"/>
  <c r="DC34" i="10"/>
  <c r="DE57" i="10" s="1"/>
  <c r="AK63" i="9" s="1"/>
  <c r="AK69" i="9" s="1"/>
  <c r="K34" i="10"/>
  <c r="CN34" i="10"/>
  <c r="GC34" i="10"/>
  <c r="CQ34" i="10"/>
  <c r="FT34" i="10"/>
  <c r="CB34" i="10"/>
  <c r="CD57" i="10" s="1"/>
  <c r="AB63" i="9" s="1"/>
  <c r="BY34" i="10"/>
  <c r="EA34" i="10"/>
  <c r="AI34" i="10"/>
  <c r="DL34" i="10"/>
  <c r="DN57" i="10" s="1"/>
  <c r="AN63" i="9" s="1"/>
  <c r="AN69" i="9" s="1"/>
  <c r="Q34" i="10"/>
  <c r="DO34" i="10"/>
  <c r="DQ57" i="10" s="1"/>
  <c r="AO63" i="9" s="1"/>
  <c r="AO69" i="9" s="1"/>
  <c r="W34" i="10"/>
  <c r="CZ34" i="10"/>
  <c r="DB57" i="10" s="1"/>
  <c r="AI63" i="9" s="1"/>
  <c r="AI69" i="9" s="1"/>
  <c r="H34" i="10"/>
  <c r="V15" i="10"/>
  <c r="AE15" i="10" s="1"/>
  <c r="AQ15" i="10" s="1"/>
  <c r="BC15" i="10" s="1"/>
  <c r="F67" i="1"/>
  <c r="A68" i="1"/>
  <c r="F70" i="1" s="1"/>
  <c r="BO15" i="10" l="1"/>
  <c r="CM15" i="10" s="1"/>
  <c r="DK15" i="10" s="1"/>
  <c r="EI15" i="10" s="1"/>
  <c r="FG15" i="10" s="1"/>
  <c r="GE15" i="10" s="1"/>
  <c r="CA15" i="10"/>
  <c r="CY15" i="10" s="1"/>
  <c r="DW15" i="10" s="1"/>
  <c r="EU15" i="10" s="1"/>
  <c r="FS15" i="10" s="1"/>
  <c r="GI57" i="10"/>
  <c r="GJ57" i="10" s="1"/>
  <c r="GL57" i="10" s="1"/>
  <c r="H269" i="1" s="1"/>
  <c r="AB69" i="9"/>
  <c r="B69" i="9" s="1"/>
  <c r="B63" i="9"/>
  <c r="A29" i="7"/>
  <c r="A70" i="1"/>
  <c r="H271" i="1" l="1"/>
  <c r="A72" i="1"/>
  <c r="F72" i="1"/>
  <c r="G69" i="8" l="1"/>
  <c r="G71" i="8" s="1"/>
  <c r="G73" i="8" s="1"/>
  <c r="H275" i="1"/>
  <c r="A77" i="1"/>
  <c r="F226" i="1"/>
  <c r="F34" i="1"/>
  <c r="H277" i="1" l="1"/>
  <c r="A80" i="1"/>
  <c r="A85" i="1" l="1"/>
  <c r="F254" i="1"/>
  <c r="F263" i="1" s="1"/>
  <c r="A46" i="7" l="1"/>
  <c r="A88" i="1"/>
  <c r="A91" i="1" l="1"/>
  <c r="A54" i="7"/>
  <c r="A64" i="7" l="1"/>
  <c r="A92" i="1"/>
  <c r="A93" i="1" s="1"/>
  <c r="F93" i="1" l="1"/>
  <c r="A94" i="1"/>
  <c r="F95" i="1" s="1"/>
  <c r="A95" i="1" l="1"/>
  <c r="A65" i="7"/>
  <c r="A98" i="1" l="1"/>
  <c r="A99" i="1" l="1"/>
  <c r="A100" i="1" s="1"/>
  <c r="A103" i="1" l="1"/>
  <c r="F100" i="1"/>
  <c r="A73" i="7" l="1"/>
  <c r="A105" i="1"/>
  <c r="F105" i="1"/>
  <c r="F227" i="1" l="1"/>
  <c r="A107" i="1"/>
  <c r="F107" i="1"/>
  <c r="G16" i="6" s="1"/>
  <c r="F228" i="1" l="1"/>
  <c r="A112" i="1"/>
  <c r="A79" i="7" l="1"/>
  <c r="A113" i="1"/>
  <c r="F114" i="1" s="1"/>
  <c r="A114" i="1" l="1"/>
  <c r="A80" i="7"/>
  <c r="A117" i="1" l="1"/>
  <c r="A118" i="1" l="1"/>
  <c r="A94" i="7"/>
  <c r="A96" i="7" l="1"/>
  <c r="A119" i="1"/>
  <c r="A120" i="1" l="1"/>
  <c r="A97" i="7"/>
  <c r="A88" i="7" l="1"/>
  <c r="F133" i="1"/>
  <c r="A121" i="1"/>
  <c r="A106" i="7" l="1"/>
  <c r="A122" i="1"/>
  <c r="A123" i="1" s="1"/>
  <c r="A124" i="1" l="1"/>
  <c r="A118" i="7"/>
  <c r="F124" i="1"/>
  <c r="A125" i="1" l="1"/>
  <c r="A126" i="1" s="1"/>
  <c r="A129" i="1" l="1"/>
  <c r="F126" i="1"/>
  <c r="A110" i="7" l="1"/>
  <c r="A130" i="1"/>
  <c r="F131" i="1"/>
  <c r="A127" i="7" l="1"/>
  <c r="A131" i="1"/>
  <c r="A133" i="1" l="1"/>
  <c r="A134" i="1" l="1"/>
  <c r="F135" i="1" s="1"/>
  <c r="A135" i="1" l="1"/>
  <c r="A135" i="7"/>
  <c r="A136" i="1" l="1"/>
  <c r="A137" i="1" s="1"/>
  <c r="A139" i="1" l="1"/>
  <c r="F139" i="1"/>
  <c r="F137" i="1"/>
  <c r="F98" i="1" l="1"/>
  <c r="F230" i="1"/>
  <c r="A144" i="1"/>
  <c r="A146" i="1" l="1"/>
  <c r="A144" i="7"/>
  <c r="A145" i="7" l="1"/>
  <c r="A147" i="1"/>
  <c r="A148" i="1" l="1"/>
  <c r="A146" i="7"/>
  <c r="F148" i="1"/>
  <c r="A149" i="1" l="1"/>
  <c r="F150" i="1" s="1"/>
  <c r="A147" i="7" l="1"/>
  <c r="A150" i="1"/>
  <c r="A151" i="1" l="1"/>
  <c r="A152" i="1" s="1"/>
  <c r="F152" i="1" l="1"/>
  <c r="A153" i="1"/>
  <c r="A154" i="1" l="1"/>
  <c r="A148" i="7"/>
  <c r="F154" i="1"/>
  <c r="A157" i="1" l="1"/>
  <c r="F157" i="1"/>
  <c r="A161" i="1" l="1"/>
  <c r="F231" i="1"/>
  <c r="F163" i="1" l="1"/>
  <c r="A163" i="1"/>
  <c r="A154" i="7"/>
  <c r="A167" i="1" l="1"/>
  <c r="F232" i="1"/>
  <c r="A169" i="1" l="1"/>
  <c r="A172" i="1" l="1"/>
  <c r="A163" i="7" l="1"/>
  <c r="A173" i="1"/>
  <c r="A164" i="7" l="1"/>
  <c r="A174" i="1"/>
  <c r="A175" i="1" s="1"/>
  <c r="F176" i="1" l="1"/>
  <c r="G27" i="6" s="1"/>
  <c r="A165" i="7"/>
  <c r="A176" i="1"/>
  <c r="A179" i="1" l="1"/>
  <c r="F185" i="1"/>
  <c r="G36" i="6" s="1"/>
  <c r="A180" i="1" l="1"/>
  <c r="A181" i="1" s="1"/>
  <c r="A182" i="1" s="1"/>
  <c r="A183" i="1" s="1"/>
  <c r="A184" i="1" l="1"/>
  <c r="F192" i="1"/>
  <c r="G43" i="6" s="1"/>
  <c r="F183" i="1"/>
  <c r="G34" i="6" s="1"/>
  <c r="F174" i="1" l="1"/>
  <c r="G25" i="6" s="1"/>
  <c r="A185" i="1"/>
  <c r="A170" i="7"/>
  <c r="F193" i="1"/>
  <c r="G44" i="6" s="1"/>
  <c r="A186" i="1" l="1"/>
  <c r="F190" i="1" s="1"/>
  <c r="G41" i="6" s="1"/>
  <c r="F186" i="1"/>
  <c r="G37" i="6" s="1"/>
  <c r="A188" i="1" l="1"/>
  <c r="F188" i="1"/>
  <c r="G39" i="6" s="1"/>
  <c r="F189" i="1"/>
  <c r="G40" i="6" s="1"/>
  <c r="A189" i="1" l="1"/>
  <c r="A190" i="1" l="1"/>
  <c r="A192" i="1" l="1"/>
  <c r="A193" i="1" l="1"/>
  <c r="F196" i="1"/>
  <c r="G47" i="6" s="1"/>
  <c r="A194" i="1" l="1"/>
  <c r="F197" i="1"/>
  <c r="G48" i="6" s="1"/>
  <c r="A196" i="1" l="1"/>
  <c r="G45" i="6"/>
  <c r="F198" i="1"/>
  <c r="G49" i="6" s="1"/>
  <c r="A197" i="1" l="1"/>
  <c r="A198" i="1" s="1"/>
  <c r="A199" i="1" s="1"/>
  <c r="F199" i="1" l="1"/>
  <c r="G50" i="6" s="1"/>
  <c r="A201" i="1"/>
  <c r="F201" i="1"/>
  <c r="G52" i="6" s="1"/>
  <c r="F233" i="1" l="1"/>
  <c r="A206" i="1"/>
  <c r="A207" i="1" s="1"/>
  <c r="A178" i="7" l="1"/>
  <c r="A208" i="1"/>
  <c r="A209" i="1" s="1"/>
  <c r="F214" i="1" l="1"/>
  <c r="G66" i="6" s="1"/>
  <c r="A210" i="1"/>
  <c r="A213" i="1" l="1"/>
  <c r="F219" i="1"/>
  <c r="A214" i="1" l="1"/>
  <c r="A215" i="1" s="1"/>
  <c r="A216" i="1" s="1"/>
  <c r="A185" i="7"/>
  <c r="F216" i="1" l="1"/>
  <c r="G68" i="6" s="1"/>
  <c r="A219" i="1"/>
  <c r="A221" i="1" s="1"/>
  <c r="F221" i="1" l="1"/>
  <c r="F234" i="1"/>
  <c r="A226" i="1"/>
  <c r="A227" i="1" s="1"/>
  <c r="A228" i="1" s="1"/>
  <c r="A230" i="1" s="1"/>
  <c r="A231" i="1" l="1"/>
  <c r="A232" i="1" s="1"/>
  <c r="A233" i="1" s="1"/>
  <c r="A234" i="1" s="1"/>
  <c r="A236" i="1" s="1"/>
  <c r="F243" i="1" l="1"/>
  <c r="A239" i="1"/>
  <c r="F236" i="1"/>
  <c r="A240" i="1" l="1"/>
  <c r="A191" i="7" l="1"/>
  <c r="A241" i="1"/>
  <c r="F241" i="1"/>
  <c r="F242" i="1" l="1"/>
  <c r="A242" i="1"/>
  <c r="A243" i="1" l="1"/>
  <c r="F244" i="1"/>
  <c r="F260" i="1" l="1"/>
  <c r="F253" i="1"/>
  <c r="A244" i="1"/>
  <c r="A247" i="1" l="1"/>
  <c r="A248" i="1" s="1"/>
  <c r="F250" i="1" l="1"/>
  <c r="A198" i="7"/>
  <c r="A250" i="1"/>
  <c r="F267" i="1" l="1"/>
  <c r="A253" i="1"/>
  <c r="A254" i="1" l="1"/>
  <c r="A255" i="1" s="1"/>
  <c r="A256" i="1" s="1"/>
  <c r="A257" i="1" s="1"/>
  <c r="A260" i="1" s="1"/>
  <c r="F256" i="1"/>
  <c r="F255" i="1" l="1"/>
  <c r="F257" i="1"/>
  <c r="A261" i="1"/>
  <c r="A262" i="1" s="1"/>
  <c r="F262" i="1" l="1"/>
  <c r="A263" i="1"/>
  <c r="A264" i="1" s="1"/>
  <c r="A265" i="1" s="1"/>
  <c r="A267" i="1" s="1"/>
  <c r="F265" i="1"/>
  <c r="F264" i="1" l="1"/>
  <c r="A268" i="1"/>
  <c r="A269" i="1" s="1"/>
  <c r="A270" i="1" s="1"/>
  <c r="F271" i="1" l="1"/>
  <c r="ED270" i="1"/>
  <c r="A271" i="1"/>
  <c r="A206" i="7"/>
  <c r="A274" i="1" l="1"/>
  <c r="A275" i="1" l="1"/>
  <c r="A214" i="7"/>
  <c r="F275" i="1"/>
  <c r="A277" i="1" l="1"/>
  <c r="F277" i="1"/>
</calcChain>
</file>

<file path=xl/comments1.xml><?xml version="1.0" encoding="utf-8"?>
<comments xmlns="http://schemas.openxmlformats.org/spreadsheetml/2006/main">
  <authors>
    <author>Dabydeen, Jeanette I.</author>
  </authors>
  <commentList>
    <comment ref="AX38" authorId="0">
      <text>
        <r>
          <rPr>
            <b/>
            <sz val="9"/>
            <color indexed="81"/>
            <rFont val="Tahoma"/>
            <family val="2"/>
          </rPr>
          <t>had prior in-service and was estimated for new in 2014</t>
        </r>
      </text>
    </comment>
  </commentList>
</comments>
</file>

<file path=xl/sharedStrings.xml><?xml version="1.0" encoding="utf-8"?>
<sst xmlns="http://schemas.openxmlformats.org/spreadsheetml/2006/main" count="2619" uniqueCount="1126">
  <si>
    <t>Less FASB 106 Above if not separately removed</t>
  </si>
  <si>
    <t>(A)</t>
  </si>
  <si>
    <t>(B)</t>
  </si>
  <si>
    <t>(C)</t>
  </si>
  <si>
    <t xml:space="preserve">Facility Credits under Section 30.9 of the PJM OATT </t>
  </si>
  <si>
    <t xml:space="preserve">Prepayments </t>
  </si>
  <si>
    <t>FASB 106 - Post Retirement Obligation, labor related.</t>
  </si>
  <si>
    <t>Capitalized Interest - Book vs Tax relates to all plant in all functions</t>
  </si>
  <si>
    <t>Reserve for SECA</t>
  </si>
  <si>
    <t>Estimated Severance Pay Accruals</t>
  </si>
  <si>
    <t>FASB 109 - deferred tax asset primarily associated with items previously flowed through due to regulation</t>
  </si>
  <si>
    <t>Book estimate accrued and expensed, tax deduction when paid.  Retail related - Component of Liberalized Depreciation</t>
  </si>
  <si>
    <t>FASB 109 - deferred tax liability primarily associated with plant related items previously flowed through due to regulation</t>
  </si>
  <si>
    <t>Book estimate accrued and expensed, tax deduction when paid - Manufactured Gas Plants</t>
  </si>
  <si>
    <t xml:space="preserve">Book accrued write-off, tax deduction when actually disposed of - Generation Related </t>
  </si>
  <si>
    <t>Purchased Power Settlements - Generation Related</t>
  </si>
  <si>
    <t>FASB 109 - deferred tax liability primarily non-plant related items previously flowed through due to regulation</t>
  </si>
  <si>
    <t>FASB 109 - gross-up</t>
  </si>
  <si>
    <t xml:space="preserve">      Less ADIT associated with Gain or Loss</t>
  </si>
  <si>
    <t xml:space="preserve">Attachment 5 </t>
  </si>
  <si>
    <t>Other taxes that are incurred through ownership of only general or intangible plant will be allocated based on the Wages and Salary</t>
  </si>
  <si>
    <t>Gross Revenue Credits</t>
  </si>
  <si>
    <t>Public Utility Realty Tax (PURTA)</t>
  </si>
  <si>
    <t>End of  Year ADIT</t>
  </si>
  <si>
    <t>End of  Previous Year ADIT (from Sheet 1A-ADIT (3))</t>
  </si>
  <si>
    <t>Average Beginning and End of Year ADIT</t>
  </si>
  <si>
    <t>Note: ADIT associated with Gain or Loss on Reacquired Debt is included in Column A here and included in Cost of Debt on Appendix A, Line 108</t>
  </si>
  <si>
    <t>Previous Year</t>
  </si>
  <si>
    <t>Line #s</t>
  </si>
  <si>
    <t>Descriptions</t>
  </si>
  <si>
    <t>Page #'s &amp; Instructions</t>
  </si>
  <si>
    <t xml:space="preserve">Form 1Dec </t>
  </si>
  <si>
    <t>Average</t>
  </si>
  <si>
    <t>Non-electric  Portion</t>
  </si>
  <si>
    <t>p219.29c</t>
  </si>
  <si>
    <t>p200.21c</t>
  </si>
  <si>
    <t>p219.28.b</t>
  </si>
  <si>
    <t>Depreciation-Transmission</t>
  </si>
  <si>
    <t>(Note A)</t>
  </si>
  <si>
    <t>Depreciation-Intangible</t>
  </si>
  <si>
    <t>O&amp;M Expenses</t>
  </si>
  <si>
    <t>p321.96.b</t>
  </si>
  <si>
    <t>Wages &amp; Salary</t>
  </si>
  <si>
    <t>Total Wage Expense</t>
  </si>
  <si>
    <t>Total A&amp;G Wages Expense</t>
  </si>
  <si>
    <t>Transmission Wages</t>
  </si>
  <si>
    <t>p214.47.d</t>
  </si>
  <si>
    <t>Beginning Year Balance</t>
  </si>
  <si>
    <t>Average Balance</t>
  </si>
  <si>
    <t>From PJM</t>
  </si>
  <si>
    <t>Total A&amp;G Expenses</t>
  </si>
  <si>
    <t>p323.197b</t>
  </si>
  <si>
    <t>iPower (Deferred Project Costs)</t>
  </si>
  <si>
    <t>Appendix A, Line 44</t>
  </si>
  <si>
    <t>The True-Up Adjustment component of the Formula Rate for each Rate Year beginning with 2010 shall be determined as</t>
  </si>
  <si>
    <t xml:space="preserve">follows: </t>
  </si>
  <si>
    <t>(i)</t>
  </si>
  <si>
    <t>Revenue Requirement for the previous calendar year based on its actual costs as reflected in its Form No. 1 and its</t>
  </si>
  <si>
    <t>(ii)</t>
  </si>
  <si>
    <t>Requirement as determined in paragraph (i) above, and ATRR based on projected costs for the previous calendar year</t>
  </si>
  <si>
    <t>(True-Up Adjustment Before Interest).</t>
  </si>
  <si>
    <t>(iii)</t>
  </si>
  <si>
    <t xml:space="preserve">The True-Up Adjustment shall be determined as follows: </t>
  </si>
  <si>
    <t>True-Up Adjustment  equals the True-Up Adjustment Before Interest multiplied by (1+i)^24 months</t>
  </si>
  <si>
    <t xml:space="preserve">Where: </t>
  </si>
  <si>
    <t>i =</t>
  </si>
  <si>
    <t>Summary of Formula Rate Process including True-Up Adjustment</t>
  </si>
  <si>
    <t xml:space="preserve">TO populates the formula with Year 2008  estimated data </t>
  </si>
  <si>
    <t xml:space="preserve">TO populates the formula with Year 2009  estimated data </t>
  </si>
  <si>
    <t xml:space="preserve">TO populates the formula with Year 2008 actual data and calculates the 2008 True-Up Adjustment Before Interest </t>
  </si>
  <si>
    <t xml:space="preserve">TO calculates the Interest to include in the 2008 True-Up Adjustment </t>
  </si>
  <si>
    <t xml:space="preserve">TO populates the formula with Year 2010 estimated data and 2008 True-Up Adjustment </t>
  </si>
  <si>
    <t>TO populates the formula with Year 2009 actual data and calculates the 2009 True-Up Adjustment Before Interest</t>
  </si>
  <si>
    <t xml:space="preserve">TO calculates the Interest to include in the 2009 True-Up Adjustment </t>
  </si>
  <si>
    <t xml:space="preserve">TO populates the formula with Year 2011 estimated data and 2009 True-Up Adjustment </t>
  </si>
  <si>
    <t>No True-Up Adjustment will be included in the Annual Transmission Revenue Requirement for 2008 or 2009 since the</t>
  </si>
  <si>
    <t>Formula Rate was not in effect for 2006 or 2007.</t>
  </si>
  <si>
    <t>Wave Trap Branchburg (B0172.2)</t>
  </si>
  <si>
    <t>Amort UCUA Property Loss</t>
  </si>
  <si>
    <t>Reconductor Hudson - South Waterfront (B0813)</t>
  </si>
  <si>
    <t>To the extent possible each input to the Formula Rate used to calculate the actual Annual Transmission Revenue</t>
  </si>
  <si>
    <t>Requirement included in the True-Up Adjustment either will be taken directly from the FERC Form No. 1 or will be</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</si>
  <si>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</si>
  <si>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</si>
  <si>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</si>
  <si>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Calendar Year</t>
  </si>
  <si>
    <t>ATRR based on actual costs included for the previous calendar year but excludes the true-up adjustment.</t>
  </si>
  <si>
    <t>ATRR based on projected costs included for the previous calendar year but excludes the true-up adjustment.</t>
  </si>
  <si>
    <t>Where:</t>
  </si>
  <si>
    <t>Complete for Each Calendar Year beginning in 2009</t>
  </si>
  <si>
    <t>p112.18.c,d thru 23.c,d</t>
  </si>
  <si>
    <t>12 months ending December 31 of the preceding year) divided by 21 months.</t>
  </si>
  <si>
    <t>Average Interest Rate</t>
  </si>
  <si>
    <t>i = average interest rate as calculated below</t>
  </si>
  <si>
    <t>New Jersey Corporate Business Tax(NJCBT)</t>
  </si>
  <si>
    <t>Gross Receipts &amp; Franchise Tax(GRAFT)</t>
  </si>
  <si>
    <t>PSE&amp;G</t>
  </si>
  <si>
    <t>Justification</t>
  </si>
  <si>
    <t>Total Revenue Credits</t>
  </si>
  <si>
    <t xml:space="preserve">TEFA </t>
  </si>
  <si>
    <t>Use &amp; Sales Tax</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</si>
  <si>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</si>
  <si>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</si>
  <si>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</si>
  <si>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</si>
  <si>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</si>
  <si>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</si>
  <si>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</si>
  <si>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</si>
  <si>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</si>
  <si>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</si>
  <si>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</si>
  <si>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</si>
  <si>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J</t>
  </si>
  <si>
    <t>Long Term Interest</t>
  </si>
  <si>
    <t>Long Term Debt</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</si>
  <si>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</si>
  <si>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</si>
  <si>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</si>
  <si>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</si>
  <si>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</si>
  <si>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</si>
  <si>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</si>
  <si>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</si>
  <si>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</si>
  <si>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</si>
  <si>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</si>
  <si>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</si>
  <si>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</si>
  <si>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</si>
  <si>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Total Cash Working Capital Allocated to Transmission</t>
  </si>
  <si>
    <t>Transmission Materials &amp; Supplies</t>
  </si>
  <si>
    <t>Directly Assigned A&amp;G</t>
  </si>
  <si>
    <t>Allocated General &amp; Common Expenses</t>
  </si>
  <si>
    <t>A&amp;G Directly Assigned to Transmission</t>
  </si>
  <si>
    <t>Undistributed Stores Exp</t>
  </si>
  <si>
    <t>p227.16.b,c</t>
  </si>
  <si>
    <t>p227.8.b,c</t>
  </si>
  <si>
    <t>p.321.112.b</t>
  </si>
  <si>
    <t>p111.57c</t>
  </si>
  <si>
    <t>Electric Beginning Year Balance</t>
  </si>
  <si>
    <t>Electric End of Year Balance</t>
  </si>
  <si>
    <t>Transmission Depreciation Expense for Acct. 397</t>
  </si>
  <si>
    <t>Real Estate Taxes - Directly Assigned to Transmission</t>
  </si>
  <si>
    <t>Direct Assignment of Transmission Real Estate Taxes</t>
  </si>
  <si>
    <t>N/A</t>
  </si>
  <si>
    <t xml:space="preserve"> Attachment 5</t>
  </si>
  <si>
    <t>Account 216.1</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</si>
  <si>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</si>
  <si>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</si>
  <si>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</si>
  <si>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</si>
  <si>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</si>
  <si>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</si>
  <si>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</si>
  <si>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</si>
  <si>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</si>
  <si>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</si>
  <si>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</si>
  <si>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</si>
  <si>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</si>
  <si>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</si>
  <si>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</si>
  <si>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</si>
  <si>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</si>
  <si>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</si>
  <si>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</si>
  <si>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</si>
  <si>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</si>
  <si>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</si>
  <si>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</si>
  <si>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</si>
  <si>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</si>
  <si>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 xml:space="preserve">Calculated using beginning and year end projected balances.  </t>
  </si>
  <si>
    <t>Allocator.  If the taxes are 100% recovered at retail they shall not be included. Real Estate taxes are directly assigned to Transmission.</t>
  </si>
  <si>
    <t>Laboratory Equipment</t>
  </si>
  <si>
    <t>Miscellaneous Equipment</t>
  </si>
  <si>
    <t>Office Furniture</t>
  </si>
  <si>
    <t>Office Equipment</t>
  </si>
  <si>
    <t>p117.62.c through 67.c</t>
  </si>
  <si>
    <t>Subtotal, Excluded</t>
  </si>
  <si>
    <t>Total Included  (Lines 8 + 14 + 19)</t>
  </si>
  <si>
    <t>Appendix A Line or Source  Reference</t>
  </si>
  <si>
    <t>Kittany (B0134)</t>
  </si>
  <si>
    <t>Flagtown-Somerville-Bridgewater (B0170)</t>
  </si>
  <si>
    <t>Gross Revenue Requirement Less Return and Taxes</t>
  </si>
  <si>
    <t>3.  ADIT items related to Plant and not in Columns C &amp; D are included in Column E</t>
  </si>
  <si>
    <t xml:space="preserve">Other taxes that are incurred through ownership of plant including transmission plant will be allocated based on the Net Plant </t>
  </si>
  <si>
    <t>Accumulated Other Comprehensive Income Account 219</t>
  </si>
  <si>
    <t>p112.16.c,d</t>
  </si>
  <si>
    <t>p112.15.c,d</t>
  </si>
  <si>
    <t xml:space="preserve">Return \ Capitalization </t>
  </si>
  <si>
    <t xml:space="preserve">Loss on Reacquired Debt </t>
  </si>
  <si>
    <t>p111.81.c,d</t>
  </si>
  <si>
    <t>p112.3.c,d</t>
  </si>
  <si>
    <t>4.  ADIT items related to labor and not in Columns C &amp; D are included in Column F</t>
  </si>
  <si>
    <t>Company Records</t>
  </si>
  <si>
    <t>ITC Adjustment Allocated to Transmission</t>
  </si>
  <si>
    <t>Book estimate accrued expenses, generation related taxes</t>
  </si>
  <si>
    <t>p207.99.g</t>
  </si>
  <si>
    <t>p354.21b</t>
  </si>
  <si>
    <t>p323.185b</t>
  </si>
  <si>
    <t>p336.7.f</t>
  </si>
  <si>
    <t>p336.10&amp;11.f</t>
  </si>
  <si>
    <t>p336.1.f</t>
  </si>
  <si>
    <t>p119.53.c&amp;d</t>
  </si>
  <si>
    <t xml:space="preserve">Amort of Renovations of Newark Plaza - General Property </t>
  </si>
  <si>
    <t xml:space="preserve">New Jersey Corporate Income Tax Plant Related- Contra Account of 283 NJCBT  </t>
  </si>
  <si>
    <t>New Jersey Corporate Income Tax for Utility - Gets return on but no return of prior book vs tax  timing differences</t>
  </si>
  <si>
    <t>Book estimate accrued and expensed, tax deduction when paid  related to plant</t>
  </si>
  <si>
    <t>Book estimate accrued and expensed, tax deduction when paid / audit settlement - Generation related</t>
  </si>
  <si>
    <t>Book estimate accrued and expensed, tax deduction when paid / audit settlement - Retail related</t>
  </si>
  <si>
    <t>Municipal Utility</t>
  </si>
  <si>
    <t>Accumulated Intangible Amortization</t>
  </si>
  <si>
    <t>p323.191b</t>
  </si>
  <si>
    <t>PJM Data</t>
  </si>
  <si>
    <t>depreciation expense and depreciation accruals to FERC Form 1 amounts.</t>
  </si>
  <si>
    <t>The projected capital structure shall reflect the capital structure from the FERC Form 1 data.  For all other formula rate calculations, the</t>
  </si>
  <si>
    <t>projected capital structure and actual capital structure shall reflect the capital structure from the most recent FERC Form 1 data available.</t>
  </si>
  <si>
    <t>Gain on Reacquired Debt</t>
  </si>
  <si>
    <t>p113.61.c,d</t>
  </si>
  <si>
    <t>Facility Credits under Section 30.9 of the PJM OATT</t>
  </si>
  <si>
    <t>Book estimate accrued and expensed, tax deduction when paid - Generation Related</t>
  </si>
  <si>
    <t>Deferred recovery of lost repair allowance deductions-Retail Related</t>
  </si>
  <si>
    <t>Restructuring Costs - Generation related</t>
  </si>
  <si>
    <t>Book estimate accrued and expensed, tax deduction when paid - Retail - Distribution Meters</t>
  </si>
  <si>
    <t>Reverse South Georgia - Remaining Basis</t>
  </si>
  <si>
    <t>Uncertain Tax Positions - Assets/(Liabilities) not in rates</t>
  </si>
  <si>
    <t xml:space="preserve">Generation Related (Securitization of Stranded Costs) </t>
  </si>
  <si>
    <t>Book vs Tax Difference - Generation Related</t>
  </si>
  <si>
    <t xml:space="preserve">New Jersey Corporate Income Tax - Plant Related- Contra Account of 190 NJCBT  </t>
  </si>
  <si>
    <t>Book deferral of Underrecovered Fuel Costs - Retail Related</t>
  </si>
  <si>
    <t xml:space="preserve">Demand Side management and Associated Programs - Retail Related </t>
  </si>
  <si>
    <t>Gas Supply Contracts</t>
  </si>
  <si>
    <t>Accelerated Amortization of Computer Software - General Plant</t>
  </si>
  <si>
    <t>Retail Related - Electric Distribution</t>
  </si>
  <si>
    <t>Vehicle Fuel Tax - General</t>
  </si>
  <si>
    <t>Payments to DOE - Generation Related</t>
  </si>
  <si>
    <t>Sales of Emission Allowances - Generation Related</t>
  </si>
  <si>
    <t>Minimum Pension Liability</t>
  </si>
  <si>
    <t>FIN 48 Services Allocation</t>
  </si>
  <si>
    <t>Book amortization expensed, tax deduction when occurred. - Retail Related - distribution property</t>
  </si>
  <si>
    <t>Interim Nuclear Fuel Storage Costs - Generation Related</t>
  </si>
  <si>
    <t>New Upgraded Meter Equipments - Retail Related - Distribution Meters</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</si>
  <si>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</si>
  <si>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</si>
  <si>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</si>
  <si>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</si>
  <si>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</si>
  <si>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</si>
  <si>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</si>
  <si>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</si>
  <si>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Average 13 Month in service</t>
  </si>
  <si>
    <t>Year placed in Service (0 if CWIP)</t>
  </si>
  <si>
    <t>Project subaccount of Plant in Service Account 101 or 106 if not yet classified - End of year balance</t>
  </si>
  <si>
    <t>Total Transmission Depreciation &amp; Amortization</t>
  </si>
  <si>
    <t>L</t>
  </si>
  <si>
    <t>M</t>
  </si>
  <si>
    <t>Transmission O&amp;M</t>
  </si>
  <si>
    <t xml:space="preserve">     Plus Transmission Lease Payments</t>
  </si>
  <si>
    <t>Wages &amp; Salary Allocator</t>
  </si>
  <si>
    <t>Total Transmission O&amp;M</t>
  </si>
  <si>
    <t>Total A&amp;G</t>
  </si>
  <si>
    <t>Additional Maintenance Expense</t>
  </si>
  <si>
    <t>Newark Center Renovations</t>
  </si>
  <si>
    <t>ADIT - Real Estate Taxes</t>
  </si>
  <si>
    <t>Market Transition Charge Revenue</t>
  </si>
  <si>
    <t>Mine Closing Costs</t>
  </si>
  <si>
    <t>FIN 47</t>
  </si>
  <si>
    <t>Vacation Pay</t>
  </si>
  <si>
    <t>OPEB</t>
  </si>
  <si>
    <t>Deferred Compensation</t>
  </si>
  <si>
    <t>ADIT - Interest/AFDC Debt</t>
  </si>
  <si>
    <t>ADIT - Unallowable PIP Accrual</t>
  </si>
  <si>
    <t>ADIT - Legal Fees</t>
  </si>
  <si>
    <t>ADIT - Rev of 1985-1993 Settle Int Exp</t>
  </si>
  <si>
    <t>ADIT - SETI Dissolution</t>
  </si>
  <si>
    <t>Bankruptcies $ Acfc</t>
  </si>
  <si>
    <t>Repair Allowance Deferred</t>
  </si>
  <si>
    <t xml:space="preserve">Calculated using 13-month average balances.  </t>
  </si>
  <si>
    <t>Fin Def. Energy competition Act CT</t>
  </si>
  <si>
    <t>Def Tax Meter Equipment</t>
  </si>
  <si>
    <t>Federal Taxes Deferred</t>
  </si>
  <si>
    <t>Federal Taxes Current</t>
  </si>
  <si>
    <t>Fed Taxes Reg Requirement</t>
  </si>
  <si>
    <t>Cost of Removal</t>
  </si>
  <si>
    <t>FERC Normalization</t>
  </si>
  <si>
    <t>General &amp; Common</t>
  </si>
  <si>
    <t>Accounting for Income Taxes</t>
  </si>
  <si>
    <t>Securitization Regulatory Asset</t>
  </si>
  <si>
    <t>Amortization of Hope Creek License Costs</t>
  </si>
  <si>
    <t>Environmental Cleanup Costs</t>
  </si>
  <si>
    <t>New Jersey Corporation Business Tax</t>
  </si>
  <si>
    <t>Obsolete Material Write Off</t>
  </si>
  <si>
    <t>Securitization - Federal</t>
  </si>
  <si>
    <t>Securitization - State</t>
  </si>
  <si>
    <t xml:space="preserve">Jan </t>
  </si>
  <si>
    <t>Take-or-Pay Costs</t>
  </si>
  <si>
    <t>Other Contract Cancellations</t>
  </si>
  <si>
    <t>Loss on Reacquired Debt</t>
  </si>
  <si>
    <t>Additional Pension Deduction</t>
  </si>
  <si>
    <t>Amortization of Peach Bottom HWC</t>
  </si>
  <si>
    <t>Radioactive Waste Storage Costs</t>
  </si>
  <si>
    <t>Severance Pay Costs</t>
  </si>
  <si>
    <t>Repair Allowance-Reverse Amortization</t>
  </si>
  <si>
    <t>Federal Excise Tax Fuel Refunds</t>
  </si>
  <si>
    <t>Decommissioning and Decontamination Costs</t>
  </si>
  <si>
    <t>Emission Allowance Sales</t>
  </si>
  <si>
    <t>Capitalization of Study Costs</t>
  </si>
  <si>
    <t>Mescalero Radioactive Wast Storage Costs</t>
  </si>
  <si>
    <t>Sale of Call Option</t>
  </si>
  <si>
    <t>Vacation Pay Adjustment</t>
  </si>
  <si>
    <t>Purchase Power - Audit Settlement</t>
  </si>
  <si>
    <t>Crude Oil Refunds</t>
  </si>
  <si>
    <t>Peach Bottom Interim Fuel Storage</t>
  </si>
  <si>
    <t>New Network Metering Equipment</t>
  </si>
  <si>
    <t>Accounting for Income Taxes (FAS109) - Federal</t>
  </si>
  <si>
    <t>Accounting for Income Taxes (FAS109) - State</t>
  </si>
  <si>
    <t>Accounting for Income Taxes (FAS109) - Regulatory Requirement</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</si>
  <si>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</si>
  <si>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</si>
  <si>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</si>
  <si>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</si>
  <si>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</si>
  <si>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</si>
  <si>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</si>
  <si>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</si>
  <si>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</si>
  <si>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Metuchen Transformer (B0161)</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</si>
  <si>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</si>
  <si>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</si>
  <si>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</si>
  <si>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</si>
  <si>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</si>
  <si>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</si>
  <si>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</si>
  <si>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</si>
  <si>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</si>
  <si>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</si>
  <si>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</si>
  <si>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</si>
  <si>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Gross Revenue Requirement</t>
  </si>
  <si>
    <t xml:space="preserve">    Less EPRI Dues</t>
  </si>
  <si>
    <t>1/(1-T)</t>
  </si>
  <si>
    <t>p</t>
  </si>
  <si>
    <t>(percent of federal income tax deductible for state purposes)</t>
  </si>
  <si>
    <t>Notes</t>
  </si>
  <si>
    <t>Allocator</t>
  </si>
  <si>
    <t>enter negative</t>
  </si>
  <si>
    <t>Fixed</t>
  </si>
  <si>
    <t>T</t>
  </si>
  <si>
    <t>ADIT associated with Gain or Loss on Reacquired Debt</t>
  </si>
  <si>
    <t>Net Revenue Requirement</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</si>
  <si>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</si>
  <si>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</si>
  <si>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</si>
  <si>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</si>
  <si>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</si>
  <si>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</si>
  <si>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</si>
  <si>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</si>
  <si>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</si>
  <si>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</si>
  <si>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</si>
  <si>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</si>
  <si>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</si>
  <si>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</si>
  <si>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</si>
  <si>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</si>
  <si>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</si>
  <si>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</si>
  <si>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</si>
  <si>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</si>
  <si>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Amount of transmission plant excluded from rates per Attachment 5.</t>
  </si>
  <si>
    <t>Real Estate</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</si>
  <si>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</si>
  <si>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</si>
  <si>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</si>
  <si>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</si>
  <si>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Total Other Taxes from p114.14.g - Actual</t>
  </si>
  <si>
    <t xml:space="preserve">Includes Safety related advertising included in Account 930.1  </t>
  </si>
  <si>
    <t xml:space="preserve">Includes all Regulatory Commission Expenses </t>
  </si>
  <si>
    <t>Asset Retirement Obligation - Legal liability for environmental removal costs</t>
  </si>
  <si>
    <t>Vacation pay earned and expensed for books, tax deduction when paid - employees in all functions</t>
  </si>
  <si>
    <t>Book estimate accrued and expensed, tax deduction when paid - employees in all functions</t>
  </si>
  <si>
    <t>Basis difference resulting from accelerated tax depreciation versus depreciation used for ratemaking purposes - related to all functions</t>
  </si>
  <si>
    <t>(Line 6 + 7)</t>
  </si>
  <si>
    <t>p207.104g</t>
  </si>
  <si>
    <t>p207.58.g</t>
  </si>
  <si>
    <t>p219.25.c</t>
  </si>
  <si>
    <t>p207.94g</t>
  </si>
  <si>
    <t>Less: Amount of General Depreciation Expense Associated with Acct. 397</t>
  </si>
  <si>
    <t>p118.29.d</t>
  </si>
  <si>
    <t xml:space="preserve"> Excluded Transmission Facilities</t>
  </si>
  <si>
    <t>Acc. Deprec. Acct. 397 Directly Assigned to Transmission</t>
  </si>
  <si>
    <t>Accumulated General Depreciation Associated with Acct. 397 Directly Assigned to Transmission</t>
  </si>
  <si>
    <t>Calculated using the average of the prior year and current year balances.</t>
  </si>
  <si>
    <t>p354.28b</t>
  </si>
  <si>
    <t>p354.27b</t>
  </si>
  <si>
    <t>p323.189b</t>
  </si>
  <si>
    <t>p352-353</t>
  </si>
  <si>
    <t xml:space="preserve">directly or indirectly related to transmission service will be allocated based on the Net Plant Allocator; provided, however, that </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</si>
  <si>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PSE&amp;G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 (except for the cost of the associated income taxes).</t>
    </r>
  </si>
  <si>
    <t>13 Month Average CWIP to Appendix A, line 45</t>
  </si>
  <si>
    <t>Generation Related (Non-Utility Asset/Liability)</t>
  </si>
  <si>
    <t>Tax deduction when reacquired, booked amortizes to expense</t>
  </si>
  <si>
    <t>The currently effective income tax rate where FIT is the Federal income tax rate; SIT is the State income tax rate, and p =</t>
  </si>
  <si>
    <t xml:space="preserve">Subtotal - p277  </t>
  </si>
  <si>
    <t xml:space="preserve">Subtotal - p275  </t>
  </si>
  <si>
    <t xml:space="preserve">overheads shall be treated as in footnote B above. </t>
  </si>
  <si>
    <t>Excludes prior period adjustments in the first year of the formula's operation and reconciliation for the first year.</t>
  </si>
  <si>
    <t>Late Payment Penalties Allocated to Transmission</t>
  </si>
  <si>
    <t>Accounts 450 &amp; 451</t>
  </si>
  <si>
    <t>11.68% ROE</t>
  </si>
  <si>
    <t>Unamortized Abandoned Plant and Amortization of Abandoned Plant may only be included pursuant to a Commission Order authorizing such inclusion.</t>
  </si>
  <si>
    <t xml:space="preserve">    Plus:  Fixed PBOP expense</t>
  </si>
  <si>
    <t xml:space="preserve">ROE will be supported in the original filing and no change in ROE will be made absent a filing at FERC.  </t>
  </si>
  <si>
    <t xml:space="preserve">    Fixed PBOP expense</t>
  </si>
  <si>
    <t xml:space="preserve">    Actual PBOP expense</t>
  </si>
  <si>
    <t>Expenses reflect full year plan</t>
  </si>
  <si>
    <t>Accumulated Intangible Amortization - Electric</t>
  </si>
  <si>
    <t xml:space="preserve">p205.5.g </t>
  </si>
  <si>
    <t>Q</t>
  </si>
  <si>
    <t>Accumulated Common Plant Depreciation &amp; Amortization - Electric</t>
  </si>
  <si>
    <t>Intangible - Electric</t>
  </si>
  <si>
    <t>Note 1</t>
  </si>
  <si>
    <t>Note 2</t>
  </si>
  <si>
    <t xml:space="preserve">Branchburg-Sommerville-Flagtown Reconductor (B0664 &amp; B0665) </t>
  </si>
  <si>
    <t>Somerville-Bridgewater Reconductor (B0668)</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</si>
  <si>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</si>
  <si>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p277.3.k (footnote)</t>
  </si>
  <si>
    <t>Months in service for depreciation expense from Attachment 6</t>
  </si>
  <si>
    <t>(G)</t>
  </si>
  <si>
    <t>(H)</t>
  </si>
  <si>
    <t>(I)</t>
  </si>
  <si>
    <t>Other Projects PIS (monthly balances)</t>
  </si>
  <si>
    <t>(J)</t>
  </si>
  <si>
    <t>(K)</t>
  </si>
  <si>
    <t>(M)</t>
  </si>
  <si>
    <t>(N)</t>
  </si>
  <si>
    <t>(O)</t>
  </si>
  <si>
    <t>(P)</t>
  </si>
  <si>
    <t>(Q)</t>
  </si>
  <si>
    <t>(R)</t>
  </si>
  <si>
    <t>Includes Transmission portion only.  At each annual informational filing, Company will identify for each parcel of land an intended use within a 15 year period.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</si>
  <si>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</si>
  <si>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</si>
  <si>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</si>
  <si>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</si>
  <si>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Projects</t>
  </si>
  <si>
    <t xml:space="preserve">Reconductor South Mahwah  J-3410 Circuit (B1017) </t>
  </si>
  <si>
    <t>Burlington - Camden 230kV Conversion (B1156) (monthly additions)</t>
  </si>
  <si>
    <t>(S)</t>
  </si>
  <si>
    <t>(T)</t>
  </si>
  <si>
    <t>(U)</t>
  </si>
  <si>
    <t>(V)</t>
  </si>
  <si>
    <t>(W)</t>
  </si>
  <si>
    <t>(X)</t>
  </si>
  <si>
    <t>(Y)</t>
  </si>
  <si>
    <t>(AA)</t>
  </si>
  <si>
    <t>(Z)</t>
  </si>
  <si>
    <t>(AB)</t>
  </si>
  <si>
    <t>(AC)</t>
  </si>
  <si>
    <t>(AD)</t>
  </si>
  <si>
    <t>Total Adjustment to Rate Base</t>
  </si>
  <si>
    <t>Total Wages Less A&amp;G Wages Expense</t>
  </si>
  <si>
    <t xml:space="preserve"> Branchburg 400 MVAR Capacitor (B0290)</t>
  </si>
  <si>
    <t>Wage &amp; Salary Allocator</t>
  </si>
  <si>
    <t>From Acct. 282 total, below</t>
  </si>
  <si>
    <t>From Acct. 283 total, below</t>
  </si>
  <si>
    <t>From Acct. 190 total, below</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</si>
  <si>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</si>
  <si>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</si>
  <si>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</si>
  <si>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</si>
  <si>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Subtotal - Accounts 928 and 930.1 - Transmission Related</t>
  </si>
  <si>
    <t>Total Accounts 928 and 930.1 - General</t>
  </si>
  <si>
    <t>Common Plant in Service - Electric</t>
  </si>
  <si>
    <t>p356</t>
  </si>
  <si>
    <t>Branchburg (B0130)</t>
  </si>
  <si>
    <t>Essex Aldene (B0145)</t>
  </si>
  <si>
    <t>New Freedom Trans.(B0411)</t>
  </si>
  <si>
    <t>New Freedom Loop (B0498)</t>
  </si>
  <si>
    <t>Total Plant in Service</t>
  </si>
  <si>
    <t>Accumulated Common Plant Depreciation - Electric</t>
  </si>
  <si>
    <t>Accumulated Common Amortization - Electric</t>
  </si>
  <si>
    <t>Common Plant - Electric</t>
  </si>
  <si>
    <t xml:space="preserve">Operation &amp; Maintenance Expense </t>
  </si>
  <si>
    <t>Total General, Intangible &amp; Common Plant</t>
  </si>
  <si>
    <t xml:space="preserve">   Less:  Common Plant Account 397 -- Communications</t>
  </si>
  <si>
    <t>End of Year</t>
  </si>
  <si>
    <t>Property  Insurance Expenses</t>
  </si>
  <si>
    <t xml:space="preserve">    Property Insurance Account 924</t>
  </si>
  <si>
    <t>To Line 47</t>
  </si>
  <si>
    <t>Public Service Electric and Gas Company</t>
  </si>
  <si>
    <t xml:space="preserve">ATTACHMENT H-10A </t>
  </si>
  <si>
    <t>PSE&amp;G shall determine the difference between the recalculated Annual Transmission Revenue</t>
  </si>
  <si>
    <t>Beginning with 2009, no later than June 15 of each year PSE&amp;G shall recalculate an adjusted Annual Transmission</t>
  </si>
  <si>
    <t>October</t>
  </si>
  <si>
    <t>O</t>
  </si>
  <si>
    <t>P</t>
  </si>
  <si>
    <t>Total, Included and Excluded (Line 20 + Line 28)</t>
  </si>
  <si>
    <t>Operations &amp; Maintenance Expense</t>
  </si>
  <si>
    <t>Revenue Requirement</t>
  </si>
  <si>
    <t>Yes</t>
  </si>
  <si>
    <t>No</t>
  </si>
  <si>
    <t xml:space="preserve">Taxes Other than Income Taxes                                                   </t>
  </si>
  <si>
    <t>Taxes Other than Income Taxes</t>
  </si>
  <si>
    <t>Total Taxes Other than Income Taxes</t>
  </si>
  <si>
    <t>Return \ Capitalization Calculations</t>
  </si>
  <si>
    <t>Difference  (Line 29 - Line 30)</t>
  </si>
  <si>
    <t xml:space="preserve"> &lt;Note:  for the first rate year, divide this</t>
  </si>
  <si>
    <t>reconciliation amount by 12 and multiply</t>
  </si>
  <si>
    <t>NJ</t>
  </si>
  <si>
    <t>(in-service)</t>
  </si>
  <si>
    <t>by the number of months and fractional</t>
  </si>
  <si>
    <t>months the rate was in effect.</t>
  </si>
  <si>
    <t>Formula Rate -- Appendix A</t>
  </si>
  <si>
    <t>H</t>
  </si>
  <si>
    <t xml:space="preserve"> &lt; From Acct 283, below</t>
  </si>
  <si>
    <t>Public Utility Fund</t>
  </si>
  <si>
    <t xml:space="preserve">     (T/1-T) * Investment Return * (1-(WCLTD/ROR)) =</t>
  </si>
  <si>
    <t>Balance of General Depreciation Expense</t>
  </si>
  <si>
    <t>I</t>
  </si>
  <si>
    <t>1 / (1-T)</t>
  </si>
  <si>
    <t>CIT = T / (1-T)</t>
  </si>
  <si>
    <t xml:space="preserve">   Less:  General Plant Account 397 -- Communications</t>
  </si>
  <si>
    <t>Account No. 397 Directly Assigned to Transmission</t>
  </si>
  <si>
    <t>General</t>
  </si>
  <si>
    <t>Balance of Accumulated General Depreciation</t>
  </si>
  <si>
    <t>Other taxes that are assessed based on labor will be allocated based on the Wages and Salary Allocator.</t>
  </si>
  <si>
    <t>Branchburg-Flagtown-Somerville (B0169)</t>
  </si>
  <si>
    <t>Kittatinny (B0134)</t>
  </si>
  <si>
    <t>Allocator.  If the taxes are 100% recovered at retail they shall not be included.</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</si>
  <si>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</si>
  <si>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</si>
  <si>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</si>
  <si>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</si>
  <si>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</si>
  <si>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</si>
  <si>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</si>
  <si>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</si>
  <si>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</si>
  <si>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</si>
  <si>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</si>
  <si>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</si>
  <si>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</si>
  <si>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</si>
  <si>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</si>
  <si>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</si>
  <si>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</si>
  <si>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</si>
  <si>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</si>
  <si>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</si>
  <si>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</si>
  <si>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</si>
  <si>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</si>
  <si>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</si>
  <si>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</si>
  <si>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</si>
  <si>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</si>
  <si>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</si>
  <si>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</si>
  <si>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</si>
  <si>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</si>
  <si>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</si>
  <si>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</si>
  <si>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</si>
  <si>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Roseland Transformers (B0274)</t>
  </si>
  <si>
    <t>Total Other Included</t>
  </si>
  <si>
    <t>Currently Excluded</t>
  </si>
  <si>
    <t>Allocated</t>
  </si>
  <si>
    <t>Amount</t>
  </si>
  <si>
    <t>ADIT net of FASB 106 and 109</t>
  </si>
  <si>
    <t xml:space="preserve">      Less Loss on Reacquired Debt </t>
  </si>
  <si>
    <t xml:space="preserve">      Plus Gain on Reacquired Debt</t>
  </si>
  <si>
    <t>Life</t>
  </si>
  <si>
    <t>CIAC</t>
  </si>
  <si>
    <t>Details</t>
  </si>
  <si>
    <t>Invest Yr</t>
  </si>
  <si>
    <t>FCR if a CIAC</t>
  </si>
  <si>
    <t>FCR for This Project</t>
  </si>
  <si>
    <t xml:space="preserve">Line B less Line A </t>
  </si>
  <si>
    <t>(D)</t>
  </si>
  <si>
    <t>(E)</t>
  </si>
  <si>
    <t>(F)</t>
  </si>
  <si>
    <t>Other Projects PIS (Monthly additions)</t>
  </si>
  <si>
    <t>(in service)</t>
  </si>
  <si>
    <t>CWIP</t>
  </si>
  <si>
    <t>Average 13 Month Balance</t>
  </si>
  <si>
    <t>Attachment #5</t>
  </si>
  <si>
    <t>Account 456 - Other Electric Revenues</t>
  </si>
  <si>
    <t xml:space="preserve">Transmission for Others </t>
  </si>
  <si>
    <t>(Note B)</t>
  </si>
  <si>
    <t>(Note O)</t>
  </si>
  <si>
    <t>(Note J)</t>
  </si>
  <si>
    <t>reconcilable to the FERC Form 1 by the application of clearly identified and supported information.  If the reconciliation</t>
  </si>
  <si>
    <t>Rent from Electric Property - Transmission Related  (Note 2)</t>
  </si>
  <si>
    <t>Professional Services (Note 2)</t>
  </si>
  <si>
    <t>Rent or Attachment Fees associated with Transmission Facilities (Note 2)</t>
  </si>
  <si>
    <t>Related to Uncertain Tax Position (FIN 48)  which will be reclassified and not in rates.</t>
  </si>
  <si>
    <t>Revenues from Directly Assigned Transmission Facility Charges (Note 1)</t>
  </si>
  <si>
    <t>Abandoned Transmission Projects</t>
  </si>
  <si>
    <t>45a</t>
  </si>
  <si>
    <t>Unamortized Abandoned Transmission Projects</t>
  </si>
  <si>
    <t>81a</t>
  </si>
  <si>
    <t>Amortization of Abandoned Plant Projects</t>
  </si>
  <si>
    <t xml:space="preserve">Net Transmission Plant, CWIP and Abandoned Plant </t>
  </si>
  <si>
    <t>R</t>
  </si>
  <si>
    <t>Project X</t>
  </si>
  <si>
    <t>Project Y</t>
  </si>
  <si>
    <t>a</t>
  </si>
  <si>
    <t>Beginning Balance of Unamortized Transmission Projects</t>
  </si>
  <si>
    <t>Per FERC Order</t>
  </si>
  <si>
    <t>b</t>
  </si>
  <si>
    <t>Years remaining in Amortization Period</t>
  </si>
  <si>
    <t>c</t>
  </si>
  <si>
    <t>(line a / line b)</t>
  </si>
  <si>
    <t>d</t>
  </si>
  <si>
    <t>Ending Balance of Unamortized Transmission Projects</t>
  </si>
  <si>
    <t>(line a - line c)</t>
  </si>
  <si>
    <t>e</t>
  </si>
  <si>
    <t>Average Balance of Unamortized Abandoned Transmission Projects</t>
  </si>
  <si>
    <t>(line a + d)/2</t>
  </si>
  <si>
    <t>g</t>
  </si>
  <si>
    <t>Non Incentive Return and Income Taxes</t>
  </si>
  <si>
    <t xml:space="preserve"> (Appendix A line 137+ line 138)</t>
  </si>
  <si>
    <t>h</t>
  </si>
  <si>
    <t>(Appendix A line 58)</t>
  </si>
  <si>
    <t>i</t>
  </si>
  <si>
    <t>(line g / line h)</t>
  </si>
  <si>
    <t xml:space="preserve">                                                </t>
  </si>
  <si>
    <t>Annual Depreciation or Amort Exp</t>
  </si>
  <si>
    <t xml:space="preserve">Net revenues associated with Network Integration Transmission Service (NITS) for which the load is not included in the divisor (difference between NITS credits from PJM and PJM NITS charges paid by Transmission Owner) </t>
  </si>
  <si>
    <t>(Sum Lines 1-9)</t>
  </si>
  <si>
    <t>Less line 18</t>
  </si>
  <si>
    <t>Revenues associated with lines 2, 7, and 9 (Note 2)</t>
  </si>
  <si>
    <t>Income Taxes associated with revenues in line 13</t>
  </si>
  <si>
    <t>General &amp; Common Expenses</t>
  </si>
  <si>
    <t>One half margin  (line 13 - line 14)/2</t>
  </si>
  <si>
    <t>All expenses (other than income taxes) associated with revenues in line 13 that are included in FERC accounts recovered through the formula times the allocator used to functionalize the amounts in the FERC account to the transmission service at issue.</t>
  </si>
  <si>
    <t>Line 15 plus line 16</t>
  </si>
  <si>
    <t>Line 13 less line 17</t>
  </si>
  <si>
    <t>Accumulated General and Intangible Depreciation Ex. Acct. 397</t>
  </si>
  <si>
    <t>Subtotal General and Intangible Accum. Depreciation Allocated to Transmission</t>
  </si>
  <si>
    <t>General and Intangible Excluding Acct. 397</t>
  </si>
  <si>
    <t>General and Intangible Plant Allocated to Transmission</t>
  </si>
  <si>
    <t>Total General and Intangible Functionalized to Transmission</t>
  </si>
  <si>
    <r>
      <t xml:space="preserve">books and records for that calendar year, consistent with FERC accounting policies. </t>
    </r>
    <r>
      <rPr>
        <u/>
        <vertAlign val="subscript"/>
        <sz val="12"/>
        <rFont val="Arial"/>
        <family val="2"/>
      </rPr>
      <t>2</t>
    </r>
  </si>
  <si>
    <t>Allocated Administrative &amp; General Expenses</t>
  </si>
  <si>
    <t>Administrative &amp; General Expenses</t>
  </si>
  <si>
    <t>Administrative &amp; General Expenses Allocated to Transmission</t>
  </si>
  <si>
    <t>Plant Type</t>
  </si>
  <si>
    <t>Distribution</t>
  </si>
  <si>
    <t>High Voltage Distribution</t>
  </si>
  <si>
    <t>Meters</t>
  </si>
  <si>
    <t>Line Transformers</t>
  </si>
  <si>
    <t>All Other Distribution</t>
  </si>
  <si>
    <t>Structures and Improvements</t>
  </si>
  <si>
    <t>Communications Equipment</t>
  </si>
  <si>
    <t>Computer Equipment</t>
  </si>
  <si>
    <t>Tools, Shop, Garage and Other Tangible Equipment</t>
  </si>
  <si>
    <t>p266.8.f</t>
  </si>
  <si>
    <t>Includes all EPRI Annual Membership Dues</t>
  </si>
  <si>
    <t xml:space="preserve">  the percentage of federal income tax deductible for state income taxes.  </t>
  </si>
  <si>
    <t>Revenue</t>
  </si>
  <si>
    <t>Ending</t>
  </si>
  <si>
    <t>Incentive Charged</t>
  </si>
  <si>
    <t>Jan</t>
  </si>
  <si>
    <t>Form 1 Dec</t>
  </si>
  <si>
    <t>Plant Held for Future Use (Including Land)</t>
  </si>
  <si>
    <t>Transmission Only</t>
  </si>
  <si>
    <t>Revenue Credit</t>
  </si>
  <si>
    <t>Formula Line</t>
  </si>
  <si>
    <t>New Plant Carrying Charge</t>
  </si>
  <si>
    <t>Per State Tax Code</t>
  </si>
  <si>
    <t>Network Credits</t>
  </si>
  <si>
    <t>CWIP can only be included if authorized by the Commission.</t>
  </si>
  <si>
    <t>Outstanding Network Credits</t>
  </si>
  <si>
    <t>Interest on Network Credits</t>
  </si>
  <si>
    <t>Revenue Credits &amp; Interest on Network Credits</t>
  </si>
  <si>
    <t>Property Taxes for Transmission Switching Stations owned in  Pennsylvania .</t>
  </si>
  <si>
    <t>Inter-company gain on sale of non-regulated generation assets.</t>
  </si>
  <si>
    <t>Company-Owned Life Insurance (COLI)</t>
  </si>
  <si>
    <t xml:space="preserve">Depreciation rates shown in Attachment 8 are fixed until changed as the result of a filing at FERC. </t>
  </si>
  <si>
    <t>If book depreciation rates are different than the Attachment 8 rates, PSE&amp;G will provide workpapers at the annual update to reconcile formula</t>
  </si>
  <si>
    <t>Sum of (the monthly rates for the 10 months ending October 31 of the current year and the monthly rates for the</t>
  </si>
  <si>
    <t>Difference  (A-B)</t>
  </si>
  <si>
    <t>Future Value Factor (1+i)^24</t>
  </si>
  <si>
    <t>True-up Adjustment   (C*D)</t>
  </si>
  <si>
    <t>Attachment 8 - Depreciation Rates</t>
  </si>
  <si>
    <t>p = percent of federal income tax deductible for state purposes</t>
  </si>
  <si>
    <t>Network Zonal Service Rate</t>
  </si>
  <si>
    <t>Net Zonal Revenue Requirement</t>
  </si>
  <si>
    <t>FERC Form 1  Page # or Instruction</t>
  </si>
  <si>
    <t>EPRI Dues</t>
  </si>
  <si>
    <t>Federal Unemployment Tax</t>
  </si>
  <si>
    <t>New Jersey Unemployment Tax</t>
  </si>
  <si>
    <t>New Jersey Workforce Development</t>
  </si>
  <si>
    <t>Corporate Business Tax</t>
  </si>
  <si>
    <t>Local Franchise Tax</t>
  </si>
  <si>
    <t>PA Corporate Income Tax</t>
  </si>
  <si>
    <t>MultiState Workpaper</t>
  </si>
  <si>
    <t>Transmission Related</t>
  </si>
  <si>
    <t>Safety Related</t>
  </si>
  <si>
    <t>State 1</t>
  </si>
  <si>
    <t>State 2</t>
  </si>
  <si>
    <t>State 3</t>
  </si>
  <si>
    <t>Education &amp; Outreach</t>
  </si>
  <si>
    <t>Other</t>
  </si>
  <si>
    <t>General Depreciation &amp; Intangible Amortization Allocated to Transmission</t>
  </si>
  <si>
    <t>General Depreciation and Intangible Amortization Functionalized to Transmission</t>
  </si>
  <si>
    <t>Transmission Depreciation Expense Including Amortization of Limited Term Plant</t>
  </si>
  <si>
    <t xml:space="preserve">TO calculates the Interest to include in the 2010 True-Up Adjustment </t>
  </si>
  <si>
    <t>TO populates the formula with Year 2010 actual data and calculates the 2010 True-Up Adjustment Before Interest</t>
  </si>
  <si>
    <t xml:space="preserve">TO populates the formula with Year 2012 estimated data and 2010 True-Up Adjustment </t>
  </si>
  <si>
    <t xml:space="preserve">Susquehanna Roseland &lt;500kV (B0489.4) </t>
  </si>
  <si>
    <t>Susquehanna Roseland &gt;= 500KV (B0489)</t>
  </si>
  <si>
    <t xml:space="preserve">Burlington - Camden 230kV Conversion (B1156) </t>
  </si>
  <si>
    <t>Salem 500 kV breakers (B1410-B1415)</t>
  </si>
  <si>
    <t>Susquehanna Roseland &gt;= 500KV (B0489) (monthly additions)</t>
  </si>
  <si>
    <t>Susquehanna Roseland &lt; 500KV (B0489.4) (monthly additions)</t>
  </si>
  <si>
    <t>Burlington - Camden 230kV Conversion (B1156)</t>
  </si>
  <si>
    <t>Susquehanna Roseland &lt; 500KV (B0489.4)  CWIP</t>
  </si>
  <si>
    <t>Saddle Brook - Athenia Upgrade Cable (B0472)</t>
  </si>
  <si>
    <t>Burlington - Camden 230kV Conversion (B1156) CWIP</t>
  </si>
  <si>
    <t xml:space="preserve">Susquehanna Roseland &lt; 500KV (B0489.4) </t>
  </si>
  <si>
    <t>General Depreciation Expense Including Amortization of Limited Term Plant</t>
  </si>
  <si>
    <t>Less: Amount of General Depreciation Associated with Acct. 397</t>
  </si>
  <si>
    <t>General Depreciation Expense for Acct. 397 Directly Assigned to Transmission</t>
  </si>
  <si>
    <t>F</t>
  </si>
  <si>
    <t>N</t>
  </si>
  <si>
    <t>Attachment 7</t>
  </si>
  <si>
    <t>Schedule 12</t>
  </si>
  <si>
    <t>Year 1</t>
  </si>
  <si>
    <t>Mickleton-Gloucester-Camden(B1398-B1398.7) CWIP</t>
  </si>
  <si>
    <t>Increased Return and Taxes</t>
  </si>
  <si>
    <t>True-up amount</t>
  </si>
  <si>
    <t>PBOP expense is fixed until changed as the result of a filing at FERC.</t>
  </si>
  <si>
    <t>p351.11-13h</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</si>
  <si>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</si>
  <si>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</si>
  <si>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</si>
  <si>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</si>
  <si>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</si>
  <si>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Increased ROE (Basis Points)</t>
  </si>
  <si>
    <t>W Increased ROE</t>
  </si>
  <si>
    <t>Retail related</t>
  </si>
  <si>
    <t>Stranded cost recovery - generation related</t>
  </si>
  <si>
    <t>Book estimate accrued and expensed, tax deduction when paid - Generation related</t>
  </si>
  <si>
    <t>Deferred Dividend Equivalents</t>
  </si>
  <si>
    <t>Book accrual of dividends on employee stock options affecting all functions</t>
  </si>
  <si>
    <t>ADIT - Interest on Dismantling &amp; Decommissioning</t>
  </si>
  <si>
    <t xml:space="preserve">Book estimate accrued and expensed, tax deduction when paid for Executive Compensation </t>
  </si>
  <si>
    <t>Other Computer Software</t>
  </si>
  <si>
    <t>Associated with Pension Liability not in rates</t>
  </si>
  <si>
    <t>General Plant Account 397 -- Communications</t>
  </si>
  <si>
    <t>Common Plant Account 397 -- Communications</t>
  </si>
  <si>
    <t>Depreciation-General &amp; Common</t>
  </si>
  <si>
    <t>Depreciation-General Expense Associated with Acct. 397</t>
  </si>
  <si>
    <t>Transmission Lease Payments</t>
  </si>
  <si>
    <t xml:space="preserve">Non-Transmission </t>
  </si>
  <si>
    <t>Book estimate accrued and expensed, tax deduction when paid related to all employees</t>
  </si>
  <si>
    <t>Public Utility Realty Tax Assessment (PURPA)</t>
  </si>
  <si>
    <t>5. Deferred income taxes arise when items are included in taxable income in different periods than they are included in rates, therefore if the item giving rise to the ADIT is not included in the formula, the associated ADIT amount shall be excluded</t>
  </si>
  <si>
    <t>Book estimate accrued and expensed, tax deduction when paid relating to all employees</t>
  </si>
  <si>
    <t>Attachment 4 - Calculation of 100 Basis Point Increase in ROE</t>
  </si>
  <si>
    <t>Unrealized L/G Rabbi Trust</t>
  </si>
  <si>
    <t>Gas, Prod or Other Related</t>
  </si>
  <si>
    <t>Only Transmission Related</t>
  </si>
  <si>
    <t>Year 2</t>
  </si>
  <si>
    <t xml:space="preserve">Composite Income Taxes                                                                                                       </t>
  </si>
  <si>
    <t>Month</t>
  </si>
  <si>
    <t>Year</t>
  </si>
  <si>
    <t>Action</t>
  </si>
  <si>
    <t>April</t>
  </si>
  <si>
    <t>BRH Project</t>
  </si>
  <si>
    <t>May</t>
  </si>
  <si>
    <t>June</t>
  </si>
  <si>
    <t>Feb</t>
  </si>
  <si>
    <t>Mar</t>
  </si>
  <si>
    <t>Apr</t>
  </si>
  <si>
    <t>Jun</t>
  </si>
  <si>
    <t>Jul</t>
  </si>
  <si>
    <t>Aug</t>
  </si>
  <si>
    <t>Sep</t>
  </si>
  <si>
    <t>Oct</t>
  </si>
  <si>
    <t>Nov</t>
  </si>
  <si>
    <t>Dec</t>
  </si>
  <si>
    <t>Interest on Amount of Refunds or Surcharges</t>
  </si>
  <si>
    <t>Yr</t>
  </si>
  <si>
    <t xml:space="preserve">    Less:  Actual PBOP expense</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</si>
  <si>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</si>
  <si>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</si>
  <si>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</si>
  <si>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</si>
  <si>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</si>
  <si>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</si>
  <si>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</si>
  <si>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January</t>
  </si>
  <si>
    <t>February</t>
  </si>
  <si>
    <t>March</t>
  </si>
  <si>
    <t>July</t>
  </si>
  <si>
    <t>August</t>
  </si>
  <si>
    <t>September</t>
  </si>
  <si>
    <t>November</t>
  </si>
  <si>
    <t>December</t>
  </si>
  <si>
    <t>Line 14 plus (line 5 times line 15)/100</t>
  </si>
  <si>
    <t>Investment</t>
  </si>
  <si>
    <t>Line 17 divided by line 12</t>
  </si>
  <si>
    <t>Related to LSE SECA obligations - retail</t>
  </si>
  <si>
    <t>Transmission / Non-transmission Cost Support</t>
  </si>
  <si>
    <t>Regulatory Expense Related to Transmission Cost Support</t>
  </si>
  <si>
    <t>Safety Related Advertising Cost Support</t>
  </si>
  <si>
    <t>Education and Out Reach Cost Support</t>
  </si>
  <si>
    <t>PJM Load Cost Support</t>
  </si>
  <si>
    <t>Outstanding Network Credits Cost Support</t>
  </si>
  <si>
    <t>Interest on Outstanding Network Credits Cost Support</t>
  </si>
  <si>
    <t>Return Calculation</t>
  </si>
  <si>
    <t>Account 454 - Rent from Electric Property</t>
  </si>
  <si>
    <t>Shaded cells are input cells</t>
  </si>
  <si>
    <t>Attachment 1 - Accumulated Deferred Income Taxes (ADIT) Worksheet</t>
  </si>
  <si>
    <t>Attachment 6</t>
  </si>
  <si>
    <t xml:space="preserve">End of Year </t>
  </si>
  <si>
    <t>Attachment 1</t>
  </si>
  <si>
    <t>Attachment 5</t>
  </si>
  <si>
    <t>Attachment 3</t>
  </si>
  <si>
    <t>Attachment 4</t>
  </si>
  <si>
    <t>Personal Computers</t>
  </si>
  <si>
    <t>Store Equipment</t>
  </si>
  <si>
    <t>NJCBT - Step Up Basis</t>
  </si>
  <si>
    <t>Depreciation - Liberalized Depreciation</t>
  </si>
  <si>
    <t>Depreciation - Non Utility Property</t>
  </si>
  <si>
    <t xml:space="preserve">CWIP for Incentive Transmission Projects </t>
  </si>
  <si>
    <t xml:space="preserve">CWIP Balances for Current Rate Year  </t>
  </si>
  <si>
    <t>Adjustments to A &amp; G Expense</t>
  </si>
  <si>
    <t>Total Plant In Rate Base</t>
  </si>
  <si>
    <t>Attachment 2</t>
  </si>
  <si>
    <t>The FCR resulting from Formula in a given year is used for that year only.</t>
  </si>
  <si>
    <t xml:space="preserve">Total Transmission O&amp;M </t>
  </si>
  <si>
    <t xml:space="preserve">Plant Held for Future Use </t>
  </si>
  <si>
    <t>Less FASB 109 Above if not separately removed</t>
  </si>
  <si>
    <t>TO populates the formula with Year 2011 actual data and calculates the 2011 True-Up Adjustment Before Interest</t>
  </si>
  <si>
    <t xml:space="preserve">TO calculates the Interest to include in the 2011 True-Up Adjustment </t>
  </si>
  <si>
    <t xml:space="preserve">TO populates the formula with Year 2013 estimated data and 2011 True-Up Adjustment </t>
  </si>
  <si>
    <t>Deferred Taxes on Rabbi Trust</t>
  </si>
  <si>
    <t>Fin 48 Assessment</t>
  </si>
  <si>
    <t>Basis difference resulting from accelerated deductions for repairs and Indirect Costs</t>
  </si>
  <si>
    <t>Fuel Cost Adjustment</t>
  </si>
  <si>
    <t>Accelerated Activity Plan</t>
  </si>
  <si>
    <t>Interest Expense Adjustment</t>
  </si>
  <si>
    <t>PSE&amp;G's real estate taxes detail is in an access database which contains a list of the towns PSE&amp;G pays taxes to, which are billed on a quarterly basis for various parcels of property by major classification.</t>
  </si>
  <si>
    <t xml:space="preserve"> Every parcel is associated with a Lot &amp; Block number. These Lot &amp; Blocks are identified to a particular type of property and are labeled. This is the breakout of transmission real estate taxes from total electric.</t>
  </si>
  <si>
    <t>Northeast Grid Reliability Project (B1304.1-B1304.4) (CWIP)</t>
  </si>
  <si>
    <t xml:space="preserve">Fixed Charge Rate (FCR) if </t>
  </si>
  <si>
    <t xml:space="preserve"> if not a CIAC</t>
  </si>
  <si>
    <t>Susquehanna Roseland &lt;500kV (B0489.4) (monthly additions)</t>
  </si>
  <si>
    <t>Therefore actual revenues collected in a year do not change based on cost data for subsequent years.</t>
  </si>
  <si>
    <t>Per FERC Order dated December 30, 2011 in Docket No. ER12-296, the ROE for the Northeast Grid Reliability Project is 11.93%,</t>
  </si>
  <si>
    <t>which includes a 25 basis-point transmission ROE adder as authorized by FERC to become effective January 1, 2012.</t>
  </si>
  <si>
    <t xml:space="preserve">For abondoned plant lines 12, 14, 15, and 16 will be from Attachment 5 - Abandoned Transmission Projects, Line 17 is the </t>
  </si>
  <si>
    <t>13 month average balance from Attach  6a, and Line 19 will be number of months to be amortized in year plus one.</t>
  </si>
  <si>
    <t>TO populates the formula with Year 2012 actual data and calculates the 2012 True-Up Adjustment Before Interest</t>
  </si>
  <si>
    <t>Burlington - Camden 230kV Conversion (B1156.13-B1156.20) CWIP</t>
  </si>
  <si>
    <t>Northeast Grid Reliability Project (B1304.5-B1304.21) (CWIP)</t>
  </si>
  <si>
    <t xml:space="preserve">Outstanding Network Credits is the balance of Network Facilities Upgrades Credits due Transmission Customers who have made lump-sum payments </t>
  </si>
  <si>
    <t xml:space="preserve">towards the construction of Network Transmission Facilities consistent with Paragraph 657 of Order 2003-A. </t>
  </si>
  <si>
    <t>Interest on the Network Credits as booked each year is added to the revenue requirement to make the Transmisison Owner whole on Line "&amp;A248&amp;"."</t>
  </si>
  <si>
    <t xml:space="preserve"> North Central Reliability (West Orange Conversion) (B1154) (monthly additions)</t>
  </si>
  <si>
    <t>North Central Reliability (West Orange Conversion) (B1154) CWIP</t>
  </si>
  <si>
    <t xml:space="preserve">North Central Reliability (West Orange Conversion (B1154) </t>
  </si>
  <si>
    <t>Replace Salem 500 kV breakers (B1410-B1415) (monthly additions)</t>
  </si>
  <si>
    <t>p263.33i</t>
  </si>
  <si>
    <t xml:space="preserve">TO calculates the Interest to include in the 2012 True-Up Adjustment </t>
  </si>
  <si>
    <t xml:space="preserve">TO populates the formula with Year 2014 estimated data and 2012 True-Up Adjustment </t>
  </si>
  <si>
    <t>230kV Lawrence Switching Station Upgrade (B1228)</t>
  </si>
  <si>
    <t xml:space="preserve"> BRH Project (B0829-B0830)   Abandoned</t>
  </si>
  <si>
    <t>2013</t>
  </si>
  <si>
    <t xml:space="preserve">Reconductor South Mahwah        J-3410 Circuit (B1017) </t>
  </si>
  <si>
    <t xml:space="preserve">Susquehanna Roseland &gt;= 500KV (B0489) </t>
  </si>
  <si>
    <t>Northeast Grid Reliability Project (B1304.1-B1304.4)</t>
  </si>
  <si>
    <t xml:space="preserve">Northeast Grid Reliability Project (B1304.5-B1304.21) </t>
  </si>
  <si>
    <t>(L)</t>
  </si>
  <si>
    <t>(AE)</t>
  </si>
  <si>
    <t>(AF)</t>
  </si>
  <si>
    <t>(AG)</t>
  </si>
  <si>
    <t>(AH)</t>
  </si>
  <si>
    <t>(AI)</t>
  </si>
  <si>
    <t>(AJ)</t>
  </si>
  <si>
    <t>(AK)</t>
  </si>
  <si>
    <t>(AL)</t>
  </si>
  <si>
    <t>(AM)</t>
  </si>
  <si>
    <t>(AN)</t>
  </si>
  <si>
    <t>(AO)</t>
  </si>
  <si>
    <t>(AP)</t>
  </si>
  <si>
    <t>Mickleton-Gloucester-Camden  (B1398-B1398.7) (monthly additions)</t>
  </si>
  <si>
    <t>Burlington - Camden 230kV Conversion (B1156.13-B1156.20) (monthly additions)</t>
  </si>
  <si>
    <t>Northeast Grid Reliability Project (B1304.1-B1304.4) (monthly additions)</t>
  </si>
  <si>
    <t>Northeast Grid Reliability Project (B1304.5-B1304.21) (monthly additions)</t>
  </si>
  <si>
    <t xml:space="preserve"> Branchburg 400 MVAR Capacitor (B0290) </t>
  </si>
  <si>
    <t>Branchburg-Somerville-Flagtown Reconductor (B0664 &amp; B0665)</t>
  </si>
  <si>
    <t xml:space="preserve">Northeast Grid Reliability Project (B1304.1-B1304.4) </t>
  </si>
  <si>
    <t>Somerville -Bridgewater Reconductor (B0668)</t>
  </si>
  <si>
    <t>North Central Reliability (West Orange Conversion) (B1154)</t>
  </si>
  <si>
    <t xml:space="preserve"> North Central Reliability (West Orange Conversion) (B1154) </t>
  </si>
  <si>
    <t xml:space="preserve">Mickleton-Gloucester-Camden  (B1398-B1398.7) </t>
  </si>
  <si>
    <t>Northeast Grid Reliability Project (B1304.5-B1304.21) CWIP</t>
  </si>
  <si>
    <t xml:space="preserve">Burlington - Camden 230kV Conversion (B1156.13-B1156.20) </t>
  </si>
  <si>
    <t>Susquehanna Roseland Breakers  (b0489.5-B0489.15) (monthly additions)</t>
  </si>
  <si>
    <t>Susquehanna Roseland Breakers (b0489.5-B0489.15)</t>
  </si>
  <si>
    <t xml:space="preserve">Susquehanna Roseland Breakers  (b0489.5-B0489.15) </t>
  </si>
  <si>
    <t xml:space="preserve">Susquehanna Roseland Breakers  (B0489.5-B0489.15) </t>
  </si>
  <si>
    <t xml:space="preserve">Susquehanna Roseland &gt; 500KV (B0489) </t>
  </si>
  <si>
    <t>Docket No. ER12-2274-000 authorizing $3,500,000 amortization over one-year recovery of BRH Abandoned Transmission Project</t>
  </si>
  <si>
    <t xml:space="preserve">Mickleton-Gloucester-Camden Breakers (B1398.15-B1398.19) </t>
  </si>
  <si>
    <t>Mickleton-Gloucester-Camden Breakers (B1398.15-B1398.19) (monthly additions)</t>
  </si>
  <si>
    <t>Replace Salem 500 kV breakers (B1410-B1415)</t>
  </si>
  <si>
    <t>Mickleton-Gloucester-Camden(B1398-B1398.7)</t>
  </si>
  <si>
    <t>TO populates the formula with Year 2013 actual data and calculates the 2013 True-Up Adjustment Before Interest</t>
  </si>
  <si>
    <t>Branchburg-Middlesex Switch Rack (B1155) (monthly additions)</t>
  </si>
  <si>
    <t>ER12-2274</t>
  </si>
  <si>
    <t>Mickleton-Gloucester-Camden  (B1398-B1398.7)</t>
  </si>
  <si>
    <t>2013 End of Year</t>
  </si>
  <si>
    <t>Federal Net Operating Loss</t>
  </si>
  <si>
    <t>Software used for customer billing</t>
  </si>
  <si>
    <t>Mickleton-Gloucester-Camden          (B1398-B1398.7)</t>
  </si>
  <si>
    <t xml:space="preserve">Attachment 1 - Accumulated Deferred Income Taxes (ADIT) Worksheet - December 31,2013   </t>
  </si>
  <si>
    <t>Attachment 5 - Cost Support - December 31, 2014</t>
  </si>
  <si>
    <t>2014 End of Year</t>
  </si>
  <si>
    <t>Attachment 2 - Taxes Other Than Income Worksheet - December 31, 2014</t>
  </si>
  <si>
    <t>Attachment 3 - Revenue Credit Workpaper - December 31, 2014</t>
  </si>
  <si>
    <t>12 Months Ended 12/31/2014</t>
  </si>
  <si>
    <t>Public Utility Tax Assessment</t>
  </si>
  <si>
    <t>BPU and Rate Payer Advocate Assessment</t>
  </si>
  <si>
    <t>Sales Tax Reserve</t>
  </si>
  <si>
    <t>Sales tax audit reserve</t>
  </si>
  <si>
    <t>Miscellaneous</t>
  </si>
  <si>
    <t>Miscellaneous Tax Adjustments</t>
  </si>
  <si>
    <t>Deferred Gain</t>
  </si>
  <si>
    <t>Deferred gain resulted from 2000 deregulation step up basis</t>
  </si>
  <si>
    <t>Attachment 6A - Project Specific Estimate and Reconciliation Worksheet - December 31, 2014</t>
  </si>
  <si>
    <t>New Bayonne 345/69 kV transformer and any associated substation upgrades (B2437.33) (CWIP)</t>
  </si>
  <si>
    <t>New Linden 345/230 kV transformer and any associated substation upgrades (B2437.30) (CWIP)</t>
  </si>
  <si>
    <t>New Bayway 345/138 kV transformer #2 and any associated substation upgrades (B2437.21) (CWIP)</t>
  </si>
  <si>
    <t>New Bayway 345/138 kV transformer #1 and any associated substation upgrades (B2437.20) (CWIP)</t>
  </si>
  <si>
    <t>New Bergen 345/138 kV transformer #1 and any associated substation upgrades (B2437.11) (CWIP)</t>
  </si>
  <si>
    <t>New Bergen 345/230 kV transformer and any associated substation upgrades (B2437.10) (CWIP)</t>
  </si>
  <si>
    <t>Relocate the Hudson 2 generation to inject into the 345 kV at Marion and any associated upgrades (B2436.91) (CWIP)</t>
  </si>
  <si>
    <t>Relocate Farragut - Hudson "B" and "C" 345 kV circuits to Marion 345 kV and any associated substation upgrades (B2436.90) (CWIP)</t>
  </si>
  <si>
    <t>Convert the Bayway - Linden "M" 138 kV circuit to 345 kV and any associated substation upgrades (B2436.85) (CWIP)</t>
  </si>
  <si>
    <t>Convert the Bayway - Linden "W" 138 kV circuit to 345 kV and any associated substation upgrades (B2436.84) (CWIP)</t>
  </si>
  <si>
    <t>Convert the Bayway - Linden "Z" 138 kV circuit to 345 kV and any associated substation upgrades (B2436.83) (CWIP)</t>
  </si>
  <si>
    <t>Relocate the overhead portion of Linden - North Ave "T" 138 kV circuit to Bayway, convert it to 345 kV, and any associated substation upgrades (B2436.81) (CWIP)</t>
  </si>
  <si>
    <t>Construct a new Airport - Bayway 345 kV circuit and any associated substation upgrades (B2436.70) CWIP</t>
  </si>
  <si>
    <t>Relocate the underground portion of North Ave - Linden "T" 138 kV circuit to Bayway, convert it to 345 kV, and any associated substation upgrades (B2436.60) CWIP</t>
  </si>
  <si>
    <t>Construct a new North Ave - Airport 345 kV circuit and any associated substation upgrades (B2436.50) CWIP</t>
  </si>
  <si>
    <t>Construct a new North Ave - Bayonne 345 kV circuit and any associated substation upgrades (B2436.34) CWIP</t>
  </si>
  <si>
    <t>Construct a new Bayway - Bayonne 345 kV circuit and any associated substation upgrades (B2436.33) CWIP</t>
  </si>
  <si>
    <t>Convert the Marion - Bayonne "C" 138 kV circuit to 345 kV and any associated substation upgrades (B2436.22) CWIP</t>
  </si>
  <si>
    <t>Convert the Marion - Bayonne "L" 138 kV circuit to 345 kV and any associated substation upgrades (B2436.21) CWIP</t>
  </si>
  <si>
    <t>Convert the Bergen - Marion 138 kV path to double circuit 345 kV and associated substation upgrades (B2436.10) CWIP</t>
  </si>
  <si>
    <t>Northeast Grid Reliability Project (B1304.1-B1304.4)  CWIP</t>
  </si>
  <si>
    <t>Mickleton-Gloucester-Camden Breakers (B1398.15-B1398.19) CWIP</t>
  </si>
  <si>
    <t>Susquehanna Roseland &lt; 500KV (B0489.4) CWIP</t>
  </si>
  <si>
    <t>Susquehanna Roseland &gt;= 500KV (B0489) CWIP</t>
  </si>
  <si>
    <t>Northeast Grid Reliabiity Project (B1304.1-B1304.4)</t>
  </si>
  <si>
    <t xml:space="preserve">Upgrade Camden-Richmond 230kV Circuit (B1590) </t>
  </si>
  <si>
    <t>Aldene-Springfield Rd. Conversion (B1399)</t>
  </si>
  <si>
    <t>Branchburg-Middlesex Swich Rack (B1155)</t>
  </si>
  <si>
    <t xml:space="preserve">Bergen Substation Transformer (B1082) </t>
  </si>
  <si>
    <t xml:space="preserve">Ridge Road 69kV Breaker Station (B1255) </t>
  </si>
  <si>
    <t>New Essex-Kearny 138 kV circuit and Kearny 138 kV bus tie (B0814)</t>
  </si>
  <si>
    <t xml:space="preserve">Reconductor South Mahwah   K-3411 Circuit (B1018) </t>
  </si>
  <si>
    <t xml:space="preserve">Reconductor South Mahwah          J-3410 Circuit (B1017) </t>
  </si>
  <si>
    <t xml:space="preserve">New Bayonne 345/69 kV transformer and any associated substation upgrades (B2437.33) </t>
  </si>
  <si>
    <t>New Linden 345/230 kV transformer and any associated substation upgrades (B2437.30)</t>
  </si>
  <si>
    <t>New Bayway 345/138 kV transformer #2 and any associated substation upgrades (B2437.21)</t>
  </si>
  <si>
    <t>New Bayway 345/138 kV transformer #1 and any associated substation upgrades (B2437.20)</t>
  </si>
  <si>
    <t>New Bergen 345/138 kV transformer #1 and any associated substation upgrades (B2437.11)</t>
  </si>
  <si>
    <t xml:space="preserve">New Bergen 345/230 kV transformer and any associated substation upgrades (B2437.10) </t>
  </si>
  <si>
    <t>Relocate the Hudson 2 generation to inject into the 345 kV at Marion and any associated upgrades (B2436.91)</t>
  </si>
  <si>
    <t xml:space="preserve">Relocate Farragut - Hudson "B" and "C" 345 kV circuits to Marion 345 kV and any associated substation upgrades (B2436.90) </t>
  </si>
  <si>
    <t>Convert the Bayway - Linden "M" 138 kV circuit to 345 kV and any associated substation upgrades (B2436.85)</t>
  </si>
  <si>
    <t xml:space="preserve">Convert the Bayway - Linden "W" 138 kV circuit to 345 kV and any associated substation upgrades (B2436.84) </t>
  </si>
  <si>
    <t xml:space="preserve">Convert the Bayway - Linden "Z" 138 kV circuit to 345 kV and any associated substation upgrades (B2436.83) </t>
  </si>
  <si>
    <t xml:space="preserve">Relocate the overhead portion of Linden - North Ave "T" 138 kV circuit to Bayway, convert it to 345 kV, and any associated substation upgrades (B2436.81) </t>
  </si>
  <si>
    <t xml:space="preserve">Construct a new Airport - Bayway 345 kV circuit and any associated substation upgrades (B2436.70) </t>
  </si>
  <si>
    <t>Relocate the underground portion of North Ave - Linden "T" 138 kV circuit to Bayway, convert it to 345 kV, and any associated substation upgrades (B2436.60)</t>
  </si>
  <si>
    <t>Construct a new North Ave - Airport 345 kV circuit and any associated substation upgrades (B2436.50)</t>
  </si>
  <si>
    <t>Construct a new North Ave - Bayonne 345 kV circuit and any associated substation upgrades (B2436.34)</t>
  </si>
  <si>
    <t>Construct a new Bayway - Bayonne 345 kV circuit and any associated substation upgrades (B2436.33)</t>
  </si>
  <si>
    <t xml:space="preserve">Convert the Marion - Bayonne "C" 138 kV circuit to 345 kV and any associated substation upgrades (B2436.22) </t>
  </si>
  <si>
    <t>Convert the Marion - Bayonne "L" 138 kV circuit to 345 kV and any associated substation upgrades (B2436.21)</t>
  </si>
  <si>
    <t>Convert the Bergen - Marion 138 kV path to double circuit 345 kV and associated substation upgrades (B2436.10)</t>
  </si>
  <si>
    <t>Northeast Grid Reliability Project (B1304.5-B1304.21)</t>
  </si>
  <si>
    <t>Mickleton-Gloucester-Camden Breakers (B1398.15-B1398.19)</t>
  </si>
  <si>
    <t xml:space="preserve"> North Central Reliability (West Orange Conversion) (B1154)</t>
  </si>
  <si>
    <t>Susquehanna Roseland &lt; 500KV (B0489.4)</t>
  </si>
  <si>
    <t>Susquehanna Roseland &lt;500kV (B0489.4)</t>
  </si>
  <si>
    <t>Susquehanna Roseland Breakers  (B0489.5-B0489.15)</t>
  </si>
  <si>
    <t xml:space="preserve">Upgrade Camden-Richmond 230kV Circuit (B1590)     </t>
  </si>
  <si>
    <t xml:space="preserve">Aldene-Springfield Rd. Conversion (B1399)     </t>
  </si>
  <si>
    <t>New Bayonne 345/69 kV transformer and any associated substation upgrades (B2437.33) (monthly additions)</t>
  </si>
  <si>
    <t>New Linden 345/230 kV transformer and any associated substation upgrades (B2437.30) (monthly additions)</t>
  </si>
  <si>
    <t>New Bayway 345/138 kV transformer #2 and any associated substation upgrades (B2437.21) (monthly additions)</t>
  </si>
  <si>
    <t>New Bayway 345/138 kV transformer #1 and any associated substation upgrades (B2437.20) (monthly additions)</t>
  </si>
  <si>
    <t>New Bergen 345/138 kV transformer #1 and any associated substation upgrades (B2437.11) (monthly additions)</t>
  </si>
  <si>
    <t>New Bergen 345/230 kV transformer and any associated substation upgrades (B2437.10) (monthly additions)</t>
  </si>
  <si>
    <t>Relocate the Hudson 2 generation to inject into the 345 kV at Marion and any associated upgrades (B2436.91) (monthly additions)</t>
  </si>
  <si>
    <t>Relocate Farragut - Hudson "B" and "C" 345 kV circuits to Marion 345 kV and any associated substation upgrades (B2436.90) (monthly additions)</t>
  </si>
  <si>
    <t>Convert the Bayway - Linden "M" 138 kV circuit to 345 kV and any associated substation upgrades (B2436.85) (monthly additions)</t>
  </si>
  <si>
    <t>Convert the Bayway - Linden "W" 138 kV circuit to 345 kV and any associated substation upgrades (B2436.84) (monthly addtions)</t>
  </si>
  <si>
    <t>Convert the Bayway - Linden "Z" 138 kV circuit to 345 kV and any associated substation upgrades (B2436.83) (monthly additions)</t>
  </si>
  <si>
    <t>Relocate the overhead portion of Linden - North Ave "T" 138 kV circuit to Bayway, convert it to 345 kV, and any associated substation upgrades (B2436.81) (monthly additions</t>
  </si>
  <si>
    <t>Construct a new Airport - Bayway 345 kV circuit and any associated substation upgrades (B2436.70) (monthly additions)</t>
  </si>
  <si>
    <t>Relocate the underground portion of North Ave - Linden "T" 138 kV circuit to Bayway, convert it to 345 kV, and any associated substation upgrades (B2436.60) (monthly additions)</t>
  </si>
  <si>
    <t>Construct a new North Ave - Airport 345 kV circuit and any associated substation upgrades (B2436.50) (monthly additions)</t>
  </si>
  <si>
    <t>Construct a new North Ave - Bayonne 345 kV circuit and any associated substation upgrades (B2436.34) (monthly additions)</t>
  </si>
  <si>
    <t>Construct a new Bayway - Bayonne 345 kV circuit and any associated substation upgrades (B2436.33) (monthly additions)</t>
  </si>
  <si>
    <t>Convert the Marion - Bayonne "C" 138 kV circuit to 345 kV and any associated substation upgrades (B2436.22) (monthly additions)</t>
  </si>
  <si>
    <t>Convert the Marion - Bayonne "L" 138 kV circuit to 345 kV and any associated substation upgrades (B2436.21) (monthly additions)</t>
  </si>
  <si>
    <t>Convert the Bergen - Marion 138 kV path to double circuit 345 kV and associated substation upgrades (B2436.10) (monthly additions)</t>
  </si>
  <si>
    <t>Susquehanna Roseland Breakers  (B0489.5-B0489.15) (monthly additions)</t>
  </si>
  <si>
    <t>Upgrade Camden-Richmond 230kV Circuit (B1590)      (monthly additions)</t>
  </si>
  <si>
    <t>Aldene-Springfield Rd. Conversion (B1399)     (monthly additions)</t>
  </si>
  <si>
    <t>(CF)</t>
  </si>
  <si>
    <t>(CE)</t>
  </si>
  <si>
    <t>(CD)</t>
  </si>
  <si>
    <t>(CC)</t>
  </si>
  <si>
    <t>(CB)</t>
  </si>
  <si>
    <t>(CA)</t>
  </si>
  <si>
    <t>(BZ)</t>
  </si>
  <si>
    <t>(BY)</t>
  </si>
  <si>
    <t>(BX)</t>
  </si>
  <si>
    <t>(BW)</t>
  </si>
  <si>
    <t>(BV)</t>
  </si>
  <si>
    <t>(BU)</t>
  </si>
  <si>
    <t>(BT)</t>
  </si>
  <si>
    <t>(BS)</t>
  </si>
  <si>
    <t>(BR)</t>
  </si>
  <si>
    <t>(BQ)</t>
  </si>
  <si>
    <t>(BP)</t>
  </si>
  <si>
    <t>(BO)</t>
  </si>
  <si>
    <t>(BN)</t>
  </si>
  <si>
    <t>(BM)</t>
  </si>
  <si>
    <t>(BL)</t>
  </si>
  <si>
    <t>(BK)</t>
  </si>
  <si>
    <t>(BJ)</t>
  </si>
  <si>
    <t>(BI)</t>
  </si>
  <si>
    <t>(BH)</t>
  </si>
  <si>
    <t>(BG)</t>
  </si>
  <si>
    <t>(BF)</t>
  </si>
  <si>
    <t>(BE)</t>
  </si>
  <si>
    <t>(BD)</t>
  </si>
  <si>
    <t>(BC)</t>
  </si>
  <si>
    <t>(BB)</t>
  </si>
  <si>
    <t>(BA)</t>
  </si>
  <si>
    <t>(AZ)</t>
  </si>
  <si>
    <t>(AY)</t>
  </si>
  <si>
    <t>(AX)</t>
  </si>
  <si>
    <t>(AW)</t>
  </si>
  <si>
    <t>(AV)</t>
  </si>
  <si>
    <t>(AU)</t>
  </si>
  <si>
    <t>(AT)</t>
  </si>
  <si>
    <t>(AS)</t>
  </si>
  <si>
    <t>(AR)</t>
  </si>
  <si>
    <t>(AQ)</t>
  </si>
  <si>
    <t>Estimated Transmission Enhancement Charges (Before True-Up) - 2014</t>
  </si>
  <si>
    <t xml:space="preserve">Replace Salem 500 kV breakers (B1410-B1415) </t>
  </si>
  <si>
    <t xml:space="preserve">Aldene-Springfield Rd. Conversion (B1399) </t>
  </si>
  <si>
    <t xml:space="preserve">Branchburg-Middlesex Swich Rack (B1155) </t>
  </si>
  <si>
    <t>Bergen Substation Transformer (B1082)</t>
  </si>
  <si>
    <t>Bergen Substation Transformer (B1082) (monthly additions)</t>
  </si>
  <si>
    <t>Estimated Additions - 2014</t>
  </si>
  <si>
    <t>Depreciation or Amortization</t>
  </si>
  <si>
    <t>Depreciation or Amortizaiton</t>
  </si>
  <si>
    <t>2014</t>
  </si>
  <si>
    <t>Susquehanna Roseland &gt;= 500KV  (B0489)  CWIP</t>
  </si>
  <si>
    <t>Upgrade Camden-Richmond 230kV Circuit (B1590)</t>
  </si>
  <si>
    <t>Ridge Road 69kV Breaker Station (B1255)</t>
  </si>
  <si>
    <t xml:space="preserve">Reconductor South Mahwah  K-3411 Circuit (B1018) </t>
  </si>
  <si>
    <t>Attachment 7 - Transmission Enhancement Charges Worksheet (TEC) - December 31, 2014</t>
  </si>
  <si>
    <t xml:space="preserve">Attachment 1 - Accumulated Deferred Income Taxes (ADIT) Worksheet - December 31,2014   </t>
  </si>
  <si>
    <t xml:space="preserve"> BRH Project (B0829-B0830) Abandoned</t>
  </si>
  <si>
    <t>Page 16 of 16</t>
  </si>
  <si>
    <t>Page 15 of 16</t>
  </si>
  <si>
    <t>Page 14 of 16</t>
  </si>
  <si>
    <t>Page 13 of 16</t>
  </si>
  <si>
    <t>Page 12 of 16</t>
  </si>
  <si>
    <t>Page 11 of 16</t>
  </si>
  <si>
    <t>Page 10 of 16</t>
  </si>
  <si>
    <t>Page 9 of 16</t>
  </si>
  <si>
    <t>Page 8 of 16</t>
  </si>
  <si>
    <t>Page 7 of 16</t>
  </si>
  <si>
    <t>Page 6 of 16</t>
  </si>
  <si>
    <t>Page 5 of 16</t>
  </si>
  <si>
    <t>Page 4 of 16</t>
  </si>
  <si>
    <t>Page 3 of 16</t>
  </si>
  <si>
    <t>Page 2 of 16</t>
  </si>
  <si>
    <t>Page 1 of 16</t>
  </si>
  <si>
    <t xml:space="preserve">Current Year -  2014 </t>
  </si>
  <si>
    <t>Page 1 of 8</t>
  </si>
  <si>
    <t>Page 3 of 8</t>
  </si>
  <si>
    <t>Page 2 of 8</t>
  </si>
  <si>
    <t>Page 4 of 8</t>
  </si>
  <si>
    <t>Page 5 of 8</t>
  </si>
  <si>
    <t>Page 6 of 8</t>
  </si>
  <si>
    <t>Page 8 of 8</t>
  </si>
  <si>
    <t>Page 7 of 8</t>
  </si>
  <si>
    <t>Attachment 6 - True-up Adjustment for Network Integration Transmission Service - December 31, 2014</t>
  </si>
  <si>
    <t xml:space="preserve">June </t>
  </si>
  <si>
    <t>TO populates the formula with Year 2014 actual data and calculates the 2014 True-Up Adjustment Before Interest</t>
  </si>
  <si>
    <t xml:space="preserve">TO calculates the Interest to include in the 2013 True-Up Adjustment </t>
  </si>
  <si>
    <t xml:space="preserve">TO populates the formula with Year 2015 estimated data and 2013 True-Up Adjustment </t>
  </si>
  <si>
    <t xml:space="preserve">                                                                                                                                                                                                                                                 Actual Additions - 2014</t>
  </si>
  <si>
    <t xml:space="preserve">                                                                                                                                                                                                                                                                                                                                                                                                                                                  Reconciliation by Project (without interest)</t>
  </si>
  <si>
    <t xml:space="preserve">                                                                                                                                                                                                         Actual Transmission Enhancement Charges - 2014</t>
  </si>
  <si>
    <t>Electric Plant in Service (Excludes Asset Retirement Costs - ARC)</t>
  </si>
  <si>
    <t>General ( Excludes Asset Retirement Costs - ARC)</t>
  </si>
  <si>
    <t>Transmission Plant in Service ( Excludes Asset Retirement Costs - ARC)</t>
  </si>
  <si>
    <t>Accumulated General Depreciation Associated with Acct. 397</t>
  </si>
  <si>
    <t xml:space="preserve">                                                                                                                                                                                                         Reconciliation by Project (without interest)</t>
  </si>
  <si>
    <t>W  11.68 % ROE</t>
  </si>
  <si>
    <t>Page 1 of 3</t>
  </si>
  <si>
    <t>Page 2 of 3</t>
  </si>
  <si>
    <t>Page 3 of 3</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</si>
</sst>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quot;$&quot;#,##0"/>
    <numFmt numFmtId="175" formatCode="_(* #,##0.00000_);_(* \(#,##0.00000\);_(* &quot;-&quot;??_);_(@_)"/>
    <numFmt numFmtId="176" formatCode="#,##0.00000000"/>
    <numFmt numFmtId="177" formatCode="_(* #,##0.00000_);_(* \(#,##0.00000\);_(* &quot;-&quot;?????_);_(@_)"/>
    <numFmt numFmtId="178" formatCode="_([$€-2]* #,##0.00_);_([$€-2]* \(#,##0.00\);_([$€-2]* &quot;-&quot;??_)"/>
    <numFmt numFmtId="179" formatCode="#,##0.0"/>
    <numFmt numFmtId="180" formatCode="0_);\(0\)"/>
    <numFmt numFmtId="181" formatCode="_(* #,##0.000_);_(* \(#,##0.000\);_(* &quot;-&quot;??_);_(@_)"/>
  </numFmts>
  <fonts count="8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4"/>
      <name val="Arial"/>
      <family val="2"/>
    </font>
    <font>
      <sz val="12"/>
      <name val="Arial Narrow"/>
      <family val="2"/>
    </font>
    <font>
      <b/>
      <i/>
      <sz val="12"/>
      <name val="Arial"/>
      <family val="2"/>
    </font>
    <font>
      <sz val="11"/>
      <name val="Arial"/>
      <family val="2"/>
    </font>
    <font>
      <b/>
      <sz val="16"/>
      <color indexed="10"/>
      <name val="Arial"/>
      <family val="2"/>
    </font>
    <font>
      <sz val="9"/>
      <name val="Arial"/>
      <family val="2"/>
    </font>
    <font>
      <sz val="10"/>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sz val="12"/>
      <color indexed="14"/>
      <name val="Arial"/>
      <family val="2"/>
    </font>
    <font>
      <b/>
      <sz val="12"/>
      <color indexed="14"/>
      <name val="Arial"/>
      <family val="2"/>
    </font>
    <font>
      <i/>
      <u/>
      <sz val="12"/>
      <name val="Arial"/>
      <family val="2"/>
    </font>
    <font>
      <u/>
      <sz val="8"/>
      <name val="Arial"/>
      <family val="2"/>
    </font>
    <font>
      <u/>
      <vertAlign val="subscript"/>
      <sz val="12"/>
      <name val="Arial"/>
      <family val="2"/>
    </font>
    <font>
      <u/>
      <sz val="12"/>
      <name val="Arial"/>
      <family val="2"/>
    </font>
    <font>
      <u/>
      <sz val="10"/>
      <name val="Arial"/>
      <family val="2"/>
    </font>
    <font>
      <u/>
      <vertAlign val="superscript"/>
      <sz val="11"/>
      <name val="Arial"/>
      <family val="2"/>
    </font>
    <font>
      <vertAlign val="superscript"/>
      <sz val="11"/>
      <name val="Arial"/>
      <family val="2"/>
    </font>
    <font>
      <b/>
      <sz val="12"/>
      <name val="Arial"/>
      <family val="2"/>
    </font>
    <font>
      <b/>
      <i/>
      <sz val="14"/>
      <name val="Arial"/>
      <family val="2"/>
    </font>
    <font>
      <b/>
      <sz val="12"/>
      <color indexed="13"/>
      <name val="Arial"/>
      <family val="2"/>
    </font>
    <font>
      <b/>
      <i/>
      <sz val="12"/>
      <name val="Arial"/>
      <family val="2"/>
    </font>
    <font>
      <b/>
      <i/>
      <sz val="12"/>
      <color indexed="10"/>
      <name val="Arial"/>
      <family val="2"/>
    </font>
    <font>
      <sz val="14"/>
      <color indexed="10"/>
      <name val="Arial"/>
      <family val="2"/>
    </font>
    <font>
      <sz val="22"/>
      <color indexed="8"/>
      <name val="Tahoma"/>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b/>
      <sz val="14"/>
      <color rgb="FFFF0000"/>
      <name val="Arial Narrow"/>
      <family val="2"/>
    </font>
    <font>
      <b/>
      <sz val="14"/>
      <color rgb="FFFF0000"/>
      <name val="Cambria"/>
      <family val="1"/>
    </font>
    <font>
      <sz val="10"/>
      <name val="Arial"/>
      <family val="2"/>
    </font>
    <font>
      <sz val="12"/>
      <color rgb="FFFF0000"/>
      <name val="Arial"/>
      <family val="2"/>
    </font>
    <font>
      <sz val="20"/>
      <name val="Arial"/>
      <family val="2"/>
    </font>
    <font>
      <i/>
      <sz val="12"/>
      <name val="Arial"/>
      <family val="2"/>
    </font>
    <font>
      <sz val="11"/>
      <color theme="1"/>
      <name val="Arial"/>
      <family val="2"/>
    </font>
    <font>
      <i/>
      <sz val="14"/>
      <name val="Arial"/>
      <family val="2"/>
    </font>
    <font>
      <sz val="14"/>
      <color theme="7" tint="0.39997558519241921"/>
      <name val="Arial"/>
      <family val="2"/>
    </font>
    <font>
      <b/>
      <sz val="9"/>
      <color indexed="81"/>
      <name val="Tahoma"/>
      <family val="2"/>
    </font>
    <font>
      <i/>
      <sz val="10"/>
      <name val="Arial"/>
      <family val="2"/>
    </font>
    <font>
      <b/>
      <sz val="9"/>
      <name val="Arial"/>
      <family val="2"/>
    </font>
    <font>
      <sz val="18"/>
      <name val="Arial"/>
      <family val="2"/>
    </font>
    <font>
      <sz val="18"/>
      <color rgb="FFFF0000"/>
      <name val="Arial"/>
      <family val="2"/>
    </font>
    <font>
      <sz val="16"/>
      <color rgb="FFFF0000"/>
      <name val="Arial"/>
      <family val="2"/>
    </font>
    <font>
      <sz val="10"/>
      <color rgb="FFFF0000"/>
      <name val="Arial"/>
      <family val="2"/>
    </font>
    <font>
      <sz val="14"/>
      <color rgb="FFFF0000"/>
      <name val="Arial"/>
      <family val="2"/>
    </font>
    <font>
      <b/>
      <u/>
      <sz val="20"/>
      <color indexed="10"/>
      <name val="Arial"/>
      <family val="2"/>
    </font>
    <font>
      <b/>
      <sz val="20"/>
      <color rgb="FFFF0000"/>
      <name val="Arial Narrow"/>
      <family val="2"/>
    </font>
    <font>
      <sz val="24"/>
      <name val="Arial"/>
      <family val="2"/>
    </font>
  </fonts>
  <fills count="56">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47"/>
        <bgColor indexed="64"/>
      </patternFill>
    </fill>
    <fill>
      <patternFill patternType="solid">
        <fgColor indexed="40"/>
        <bgColor indexed="64"/>
      </patternFill>
    </fill>
    <fill>
      <patternFill patternType="solid">
        <fgColor indexed="45"/>
        <bgColor indexed="64"/>
      </patternFill>
    </fill>
    <fill>
      <patternFill patternType="solid">
        <fgColor indexed="53"/>
        <bgColor indexed="64"/>
      </patternFill>
    </fill>
    <fill>
      <patternFill patternType="solid">
        <fgColor indexed="46"/>
        <bgColor indexed="64"/>
      </patternFill>
    </fill>
    <fill>
      <patternFill patternType="solid">
        <fgColor indexed="13"/>
        <bgColor indexed="64"/>
      </patternFill>
    </fill>
    <fill>
      <patternFill patternType="solid">
        <fgColor indexed="57"/>
        <bgColor indexed="64"/>
      </patternFill>
    </fill>
    <fill>
      <patternFill patternType="solid">
        <fgColor indexed="52"/>
        <bgColor indexed="64"/>
      </patternFill>
    </fill>
    <fill>
      <patternFill patternType="solid">
        <fgColor indexed="44"/>
        <bgColor indexed="64"/>
      </patternFill>
    </fill>
    <fill>
      <patternFill patternType="solid">
        <fgColor indexed="48"/>
        <bgColor indexed="64"/>
      </patternFill>
    </fill>
    <fill>
      <patternFill patternType="solid">
        <fgColor indexed="15"/>
        <bgColor indexed="64"/>
      </patternFill>
    </fill>
    <fill>
      <patternFill patternType="solid">
        <fgColor indexed="17"/>
        <bgColor indexed="64"/>
      </patternFill>
    </fill>
    <fill>
      <patternFill patternType="solid">
        <fgColor indexed="14"/>
        <bgColor indexed="64"/>
      </patternFill>
    </fill>
    <fill>
      <patternFill patternType="solid">
        <fgColor indexed="51"/>
        <bgColor indexed="64"/>
      </patternFill>
    </fill>
    <fill>
      <patternFill patternType="solid">
        <fgColor indexed="42"/>
        <bgColor indexed="64"/>
      </patternFill>
    </fill>
    <fill>
      <patternFill patternType="solid">
        <fgColor theme="7" tint="0.59999389629810485"/>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rgb="FFFFFF99"/>
        <bgColor indexed="64"/>
      </patternFill>
    </fill>
    <fill>
      <patternFill patternType="solid">
        <fgColor theme="6"/>
        <bgColor indexed="64"/>
      </patternFill>
    </fill>
    <fill>
      <patternFill patternType="solid">
        <fgColor theme="7" tint="0.39997558519241921"/>
        <bgColor indexed="64"/>
      </patternFill>
    </fill>
    <fill>
      <patternFill patternType="solid">
        <fgColor rgb="FF002060"/>
        <bgColor indexed="64"/>
      </patternFill>
    </fill>
    <fill>
      <patternFill patternType="solid">
        <fgColor theme="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4"/>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00B05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249977111117893"/>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medium">
        <color indexed="64"/>
      </bottom>
      <diagonal/>
    </border>
  </borders>
  <cellStyleXfs count="43">
    <xf numFmtId="0" fontId="0" fillId="0" borderId="0"/>
    <xf numFmtId="0" fontId="54" fillId="0" borderId="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4" fillId="0" borderId="1"/>
    <xf numFmtId="44" fontId="4" fillId="0" borderId="0" applyFont="0" applyFill="0" applyBorder="0" applyAlignment="0" applyProtection="0"/>
    <xf numFmtId="44" fontId="4" fillId="0" borderId="0" applyFont="0" applyFill="0" applyBorder="0" applyAlignment="0" applyProtection="0"/>
    <xf numFmtId="178" fontId="53" fillId="0" borderId="0" applyFont="0" applyFill="0" applyBorder="0" applyAlignment="0" applyProtection="0"/>
    <xf numFmtId="0" fontId="4" fillId="0" borderId="0"/>
    <xf numFmtId="169" fontId="14" fillId="0" borderId="0" applyProtection="0"/>
    <xf numFmtId="9" fontId="4" fillId="0" borderId="0" applyFont="0" applyFill="0" applyBorder="0" applyAlignment="0" applyProtection="0"/>
    <xf numFmtId="9" fontId="4" fillId="0" borderId="0" applyFont="0" applyFill="0" applyBorder="0" applyAlignment="0" applyProtection="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0" fontId="25" fillId="0" borderId="2">
      <alignment horizontal="center"/>
    </xf>
    <xf numFmtId="3" fontId="24" fillId="0" borderId="0" applyFont="0" applyFill="0" applyBorder="0" applyAlignment="0" applyProtection="0"/>
    <xf numFmtId="0" fontId="24" fillId="2" borderId="0" applyNumberFormat="0" applyFont="0" applyBorder="0" applyAlignment="0" applyProtection="0"/>
    <xf numFmtId="0" fontId="15" fillId="3" borderId="0"/>
    <xf numFmtId="0" fontId="4" fillId="4" borderId="1" applyNumberFormat="0" applyFont="0" applyAlignment="0"/>
    <xf numFmtId="44" fontId="58"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58" fillId="0" borderId="0" applyFont="0" applyFill="0" applyBorder="0" applyAlignment="0" applyProtection="0"/>
    <xf numFmtId="0" fontId="62" fillId="0" borderId="0"/>
    <xf numFmtId="43" fontId="4" fillId="0" borderId="0" applyFont="0" applyFill="0" applyBorder="0" applyAlignment="0" applyProtection="0"/>
    <xf numFmtId="43" fontId="58"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66"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4" fillId="0" borderId="0"/>
    <xf numFmtId="41"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cellStyleXfs>
  <cellXfs count="2774">
    <xf numFmtId="0" fontId="0" fillId="0" borderId="0" xfId="0"/>
    <xf numFmtId="0" fontId="7" fillId="0" borderId="0" xfId="1" applyNumberFormat="1" applyFont="1" applyAlignment="1">
      <alignment horizontal="center"/>
    </xf>
    <xf numFmtId="0" fontId="7" fillId="0" borderId="0" xfId="1" applyFont="1" applyAlignment="1"/>
    <xf numFmtId="0" fontId="7" fillId="0" borderId="0" xfId="1" applyFont="1"/>
    <xf numFmtId="0" fontId="7" fillId="0" borderId="0" xfId="1" applyNumberFormat="1" applyFont="1" applyAlignment="1">
      <alignment horizontal="left"/>
    </xf>
    <xf numFmtId="0" fontId="7" fillId="0" borderId="0" xfId="1" applyNumberFormat="1" applyFont="1" applyFill="1" applyAlignment="1">
      <alignment horizontal="left"/>
    </xf>
    <xf numFmtId="0" fontId="7" fillId="0" borderId="0" xfId="1" applyFont="1" applyFill="1" applyAlignment="1"/>
    <xf numFmtId="0" fontId="7" fillId="0" borderId="0" xfId="1" applyFont="1" applyFill="1"/>
    <xf numFmtId="0" fontId="7" fillId="0" borderId="3" xfId="1" applyFont="1" applyFill="1" applyBorder="1" applyAlignment="1"/>
    <xf numFmtId="0" fontId="7" fillId="0" borderId="0" xfId="1" applyFont="1" applyBorder="1" applyAlignment="1"/>
    <xf numFmtId="0" fontId="7" fillId="0" borderId="0" xfId="1" applyFont="1" applyFill="1" applyAlignment="1">
      <alignment horizontal="left"/>
    </xf>
    <xf numFmtId="0" fontId="7" fillId="0" borderId="0" xfId="1" applyFont="1" applyAlignment="1">
      <alignment horizontal="left"/>
    </xf>
    <xf numFmtId="0" fontId="11" fillId="0" borderId="0" xfId="1" applyFont="1"/>
    <xf numFmtId="0" fontId="7" fillId="0" borderId="0" xfId="1" applyFont="1" applyAlignment="1">
      <alignment horizontal="right"/>
    </xf>
    <xf numFmtId="0" fontId="7" fillId="0" borderId="0" xfId="1" applyNumberFormat="1" applyFont="1" applyFill="1" applyAlignment="1">
      <alignment horizontal="center"/>
    </xf>
    <xf numFmtId="0" fontId="7" fillId="0" borderId="0" xfId="1" applyNumberFormat="1" applyFont="1" applyBorder="1" applyAlignment="1">
      <alignment horizontal="center"/>
    </xf>
    <xf numFmtId="0" fontId="7" fillId="0" borderId="0" xfId="1" applyNumberFormat="1" applyFont="1" applyBorder="1" applyAlignment="1">
      <alignment horizontal="left"/>
    </xf>
    <xf numFmtId="0" fontId="7" fillId="0" borderId="0" xfId="1" applyFont="1" applyFill="1" applyBorder="1" applyAlignment="1"/>
    <xf numFmtId="0" fontId="7" fillId="0" borderId="0" xfId="1" applyFont="1" applyAlignment="1">
      <alignment horizontal="center"/>
    </xf>
    <xf numFmtId="0" fontId="7" fillId="0" borderId="0" xfId="1" applyFont="1" applyFill="1" applyAlignment="1">
      <alignment horizontal="center"/>
    </xf>
    <xf numFmtId="0" fontId="7" fillId="0" borderId="4" xfId="1" applyFont="1" applyFill="1" applyBorder="1" applyAlignment="1">
      <alignment horizontal="left"/>
    </xf>
    <xf numFmtId="0" fontId="7" fillId="0" borderId="4" xfId="1" applyNumberFormat="1" applyFont="1" applyBorder="1" applyAlignment="1">
      <alignment horizontal="left"/>
    </xf>
    <xf numFmtId="0" fontId="7" fillId="0" borderId="4" xfId="1" applyFont="1" applyBorder="1" applyAlignment="1"/>
    <xf numFmtId="0" fontId="7" fillId="0" borderId="0" xfId="1" applyFont="1" applyFill="1" applyBorder="1"/>
    <xf numFmtId="0" fontId="7" fillId="0" borderId="5" xfId="1" applyFont="1" applyBorder="1"/>
    <xf numFmtId="0" fontId="7" fillId="5" borderId="0" xfId="1" applyFont="1" applyFill="1" applyAlignment="1"/>
    <xf numFmtId="0" fontId="7" fillId="5" borderId="0" xfId="1" applyFont="1" applyFill="1"/>
    <xf numFmtId="0" fontId="7" fillId="5" borderId="0" xfId="1" applyFont="1" applyFill="1" applyBorder="1" applyAlignment="1">
      <alignment horizontal="center" wrapText="1"/>
    </xf>
    <xf numFmtId="0" fontId="7" fillId="0" borderId="0" xfId="1" applyNumberFormat="1" applyFont="1" applyBorder="1"/>
    <xf numFmtId="172" fontId="7" fillId="0" borderId="0" xfId="1" applyNumberFormat="1" applyFont="1" applyBorder="1" applyAlignment="1">
      <alignment horizontal="right"/>
    </xf>
    <xf numFmtId="164" fontId="7" fillId="0" borderId="0" xfId="2" applyNumberFormat="1" applyFont="1"/>
    <xf numFmtId="0" fontId="7" fillId="0" borderId="4" xfId="1" applyNumberFormat="1" applyFont="1" applyFill="1" applyBorder="1" applyAlignment="1">
      <alignment horizontal="left"/>
    </xf>
    <xf numFmtId="0" fontId="7" fillId="0" borderId="4" xfId="1" applyNumberFormat="1" applyFont="1" applyBorder="1" applyAlignment="1">
      <alignment horizontal="center"/>
    </xf>
    <xf numFmtId="0" fontId="7" fillId="0" borderId="0" xfId="1" applyNumberFormat="1" applyFont="1" applyFill="1" applyBorder="1" applyAlignment="1">
      <alignment horizontal="center"/>
    </xf>
    <xf numFmtId="0" fontId="8" fillId="0" borderId="3" xfId="1" applyNumberFormat="1" applyFont="1" applyFill="1" applyBorder="1" applyAlignment="1">
      <alignment horizontal="center"/>
    </xf>
    <xf numFmtId="10" fontId="9" fillId="0" borderId="0" xfId="1" applyNumberFormat="1" applyFont="1" applyFill="1" applyAlignment="1">
      <alignment horizontal="right"/>
    </xf>
    <xf numFmtId="3" fontId="10" fillId="0" borderId="0" xfId="1" applyNumberFormat="1" applyFont="1" applyBorder="1" applyAlignment="1"/>
    <xf numFmtId="0" fontId="10" fillId="0" borderId="0" xfId="1" applyNumberFormat="1" applyFont="1" applyFill="1" applyBorder="1" applyAlignment="1">
      <alignment horizontal="center"/>
    </xf>
    <xf numFmtId="0" fontId="13" fillId="0" borderId="0" xfId="1" applyFont="1" applyFill="1"/>
    <xf numFmtId="0" fontId="12" fillId="0" borderId="0" xfId="1" applyFont="1"/>
    <xf numFmtId="0" fontId="11" fillId="0" borderId="0" xfId="1" applyFont="1" applyFill="1"/>
    <xf numFmtId="0" fontId="7" fillId="0" borderId="0" xfId="1" applyFont="1" applyAlignment="1">
      <alignment wrapText="1"/>
    </xf>
    <xf numFmtId="0" fontId="7" fillId="0" borderId="4" xfId="1" applyFont="1" applyBorder="1"/>
    <xf numFmtId="0" fontId="7" fillId="0" borderId="3" xfId="1" applyFont="1" applyBorder="1" applyAlignment="1">
      <alignment horizontal="left"/>
    </xf>
    <xf numFmtId="0" fontId="7" fillId="0" borderId="4" xfId="1" applyFont="1" applyBorder="1" applyAlignment="1">
      <alignment horizontal="left"/>
    </xf>
    <xf numFmtId="0" fontId="21" fillId="0" borderId="0" xfId="1" applyFont="1"/>
    <xf numFmtId="0" fontId="15" fillId="0" borderId="0" xfId="1" applyFont="1" applyAlignment="1">
      <alignment horizontal="center"/>
    </xf>
    <xf numFmtId="0" fontId="13" fillId="0" borderId="0" xfId="1" applyFont="1"/>
    <xf numFmtId="3" fontId="19" fillId="0" borderId="0" xfId="1" applyNumberFormat="1" applyFont="1"/>
    <xf numFmtId="164" fontId="7" fillId="0" borderId="0" xfId="2" applyNumberFormat="1" applyFont="1" applyFill="1"/>
    <xf numFmtId="0" fontId="13" fillId="0" borderId="0" xfId="1" applyFont="1" applyFill="1" applyBorder="1"/>
    <xf numFmtId="0" fontId="7" fillId="0" borderId="0" xfId="1" applyFont="1" applyFill="1" applyAlignment="1">
      <alignment wrapText="1"/>
    </xf>
    <xf numFmtId="0" fontId="18" fillId="0" borderId="0" xfId="1" applyFont="1" applyFill="1" applyAlignment="1">
      <alignment horizontal="center"/>
    </xf>
    <xf numFmtId="0" fontId="23" fillId="6" borderId="6" xfId="1" applyFont="1" applyFill="1" applyBorder="1" applyAlignment="1">
      <alignment horizontal="left"/>
    </xf>
    <xf numFmtId="0" fontId="8" fillId="0" borderId="0" xfId="1" applyNumberFormat="1" applyFont="1" applyFill="1" applyAlignment="1"/>
    <xf numFmtId="0" fontId="23" fillId="0" borderId="0" xfId="1" applyNumberFormat="1" applyFont="1" applyFill="1" applyBorder="1" applyAlignment="1">
      <alignment horizontal="center"/>
    </xf>
    <xf numFmtId="0" fontId="23" fillId="0" borderId="0" xfId="1" applyNumberFormat="1" applyFont="1" applyFill="1" applyBorder="1" applyAlignment="1">
      <alignment horizontal="left"/>
    </xf>
    <xf numFmtId="0" fontId="26" fillId="0" borderId="0" xfId="1" applyFont="1" applyFill="1" applyBorder="1" applyAlignment="1"/>
    <xf numFmtId="0" fontId="26" fillId="0" borderId="0" xfId="1" applyFont="1" applyAlignment="1">
      <alignment horizontal="left"/>
    </xf>
    <xf numFmtId="0" fontId="26" fillId="0" borderId="0" xfId="1" applyFont="1" applyAlignment="1"/>
    <xf numFmtId="0" fontId="26" fillId="0" borderId="0" xfId="1" applyFont="1" applyAlignment="1">
      <alignment horizontal="center"/>
    </xf>
    <xf numFmtId="0" fontId="26" fillId="0" borderId="0" xfId="1" applyFont="1"/>
    <xf numFmtId="0" fontId="26" fillId="0" borderId="0" xfId="1" applyFont="1" applyFill="1"/>
    <xf numFmtId="0" fontId="26" fillId="0" borderId="0" xfId="1" applyFont="1" applyFill="1" applyBorder="1"/>
    <xf numFmtId="0" fontId="26" fillId="0" borderId="0" xfId="1" applyFont="1" applyFill="1" applyAlignment="1"/>
    <xf numFmtId="0" fontId="23" fillId="6" borderId="7" xfId="1" applyFont="1" applyFill="1" applyBorder="1" applyAlignment="1">
      <alignment horizontal="left"/>
    </xf>
    <xf numFmtId="0" fontId="26" fillId="6" borderId="8" xfId="1" applyFont="1" applyFill="1" applyBorder="1" applyAlignment="1"/>
    <xf numFmtId="0" fontId="23" fillId="6" borderId="2" xfId="1" applyFont="1" applyFill="1" applyBorder="1" applyAlignment="1"/>
    <xf numFmtId="0" fontId="23" fillId="6" borderId="9" xfId="1" applyFont="1" applyFill="1" applyBorder="1" applyAlignment="1">
      <alignment horizontal="center" wrapText="1"/>
    </xf>
    <xf numFmtId="0" fontId="23" fillId="0" borderId="0" xfId="1" applyFont="1" applyFill="1" applyBorder="1"/>
    <xf numFmtId="0" fontId="23" fillId="0" borderId="0" xfId="1" applyFont="1" applyFill="1" applyBorder="1" applyAlignment="1">
      <alignment horizontal="left"/>
    </xf>
    <xf numFmtId="0" fontId="23" fillId="0" borderId="0" xfId="1" applyFont="1" applyFill="1" applyBorder="1" applyAlignment="1"/>
    <xf numFmtId="0" fontId="23" fillId="0" borderId="0" xfId="1" applyFont="1" applyFill="1" applyBorder="1" applyAlignment="1">
      <alignment horizontal="center" wrapText="1"/>
    </xf>
    <xf numFmtId="0" fontId="27" fillId="5" borderId="0" xfId="1" applyFont="1" applyFill="1" applyBorder="1" applyAlignment="1">
      <alignment horizontal="left"/>
    </xf>
    <xf numFmtId="0" fontId="27" fillId="5" borderId="0" xfId="1" applyFont="1" applyFill="1" applyBorder="1" applyAlignment="1"/>
    <xf numFmtId="0" fontId="26" fillId="5" borderId="0" xfId="1" applyFont="1" applyFill="1" applyBorder="1" applyAlignment="1"/>
    <xf numFmtId="0" fontId="26" fillId="5" borderId="0" xfId="1" applyFont="1" applyFill="1" applyBorder="1"/>
    <xf numFmtId="0" fontId="26" fillId="0" borderId="0" xfId="1" applyFont="1" applyFill="1" applyBorder="1" applyAlignment="1">
      <alignment horizontal="left"/>
    </xf>
    <xf numFmtId="0" fontId="23" fillId="0" borderId="0" xfId="1" applyNumberFormat="1" applyFont="1" applyFill="1" applyAlignment="1">
      <alignment horizontal="center"/>
    </xf>
    <xf numFmtId="0" fontId="23" fillId="0" borderId="0" xfId="1" applyNumberFormat="1" applyFont="1" applyFill="1" applyAlignment="1"/>
    <xf numFmtId="3" fontId="26" fillId="0" borderId="0" xfId="1" applyNumberFormat="1" applyFont="1" applyAlignment="1">
      <alignment horizontal="center"/>
    </xf>
    <xf numFmtId="3" fontId="26" fillId="0" borderId="0" xfId="1" applyNumberFormat="1" applyFont="1" applyFill="1" applyAlignment="1"/>
    <xf numFmtId="3" fontId="26" fillId="0" borderId="0" xfId="1" applyNumberFormat="1" applyFont="1" applyAlignment="1"/>
    <xf numFmtId="0" fontId="26" fillId="0" borderId="0" xfId="1" applyNumberFormat="1" applyFont="1" applyAlignment="1">
      <alignment horizontal="center"/>
    </xf>
    <xf numFmtId="0" fontId="29" fillId="0" borderId="0" xfId="1" applyFont="1" applyFill="1" applyAlignment="1">
      <alignment horizontal="left"/>
    </xf>
    <xf numFmtId="0" fontId="26" fillId="0" borderId="0" xfId="1" applyFont="1" applyFill="1" applyAlignment="1">
      <alignment horizontal="center"/>
    </xf>
    <xf numFmtId="0" fontId="26" fillId="0" borderId="0" xfId="1" applyFont="1" applyBorder="1" applyAlignment="1">
      <alignment horizontal="center"/>
    </xf>
    <xf numFmtId="0" fontId="26" fillId="0" borderId="0" xfId="1" applyFont="1" applyFill="1" applyBorder="1" applyAlignment="1">
      <alignment horizontal="center"/>
    </xf>
    <xf numFmtId="0" fontId="26" fillId="0" borderId="3" xfId="1" applyNumberFormat="1" applyFont="1" applyFill="1" applyBorder="1" applyAlignment="1"/>
    <xf numFmtId="3" fontId="26" fillId="0" borderId="3" xfId="1" applyNumberFormat="1" applyFont="1" applyBorder="1" applyAlignment="1"/>
    <xf numFmtId="3" fontId="26" fillId="0" borderId="3" xfId="1" applyNumberFormat="1" applyFont="1" applyBorder="1" applyAlignment="1">
      <alignment horizontal="center"/>
    </xf>
    <xf numFmtId="3" fontId="26" fillId="0" borderId="3" xfId="1" applyNumberFormat="1" applyFont="1" applyFill="1" applyBorder="1" applyAlignment="1"/>
    <xf numFmtId="0" fontId="26" fillId="0" borderId="3" xfId="1" applyFont="1" applyBorder="1" applyAlignment="1"/>
    <xf numFmtId="3" fontId="26" fillId="0" borderId="0" xfId="1" applyNumberFormat="1" applyFont="1" applyFill="1" applyBorder="1" applyAlignment="1"/>
    <xf numFmtId="0" fontId="26" fillId="0" borderId="0" xfId="1" applyNumberFormat="1" applyFont="1" applyAlignment="1"/>
    <xf numFmtId="0" fontId="23" fillId="0" borderId="5" xfId="1" applyNumberFormat="1" applyFont="1" applyFill="1" applyBorder="1" applyAlignment="1"/>
    <xf numFmtId="0" fontId="26" fillId="0" borderId="5" xfId="1" applyFont="1" applyFill="1" applyBorder="1" applyAlignment="1"/>
    <xf numFmtId="3" fontId="26" fillId="0" borderId="5" xfId="1" applyNumberFormat="1" applyFont="1" applyFill="1" applyBorder="1" applyAlignment="1">
      <alignment horizontal="center"/>
    </xf>
    <xf numFmtId="3" fontId="26" fillId="0" borderId="5" xfId="1" applyNumberFormat="1" applyFont="1" applyFill="1" applyBorder="1" applyAlignment="1"/>
    <xf numFmtId="0" fontId="26" fillId="0" borderId="5" xfId="1" applyFont="1" applyBorder="1" applyAlignment="1"/>
    <xf numFmtId="3" fontId="26" fillId="0" borderId="0" xfId="1" applyNumberFormat="1" applyFont="1" applyFill="1" applyAlignment="1">
      <alignment horizontal="center"/>
    </xf>
    <xf numFmtId="0" fontId="26" fillId="0" borderId="0" xfId="1" applyNumberFormat="1" applyFont="1" applyFill="1" applyAlignment="1">
      <alignment horizontal="center"/>
    </xf>
    <xf numFmtId="0" fontId="29" fillId="0" borderId="0" xfId="1" applyFont="1" applyFill="1" applyBorder="1" applyAlignment="1">
      <alignment horizontal="center"/>
    </xf>
    <xf numFmtId="0" fontId="26" fillId="0" borderId="4" xfId="1" applyFont="1" applyFill="1" applyBorder="1"/>
    <xf numFmtId="0" fontId="26" fillId="0" borderId="4" xfId="1" applyFont="1" applyBorder="1" applyAlignment="1"/>
    <xf numFmtId="0" fontId="26" fillId="0" borderId="4" xfId="1" applyFont="1" applyFill="1" applyBorder="1" applyAlignment="1">
      <alignment horizontal="center"/>
    </xf>
    <xf numFmtId="0" fontId="26" fillId="0" borderId="4" xfId="1" applyFont="1" applyBorder="1"/>
    <xf numFmtId="3" fontId="26" fillId="0" borderId="4" xfId="1" applyNumberFormat="1" applyFont="1" applyFill="1" applyBorder="1" applyAlignment="1"/>
    <xf numFmtId="0" fontId="26" fillId="0" borderId="3" xfId="1" applyFont="1" applyFill="1" applyBorder="1"/>
    <xf numFmtId="0" fontId="26" fillId="0" borderId="3" xfId="1" applyFont="1" applyBorder="1" applyAlignment="1">
      <alignment horizontal="center"/>
    </xf>
    <xf numFmtId="0" fontId="26" fillId="0" borderId="0" xfId="1" applyFont="1" applyBorder="1"/>
    <xf numFmtId="0" fontId="23" fillId="0" borderId="5" xfId="1" applyFont="1" applyBorder="1"/>
    <xf numFmtId="0" fontId="23" fillId="0" borderId="5" xfId="1" applyFont="1" applyFill="1" applyBorder="1"/>
    <xf numFmtId="0" fontId="26" fillId="0" borderId="5" xfId="1" applyFont="1" applyBorder="1"/>
    <xf numFmtId="0" fontId="26" fillId="0" borderId="5" xfId="1" applyFont="1" applyBorder="1" applyAlignment="1">
      <alignment horizontal="center"/>
    </xf>
    <xf numFmtId="0" fontId="26" fillId="0" borderId="0" xfId="1" applyNumberFormat="1" applyFont="1" applyFill="1" applyAlignment="1"/>
    <xf numFmtId="0" fontId="26" fillId="0" borderId="0" xfId="1" applyNumberFormat="1" applyFont="1" applyAlignment="1">
      <alignment horizontal="left"/>
    </xf>
    <xf numFmtId="0" fontId="30" fillId="0" borderId="0" xfId="1" applyFont="1" applyFill="1" applyBorder="1" applyAlignment="1">
      <alignment horizontal="center"/>
    </xf>
    <xf numFmtId="0" fontId="27" fillId="0" borderId="0" xfId="1" applyFont="1" applyFill="1" applyBorder="1" applyAlignment="1"/>
    <xf numFmtId="0" fontId="26" fillId="0" borderId="4" xfId="1" applyNumberFormat="1" applyFont="1" applyFill="1" applyBorder="1" applyAlignment="1"/>
    <xf numFmtId="0" fontId="26" fillId="0" borderId="4" xfId="1" applyFont="1" applyFill="1" applyBorder="1" applyAlignment="1"/>
    <xf numFmtId="0" fontId="29" fillId="0" borderId="4" xfId="1" applyFont="1" applyFill="1" applyBorder="1" applyAlignment="1">
      <alignment horizontal="center"/>
    </xf>
    <xf numFmtId="0" fontId="26" fillId="0" borderId="4" xfId="1" applyFont="1" applyFill="1" applyBorder="1" applyAlignment="1">
      <alignment horizontal="left"/>
    </xf>
    <xf numFmtId="3" fontId="23" fillId="0" borderId="0" xfId="1" applyNumberFormat="1" applyFont="1" applyFill="1" applyBorder="1" applyAlignment="1"/>
    <xf numFmtId="0" fontId="26" fillId="0" borderId="3" xfId="1" applyFont="1" applyFill="1" applyBorder="1" applyAlignment="1"/>
    <xf numFmtId="0" fontId="26" fillId="0" borderId="3" xfId="1" applyFont="1" applyFill="1" applyBorder="1" applyAlignment="1">
      <alignment horizontal="center"/>
    </xf>
    <xf numFmtId="0" fontId="26" fillId="0" borderId="0" xfId="1" applyNumberFormat="1" applyFont="1" applyFill="1" applyBorder="1" applyAlignment="1"/>
    <xf numFmtId="3" fontId="26" fillId="0" borderId="0" xfId="1" applyNumberFormat="1" applyFont="1" applyBorder="1" applyAlignment="1"/>
    <xf numFmtId="0" fontId="26" fillId="0" borderId="0" xfId="1" applyNumberFormat="1" applyFont="1" applyFill="1" applyAlignment="1">
      <alignment horizontal="left"/>
    </xf>
    <xf numFmtId="0" fontId="23" fillId="0" borderId="0" xfId="1" applyNumberFormat="1" applyFont="1" applyFill="1" applyAlignment="1">
      <alignment horizontal="right"/>
    </xf>
    <xf numFmtId="3" fontId="26" fillId="0" borderId="3" xfId="1" applyNumberFormat="1" applyFont="1" applyFill="1" applyBorder="1" applyAlignment="1">
      <alignment horizontal="center"/>
    </xf>
    <xf numFmtId="0" fontId="23" fillId="0" borderId="0" xfId="1" applyNumberFormat="1" applyFont="1" applyFill="1" applyBorder="1" applyAlignment="1"/>
    <xf numFmtId="3" fontId="26" fillId="0" borderId="0" xfId="1" applyNumberFormat="1" applyFont="1" applyFill="1" applyBorder="1" applyAlignment="1">
      <alignment horizontal="center"/>
    </xf>
    <xf numFmtId="0" fontId="23" fillId="0" borderId="3" xfId="1" applyNumberFormat="1" applyFont="1" applyFill="1" applyBorder="1" applyAlignment="1"/>
    <xf numFmtId="0" fontId="23" fillId="0" borderId="5" xfId="1" applyFont="1" applyFill="1" applyBorder="1" applyAlignment="1">
      <alignment horizontal="center"/>
    </xf>
    <xf numFmtId="3" fontId="23" fillId="0" borderId="5" xfId="1" applyNumberFormat="1" applyFont="1" applyFill="1" applyBorder="1" applyAlignment="1"/>
    <xf numFmtId="167" fontId="26" fillId="0" borderId="0" xfId="1" applyNumberFormat="1" applyFont="1" applyAlignment="1">
      <alignment horizontal="center"/>
    </xf>
    <xf numFmtId="0" fontId="26" fillId="7" borderId="0" xfId="1" applyFont="1" applyFill="1" applyAlignment="1">
      <alignment horizontal="center"/>
    </xf>
    <xf numFmtId="0" fontId="23" fillId="0" borderId="5" xfId="1" applyFont="1" applyBorder="1" applyAlignment="1">
      <alignment horizontal="center"/>
    </xf>
    <xf numFmtId="0" fontId="23" fillId="0" borderId="5" xfId="1" applyFont="1" applyBorder="1" applyAlignment="1">
      <alignment horizontal="left"/>
    </xf>
    <xf numFmtId="0" fontId="26" fillId="5" borderId="0" xfId="1" applyFont="1" applyFill="1"/>
    <xf numFmtId="0" fontId="31" fillId="0" borderId="0" xfId="1" applyFont="1" applyAlignment="1">
      <alignment horizontal="left"/>
    </xf>
    <xf numFmtId="0" fontId="31" fillId="0" borderId="0" xfId="1" applyFont="1"/>
    <xf numFmtId="0" fontId="26" fillId="0" borderId="0" xfId="1" applyFont="1" applyFill="1" applyAlignment="1">
      <alignment horizontal="right"/>
    </xf>
    <xf numFmtId="0" fontId="23" fillId="0" borderId="0" xfId="1" applyFont="1" applyFill="1" applyAlignment="1"/>
    <xf numFmtId="0" fontId="26" fillId="0" borderId="0" xfId="1" applyFont="1" applyFill="1" applyBorder="1" applyAlignment="1">
      <alignment horizontal="right"/>
    </xf>
    <xf numFmtId="0" fontId="26" fillId="0" borderId="0" xfId="1" applyFont="1" applyFill="1" applyAlignment="1">
      <alignment horizontal="left"/>
    </xf>
    <xf numFmtId="0" fontId="23" fillId="0" borderId="0" xfId="1" applyFont="1" applyFill="1"/>
    <xf numFmtId="0" fontId="26" fillId="0" borderId="0" xfId="1" applyFont="1" applyBorder="1" applyAlignment="1"/>
    <xf numFmtId="0" fontId="23" fillId="0" borderId="0" xfId="1" applyNumberFormat="1" applyFont="1" applyFill="1" applyAlignment="1">
      <alignment horizontal="left"/>
    </xf>
    <xf numFmtId="4" fontId="29" fillId="0" borderId="0" xfId="1" applyNumberFormat="1" applyFont="1" applyFill="1" applyAlignment="1">
      <alignment horizontal="right"/>
    </xf>
    <xf numFmtId="0" fontId="32" fillId="0" borderId="0" xfId="1" applyNumberFormat="1" applyFont="1" applyFill="1" applyAlignment="1">
      <alignment horizontal="left"/>
    </xf>
    <xf numFmtId="0" fontId="26" fillId="0" borderId="0" xfId="1" applyNumberFormat="1" applyFont="1" applyFill="1" applyBorder="1" applyAlignment="1">
      <alignment horizontal="left"/>
    </xf>
    <xf numFmtId="3" fontId="26" fillId="0" borderId="0" xfId="1" applyNumberFormat="1" applyFont="1" applyFill="1" applyAlignment="1">
      <alignment horizontal="right"/>
    </xf>
    <xf numFmtId="0" fontId="26" fillId="0" borderId="0" xfId="1" applyNumberFormat="1" applyFont="1" applyFill="1" applyAlignment="1">
      <alignment horizontal="right"/>
    </xf>
    <xf numFmtId="3" fontId="29" fillId="0" borderId="0" xfId="1" applyNumberFormat="1" applyFont="1" applyFill="1" applyAlignment="1">
      <alignment horizontal="right"/>
    </xf>
    <xf numFmtId="0" fontId="33" fillId="0" borderId="0" xfId="1" applyFont="1" applyFill="1" applyAlignment="1">
      <alignment horizontal="center"/>
    </xf>
    <xf numFmtId="0" fontId="26" fillId="0" borderId="4" xfId="1" applyNumberFormat="1" applyFont="1" applyFill="1" applyBorder="1" applyAlignment="1">
      <alignment horizontal="left"/>
    </xf>
    <xf numFmtId="0" fontId="26" fillId="0" borderId="4" xfId="1" applyNumberFormat="1" applyFont="1" applyFill="1" applyBorder="1" applyAlignment="1">
      <alignment horizontal="center"/>
    </xf>
    <xf numFmtId="0" fontId="23" fillId="0" borderId="3" xfId="1" applyFont="1" applyFill="1" applyBorder="1"/>
    <xf numFmtId="0" fontId="23" fillId="0" borderId="3" xfId="1" applyFont="1" applyFill="1" applyBorder="1" applyAlignment="1"/>
    <xf numFmtId="0" fontId="23" fillId="0" borderId="3" xfId="1" applyNumberFormat="1" applyFont="1" applyFill="1" applyBorder="1" applyAlignment="1">
      <alignment horizontal="left"/>
    </xf>
    <xf numFmtId="0" fontId="23" fillId="0" borderId="0" xfId="1" applyFont="1" applyBorder="1" applyAlignment="1">
      <alignment horizontal="left"/>
    </xf>
    <xf numFmtId="0" fontId="23" fillId="0" borderId="0" xfId="1" applyFont="1" applyBorder="1" applyAlignment="1">
      <alignment horizontal="center"/>
    </xf>
    <xf numFmtId="0" fontId="23" fillId="0" borderId="0" xfId="1" applyFont="1" applyBorder="1"/>
    <xf numFmtId="0" fontId="23" fillId="0" borderId="0" xfId="1" applyFont="1"/>
    <xf numFmtId="0" fontId="26" fillId="0" borderId="10" xfId="1" applyNumberFormat="1" applyFont="1" applyBorder="1" applyAlignment="1">
      <alignment horizontal="center"/>
    </xf>
    <xf numFmtId="0" fontId="23" fillId="0" borderId="10" xfId="1" applyFont="1" applyBorder="1"/>
    <xf numFmtId="0" fontId="23" fillId="0" borderId="10" xfId="1" applyFont="1" applyBorder="1" applyAlignment="1">
      <alignment horizontal="center"/>
    </xf>
    <xf numFmtId="3" fontId="26" fillId="0" borderId="10" xfId="1" applyNumberFormat="1" applyFont="1" applyFill="1" applyBorder="1" applyAlignment="1"/>
    <xf numFmtId="0" fontId="23" fillId="5" borderId="0" xfId="1" applyNumberFormat="1" applyFont="1" applyFill="1" applyAlignment="1">
      <alignment horizontal="left"/>
    </xf>
    <xf numFmtId="0" fontId="26" fillId="5" borderId="0" xfId="1" applyFont="1" applyFill="1" applyAlignment="1"/>
    <xf numFmtId="0" fontId="29" fillId="0" borderId="0" xfId="1" applyFont="1" applyFill="1" applyAlignment="1">
      <alignment horizontal="center"/>
    </xf>
    <xf numFmtId="0" fontId="29" fillId="0" borderId="4" xfId="1" applyFont="1" applyFill="1" applyBorder="1" applyAlignment="1"/>
    <xf numFmtId="0" fontId="26" fillId="0" borderId="3" xfId="1" applyNumberFormat="1" applyFont="1" applyFill="1" applyBorder="1" applyAlignment="1">
      <alignment horizontal="left"/>
    </xf>
    <xf numFmtId="0" fontId="23" fillId="0" borderId="10" xfId="1" applyNumberFormat="1" applyFont="1" applyFill="1" applyBorder="1" applyAlignment="1"/>
    <xf numFmtId="0" fontId="26" fillId="0" borderId="10" xfId="1" applyFont="1" applyFill="1" applyBorder="1" applyAlignment="1"/>
    <xf numFmtId="3" fontId="26" fillId="0" borderId="10" xfId="1" applyNumberFormat="1" applyFont="1" applyFill="1" applyBorder="1" applyAlignment="1">
      <alignment horizontal="center"/>
    </xf>
    <xf numFmtId="3" fontId="23" fillId="0" borderId="10" xfId="1" applyNumberFormat="1" applyFont="1" applyFill="1" applyBorder="1" applyAlignment="1"/>
    <xf numFmtId="0" fontId="23" fillId="0" borderId="0" xfId="1" applyNumberFormat="1" applyFont="1" applyAlignment="1">
      <alignment horizontal="left"/>
    </xf>
    <xf numFmtId="0" fontId="26" fillId="0" borderId="0" xfId="1" applyFont="1" applyAlignment="1">
      <alignment horizontal="right"/>
    </xf>
    <xf numFmtId="0" fontId="26" fillId="0" borderId="0" xfId="1" applyNumberFormat="1" applyFont="1" applyFill="1" applyBorder="1" applyAlignment="1">
      <alignment horizontal="center"/>
    </xf>
    <xf numFmtId="0" fontId="33" fillId="0" borderId="0" xfId="1" applyNumberFormat="1" applyFont="1" applyFill="1" applyAlignment="1">
      <alignment horizontal="center"/>
    </xf>
    <xf numFmtId="0" fontId="33" fillId="0" borderId="0" xfId="1" applyNumberFormat="1" applyFont="1" applyFill="1" applyAlignment="1"/>
    <xf numFmtId="0" fontId="23" fillId="0" borderId="10" xfId="1" applyNumberFormat="1" applyFont="1" applyBorder="1" applyAlignment="1">
      <alignment horizontal="left"/>
    </xf>
    <xf numFmtId="0" fontId="23" fillId="0" borderId="10" xfId="1" applyFont="1" applyBorder="1" applyAlignment="1"/>
    <xf numFmtId="0" fontId="23" fillId="0" borderId="10" xfId="1" applyNumberFormat="1" applyFont="1" applyBorder="1" applyAlignment="1">
      <alignment horizontal="center"/>
    </xf>
    <xf numFmtId="0" fontId="27" fillId="5" borderId="0" xfId="1" applyFont="1" applyFill="1" applyAlignment="1">
      <alignment horizontal="left"/>
    </xf>
    <xf numFmtId="0" fontId="27" fillId="5" borderId="0" xfId="1" applyFont="1" applyFill="1" applyAlignment="1"/>
    <xf numFmtId="0" fontId="27" fillId="5" borderId="0" xfId="1" applyFont="1" applyFill="1" applyBorder="1" applyAlignment="1">
      <alignment horizontal="center"/>
    </xf>
    <xf numFmtId="3" fontId="23" fillId="0" borderId="0" xfId="1" applyNumberFormat="1" applyFont="1" applyBorder="1" applyAlignment="1"/>
    <xf numFmtId="3" fontId="26" fillId="0" borderId="4" xfId="1" applyNumberFormat="1" applyFont="1" applyBorder="1" applyAlignment="1"/>
    <xf numFmtId="3" fontId="23" fillId="0" borderId="0" xfId="1" applyNumberFormat="1" applyFont="1" applyAlignment="1"/>
    <xf numFmtId="0" fontId="23" fillId="0" borderId="0" xfId="1" applyNumberFormat="1" applyFont="1" applyAlignment="1"/>
    <xf numFmtId="0" fontId="26" fillId="0" borderId="0" xfId="1" applyNumberFormat="1" applyFont="1" applyBorder="1"/>
    <xf numFmtId="0" fontId="26" fillId="0" borderId="0" xfId="1" applyNumberFormat="1" applyFont="1" applyBorder="1" applyAlignment="1">
      <alignment horizontal="left"/>
    </xf>
    <xf numFmtId="3" fontId="26" fillId="0" borderId="0" xfId="1" applyNumberFormat="1" applyFont="1" applyAlignment="1">
      <alignment horizontal="left"/>
    </xf>
    <xf numFmtId="3" fontId="26" fillId="0" borderId="0" xfId="1" quotePrefix="1" applyNumberFormat="1" applyFont="1" applyAlignment="1">
      <alignment horizontal="right"/>
    </xf>
    <xf numFmtId="0" fontId="26" fillId="0" borderId="4" xfId="1" applyNumberFormat="1" applyFont="1" applyBorder="1" applyAlignment="1">
      <alignment horizontal="center"/>
    </xf>
    <xf numFmtId="0" fontId="26" fillId="0" borderId="4" xfId="1" applyNumberFormat="1" applyFont="1" applyBorder="1" applyAlignment="1">
      <alignment horizontal="left"/>
    </xf>
    <xf numFmtId="0" fontId="26" fillId="0" borderId="4" xfId="1" applyNumberFormat="1" applyFont="1" applyBorder="1" applyAlignment="1"/>
    <xf numFmtId="0" fontId="26" fillId="0" borderId="4" xfId="1" applyFont="1" applyBorder="1" applyAlignment="1">
      <alignment horizontal="center"/>
    </xf>
    <xf numFmtId="3" fontId="26" fillId="0" borderId="4" xfId="1" applyNumberFormat="1" applyFont="1" applyBorder="1" applyAlignment="1">
      <alignment horizontal="right"/>
    </xf>
    <xf numFmtId="0" fontId="23" fillId="0" borderId="0" xfId="1" applyNumberFormat="1" applyFont="1" applyBorder="1" applyAlignment="1"/>
    <xf numFmtId="0" fontId="23" fillId="0" borderId="0" xfId="1" applyFont="1" applyBorder="1" applyAlignment="1"/>
    <xf numFmtId="3" fontId="23" fillId="0" borderId="0" xfId="1" quotePrefix="1" applyNumberFormat="1" applyFont="1" applyBorder="1" applyAlignment="1">
      <alignment horizontal="right"/>
    </xf>
    <xf numFmtId="0" fontId="23" fillId="0" borderId="0" xfId="1" applyNumberFormat="1" applyFont="1" applyAlignment="1">
      <alignment horizontal="center"/>
    </xf>
    <xf numFmtId="167" fontId="23" fillId="0" borderId="10" xfId="1" applyNumberFormat="1" applyFont="1" applyBorder="1" applyAlignment="1">
      <alignment horizontal="left"/>
    </xf>
    <xf numFmtId="0" fontId="26" fillId="0" borderId="10" xfId="1" applyFont="1" applyBorder="1"/>
    <xf numFmtId="3" fontId="23" fillId="0" borderId="10" xfId="1" applyNumberFormat="1" applyFont="1" applyBorder="1" applyAlignment="1">
      <alignment horizontal="center"/>
    </xf>
    <xf numFmtId="168" fontId="23" fillId="0" borderId="10" xfId="1" applyNumberFormat="1" applyFont="1" applyBorder="1" applyAlignment="1">
      <alignment horizontal="center"/>
    </xf>
    <xf numFmtId="167" fontId="23" fillId="0" borderId="0" xfId="1" applyNumberFormat="1" applyFont="1" applyBorder="1" applyAlignment="1">
      <alignment horizontal="left"/>
    </xf>
    <xf numFmtId="168" fontId="26" fillId="0" borderId="0" xfId="1" applyNumberFormat="1" applyFont="1" applyAlignment="1">
      <alignment horizontal="center"/>
    </xf>
    <xf numFmtId="0" fontId="26" fillId="0" borderId="0" xfId="1" applyNumberFormat="1" applyFont="1" applyFill="1"/>
    <xf numFmtId="169" fontId="26" fillId="0" borderId="0" xfId="1" applyNumberFormat="1" applyFont="1" applyAlignment="1"/>
    <xf numFmtId="167" fontId="26" fillId="0" borderId="0" xfId="1" applyNumberFormat="1" applyFont="1" applyFill="1" applyAlignment="1">
      <alignment horizontal="left"/>
    </xf>
    <xf numFmtId="167" fontId="26" fillId="0" borderId="0" xfId="1" applyNumberFormat="1" applyFont="1" applyAlignment="1">
      <alignment horizontal="left"/>
    </xf>
    <xf numFmtId="168" fontId="26" fillId="0" borderId="0" xfId="1" applyNumberFormat="1" applyFont="1" applyFill="1" applyAlignment="1">
      <alignment horizontal="center"/>
    </xf>
    <xf numFmtId="0" fontId="26" fillId="0" borderId="0" xfId="1" applyNumberFormat="1" applyFont="1" applyBorder="1" applyAlignment="1">
      <alignment horizontal="center"/>
    </xf>
    <xf numFmtId="0" fontId="23" fillId="0" borderId="3" xfId="1" applyNumberFormat="1" applyFont="1" applyBorder="1" applyAlignment="1">
      <alignment horizontal="left"/>
    </xf>
    <xf numFmtId="0" fontId="23" fillId="0" borderId="0" xfId="1" applyNumberFormat="1" applyFont="1" applyBorder="1" applyAlignment="1">
      <alignment horizontal="left"/>
    </xf>
    <xf numFmtId="0" fontId="33" fillId="0" borderId="0" xfId="1" applyNumberFormat="1" applyFont="1" applyFill="1" applyBorder="1" applyAlignment="1">
      <alignment horizontal="center"/>
    </xf>
    <xf numFmtId="3" fontId="33" fillId="0" borderId="0" xfId="1" applyNumberFormat="1" applyFont="1" applyFill="1" applyBorder="1" applyAlignment="1"/>
    <xf numFmtId="3" fontId="29" fillId="0" borderId="0" xfId="1" applyNumberFormat="1" applyFont="1" applyFill="1" applyBorder="1" applyAlignment="1">
      <alignment horizontal="right"/>
    </xf>
    <xf numFmtId="167" fontId="23" fillId="0" borderId="5" xfId="1" applyNumberFormat="1" applyFont="1" applyBorder="1" applyAlignment="1">
      <alignment horizontal="left"/>
    </xf>
    <xf numFmtId="0" fontId="23" fillId="0" borderId="5" xfId="1" applyFont="1" applyBorder="1" applyAlignment="1"/>
    <xf numFmtId="168" fontId="23" fillId="0" borderId="5" xfId="1" applyNumberFormat="1" applyFont="1" applyBorder="1" applyAlignment="1"/>
    <xf numFmtId="168" fontId="26" fillId="0" borderId="0" xfId="1" applyNumberFormat="1" applyFont="1" applyAlignment="1"/>
    <xf numFmtId="3" fontId="23" fillId="0" borderId="3" xfId="1" applyNumberFormat="1" applyFont="1" applyBorder="1" applyAlignment="1">
      <alignment horizontal="center"/>
    </xf>
    <xf numFmtId="0" fontId="23" fillId="0" borderId="3" xfId="1" applyFont="1" applyBorder="1" applyAlignment="1"/>
    <xf numFmtId="167" fontId="26" fillId="0" borderId="0" xfId="1" applyNumberFormat="1" applyFont="1" applyBorder="1" applyAlignment="1">
      <alignment horizontal="left"/>
    </xf>
    <xf numFmtId="0" fontId="23" fillId="0" borderId="11" xfId="1" applyNumberFormat="1" applyFont="1" applyBorder="1" applyAlignment="1">
      <alignment horizontal="center"/>
    </xf>
    <xf numFmtId="0" fontId="23" fillId="0" borderId="0" xfId="1" applyNumberFormat="1" applyFont="1" applyBorder="1" applyAlignment="1">
      <alignment horizontal="center"/>
    </xf>
    <xf numFmtId="3" fontId="23" fillId="0" borderId="0" xfId="1" applyNumberFormat="1" applyFont="1" applyBorder="1" applyAlignment="1">
      <alignment horizontal="center"/>
    </xf>
    <xf numFmtId="0" fontId="23" fillId="0" borderId="4" xfId="1" applyFont="1" applyFill="1" applyBorder="1" applyAlignment="1"/>
    <xf numFmtId="3" fontId="23" fillId="0" borderId="0" xfId="1" applyNumberFormat="1" applyFont="1" applyFill="1" applyBorder="1" applyAlignment="1">
      <alignment horizontal="center"/>
    </xf>
    <xf numFmtId="3" fontId="23" fillId="0" borderId="4" xfId="1" applyNumberFormat="1" applyFont="1" applyBorder="1" applyAlignment="1">
      <alignment horizontal="center"/>
    </xf>
    <xf numFmtId="0" fontId="33" fillId="0" borderId="0" xfId="1" applyFont="1" applyFill="1" applyBorder="1" applyAlignment="1"/>
    <xf numFmtId="43" fontId="26" fillId="0" borderId="0" xfId="1" applyNumberFormat="1" applyFont="1" applyAlignment="1"/>
    <xf numFmtId="0" fontId="23" fillId="0" borderId="12" xfId="1" applyFont="1" applyBorder="1"/>
    <xf numFmtId="0" fontId="23" fillId="0" borderId="12" xfId="1" applyNumberFormat="1" applyFont="1" applyBorder="1" applyAlignment="1">
      <alignment horizontal="left"/>
    </xf>
    <xf numFmtId="3" fontId="23" fillId="0" borderId="12" xfId="1" applyNumberFormat="1" applyFont="1" applyFill="1" applyBorder="1"/>
    <xf numFmtId="0" fontId="23" fillId="0" borderId="12" xfId="1" applyFont="1" applyBorder="1" applyAlignment="1">
      <alignment horizontal="center"/>
    </xf>
    <xf numFmtId="3" fontId="23" fillId="0" borderId="12" xfId="1" applyNumberFormat="1" applyFont="1" applyBorder="1" applyAlignment="1"/>
    <xf numFmtId="0" fontId="23" fillId="0" borderId="12" xfId="1" applyFont="1" applyBorder="1" applyAlignment="1"/>
    <xf numFmtId="0" fontId="34" fillId="0" borderId="0" xfId="1" applyFont="1" applyFill="1" applyBorder="1"/>
    <xf numFmtId="0" fontId="23" fillId="0" borderId="12" xfId="1" applyNumberFormat="1" applyFont="1" applyBorder="1" applyAlignment="1">
      <alignment horizontal="center"/>
    </xf>
    <xf numFmtId="0" fontId="6" fillId="0" borderId="0" xfId="1" applyFont="1" applyAlignment="1">
      <alignment horizontal="center"/>
    </xf>
    <xf numFmtId="0" fontId="35" fillId="0" borderId="0" xfId="1" applyFont="1" applyFill="1"/>
    <xf numFmtId="3" fontId="7" fillId="0" borderId="0" xfId="1" applyNumberFormat="1" applyFont="1"/>
    <xf numFmtId="164" fontId="7" fillId="0" borderId="0" xfId="2" applyNumberFormat="1" applyFont="1" applyFill="1" applyAlignment="1"/>
    <xf numFmtId="0" fontId="36" fillId="0" borderId="0" xfId="1" applyFont="1" applyAlignment="1"/>
    <xf numFmtId="164" fontId="7" fillId="0" borderId="0" xfId="2" applyNumberFormat="1" applyFont="1" applyFill="1" applyBorder="1" applyAlignment="1"/>
    <xf numFmtId="0" fontId="7" fillId="0" borderId="0" xfId="1" applyFont="1" applyFill="1" applyAlignment="1">
      <alignment vertical="top"/>
    </xf>
    <xf numFmtId="0" fontId="7" fillId="0" borderId="0" xfId="1" applyFont="1" applyFill="1" applyAlignment="1">
      <alignment vertical="center" wrapText="1"/>
    </xf>
    <xf numFmtId="164" fontId="7" fillId="0" borderId="0" xfId="2" applyNumberFormat="1" applyFont="1" applyFill="1" applyAlignment="1">
      <alignment vertical="center" wrapText="1"/>
    </xf>
    <xf numFmtId="164" fontId="37" fillId="0" borderId="0" xfId="1" applyNumberFormat="1" applyFont="1" applyFill="1"/>
    <xf numFmtId="0" fontId="10" fillId="0" borderId="0" xfId="1" applyFont="1"/>
    <xf numFmtId="164" fontId="7" fillId="0" borderId="0" xfId="2" applyNumberFormat="1" applyFont="1" applyAlignment="1"/>
    <xf numFmtId="0" fontId="38" fillId="0" borderId="0" xfId="1" applyFont="1" applyAlignment="1">
      <alignment horizontal="right"/>
    </xf>
    <xf numFmtId="0" fontId="11" fillId="0" borderId="0" xfId="1" applyFont="1" applyAlignment="1"/>
    <xf numFmtId="164" fontId="7" fillId="0" borderId="0" xfId="1" applyNumberFormat="1" applyFont="1"/>
    <xf numFmtId="0" fontId="7" fillId="0" borderId="0" xfId="1" applyFont="1" applyAlignment="1">
      <alignment horizontal="left" wrapText="1"/>
    </xf>
    <xf numFmtId="0" fontId="11" fillId="0" borderId="0" xfId="1" applyFont="1" applyFill="1" applyAlignment="1"/>
    <xf numFmtId="0" fontId="7" fillId="9" borderId="0" xfId="1" applyFont="1" applyFill="1"/>
    <xf numFmtId="0" fontId="7" fillId="0" borderId="0" xfId="1" applyFont="1" applyAlignment="1">
      <alignment horizontal="left" vertical="center"/>
    </xf>
    <xf numFmtId="0" fontId="7" fillId="0" borderId="0" xfId="1" applyFont="1" applyAlignment="1">
      <alignment horizontal="left" vertical="center" wrapText="1"/>
    </xf>
    <xf numFmtId="0" fontId="7" fillId="0" borderId="0" xfId="1" applyFont="1" applyFill="1" applyAlignment="1">
      <alignment horizontal="left" wrapText="1"/>
    </xf>
    <xf numFmtId="0" fontId="36" fillId="0" borderId="0" xfId="1" applyFont="1" applyFill="1" applyAlignment="1"/>
    <xf numFmtId="164" fontId="7" fillId="0" borderId="0" xfId="2" applyNumberFormat="1" applyFont="1" applyBorder="1" applyAlignment="1"/>
    <xf numFmtId="0" fontId="29" fillId="0" borderId="0" xfId="1" applyFont="1" applyFill="1" applyBorder="1" applyAlignment="1"/>
    <xf numFmtId="164" fontId="7" fillId="0" borderId="0" xfId="2" applyNumberFormat="1" applyFont="1" applyFill="1" applyBorder="1"/>
    <xf numFmtId="37" fontId="7" fillId="0" borderId="0" xfId="1" applyNumberFormat="1" applyFont="1" applyFill="1"/>
    <xf numFmtId="172" fontId="7" fillId="0" borderId="0" xfId="1" applyNumberFormat="1" applyFont="1" applyFill="1"/>
    <xf numFmtId="0" fontId="40" fillId="0" borderId="0" xfId="1" applyFont="1" applyBorder="1" applyAlignment="1">
      <alignment horizontal="left"/>
    </xf>
    <xf numFmtId="0" fontId="40" fillId="0" borderId="0" xfId="1" applyFont="1" applyAlignment="1">
      <alignment horizontal="left"/>
    </xf>
    <xf numFmtId="175" fontId="13" fillId="0" borderId="0" xfId="2" applyNumberFormat="1" applyFont="1"/>
    <xf numFmtId="0" fontId="42" fillId="0" borderId="0" xfId="1" applyFont="1"/>
    <xf numFmtId="0" fontId="43" fillId="0" borderId="0" xfId="1" applyFont="1"/>
    <xf numFmtId="0" fontId="44" fillId="0" borderId="0" xfId="1" applyFont="1" applyAlignment="1">
      <alignment horizontal="center"/>
    </xf>
    <xf numFmtId="0" fontId="45" fillId="0" borderId="0" xfId="1" applyFont="1" applyAlignment="1">
      <alignment horizontal="center"/>
    </xf>
    <xf numFmtId="0" fontId="13" fillId="0" borderId="0" xfId="1" applyFont="1" applyAlignment="1">
      <alignment horizontal="center"/>
    </xf>
    <xf numFmtId="0" fontId="13" fillId="0" borderId="0" xfId="1" applyFont="1" applyFill="1" applyBorder="1" applyAlignment="1">
      <alignment horizontal="center"/>
    </xf>
    <xf numFmtId="3" fontId="26" fillId="0" borderId="0" xfId="1" applyNumberFormat="1" applyFont="1" applyBorder="1" applyAlignment="1">
      <alignment horizontal="center"/>
    </xf>
    <xf numFmtId="0" fontId="33" fillId="0" borderId="4" xfId="1" applyFont="1" applyFill="1" applyBorder="1" applyAlignment="1"/>
    <xf numFmtId="0" fontId="18" fillId="0" borderId="0" xfId="1" applyFont="1" applyFill="1" applyBorder="1" applyAlignment="1">
      <alignment horizontal="center"/>
    </xf>
    <xf numFmtId="0" fontId="16" fillId="0" borderId="0" xfId="1" applyFont="1"/>
    <xf numFmtId="0" fontId="11" fillId="0" borderId="0" xfId="1" applyFont="1" applyFill="1" applyAlignment="1">
      <alignment horizontal="center"/>
    </xf>
    <xf numFmtId="0" fontId="11" fillId="0" borderId="0" xfId="1" applyFont="1" applyFill="1" applyBorder="1"/>
    <xf numFmtId="0" fontId="7" fillId="0" borderId="0" xfId="1" applyFont="1" applyFill="1" applyBorder="1" applyAlignment="1">
      <alignment horizontal="left"/>
    </xf>
    <xf numFmtId="0" fontId="22" fillId="0" borderId="0" xfId="1" applyFont="1"/>
    <xf numFmtId="3" fontId="7" fillId="0" borderId="0" xfId="1" applyNumberFormat="1" applyFont="1" applyFill="1" applyBorder="1" applyAlignment="1"/>
    <xf numFmtId="0" fontId="48" fillId="5" borderId="0" xfId="1" applyFont="1" applyFill="1"/>
    <xf numFmtId="0" fontId="48" fillId="0" borderId="0" xfId="1" applyFont="1" applyFill="1"/>
    <xf numFmtId="0" fontId="11" fillId="0" borderId="0" xfId="1" applyFont="1" applyAlignment="1">
      <alignment horizontal="left"/>
    </xf>
    <xf numFmtId="0" fontId="11" fillId="0" borderId="0" xfId="1" applyNumberFormat="1" applyFont="1" applyFill="1" applyAlignment="1">
      <alignment horizontal="left"/>
    </xf>
    <xf numFmtId="3" fontId="11" fillId="0" borderId="0" xfId="1" applyNumberFormat="1" applyFont="1" applyBorder="1" applyAlignment="1"/>
    <xf numFmtId="3" fontId="7" fillId="0" borderId="0" xfId="1" applyNumberFormat="1" applyFont="1" applyBorder="1" applyAlignment="1"/>
    <xf numFmtId="3" fontId="7" fillId="0" borderId="0" xfId="1" applyNumberFormat="1" applyFont="1" applyAlignment="1"/>
    <xf numFmtId="3" fontId="11" fillId="0" borderId="0" xfId="1" applyNumberFormat="1" applyFont="1" applyAlignment="1">
      <alignment horizontal="left"/>
    </xf>
    <xf numFmtId="3" fontId="7" fillId="0" borderId="0" xfId="1" applyNumberFormat="1" applyFont="1" applyAlignment="1">
      <alignment horizontal="left"/>
    </xf>
    <xf numFmtId="0" fontId="7" fillId="0" borderId="0" xfId="1" applyNumberFormat="1" applyFont="1" applyAlignment="1"/>
    <xf numFmtId="3" fontId="7" fillId="0" borderId="0" xfId="1" applyNumberFormat="1" applyFont="1" applyFill="1" applyAlignment="1"/>
    <xf numFmtId="0" fontId="11" fillId="0" borderId="0" xfId="1" applyNumberFormat="1" applyFont="1" applyAlignment="1">
      <alignment horizontal="left"/>
    </xf>
    <xf numFmtId="3" fontId="7" fillId="0" borderId="0" xfId="1" applyNumberFormat="1" applyFont="1" applyFill="1" applyAlignment="1">
      <alignment horizontal="center"/>
    </xf>
    <xf numFmtId="3" fontId="7" fillId="0" borderId="0" xfId="1" applyNumberFormat="1" applyFont="1" applyFill="1" applyAlignment="1">
      <alignment horizontal="left"/>
    </xf>
    <xf numFmtId="3" fontId="7" fillId="0" borderId="4" xfId="1" applyNumberFormat="1" applyFont="1" applyFill="1" applyBorder="1" applyAlignment="1"/>
    <xf numFmtId="3" fontId="7" fillId="0" borderId="4" xfId="1" applyNumberFormat="1" applyFont="1" applyFill="1" applyBorder="1" applyAlignment="1">
      <alignment horizontal="left"/>
    </xf>
    <xf numFmtId="3" fontId="7" fillId="0" borderId="4" xfId="1" applyNumberFormat="1" applyFont="1" applyBorder="1" applyAlignment="1"/>
    <xf numFmtId="0" fontId="7" fillId="0" borderId="3" xfId="1" applyNumberFormat="1" applyFont="1" applyFill="1" applyBorder="1" applyAlignment="1"/>
    <xf numFmtId="0" fontId="7" fillId="0" borderId="3" xfId="1" applyFont="1" applyFill="1" applyBorder="1" applyAlignment="1">
      <alignment horizontal="left"/>
    </xf>
    <xf numFmtId="3" fontId="7" fillId="0" borderId="3" xfId="1" applyNumberFormat="1" applyFont="1" applyFill="1" applyBorder="1" applyAlignment="1"/>
    <xf numFmtId="0" fontId="7" fillId="0" borderId="0" xfId="1" applyNumberFormat="1" applyFont="1" applyFill="1" applyAlignment="1"/>
    <xf numFmtId="0" fontId="11" fillId="0" borderId="3" xfId="1" applyNumberFormat="1" applyFont="1" applyBorder="1" applyAlignment="1"/>
    <xf numFmtId="3" fontId="7" fillId="0" borderId="3" xfId="1" applyNumberFormat="1" applyFont="1" applyBorder="1" applyAlignment="1"/>
    <xf numFmtId="0" fontId="7" fillId="0" borderId="0" xfId="1" applyNumberFormat="1" applyFont="1" applyFill="1" applyBorder="1" applyAlignment="1"/>
    <xf numFmtId="170" fontId="7" fillId="0" borderId="0" xfId="1" applyNumberFormat="1" applyFont="1" applyFill="1" applyAlignment="1"/>
    <xf numFmtId="165" fontId="7" fillId="0" borderId="0" xfId="1" applyNumberFormat="1" applyFont="1" applyFill="1" applyAlignment="1"/>
    <xf numFmtId="171" fontId="7" fillId="0" borderId="0" xfId="2" applyNumberFormat="1" applyFont="1" applyFill="1" applyBorder="1" applyAlignment="1"/>
    <xf numFmtId="3" fontId="7" fillId="0" borderId="0" xfId="1" quotePrefix="1" applyNumberFormat="1" applyFont="1" applyAlignment="1">
      <alignment horizontal="right"/>
    </xf>
    <xf numFmtId="165" fontId="7" fillId="0" borderId="0" xfId="1" applyNumberFormat="1" applyFont="1" applyAlignment="1"/>
    <xf numFmtId="0" fontId="7" fillId="0" borderId="4" xfId="1" applyNumberFormat="1" applyFont="1" applyBorder="1" applyAlignment="1"/>
    <xf numFmtId="3" fontId="7" fillId="0" borderId="4" xfId="1" applyNumberFormat="1" applyFont="1" applyBorder="1" applyAlignment="1">
      <alignment horizontal="right"/>
    </xf>
    <xf numFmtId="165" fontId="7" fillId="0" borderId="4" xfId="1" applyNumberFormat="1" applyFont="1" applyBorder="1" applyAlignment="1"/>
    <xf numFmtId="0" fontId="11" fillId="0" borderId="0" xfId="1" applyFont="1" applyBorder="1" applyAlignment="1"/>
    <xf numFmtId="0" fontId="11" fillId="0" borderId="0" xfId="1" applyNumberFormat="1" applyFont="1" applyBorder="1" applyAlignment="1"/>
    <xf numFmtId="0" fontId="11" fillId="0" borderId="0" xfId="1" applyFont="1" applyBorder="1" applyAlignment="1">
      <alignment horizontal="left"/>
    </xf>
    <xf numFmtId="3" fontId="11" fillId="0" borderId="0" xfId="1" quotePrefix="1" applyNumberFormat="1" applyFont="1" applyBorder="1" applyAlignment="1">
      <alignment horizontal="right"/>
    </xf>
    <xf numFmtId="165" fontId="11" fillId="0" borderId="0" xfId="1" applyNumberFormat="1" applyFont="1" applyAlignment="1"/>
    <xf numFmtId="0" fontId="11" fillId="0" borderId="0" xfId="1" applyNumberFormat="1" applyFont="1" applyFill="1" applyAlignment="1">
      <alignment horizontal="center"/>
    </xf>
    <xf numFmtId="0" fontId="11" fillId="0" borderId="5" xfId="1" applyFont="1" applyBorder="1" applyAlignment="1"/>
    <xf numFmtId="3" fontId="11" fillId="0" borderId="5" xfId="1" applyNumberFormat="1" applyFont="1" applyBorder="1" applyAlignment="1">
      <alignment horizontal="left"/>
    </xf>
    <xf numFmtId="168" fontId="11" fillId="0" borderId="5" xfId="1" applyNumberFormat="1" applyFont="1" applyBorder="1" applyAlignment="1">
      <alignment horizontal="center"/>
    </xf>
    <xf numFmtId="3" fontId="11" fillId="0" borderId="5" xfId="1" applyNumberFormat="1" applyFont="1" applyBorder="1" applyAlignment="1"/>
    <xf numFmtId="0" fontId="48" fillId="5" borderId="0" xfId="1" applyNumberFormat="1" applyFont="1" applyFill="1" applyAlignment="1">
      <alignment horizontal="left"/>
    </xf>
    <xf numFmtId="0" fontId="48" fillId="5" borderId="0" xfId="1" applyFont="1" applyFill="1" applyAlignment="1">
      <alignment horizontal="left"/>
    </xf>
    <xf numFmtId="0" fontId="48" fillId="5" borderId="0" xfId="1" applyFont="1" applyFill="1" applyAlignment="1"/>
    <xf numFmtId="0" fontId="6" fillId="5" borderId="0" xfId="1" applyNumberFormat="1" applyFont="1" applyFill="1" applyAlignment="1">
      <alignment horizontal="left"/>
    </xf>
    <xf numFmtId="0" fontId="11" fillId="5" borderId="0" xfId="1" applyNumberFormat="1" applyFont="1" applyFill="1" applyAlignment="1">
      <alignment horizontal="center"/>
    </xf>
    <xf numFmtId="0" fontId="11" fillId="0" borderId="0" xfId="1" applyNumberFormat="1" applyFont="1" applyFill="1" applyAlignment="1"/>
    <xf numFmtId="3" fontId="7" fillId="0" borderId="0" xfId="1" applyNumberFormat="1" applyFont="1" applyAlignment="1">
      <alignment horizontal="center"/>
    </xf>
    <xf numFmtId="172" fontId="11" fillId="0" borderId="0" xfId="11" applyNumberFormat="1" applyFont="1" applyAlignment="1"/>
    <xf numFmtId="167" fontId="11" fillId="0" borderId="0" xfId="1" applyNumberFormat="1" applyFont="1" applyBorder="1" applyAlignment="1">
      <alignment horizontal="left"/>
    </xf>
    <xf numFmtId="168" fontId="7" fillId="0" borderId="0" xfId="1" applyNumberFormat="1" applyFont="1" applyAlignment="1">
      <alignment horizontal="center"/>
    </xf>
    <xf numFmtId="0" fontId="7" fillId="0" borderId="0" xfId="1" applyNumberFormat="1" applyFont="1" applyFill="1"/>
    <xf numFmtId="10" fontId="7" fillId="0" borderId="0" xfId="1" applyNumberFormat="1" applyFont="1" applyFill="1"/>
    <xf numFmtId="169" fontId="7" fillId="0" borderId="0" xfId="1" applyNumberFormat="1" applyFont="1" applyAlignment="1"/>
    <xf numFmtId="167" fontId="7" fillId="0" borderId="0" xfId="1" applyNumberFormat="1" applyFont="1" applyAlignment="1">
      <alignment horizontal="left"/>
    </xf>
    <xf numFmtId="169" fontId="7" fillId="0" borderId="0" xfId="1" applyNumberFormat="1" applyFont="1" applyFill="1" applyAlignment="1"/>
    <xf numFmtId="167" fontId="7" fillId="0" borderId="0" xfId="1" applyNumberFormat="1" applyFont="1" applyAlignment="1">
      <alignment horizontal="center"/>
    </xf>
    <xf numFmtId="10" fontId="7" fillId="0" borderId="0" xfId="1" applyNumberFormat="1" applyFont="1" applyFill="1" applyAlignment="1">
      <alignment horizontal="right"/>
    </xf>
    <xf numFmtId="10" fontId="7" fillId="0" borderId="0" xfId="11" applyNumberFormat="1" applyFont="1" applyFill="1" applyAlignment="1"/>
    <xf numFmtId="9" fontId="7" fillId="0" borderId="0" xfId="1" applyNumberFormat="1" applyFont="1" applyFill="1"/>
    <xf numFmtId="3" fontId="7" fillId="0" borderId="4" xfId="1" applyNumberFormat="1" applyFont="1" applyBorder="1"/>
    <xf numFmtId="3" fontId="8" fillId="0" borderId="0" xfId="1" applyNumberFormat="1" applyFont="1" applyBorder="1" applyAlignment="1">
      <alignment horizontal="right"/>
    </xf>
    <xf numFmtId="0" fontId="11" fillId="0" borderId="3" xfId="1" applyNumberFormat="1" applyFont="1" applyBorder="1" applyAlignment="1">
      <alignment horizontal="left"/>
    </xf>
    <xf numFmtId="3" fontId="8" fillId="0" borderId="3" xfId="1" applyNumberFormat="1" applyFont="1" applyBorder="1" applyAlignment="1">
      <alignment horizontal="right"/>
    </xf>
    <xf numFmtId="3" fontId="11" fillId="0" borderId="3" xfId="1" applyNumberFormat="1" applyFont="1" applyBorder="1" applyAlignment="1">
      <alignment horizontal="right"/>
    </xf>
    <xf numFmtId="0" fontId="11" fillId="0" borderId="0" xfId="1" applyNumberFormat="1" applyFont="1" applyBorder="1" applyAlignment="1">
      <alignment horizontal="left"/>
    </xf>
    <xf numFmtId="3" fontId="10" fillId="0" borderId="0" xfId="1" applyNumberFormat="1" applyFont="1" applyBorder="1" applyAlignment="1">
      <alignment horizontal="right"/>
    </xf>
    <xf numFmtId="3" fontId="9" fillId="0" borderId="0" xfId="1" applyNumberFormat="1" applyFont="1" applyBorder="1" applyAlignment="1">
      <alignment horizontal="right"/>
    </xf>
    <xf numFmtId="3" fontId="7" fillId="0" borderId="0" xfId="1" applyNumberFormat="1" applyFont="1" applyBorder="1" applyAlignment="1">
      <alignment horizontal="right"/>
    </xf>
    <xf numFmtId="167" fontId="11" fillId="0" borderId="5" xfId="1" applyNumberFormat="1" applyFont="1" applyBorder="1" applyAlignment="1">
      <alignment horizontal="left"/>
    </xf>
    <xf numFmtId="0" fontId="11" fillId="0" borderId="5" xfId="1" applyFont="1" applyBorder="1" applyAlignment="1">
      <alignment horizontal="center"/>
    </xf>
    <xf numFmtId="168" fontId="11" fillId="0" borderId="5" xfId="1" applyNumberFormat="1" applyFont="1" applyBorder="1" applyAlignment="1"/>
    <xf numFmtId="164" fontId="11" fillId="0" borderId="5" xfId="2" applyNumberFormat="1" applyFont="1" applyFill="1" applyBorder="1" applyAlignment="1">
      <alignment horizontal="right"/>
    </xf>
    <xf numFmtId="3" fontId="7" fillId="0" borderId="0" xfId="1" applyNumberFormat="1" applyFont="1" applyFill="1" applyAlignment="1">
      <alignment horizontal="right"/>
    </xf>
    <xf numFmtId="168" fontId="7" fillId="0" borderId="0" xfId="1" applyNumberFormat="1" applyFont="1" applyAlignment="1"/>
    <xf numFmtId="173" fontId="7" fillId="0" borderId="0" xfId="11" applyNumberFormat="1" applyFont="1" applyFill="1" applyAlignment="1">
      <alignment horizontal="right"/>
    </xf>
    <xf numFmtId="0" fontId="22" fillId="0" borderId="0" xfId="1" applyFont="1" applyFill="1"/>
    <xf numFmtId="0" fontId="7" fillId="0" borderId="0" xfId="1" applyNumberFormat="1" applyFont="1" applyFill="1" applyBorder="1" applyAlignment="1">
      <alignment horizontal="left"/>
    </xf>
    <xf numFmtId="172" fontId="21" fillId="0" borderId="0" xfId="12" applyNumberFormat="1" applyFont="1" applyFill="1"/>
    <xf numFmtId="164" fontId="21" fillId="0" borderId="0" xfId="1" applyNumberFormat="1" applyFont="1" applyFill="1"/>
    <xf numFmtId="172" fontId="21" fillId="0" borderId="0" xfId="1" applyNumberFormat="1" applyFont="1" applyFill="1"/>
    <xf numFmtId="0" fontId="20" fillId="0" borderId="0" xfId="1" applyFont="1" applyFill="1" applyBorder="1" applyAlignment="1">
      <alignment horizontal="center"/>
    </xf>
    <xf numFmtId="37" fontId="26" fillId="0" borderId="0" xfId="1" applyNumberFormat="1" applyFont="1" applyFill="1" applyBorder="1" applyAlignment="1">
      <alignment horizontal="left"/>
    </xf>
    <xf numFmtId="0" fontId="26" fillId="0" borderId="5" xfId="1" applyFont="1" applyBorder="1" applyAlignment="1">
      <alignment horizontal="left"/>
    </xf>
    <xf numFmtId="3" fontId="26" fillId="0" borderId="0" xfId="1" applyNumberFormat="1" applyFont="1" applyFill="1" applyBorder="1" applyAlignment="1">
      <alignment horizontal="left"/>
    </xf>
    <xf numFmtId="0" fontId="23" fillId="0" borderId="17" xfId="1" applyNumberFormat="1" applyFont="1" applyBorder="1" applyAlignment="1">
      <alignment horizontal="center"/>
    </xf>
    <xf numFmtId="0" fontId="26" fillId="0" borderId="24" xfId="1" applyNumberFormat="1" applyFont="1" applyBorder="1" applyAlignment="1">
      <alignment horizontal="center"/>
    </xf>
    <xf numFmtId="0" fontId="23" fillId="0" borderId="24" xfId="1" applyNumberFormat="1" applyFont="1" applyFill="1" applyBorder="1" applyAlignment="1"/>
    <xf numFmtId="0" fontId="23" fillId="0" borderId="24" xfId="1" applyFont="1" applyFill="1" applyBorder="1" applyAlignment="1"/>
    <xf numFmtId="3" fontId="23" fillId="0" borderId="24" xfId="1" applyNumberFormat="1" applyFont="1" applyBorder="1" applyAlignment="1">
      <alignment horizontal="center"/>
    </xf>
    <xf numFmtId="3" fontId="23" fillId="0" borderId="24" xfId="1" applyNumberFormat="1" applyFont="1" applyFill="1" applyBorder="1" applyAlignment="1"/>
    <xf numFmtId="0" fontId="26" fillId="0" borderId="24" xfId="1" applyFont="1" applyBorder="1" applyAlignment="1"/>
    <xf numFmtId="0" fontId="7" fillId="0" borderId="0" xfId="1" applyFont="1" applyFill="1" applyAlignment="1">
      <alignment horizontal="right"/>
    </xf>
    <xf numFmtId="0" fontId="7" fillId="0" borderId="0" xfId="1" applyFont="1" applyFill="1" applyAlignment="1">
      <alignment horizontal="right" vertical="top"/>
    </xf>
    <xf numFmtId="3" fontId="7" fillId="0" borderId="0" xfId="1" applyNumberFormat="1" applyFont="1" applyFill="1"/>
    <xf numFmtId="167" fontId="13" fillId="0" borderId="0" xfId="11" applyNumberFormat="1" applyFont="1" applyFill="1"/>
    <xf numFmtId="164" fontId="7" fillId="0" borderId="2" xfId="2" applyNumberFormat="1" applyFont="1" applyFill="1" applyBorder="1"/>
    <xf numFmtId="0" fontId="18" fillId="0" borderId="0" xfId="1" applyFont="1" applyAlignment="1">
      <alignment horizontal="center"/>
    </xf>
    <xf numFmtId="0" fontId="49" fillId="0" borderId="0" xfId="1" applyFont="1" applyAlignment="1">
      <alignment horizontal="center"/>
    </xf>
    <xf numFmtId="0" fontId="35" fillId="0" borderId="0" xfId="1" applyFont="1" applyAlignment="1">
      <alignment horizontal="center"/>
    </xf>
    <xf numFmtId="0" fontId="35" fillId="0" borderId="0" xfId="1" applyFont="1"/>
    <xf numFmtId="0" fontId="38" fillId="0" borderId="0" xfId="1" applyFont="1" applyAlignment="1">
      <alignment horizontal="center"/>
    </xf>
    <xf numFmtId="0" fontId="49" fillId="0" borderId="0" xfId="1" applyFont="1"/>
    <xf numFmtId="0" fontId="50" fillId="0" borderId="0" xfId="1" applyFont="1" applyFill="1" applyAlignment="1">
      <alignment horizontal="center"/>
    </xf>
    <xf numFmtId="0" fontId="49" fillId="0" borderId="0" xfId="1" applyFont="1" applyFill="1" applyAlignment="1">
      <alignment horizontal="center"/>
    </xf>
    <xf numFmtId="0" fontId="18" fillId="0" borderId="0" xfId="1" applyFont="1" applyFill="1" applyAlignment="1">
      <alignment horizontal="right"/>
    </xf>
    <xf numFmtId="0" fontId="49" fillId="0" borderId="0" xfId="1" applyFont="1" applyFill="1" applyBorder="1" applyAlignment="1">
      <alignment horizontal="right"/>
    </xf>
    <xf numFmtId="0" fontId="49" fillId="0" borderId="0" xfId="1" applyFont="1" applyFill="1" applyBorder="1" applyAlignment="1">
      <alignment horizontal="center"/>
    </xf>
    <xf numFmtId="167" fontId="7" fillId="0" borderId="4" xfId="11" applyNumberFormat="1" applyFont="1" applyFill="1" applyBorder="1" applyAlignment="1">
      <alignment horizontal="center" wrapText="1"/>
    </xf>
    <xf numFmtId="0" fontId="7" fillId="0" borderId="4" xfId="1" applyFont="1" applyFill="1" applyBorder="1"/>
    <xf numFmtId="0" fontId="18" fillId="0" borderId="0" xfId="1" applyFont="1"/>
    <xf numFmtId="0" fontId="35" fillId="0" borderId="0" xfId="1" applyFont="1" applyAlignment="1">
      <alignment horizontal="left" wrapText="1"/>
    </xf>
    <xf numFmtId="37" fontId="35" fillId="0" borderId="0" xfId="1" applyNumberFormat="1" applyFont="1" applyAlignment="1">
      <alignment horizontal="right" wrapText="1"/>
    </xf>
    <xf numFmtId="9" fontId="7" fillId="0" borderId="0" xfId="11" applyFont="1"/>
    <xf numFmtId="0" fontId="7" fillId="0" borderId="0" xfId="1" applyFont="1" applyAlignment="1">
      <alignment horizontal="right" wrapText="1"/>
    </xf>
    <xf numFmtId="164" fontId="7" fillId="0" borderId="0" xfId="2" applyNumberFormat="1" applyFont="1" applyAlignment="1">
      <alignment horizontal="left" wrapText="1"/>
    </xf>
    <xf numFmtId="0" fontId="35" fillId="0" borderId="0" xfId="1" applyFont="1" applyAlignment="1">
      <alignment horizontal="right" wrapText="1"/>
    </xf>
    <xf numFmtId="0" fontId="49" fillId="0" borderId="0" xfId="1" applyNumberFormat="1" applyFont="1" applyFill="1" applyBorder="1" applyAlignment="1">
      <alignment horizontal="center"/>
    </xf>
    <xf numFmtId="0" fontId="7" fillId="8" borderId="4" xfId="1" applyFont="1" applyFill="1" applyBorder="1" applyAlignment="1">
      <alignment horizontal="right"/>
    </xf>
    <xf numFmtId="172" fontId="35" fillId="0" borderId="0" xfId="1" applyNumberFormat="1" applyFont="1" applyFill="1" applyAlignment="1">
      <alignment horizontal="center" wrapText="1"/>
    </xf>
    <xf numFmtId="176" fontId="35" fillId="0" borderId="0" xfId="1" applyNumberFormat="1" applyFont="1"/>
    <xf numFmtId="0" fontId="35" fillId="0" borderId="0" xfId="1" applyFont="1" applyAlignment="1">
      <alignment horizontal="right"/>
    </xf>
    <xf numFmtId="0" fontId="49" fillId="0" borderId="0" xfId="1" applyFont="1" applyBorder="1" applyAlignment="1">
      <alignment horizontal="center"/>
    </xf>
    <xf numFmtId="0" fontId="7" fillId="0" borderId="0" xfId="1" applyFont="1" applyFill="1" applyAlignment="1">
      <alignment horizontal="left" vertical="center" wrapText="1"/>
    </xf>
    <xf numFmtId="0" fontId="7" fillId="8" borderId="0" xfId="1" applyFont="1" applyFill="1" applyAlignment="1">
      <alignment horizontal="right"/>
    </xf>
    <xf numFmtId="37" fontId="7" fillId="8" borderId="0" xfId="1" applyNumberFormat="1" applyFont="1" applyFill="1" applyAlignment="1">
      <alignment horizontal="right" wrapText="1"/>
    </xf>
    <xf numFmtId="172" fontId="35" fillId="0" borderId="3" xfId="1" applyNumberFormat="1" applyFont="1" applyFill="1" applyBorder="1" applyAlignment="1">
      <alignment horizontal="center" wrapText="1"/>
    </xf>
    <xf numFmtId="0" fontId="35" fillId="0" borderId="5" xfId="1" applyFont="1" applyBorder="1"/>
    <xf numFmtId="37" fontId="7" fillId="0" borderId="0" xfId="1" applyNumberFormat="1" applyFont="1" applyFill="1" applyAlignment="1">
      <alignment horizontal="right" wrapText="1"/>
    </xf>
    <xf numFmtId="0" fontId="49" fillId="0" borderId="0" xfId="1" applyFont="1" applyFill="1"/>
    <xf numFmtId="0" fontId="10" fillId="0" borderId="0" xfId="1" applyFont="1" applyFill="1"/>
    <xf numFmtId="0" fontId="35" fillId="0" borderId="0" xfId="1" applyNumberFormat="1" applyFont="1" applyFill="1" applyBorder="1" applyAlignment="1">
      <alignment horizontal="left"/>
    </xf>
    <xf numFmtId="0" fontId="35" fillId="0" borderId="0" xfId="1" applyFont="1" applyFill="1" applyAlignment="1">
      <alignment horizontal="right"/>
    </xf>
    <xf numFmtId="37" fontId="35" fillId="0" borderId="0" xfId="1" applyNumberFormat="1" applyFont="1" applyFill="1"/>
    <xf numFmtId="0" fontId="35" fillId="0" borderId="0" xfId="1" applyFont="1" applyFill="1" applyAlignment="1">
      <alignment horizontal="left" wrapText="1"/>
    </xf>
    <xf numFmtId="0" fontId="46" fillId="0" borderId="0" xfId="1" applyFont="1" applyFill="1"/>
    <xf numFmtId="0" fontId="35" fillId="0" borderId="0" xfId="1" applyFont="1" applyFill="1" applyBorder="1"/>
    <xf numFmtId="37" fontId="49" fillId="0" borderId="0" xfId="1" applyNumberFormat="1" applyFont="1" applyFill="1"/>
    <xf numFmtId="41" fontId="7" fillId="0" borderId="0" xfId="1" applyNumberFormat="1" applyFont="1" applyFill="1" applyBorder="1" applyAlignment="1">
      <alignment horizontal="right"/>
    </xf>
    <xf numFmtId="0" fontId="10" fillId="0" borderId="0" xfId="1" applyFont="1" applyFill="1" applyBorder="1"/>
    <xf numFmtId="41" fontId="35" fillId="0" borderId="0" xfId="1" applyNumberFormat="1" applyFont="1" applyFill="1" applyAlignment="1">
      <alignment horizontal="right"/>
    </xf>
    <xf numFmtId="41" fontId="35" fillId="0" borderId="0" xfId="1" applyNumberFormat="1" applyFont="1" applyFill="1" applyBorder="1" applyAlignment="1">
      <alignment horizontal="right"/>
    </xf>
    <xf numFmtId="164" fontId="35" fillId="0" borderId="0" xfId="2" applyNumberFormat="1" applyFont="1" applyFill="1" applyAlignment="1">
      <alignment horizontal="right"/>
    </xf>
    <xf numFmtId="37" fontId="35" fillId="0" borderId="0" xfId="1" applyNumberFormat="1" applyFont="1" applyFill="1" applyAlignment="1">
      <alignment horizontal="right" wrapText="1"/>
    </xf>
    <xf numFmtId="0" fontId="35" fillId="0" borderId="0" xfId="1" applyFont="1" applyFill="1" applyAlignment="1">
      <alignment horizontal="left"/>
    </xf>
    <xf numFmtId="0" fontId="16" fillId="0" borderId="0" xfId="1" applyFont="1" applyAlignment="1">
      <alignment horizontal="center"/>
    </xf>
    <xf numFmtId="164" fontId="16" fillId="0" borderId="0" xfId="2" applyNumberFormat="1" applyFont="1" applyAlignment="1"/>
    <xf numFmtId="0" fontId="16" fillId="0" borderId="0" xfId="1" applyFont="1" applyAlignment="1">
      <alignment horizontal="right"/>
    </xf>
    <xf numFmtId="0" fontId="16" fillId="0" borderId="0" xfId="1" applyFont="1" applyFill="1"/>
    <xf numFmtId="0" fontId="26" fillId="6" borderId="0" xfId="1" applyFont="1" applyFill="1" applyBorder="1" applyAlignment="1"/>
    <xf numFmtId="0" fontId="26" fillId="6" borderId="0" xfId="1" applyFont="1" applyFill="1" applyBorder="1" applyAlignment="1">
      <alignment horizontal="center"/>
    </xf>
    <xf numFmtId="0" fontId="26" fillId="6" borderId="15" xfId="1" applyFont="1" applyFill="1" applyBorder="1" applyAlignment="1">
      <alignment horizontal="center"/>
    </xf>
    <xf numFmtId="164" fontId="7" fillId="0" borderId="0" xfId="2" applyNumberFormat="1" applyFont="1" applyBorder="1"/>
    <xf numFmtId="164" fontId="7" fillId="0" borderId="0" xfId="1" applyNumberFormat="1" applyFont="1" applyFill="1"/>
    <xf numFmtId="10" fontId="7" fillId="0" borderId="0" xfId="11" applyNumberFormat="1" applyFont="1" applyFill="1"/>
    <xf numFmtId="177" fontId="7" fillId="0" borderId="0" xfId="2" applyNumberFormat="1" applyFont="1" applyFill="1"/>
    <xf numFmtId="37" fontId="7" fillId="7" borderId="0" xfId="1" applyNumberFormat="1" applyFont="1" applyFill="1" applyAlignment="1">
      <alignment horizontal="right"/>
    </xf>
    <xf numFmtId="37" fontId="35" fillId="7" borderId="0" xfId="1" applyNumberFormat="1" applyFont="1" applyFill="1" applyAlignment="1">
      <alignment horizontal="right"/>
    </xf>
    <xf numFmtId="164" fontId="26" fillId="0" borderId="0" xfId="2" applyNumberFormat="1" applyFont="1" applyFill="1"/>
    <xf numFmtId="0" fontId="26" fillId="0" borderId="3" xfId="1" applyNumberFormat="1" applyFont="1" applyBorder="1" applyAlignment="1">
      <alignment horizontal="center"/>
    </xf>
    <xf numFmtId="0" fontId="23" fillId="0" borderId="3" xfId="1" applyFont="1" applyFill="1" applyBorder="1" applyAlignment="1">
      <alignment horizontal="center"/>
    </xf>
    <xf numFmtId="0" fontId="26" fillId="0" borderId="3" xfId="1" applyFont="1" applyFill="1" applyBorder="1" applyAlignment="1">
      <alignment horizontal="left"/>
    </xf>
    <xf numFmtId="0" fontId="26" fillId="0" borderId="0" xfId="1" applyFont="1" applyBorder="1" applyAlignment="1">
      <alignment horizontal="left"/>
    </xf>
    <xf numFmtId="0" fontId="23" fillId="0" borderId="4" xfId="1" applyFont="1" applyBorder="1"/>
    <xf numFmtId="3" fontId="7" fillId="8" borderId="0" xfId="1" applyNumberFormat="1" applyFont="1" applyFill="1" applyBorder="1"/>
    <xf numFmtId="41" fontId="7" fillId="8" borderId="13" xfId="3" applyFont="1" applyFill="1" applyBorder="1"/>
    <xf numFmtId="0" fontId="16" fillId="0" borderId="0" xfId="1" applyFont="1" applyFill="1" applyBorder="1"/>
    <xf numFmtId="0" fontId="46" fillId="0" borderId="0" xfId="1" applyFont="1" applyFill="1" applyBorder="1"/>
    <xf numFmtId="164" fontId="7" fillId="0" borderId="13" xfId="2" applyNumberFormat="1" applyFont="1" applyFill="1" applyBorder="1" applyAlignment="1">
      <alignment horizontal="right"/>
    </xf>
    <xf numFmtId="164" fontId="35" fillId="8" borderId="0" xfId="2" applyNumberFormat="1" applyFont="1" applyFill="1" applyAlignment="1">
      <alignment horizontal="right" wrapText="1"/>
    </xf>
    <xf numFmtId="3" fontId="7" fillId="0" borderId="0" xfId="2" applyNumberFormat="1" applyFont="1" applyFill="1"/>
    <xf numFmtId="41" fontId="7" fillId="8" borderId="33" xfId="3" applyFont="1" applyFill="1" applyBorder="1"/>
    <xf numFmtId="164" fontId="7" fillId="8" borderId="13" xfId="2" applyNumberFormat="1" applyFont="1" applyFill="1" applyBorder="1"/>
    <xf numFmtId="41" fontId="17" fillId="8" borderId="33" xfId="3" applyFont="1" applyFill="1" applyBorder="1"/>
    <xf numFmtId="41" fontId="17" fillId="8" borderId="13" xfId="3" applyFont="1" applyFill="1" applyBorder="1"/>
    <xf numFmtId="0" fontId="7" fillId="8" borderId="35" xfId="9" applyFont="1" applyFill="1" applyBorder="1"/>
    <xf numFmtId="41" fontId="7" fillId="8" borderId="37" xfId="3" applyFont="1" applyFill="1" applyBorder="1"/>
    <xf numFmtId="164" fontId="16" fillId="0" borderId="0" xfId="2" applyNumberFormat="1" applyFont="1" applyFill="1"/>
    <xf numFmtId="167" fontId="7" fillId="0" borderId="0" xfId="11" applyNumberFormat="1" applyFont="1"/>
    <xf numFmtId="164" fontId="16" fillId="0" borderId="0" xfId="1" applyNumberFormat="1" applyFont="1" applyFill="1" applyBorder="1"/>
    <xf numFmtId="164" fontId="16" fillId="0" borderId="0" xfId="2" applyNumberFormat="1" applyFont="1"/>
    <xf numFmtId="166" fontId="7" fillId="0" borderId="0" xfId="6" applyNumberFormat="1" applyFont="1" applyFill="1" applyBorder="1"/>
    <xf numFmtId="10" fontId="16" fillId="0" borderId="0" xfId="11" applyNumberFormat="1" applyFont="1"/>
    <xf numFmtId="10" fontId="16" fillId="0" borderId="0" xfId="2" applyNumberFormat="1" applyFont="1"/>
    <xf numFmtId="3" fontId="7" fillId="7" borderId="0" xfId="2" applyNumberFormat="1" applyFont="1" applyFill="1" applyBorder="1"/>
    <xf numFmtId="164" fontId="7" fillId="0" borderId="0" xfId="2" applyNumberFormat="1" applyFont="1" applyFill="1" applyBorder="1" applyAlignment="1">
      <alignment horizontal="left"/>
    </xf>
    <xf numFmtId="164" fontId="7" fillId="0" borderId="2" xfId="2" applyNumberFormat="1" applyFont="1" applyFill="1" applyBorder="1" applyAlignment="1"/>
    <xf numFmtId="164" fontId="7" fillId="0" borderId="9" xfId="2" applyNumberFormat="1" applyFont="1" applyFill="1" applyBorder="1"/>
    <xf numFmtId="164" fontId="7" fillId="16" borderId="12" xfId="2" applyNumberFormat="1" applyFont="1" applyFill="1" applyBorder="1"/>
    <xf numFmtId="164" fontId="7" fillId="0" borderId="2" xfId="2" applyNumberFormat="1" applyFont="1" applyBorder="1"/>
    <xf numFmtId="3" fontId="7" fillId="0" borderId="0" xfId="6" applyNumberFormat="1" applyFont="1" applyFill="1" applyBorder="1"/>
    <xf numFmtId="167" fontId="7" fillId="0" borderId="0" xfId="11" applyNumberFormat="1" applyFont="1" applyFill="1" applyBorder="1"/>
    <xf numFmtId="3" fontId="7" fillId="0" borderId="2" xfId="6" applyNumberFormat="1" applyFont="1" applyBorder="1"/>
    <xf numFmtId="164" fontId="6" fillId="0" borderId="29" xfId="2" applyNumberFormat="1" applyFont="1" applyFill="1" applyBorder="1" applyAlignment="1">
      <alignment horizontal="right"/>
    </xf>
    <xf numFmtId="164" fontId="7" fillId="0" borderId="0" xfId="2" applyNumberFormat="1" applyFont="1" applyFill="1" applyBorder="1" applyAlignment="1">
      <alignment horizontal="center" wrapText="1"/>
    </xf>
    <xf numFmtId="0" fontId="0" fillId="7" borderId="0" xfId="1" applyFont="1" applyFill="1" applyAlignment="1">
      <alignment vertical="top" wrapText="1"/>
    </xf>
    <xf numFmtId="10" fontId="7" fillId="0" borderId="0" xfId="11" applyNumberFormat="1" applyFont="1"/>
    <xf numFmtId="0" fontId="5" fillId="0" borderId="0" xfId="0" applyFont="1" applyFill="1" applyBorder="1" applyAlignment="1">
      <alignment horizontal="center"/>
    </xf>
    <xf numFmtId="0" fontId="7" fillId="0" borderId="0" xfId="0" applyFont="1" applyFill="1" applyBorder="1"/>
    <xf numFmtId="43" fontId="23" fillId="0" borderId="5" xfId="2" applyFont="1" applyBorder="1"/>
    <xf numFmtId="164" fontId="23" fillId="0" borderId="5" xfId="2" applyNumberFormat="1" applyFont="1" applyBorder="1"/>
    <xf numFmtId="0" fontId="23" fillId="6" borderId="2" xfId="1" applyNumberFormat="1" applyFont="1" applyFill="1" applyBorder="1" applyAlignment="1">
      <alignment horizontal="center"/>
    </xf>
    <xf numFmtId="0" fontId="23" fillId="5" borderId="0" xfId="1" applyNumberFormat="1" applyFont="1" applyFill="1" applyBorder="1" applyAlignment="1">
      <alignment horizontal="center"/>
    </xf>
    <xf numFmtId="3" fontId="29" fillId="0" borderId="0" xfId="1" applyNumberFormat="1" applyFont="1" applyAlignment="1">
      <alignment horizontal="right"/>
    </xf>
    <xf numFmtId="3" fontId="29" fillId="0" borderId="4" xfId="1" applyNumberFormat="1" applyFont="1" applyBorder="1" applyAlignment="1">
      <alignment horizontal="right"/>
    </xf>
    <xf numFmtId="3" fontId="29" fillId="0" borderId="3" xfId="1" applyNumberFormat="1" applyFont="1" applyBorder="1" applyAlignment="1">
      <alignment horizontal="right"/>
    </xf>
    <xf numFmtId="0" fontId="23" fillId="5" borderId="0" xfId="1" applyNumberFormat="1" applyFont="1" applyFill="1" applyAlignment="1">
      <alignment horizontal="center"/>
    </xf>
    <xf numFmtId="3" fontId="29" fillId="0" borderId="4" xfId="1" applyNumberFormat="1" applyFont="1" applyFill="1" applyBorder="1" applyAlignment="1">
      <alignment horizontal="right"/>
    </xf>
    <xf numFmtId="3" fontId="29" fillId="0" borderId="0" xfId="1" applyNumberFormat="1" applyFont="1" applyBorder="1" applyAlignment="1">
      <alignment horizontal="right"/>
    </xf>
    <xf numFmtId="0" fontId="20" fillId="0" borderId="0" xfId="1" applyFont="1" applyFill="1" applyAlignment="1"/>
    <xf numFmtId="37" fontId="26" fillId="0" borderId="0" xfId="1" applyNumberFormat="1" applyFont="1" applyBorder="1" applyAlignment="1">
      <alignment horizontal="left"/>
    </xf>
    <xf numFmtId="0" fontId="20" fillId="0" borderId="0" xfId="1" applyFont="1" applyBorder="1" applyAlignment="1">
      <alignment horizontal="center"/>
    </xf>
    <xf numFmtId="0" fontId="20" fillId="0" borderId="0" xfId="1" applyFont="1" applyFill="1"/>
    <xf numFmtId="0" fontId="23" fillId="6" borderId="16" xfId="1" applyFont="1" applyFill="1" applyBorder="1" applyAlignment="1">
      <alignment horizontal="left"/>
    </xf>
    <xf numFmtId="172" fontId="23" fillId="0" borderId="5" xfId="11" applyNumberFormat="1" applyFont="1" applyBorder="1" applyAlignment="1"/>
    <xf numFmtId="172" fontId="23" fillId="0" borderId="0" xfId="11" applyNumberFormat="1" applyFont="1" applyAlignment="1"/>
    <xf numFmtId="172" fontId="26" fillId="0" borderId="0" xfId="11" applyNumberFormat="1" applyFont="1" applyFill="1" applyAlignment="1"/>
    <xf numFmtId="172" fontId="26" fillId="0" borderId="0" xfId="11" applyNumberFormat="1" applyFont="1" applyFill="1" applyBorder="1" applyAlignment="1"/>
    <xf numFmtId="0" fontId="26" fillId="0" borderId="0" xfId="0" applyFont="1"/>
    <xf numFmtId="170" fontId="26" fillId="0" borderId="4" xfId="11" applyNumberFormat="1" applyFont="1" applyBorder="1" applyAlignment="1">
      <alignment horizontal="right"/>
    </xf>
    <xf numFmtId="172" fontId="23" fillId="0" borderId="0" xfId="11" applyNumberFormat="1" applyFont="1" applyFill="1" applyAlignment="1"/>
    <xf numFmtId="164" fontId="26" fillId="0" borderId="0" xfId="2" applyNumberFormat="1" applyFont="1" applyFill="1" applyAlignment="1">
      <alignment horizontal="right"/>
    </xf>
    <xf numFmtId="10" fontId="26" fillId="0" borderId="4" xfId="11" applyNumberFormat="1" applyFont="1" applyFill="1" applyBorder="1" applyAlignment="1">
      <alignment horizontal="right"/>
    </xf>
    <xf numFmtId="164" fontId="26" fillId="0" borderId="0" xfId="2" applyNumberFormat="1" applyFont="1" applyAlignment="1">
      <alignment horizontal="right"/>
    </xf>
    <xf numFmtId="10" fontId="26" fillId="0" borderId="0" xfId="11" applyNumberFormat="1" applyFont="1" applyAlignment="1"/>
    <xf numFmtId="164" fontId="23" fillId="0" borderId="0" xfId="2" applyNumberFormat="1" applyFont="1" applyFill="1" applyAlignment="1"/>
    <xf numFmtId="164" fontId="23" fillId="0" borderId="5" xfId="2" applyNumberFormat="1" applyFont="1" applyFill="1" applyBorder="1" applyAlignment="1">
      <alignment horizontal="right"/>
    </xf>
    <xf numFmtId="10" fontId="26" fillId="0" borderId="0" xfId="11" applyNumberFormat="1" applyFont="1" applyFill="1" applyBorder="1"/>
    <xf numFmtId="3" fontId="23" fillId="0" borderId="0" xfId="6" applyNumberFormat="1" applyFont="1" applyBorder="1" applyAlignment="1">
      <alignment horizontal="right"/>
    </xf>
    <xf numFmtId="3" fontId="23" fillId="0" borderId="12" xfId="6" applyNumberFormat="1" applyFont="1" applyBorder="1" applyAlignment="1">
      <alignment horizontal="right"/>
    </xf>
    <xf numFmtId="169" fontId="26" fillId="0" borderId="0" xfId="10" applyFont="1" applyFill="1" applyAlignment="1" applyProtection="1">
      <protection locked="0"/>
    </xf>
    <xf numFmtId="0" fontId="27" fillId="0" borderId="0" xfId="1" applyNumberFormat="1" applyFont="1" applyFill="1" applyBorder="1" applyAlignment="1">
      <alignment horizontal="left"/>
    </xf>
    <xf numFmtId="174" fontId="26" fillId="0" borderId="0" xfId="1" applyNumberFormat="1" applyFont="1" applyFill="1" applyBorder="1" applyAlignment="1">
      <alignment horizontal="left"/>
    </xf>
    <xf numFmtId="37" fontId="35" fillId="0" borderId="24" xfId="1" applyNumberFormat="1" applyFont="1" applyBorder="1" applyAlignment="1">
      <alignment horizontal="right" wrapText="1"/>
    </xf>
    <xf numFmtId="3" fontId="7" fillId="0" borderId="24" xfId="1" applyNumberFormat="1" applyFont="1" applyFill="1" applyBorder="1"/>
    <xf numFmtId="0" fontId="57" fillId="0" borderId="0" xfId="0" applyFont="1" applyFill="1" applyBorder="1" applyAlignment="1">
      <alignment horizontal="center"/>
    </xf>
    <xf numFmtId="0" fontId="5" fillId="0" borderId="0" xfId="0" applyFont="1" applyFill="1" applyBorder="1" applyAlignment="1">
      <alignment horizontal="center" wrapText="1"/>
    </xf>
    <xf numFmtId="0" fontId="5" fillId="0" borderId="15" xfId="0" applyFont="1" applyFill="1" applyBorder="1" applyAlignment="1">
      <alignment horizontal="center" wrapText="1"/>
    </xf>
    <xf numFmtId="0" fontId="42" fillId="0" borderId="0" xfId="0" applyFont="1" applyFill="1" applyBorder="1" applyAlignment="1"/>
    <xf numFmtId="0" fontId="42" fillId="0" borderId="0" xfId="0" applyFont="1" applyFill="1" applyBorder="1" applyAlignment="1">
      <alignment horizontal="center"/>
    </xf>
    <xf numFmtId="0" fontId="42" fillId="0" borderId="16" xfId="0" applyFont="1" applyFill="1" applyBorder="1" applyAlignment="1">
      <alignment horizontal="left"/>
    </xf>
    <xf numFmtId="0" fontId="42" fillId="0" borderId="0" xfId="0" applyFont="1" applyFill="1" applyBorder="1" applyAlignment="1">
      <alignment horizontal="left"/>
    </xf>
    <xf numFmtId="43" fontId="59" fillId="0" borderId="0" xfId="2" applyFont="1" applyFill="1" applyBorder="1" applyAlignment="1"/>
    <xf numFmtId="0" fontId="7" fillId="0" borderId="2" xfId="0" applyFont="1" applyFill="1" applyBorder="1"/>
    <xf numFmtId="0" fontId="7" fillId="0" borderId="0" xfId="0" applyFont="1" applyFill="1" applyBorder="1" applyAlignment="1"/>
    <xf numFmtId="0" fontId="42" fillId="0" borderId="0" xfId="0" applyFont="1" applyFill="1" applyBorder="1" applyAlignment="1">
      <alignment wrapText="1"/>
    </xf>
    <xf numFmtId="0" fontId="6" fillId="0" borderId="0" xfId="0" applyFont="1" applyFill="1" applyBorder="1" applyAlignment="1"/>
    <xf numFmtId="166" fontId="7" fillId="0" borderId="0" xfId="0" applyNumberFormat="1" applyFont="1" applyFill="1" applyBorder="1" applyAlignment="1">
      <alignment horizontal="center"/>
    </xf>
    <xf numFmtId="0" fontId="7" fillId="0" borderId="0" xfId="0" applyFont="1" applyFill="1" applyBorder="1" applyAlignment="1">
      <alignment horizontal="center"/>
    </xf>
    <xf numFmtId="43" fontId="7" fillId="0" borderId="0" xfId="2" applyFont="1" applyFill="1" applyBorder="1" applyAlignment="1"/>
    <xf numFmtId="0" fontId="56"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55" fillId="0" borderId="0" xfId="0" applyFont="1" applyFill="1" applyBorder="1" applyAlignment="1"/>
    <xf numFmtId="0" fontId="6" fillId="0" borderId="15" xfId="0" applyFont="1" applyFill="1" applyBorder="1" applyAlignment="1">
      <alignment horizontal="center" wrapText="1"/>
    </xf>
    <xf numFmtId="0" fontId="7" fillId="0" borderId="16" xfId="0" applyFont="1" applyFill="1" applyBorder="1" applyAlignment="1"/>
    <xf numFmtId="0" fontId="7" fillId="0" borderId="15" xfId="0" applyFont="1" applyFill="1" applyBorder="1"/>
    <xf numFmtId="0" fontId="7" fillId="0" borderId="6" xfId="0" applyFont="1" applyFill="1" applyBorder="1" applyAlignment="1"/>
    <xf numFmtId="0" fontId="7" fillId="0" borderId="2" xfId="0" applyFont="1" applyFill="1" applyBorder="1" applyAlignment="1"/>
    <xf numFmtId="0" fontId="7" fillId="0" borderId="2" xfId="0" applyFont="1" applyFill="1" applyBorder="1" applyAlignment="1">
      <alignment horizontal="center"/>
    </xf>
    <xf numFmtId="166" fontId="7" fillId="0" borderId="2" xfId="6" applyNumberFormat="1" applyFont="1" applyFill="1" applyBorder="1" applyAlignment="1">
      <alignment horizontal="center"/>
    </xf>
    <xf numFmtId="166" fontId="7" fillId="0" borderId="2" xfId="0" applyNumberFormat="1" applyFont="1" applyFill="1" applyBorder="1" applyAlignment="1">
      <alignment horizontal="center"/>
    </xf>
    <xf numFmtId="0" fontId="10" fillId="0" borderId="2" xfId="0" applyFont="1" applyFill="1" applyBorder="1"/>
    <xf numFmtId="0" fontId="7" fillId="0" borderId="9" xfId="0" applyFont="1" applyFill="1" applyBorder="1"/>
    <xf numFmtId="0" fontId="55" fillId="0" borderId="0" xfId="0" applyFont="1" applyFill="1" applyBorder="1"/>
    <xf numFmtId="166" fontId="7" fillId="0" borderId="24" xfId="0" applyNumberFormat="1" applyFont="1" applyFill="1" applyBorder="1" applyAlignment="1">
      <alignment horizontal="center"/>
    </xf>
    <xf numFmtId="164" fontId="7" fillId="0" borderId="0" xfId="1" applyNumberFormat="1" applyFont="1" applyAlignment="1">
      <alignment horizontal="center"/>
    </xf>
    <xf numFmtId="0" fontId="4" fillId="0" borderId="0" xfId="22" applyFont="1"/>
    <xf numFmtId="0" fontId="4" fillId="0" borderId="0" xfId="22" applyFont="1" applyAlignment="1">
      <alignment horizontal="center"/>
    </xf>
    <xf numFmtId="0" fontId="5" fillId="0" borderId="4" xfId="22" applyFont="1" applyBorder="1" applyAlignment="1">
      <alignment horizontal="center"/>
    </xf>
    <xf numFmtId="0" fontId="5" fillId="0" borderId="0" xfId="22" applyFont="1"/>
    <xf numFmtId="43" fontId="4" fillId="0" borderId="0" xfId="2" applyNumberFormat="1" applyFont="1"/>
    <xf numFmtId="13" fontId="4" fillId="0" borderId="0" xfId="22" applyNumberFormat="1" applyFont="1"/>
    <xf numFmtId="49" fontId="4" fillId="0" borderId="0" xfId="22" applyNumberFormat="1" applyFont="1" applyAlignment="1">
      <alignment horizontal="left" indent="1"/>
    </xf>
    <xf numFmtId="2" fontId="4" fillId="0" borderId="0" xfId="22" applyNumberFormat="1" applyFont="1"/>
    <xf numFmtId="17" fontId="4" fillId="0" borderId="0" xfId="22" applyNumberFormat="1" applyFont="1"/>
    <xf numFmtId="164" fontId="7" fillId="25" borderId="0" xfId="2" applyNumberFormat="1" applyFont="1" applyFill="1" applyBorder="1" applyAlignment="1">
      <alignment horizontal="right"/>
    </xf>
    <xf numFmtId="1" fontId="16" fillId="14" borderId="15" xfId="2" applyNumberFormat="1" applyFont="1" applyFill="1" applyBorder="1" applyAlignment="1">
      <alignment horizontal="right"/>
    </xf>
    <xf numFmtId="1" fontId="16" fillId="12" borderId="15" xfId="2" applyNumberFormat="1" applyFont="1" applyFill="1" applyBorder="1" applyAlignment="1">
      <alignment horizontal="right"/>
    </xf>
    <xf numFmtId="1" fontId="16" fillId="18" borderId="15" xfId="2" applyNumberFormat="1" applyFont="1" applyFill="1" applyBorder="1" applyAlignment="1">
      <alignment horizontal="right"/>
    </xf>
    <xf numFmtId="1" fontId="16" fillId="8" borderId="0" xfId="2" applyNumberFormat="1" applyFont="1" applyFill="1" applyBorder="1" applyAlignment="1">
      <alignment horizontal="right"/>
    </xf>
    <xf numFmtId="1" fontId="16" fillId="13" borderId="0" xfId="2" applyNumberFormat="1" applyFont="1" applyFill="1" applyBorder="1" applyAlignment="1">
      <alignment horizontal="right"/>
    </xf>
    <xf numFmtId="1" fontId="16" fillId="10" borderId="0" xfId="2" applyNumberFormat="1" applyFont="1" applyFill="1" applyBorder="1" applyAlignment="1">
      <alignment horizontal="right"/>
    </xf>
    <xf numFmtId="1" fontId="16" fillId="11" borderId="0" xfId="2" applyNumberFormat="1" applyFont="1" applyFill="1" applyBorder="1" applyAlignment="1">
      <alignment horizontal="right"/>
    </xf>
    <xf numFmtId="1" fontId="7" fillId="4" borderId="0" xfId="2" applyNumberFormat="1" applyFont="1" applyFill="1" applyBorder="1" applyAlignment="1">
      <alignment horizontal="right"/>
    </xf>
    <xf numFmtId="1" fontId="7" fillId="10" borderId="0" xfId="2" applyNumberFormat="1" applyFont="1" applyFill="1" applyBorder="1" applyAlignment="1">
      <alignment horizontal="right"/>
    </xf>
    <xf numFmtId="1" fontId="7" fillId="23" borderId="0" xfId="2" applyNumberFormat="1" applyFont="1" applyFill="1" applyBorder="1" applyAlignment="1">
      <alignment horizontal="right"/>
    </xf>
    <xf numFmtId="1" fontId="7" fillId="18" borderId="0" xfId="2" applyNumberFormat="1" applyFont="1" applyFill="1" applyBorder="1" applyAlignment="1">
      <alignment horizontal="right"/>
    </xf>
    <xf numFmtId="1" fontId="7" fillId="25" borderId="0" xfId="2" applyNumberFormat="1" applyFont="1" applyFill="1" applyBorder="1" applyAlignment="1">
      <alignment horizontal="right"/>
    </xf>
    <xf numFmtId="1" fontId="7" fillId="12" borderId="0" xfId="2" applyNumberFormat="1" applyFont="1" applyFill="1" applyBorder="1" applyAlignment="1">
      <alignment horizontal="right"/>
    </xf>
    <xf numFmtId="1" fontId="7" fillId="11" borderId="0" xfId="2" applyNumberFormat="1" applyFont="1" applyFill="1" applyBorder="1" applyAlignment="1">
      <alignment horizontal="right"/>
    </xf>
    <xf numFmtId="1" fontId="7" fillId="20" borderId="0" xfId="2" applyNumberFormat="1" applyFont="1" applyFill="1" applyBorder="1" applyAlignment="1">
      <alignment horizontal="right"/>
    </xf>
    <xf numFmtId="1" fontId="7" fillId="17" borderId="0" xfId="2" applyNumberFormat="1" applyFont="1" applyFill="1" applyBorder="1" applyAlignment="1">
      <alignment horizontal="right"/>
    </xf>
    <xf numFmtId="164" fontId="16" fillId="14" borderId="15" xfId="2" applyNumberFormat="1" applyFont="1" applyFill="1" applyBorder="1" applyAlignment="1">
      <alignment horizontal="right"/>
    </xf>
    <xf numFmtId="164" fontId="16" fillId="12" borderId="15" xfId="2" applyNumberFormat="1" applyFont="1" applyFill="1" applyBorder="1" applyAlignment="1">
      <alignment horizontal="right"/>
    </xf>
    <xf numFmtId="164" fontId="16" fillId="18" borderId="15" xfId="2" applyNumberFormat="1" applyFont="1" applyFill="1" applyBorder="1" applyAlignment="1">
      <alignment horizontal="right"/>
    </xf>
    <xf numFmtId="164" fontId="7" fillId="11" borderId="0" xfId="2" applyNumberFormat="1" applyFont="1" applyFill="1" applyBorder="1" applyAlignment="1">
      <alignment horizontal="right"/>
    </xf>
    <xf numFmtId="164" fontId="16" fillId="17" borderId="0" xfId="2" applyNumberFormat="1" applyFont="1" applyFill="1" applyBorder="1" applyAlignment="1">
      <alignment horizontal="right"/>
    </xf>
    <xf numFmtId="164" fontId="16" fillId="17" borderId="15" xfId="2" applyNumberFormat="1" applyFont="1" applyFill="1" applyBorder="1" applyAlignment="1">
      <alignment horizontal="right"/>
    </xf>
    <xf numFmtId="164" fontId="16" fillId="14" borderId="0" xfId="2" applyNumberFormat="1" applyFont="1" applyFill="1" applyBorder="1" applyAlignment="1">
      <alignment horizontal="right"/>
    </xf>
    <xf numFmtId="164" fontId="16" fillId="12" borderId="0" xfId="2" applyNumberFormat="1" applyFont="1" applyFill="1" applyBorder="1" applyAlignment="1">
      <alignment horizontal="right"/>
    </xf>
    <xf numFmtId="164" fontId="16" fillId="18" borderId="0" xfId="2" applyNumberFormat="1" applyFont="1" applyFill="1" applyBorder="1" applyAlignment="1">
      <alignment horizontal="right"/>
    </xf>
    <xf numFmtId="164" fontId="16" fillId="8" borderId="0" xfId="2" applyNumberFormat="1" applyFont="1" applyFill="1" applyBorder="1" applyAlignment="1">
      <alignment horizontal="right"/>
    </xf>
    <xf numFmtId="164" fontId="16" fillId="8" borderId="15" xfId="2" applyNumberFormat="1" applyFont="1" applyFill="1" applyBorder="1" applyAlignment="1">
      <alignment horizontal="right"/>
    </xf>
    <xf numFmtId="164" fontId="16" fillId="13" borderId="0" xfId="2" applyNumberFormat="1" applyFont="1" applyFill="1" applyBorder="1" applyAlignment="1">
      <alignment horizontal="right"/>
    </xf>
    <xf numFmtId="164" fontId="16" fillId="13" borderId="15" xfId="2" applyNumberFormat="1" applyFont="1" applyFill="1" applyBorder="1" applyAlignment="1">
      <alignment horizontal="right"/>
    </xf>
    <xf numFmtId="164" fontId="16" fillId="15" borderId="0" xfId="2" applyNumberFormat="1" applyFont="1" applyFill="1" applyBorder="1" applyAlignment="1">
      <alignment horizontal="right"/>
    </xf>
    <xf numFmtId="164" fontId="16" fillId="15" borderId="15" xfId="2" applyNumberFormat="1" applyFont="1" applyFill="1" applyBorder="1" applyAlignment="1">
      <alignment horizontal="right"/>
    </xf>
    <xf numFmtId="164" fontId="16" fillId="10" borderId="0" xfId="2" applyNumberFormat="1" applyFont="1" applyFill="1" applyBorder="1" applyAlignment="1">
      <alignment horizontal="right"/>
    </xf>
    <xf numFmtId="164" fontId="16" fillId="10" borderId="15" xfId="2" applyNumberFormat="1" applyFont="1" applyFill="1" applyBorder="1" applyAlignment="1">
      <alignment horizontal="right"/>
    </xf>
    <xf numFmtId="164" fontId="16" fillId="11" borderId="0" xfId="2" applyNumberFormat="1" applyFont="1" applyFill="1" applyBorder="1" applyAlignment="1">
      <alignment horizontal="right"/>
    </xf>
    <xf numFmtId="164" fontId="16" fillId="11" borderId="15" xfId="2" applyNumberFormat="1" applyFont="1" applyFill="1" applyBorder="1" applyAlignment="1">
      <alignment horizontal="right"/>
    </xf>
    <xf numFmtId="164" fontId="16" fillId="19" borderId="0" xfId="2" applyNumberFormat="1" applyFont="1" applyFill="1" applyBorder="1" applyAlignment="1">
      <alignment horizontal="right"/>
    </xf>
    <xf numFmtId="164" fontId="7" fillId="4" borderId="0" xfId="2" applyNumberFormat="1" applyFont="1" applyFill="1" applyBorder="1" applyAlignment="1">
      <alignment horizontal="right"/>
    </xf>
    <xf numFmtId="164" fontId="7" fillId="4" borderId="15" xfId="2" applyNumberFormat="1" applyFont="1" applyFill="1" applyBorder="1" applyAlignment="1">
      <alignment horizontal="right"/>
    </xf>
    <xf numFmtId="164" fontId="7" fillId="10" borderId="0" xfId="2" applyNumberFormat="1" applyFont="1" applyFill="1" applyBorder="1" applyAlignment="1">
      <alignment horizontal="right"/>
    </xf>
    <xf numFmtId="164" fontId="7" fillId="10" borderId="15" xfId="2" applyNumberFormat="1" applyFont="1" applyFill="1" applyBorder="1" applyAlignment="1">
      <alignment horizontal="right"/>
    </xf>
    <xf numFmtId="164" fontId="7" fillId="23" borderId="0" xfId="2" applyNumberFormat="1" applyFont="1" applyFill="1" applyBorder="1" applyAlignment="1">
      <alignment horizontal="right"/>
    </xf>
    <xf numFmtId="164" fontId="7" fillId="23" borderId="15" xfId="2" applyNumberFormat="1" applyFont="1" applyFill="1" applyBorder="1" applyAlignment="1">
      <alignment horizontal="right"/>
    </xf>
    <xf numFmtId="43" fontId="7" fillId="18" borderId="0" xfId="2" applyNumberFormat="1" applyFont="1" applyFill="1" applyBorder="1" applyAlignment="1">
      <alignment horizontal="right"/>
    </xf>
    <xf numFmtId="164" fontId="7" fillId="12" borderId="0" xfId="2" applyNumberFormat="1" applyFont="1" applyFill="1" applyBorder="1" applyAlignment="1">
      <alignment horizontal="right"/>
    </xf>
    <xf numFmtId="164" fontId="7" fillId="12" borderId="15" xfId="2" applyNumberFormat="1" applyFont="1" applyFill="1" applyBorder="1" applyAlignment="1">
      <alignment horizontal="right"/>
    </xf>
    <xf numFmtId="9" fontId="7" fillId="20" borderId="0" xfId="11" applyFont="1" applyFill="1" applyBorder="1" applyAlignment="1">
      <alignment horizontal="right"/>
    </xf>
    <xf numFmtId="9" fontId="7" fillId="20" borderId="15" xfId="11" applyFont="1" applyFill="1" applyBorder="1" applyAlignment="1">
      <alignment horizontal="right"/>
    </xf>
    <xf numFmtId="164" fontId="7" fillId="17" borderId="0" xfId="2" applyNumberFormat="1" applyFont="1" applyFill="1" applyBorder="1" applyAlignment="1">
      <alignment horizontal="right"/>
    </xf>
    <xf numFmtId="164" fontId="7" fillId="17" borderId="15" xfId="2" applyNumberFormat="1" applyFont="1" applyFill="1" applyBorder="1" applyAlignment="1">
      <alignment horizontal="right"/>
    </xf>
    <xf numFmtId="164" fontId="7" fillId="18" borderId="0" xfId="2" applyNumberFormat="1" applyFont="1" applyFill="1" applyBorder="1" applyAlignment="1">
      <alignment horizontal="right"/>
    </xf>
    <xf numFmtId="164" fontId="7" fillId="18" borderId="15" xfId="2" applyNumberFormat="1" applyFont="1" applyFill="1" applyBorder="1" applyAlignment="1">
      <alignment horizontal="right"/>
    </xf>
    <xf numFmtId="43" fontId="16" fillId="17" borderId="0" xfId="2" applyNumberFormat="1" applyFont="1" applyFill="1" applyBorder="1" applyAlignment="1">
      <alignment horizontal="right"/>
    </xf>
    <xf numFmtId="43" fontId="16" fillId="14" borderId="0" xfId="2" applyNumberFormat="1" applyFont="1" applyFill="1" applyBorder="1" applyAlignment="1">
      <alignment horizontal="right"/>
    </xf>
    <xf numFmtId="43" fontId="16" fillId="14" borderId="15" xfId="2" applyNumberFormat="1" applyFont="1" applyFill="1" applyBorder="1" applyAlignment="1">
      <alignment horizontal="right"/>
    </xf>
    <xf numFmtId="43" fontId="16" fillId="12" borderId="0" xfId="2" applyNumberFormat="1" applyFont="1" applyFill="1" applyBorder="1" applyAlignment="1">
      <alignment horizontal="right"/>
    </xf>
    <xf numFmtId="43" fontId="16" fillId="12" borderId="15" xfId="2" applyNumberFormat="1" applyFont="1" applyFill="1" applyBorder="1" applyAlignment="1">
      <alignment horizontal="right"/>
    </xf>
    <xf numFmtId="43" fontId="16" fillId="18" borderId="0" xfId="2" applyNumberFormat="1" applyFont="1" applyFill="1" applyBorder="1" applyAlignment="1">
      <alignment horizontal="right"/>
    </xf>
    <xf numFmtId="43" fontId="16" fillId="18" borderId="15" xfId="2" applyNumberFormat="1" applyFont="1" applyFill="1" applyBorder="1" applyAlignment="1">
      <alignment horizontal="right"/>
    </xf>
    <xf numFmtId="43" fontId="16" fillId="8" borderId="0" xfId="2" applyNumberFormat="1" applyFont="1" applyFill="1" applyBorder="1" applyAlignment="1">
      <alignment horizontal="right"/>
    </xf>
    <xf numFmtId="43" fontId="16" fillId="8" borderId="15" xfId="2" applyNumberFormat="1" applyFont="1" applyFill="1" applyBorder="1" applyAlignment="1">
      <alignment horizontal="right"/>
    </xf>
    <xf numFmtId="43" fontId="16" fillId="13" borderId="0" xfId="2" applyNumberFormat="1" applyFont="1" applyFill="1" applyBorder="1" applyAlignment="1">
      <alignment horizontal="right"/>
    </xf>
    <xf numFmtId="43" fontId="16" fillId="13" borderId="15" xfId="2" applyNumberFormat="1" applyFont="1" applyFill="1" applyBorder="1" applyAlignment="1">
      <alignment horizontal="right"/>
    </xf>
    <xf numFmtId="43" fontId="16" fillId="15" borderId="0" xfId="2" applyNumberFormat="1" applyFont="1" applyFill="1" applyBorder="1" applyAlignment="1">
      <alignment horizontal="right"/>
    </xf>
    <xf numFmtId="43" fontId="16" fillId="15" borderId="15" xfId="2" applyNumberFormat="1" applyFont="1" applyFill="1" applyBorder="1" applyAlignment="1">
      <alignment horizontal="right"/>
    </xf>
    <xf numFmtId="43" fontId="16" fillId="10" borderId="0" xfId="2" applyNumberFormat="1" applyFont="1" applyFill="1" applyBorder="1" applyAlignment="1">
      <alignment horizontal="right"/>
    </xf>
    <xf numFmtId="43" fontId="16" fillId="10" borderId="15" xfId="2" applyNumberFormat="1" applyFont="1" applyFill="1" applyBorder="1" applyAlignment="1">
      <alignment horizontal="right"/>
    </xf>
    <xf numFmtId="43" fontId="16" fillId="11" borderId="0" xfId="2" applyNumberFormat="1" applyFont="1" applyFill="1" applyBorder="1" applyAlignment="1">
      <alignment horizontal="right"/>
    </xf>
    <xf numFmtId="43" fontId="16" fillId="11" borderId="15" xfId="2" applyNumberFormat="1" applyFont="1" applyFill="1" applyBorder="1" applyAlignment="1">
      <alignment horizontal="right"/>
    </xf>
    <xf numFmtId="43" fontId="16" fillId="19" borderId="0" xfId="2" applyNumberFormat="1" applyFont="1" applyFill="1" applyBorder="1" applyAlignment="1">
      <alignment horizontal="right"/>
    </xf>
    <xf numFmtId="43" fontId="7" fillId="4" borderId="0" xfId="2" applyNumberFormat="1" applyFont="1" applyFill="1" applyBorder="1" applyAlignment="1">
      <alignment horizontal="right"/>
    </xf>
    <xf numFmtId="43" fontId="7" fillId="4" borderId="15" xfId="2" applyNumberFormat="1" applyFont="1" applyFill="1" applyBorder="1" applyAlignment="1">
      <alignment horizontal="right"/>
    </xf>
    <xf numFmtId="43" fontId="7" fillId="10" borderId="0" xfId="2" applyNumberFormat="1" applyFont="1" applyFill="1" applyBorder="1" applyAlignment="1">
      <alignment horizontal="right"/>
    </xf>
    <xf numFmtId="43" fontId="7" fillId="10" borderId="15" xfId="2" applyNumberFormat="1" applyFont="1" applyFill="1" applyBorder="1" applyAlignment="1">
      <alignment horizontal="right"/>
    </xf>
    <xf numFmtId="43" fontId="7" fillId="23" borderId="0" xfId="2" applyNumberFormat="1" applyFont="1" applyFill="1" applyBorder="1" applyAlignment="1">
      <alignment horizontal="right"/>
    </xf>
    <xf numFmtId="43" fontId="7" fillId="23" borderId="15" xfId="2" applyNumberFormat="1" applyFont="1" applyFill="1" applyBorder="1" applyAlignment="1">
      <alignment horizontal="right"/>
    </xf>
    <xf numFmtId="43" fontId="7" fillId="18" borderId="15" xfId="2" applyNumberFormat="1" applyFont="1" applyFill="1" applyBorder="1" applyAlignment="1">
      <alignment horizontal="right"/>
    </xf>
    <xf numFmtId="43" fontId="7" fillId="25" borderId="0" xfId="2" applyNumberFormat="1" applyFont="1" applyFill="1" applyBorder="1" applyAlignment="1">
      <alignment horizontal="right"/>
    </xf>
    <xf numFmtId="43" fontId="7" fillId="12" borderId="0" xfId="2" applyNumberFormat="1" applyFont="1" applyFill="1" applyBorder="1" applyAlignment="1">
      <alignment horizontal="right"/>
    </xf>
    <xf numFmtId="43" fontId="7" fillId="12" borderId="15" xfId="2" applyNumberFormat="1" applyFont="1" applyFill="1" applyBorder="1" applyAlignment="1">
      <alignment horizontal="right"/>
    </xf>
    <xf numFmtId="43" fontId="7" fillId="11" borderId="0" xfId="2" applyNumberFormat="1" applyFont="1" applyFill="1" applyBorder="1" applyAlignment="1">
      <alignment horizontal="right"/>
    </xf>
    <xf numFmtId="43" fontId="7" fillId="20" borderId="0" xfId="2" applyNumberFormat="1" applyFont="1" applyFill="1" applyBorder="1" applyAlignment="1">
      <alignment horizontal="right"/>
    </xf>
    <xf numFmtId="43" fontId="7" fillId="20" borderId="15" xfId="2" applyNumberFormat="1" applyFont="1" applyFill="1" applyBorder="1" applyAlignment="1">
      <alignment horizontal="right"/>
    </xf>
    <xf numFmtId="43" fontId="7" fillId="17" borderId="0" xfId="2" applyNumberFormat="1" applyFont="1" applyFill="1" applyBorder="1" applyAlignment="1">
      <alignment horizontal="right"/>
    </xf>
    <xf numFmtId="43" fontId="7" fillId="17" borderId="15" xfId="2" applyNumberFormat="1" applyFont="1" applyFill="1" applyBorder="1" applyAlignment="1">
      <alignment horizontal="right"/>
    </xf>
    <xf numFmtId="1" fontId="16" fillId="17" borderId="2" xfId="2" quotePrefix="1" applyNumberFormat="1" applyFont="1" applyFill="1" applyBorder="1" applyAlignment="1">
      <alignment horizontal="right"/>
    </xf>
    <xf numFmtId="1" fontId="16" fillId="14" borderId="2" xfId="2" applyNumberFormat="1" applyFont="1" applyFill="1" applyBorder="1" applyAlignment="1">
      <alignment horizontal="right"/>
    </xf>
    <xf numFmtId="1" fontId="16" fillId="14" borderId="9" xfId="2" applyNumberFormat="1" applyFont="1" applyFill="1" applyBorder="1" applyAlignment="1">
      <alignment horizontal="right"/>
    </xf>
    <xf numFmtId="1" fontId="16" fillId="12" borderId="2" xfId="2" applyNumberFormat="1" applyFont="1" applyFill="1" applyBorder="1" applyAlignment="1">
      <alignment horizontal="right"/>
    </xf>
    <xf numFmtId="1" fontId="16" fillId="12" borderId="9" xfId="2" applyNumberFormat="1" applyFont="1" applyFill="1" applyBorder="1" applyAlignment="1">
      <alignment horizontal="right"/>
    </xf>
    <xf numFmtId="1" fontId="16" fillId="18" borderId="2" xfId="2" applyNumberFormat="1" applyFont="1" applyFill="1" applyBorder="1" applyAlignment="1">
      <alignment horizontal="right"/>
    </xf>
    <xf numFmtId="1" fontId="16" fillId="18" borderId="9" xfId="2" applyNumberFormat="1" applyFont="1" applyFill="1" applyBorder="1" applyAlignment="1">
      <alignment horizontal="right"/>
    </xf>
    <xf numFmtId="164" fontId="16" fillId="8" borderId="2" xfId="2" applyNumberFormat="1" applyFont="1" applyFill="1" applyBorder="1" applyAlignment="1">
      <alignment horizontal="right"/>
    </xf>
    <xf numFmtId="164" fontId="16" fillId="8" borderId="9" xfId="2" applyNumberFormat="1" applyFont="1" applyFill="1" applyBorder="1" applyAlignment="1">
      <alignment horizontal="right"/>
    </xf>
    <xf numFmtId="164" fontId="16" fillId="13" borderId="2" xfId="2" applyNumberFormat="1" applyFont="1" applyFill="1" applyBorder="1" applyAlignment="1">
      <alignment horizontal="right"/>
    </xf>
    <xf numFmtId="164" fontId="16" fillId="13" borderId="9" xfId="2" applyNumberFormat="1" applyFont="1" applyFill="1" applyBorder="1" applyAlignment="1">
      <alignment horizontal="right"/>
    </xf>
    <xf numFmtId="164" fontId="16" fillId="15" borderId="2" xfId="2" applyNumberFormat="1" applyFont="1" applyFill="1" applyBorder="1" applyAlignment="1">
      <alignment horizontal="right"/>
    </xf>
    <xf numFmtId="164" fontId="16" fillId="15" borderId="9" xfId="2" applyNumberFormat="1" applyFont="1" applyFill="1" applyBorder="1" applyAlignment="1">
      <alignment horizontal="right"/>
    </xf>
    <xf numFmtId="164" fontId="16" fillId="10" borderId="2" xfId="2" applyNumberFormat="1" applyFont="1" applyFill="1" applyBorder="1" applyAlignment="1">
      <alignment horizontal="right"/>
    </xf>
    <xf numFmtId="164" fontId="16" fillId="10" borderId="9" xfId="2" applyNumberFormat="1" applyFont="1" applyFill="1" applyBorder="1" applyAlignment="1">
      <alignment horizontal="right"/>
    </xf>
    <xf numFmtId="164" fontId="16" fillId="11" borderId="2" xfId="2" applyNumberFormat="1" applyFont="1" applyFill="1" applyBorder="1" applyAlignment="1">
      <alignment horizontal="right"/>
    </xf>
    <xf numFmtId="164" fontId="16" fillId="11" borderId="9" xfId="2" applyNumberFormat="1" applyFont="1" applyFill="1" applyBorder="1" applyAlignment="1">
      <alignment horizontal="right"/>
    </xf>
    <xf numFmtId="164" fontId="7" fillId="4" borderId="2" xfId="2" applyNumberFormat="1" applyFont="1" applyFill="1" applyBorder="1" applyAlignment="1">
      <alignment horizontal="right"/>
    </xf>
    <xf numFmtId="164" fontId="7" fillId="4" borderId="9" xfId="2" applyNumberFormat="1" applyFont="1" applyFill="1" applyBorder="1" applyAlignment="1">
      <alignment horizontal="right"/>
    </xf>
    <xf numFmtId="164" fontId="7" fillId="10" borderId="2" xfId="2" applyNumberFormat="1" applyFont="1" applyFill="1" applyBorder="1" applyAlignment="1">
      <alignment horizontal="right"/>
    </xf>
    <xf numFmtId="164" fontId="7" fillId="10" borderId="9" xfId="2" applyNumberFormat="1" applyFont="1" applyFill="1" applyBorder="1" applyAlignment="1">
      <alignment horizontal="right"/>
    </xf>
    <xf numFmtId="164" fontId="7" fillId="23" borderId="2" xfId="2" applyNumberFormat="1" applyFont="1" applyFill="1" applyBorder="1" applyAlignment="1">
      <alignment horizontal="right"/>
    </xf>
    <xf numFmtId="164" fontId="7" fillId="23" borderId="9" xfId="2" applyNumberFormat="1" applyFont="1" applyFill="1" applyBorder="1" applyAlignment="1">
      <alignment horizontal="right"/>
    </xf>
    <xf numFmtId="164" fontId="7" fillId="18" borderId="2" xfId="2" applyNumberFormat="1" applyFont="1" applyFill="1" applyBorder="1" applyAlignment="1">
      <alignment horizontal="right"/>
    </xf>
    <xf numFmtId="164" fontId="7" fillId="18" borderId="9" xfId="2" applyNumberFormat="1" applyFont="1" applyFill="1" applyBorder="1" applyAlignment="1">
      <alignment horizontal="right"/>
    </xf>
    <xf numFmtId="164" fontId="7" fillId="25" borderId="2" xfId="2" applyNumberFormat="1" applyFont="1" applyFill="1" applyBorder="1" applyAlignment="1">
      <alignment horizontal="right"/>
    </xf>
    <xf numFmtId="164" fontId="7" fillId="12" borderId="2" xfId="2" applyNumberFormat="1" applyFont="1" applyFill="1" applyBorder="1" applyAlignment="1">
      <alignment horizontal="right"/>
    </xf>
    <xf numFmtId="164" fontId="7" fillId="12" borderId="9" xfId="2" applyNumberFormat="1" applyFont="1" applyFill="1" applyBorder="1" applyAlignment="1">
      <alignment horizontal="right"/>
    </xf>
    <xf numFmtId="164" fontId="7" fillId="11" borderId="2" xfId="2" applyNumberFormat="1" applyFont="1" applyFill="1" applyBorder="1" applyAlignment="1">
      <alignment horizontal="right"/>
    </xf>
    <xf numFmtId="164" fontId="7" fillId="20" borderId="2" xfId="2" applyNumberFormat="1" applyFont="1" applyFill="1" applyBorder="1" applyAlignment="1">
      <alignment horizontal="right"/>
    </xf>
    <xf numFmtId="164" fontId="7" fillId="20" borderId="9" xfId="2" applyNumberFormat="1" applyFont="1" applyFill="1" applyBorder="1" applyAlignment="1">
      <alignment horizontal="right"/>
    </xf>
    <xf numFmtId="164" fontId="7" fillId="17" borderId="2" xfId="2" applyNumberFormat="1" applyFont="1" applyFill="1" applyBorder="1" applyAlignment="1">
      <alignment horizontal="right"/>
    </xf>
    <xf numFmtId="164" fontId="7" fillId="17" borderId="9" xfId="2" applyNumberFormat="1" applyFont="1" applyFill="1" applyBorder="1" applyAlignment="1">
      <alignment horizontal="right"/>
    </xf>
    <xf numFmtId="10" fontId="26" fillId="8" borderId="0" xfId="1" applyNumberFormat="1" applyFont="1" applyFill="1" applyProtection="1">
      <protection locked="0"/>
    </xf>
    <xf numFmtId="37" fontId="7" fillId="8" borderId="5" xfId="1" applyNumberFormat="1" applyFont="1" applyFill="1" applyBorder="1" applyAlignment="1" applyProtection="1">
      <alignment horizontal="right" wrapText="1"/>
      <protection locked="0"/>
    </xf>
    <xf numFmtId="3" fontId="7" fillId="8" borderId="0" xfId="1" applyNumberFormat="1" applyFont="1" applyFill="1" applyBorder="1" applyProtection="1">
      <protection locked="0"/>
    </xf>
    <xf numFmtId="164" fontId="7" fillId="0" borderId="0" xfId="2" applyNumberFormat="1" applyFont="1" applyAlignment="1" applyProtection="1">
      <protection locked="0"/>
    </xf>
    <xf numFmtId="3" fontId="7" fillId="8" borderId="0" xfId="2" applyNumberFormat="1" applyFont="1" applyFill="1" applyProtection="1">
      <protection locked="0"/>
    </xf>
    <xf numFmtId="172" fontId="7" fillId="8" borderId="0" xfId="1" applyNumberFormat="1" applyFont="1" applyFill="1" applyProtection="1">
      <protection locked="0"/>
    </xf>
    <xf numFmtId="3" fontId="26" fillId="29" borderId="0" xfId="1" applyNumberFormat="1" applyFont="1" applyFill="1" applyAlignment="1"/>
    <xf numFmtId="0" fontId="4" fillId="0" borderId="0" xfId="22" applyFont="1" applyFill="1"/>
    <xf numFmtId="0" fontId="7" fillId="0" borderId="0" xfId="22" applyFont="1"/>
    <xf numFmtId="0" fontId="7" fillId="0" borderId="0" xfId="22" applyFont="1" applyFill="1"/>
    <xf numFmtId="0" fontId="7" fillId="0" borderId="0" xfId="22" applyFont="1" applyAlignment="1">
      <alignment horizontal="center"/>
    </xf>
    <xf numFmtId="0" fontId="7" fillId="0" borderId="0" xfId="22" applyFont="1" applyBorder="1"/>
    <xf numFmtId="0" fontId="6" fillId="0" borderId="0" xfId="22" applyFont="1" applyFill="1" applyBorder="1" applyAlignment="1">
      <alignment horizontal="center" wrapText="1"/>
    </xf>
    <xf numFmtId="0" fontId="7" fillId="0" borderId="0" xfId="22" applyFont="1" applyFill="1" applyBorder="1" applyAlignment="1">
      <alignment horizontal="center"/>
    </xf>
    <xf numFmtId="0" fontId="6" fillId="0" borderId="0" xfId="22" applyFont="1" applyFill="1" applyBorder="1" applyAlignment="1"/>
    <xf numFmtId="0" fontId="7" fillId="0" borderId="0" xfId="22" applyFont="1" applyFill="1" applyBorder="1"/>
    <xf numFmtId="0" fontId="16" fillId="0" borderId="0" xfId="22" applyFont="1" applyFill="1" applyBorder="1" applyAlignment="1">
      <alignment horizontal="center"/>
    </xf>
    <xf numFmtId="0" fontId="16" fillId="0" borderId="46" xfId="22" applyFont="1" applyBorder="1" applyAlignment="1">
      <alignment horizontal="center"/>
    </xf>
    <xf numFmtId="0" fontId="16" fillId="0" borderId="0" xfId="22" applyFont="1" applyFill="1"/>
    <xf numFmtId="0" fontId="16" fillId="0" borderId="45" xfId="22" applyFont="1" applyFill="1" applyBorder="1" applyAlignment="1">
      <alignment horizontal="center" wrapText="1"/>
    </xf>
    <xf numFmtId="0" fontId="16" fillId="0" borderId="46" xfId="22" applyFont="1" applyBorder="1" applyAlignment="1">
      <alignment horizontal="center" wrapText="1"/>
    </xf>
    <xf numFmtId="0" fontId="16" fillId="0" borderId="46" xfId="22" applyFont="1" applyFill="1" applyBorder="1" applyAlignment="1">
      <alignment horizontal="center" wrapText="1"/>
    </xf>
    <xf numFmtId="0" fontId="16" fillId="0" borderId="20" xfId="22" applyFont="1" applyFill="1" applyBorder="1"/>
    <xf numFmtId="0" fontId="16" fillId="0" borderId="51" xfId="22" applyFont="1" applyFill="1" applyBorder="1" applyAlignment="1">
      <alignment horizontal="center" wrapText="1"/>
    </xf>
    <xf numFmtId="164" fontId="16" fillId="8" borderId="35" xfId="2" applyNumberFormat="1" applyFont="1" applyFill="1" applyBorder="1" applyAlignment="1">
      <alignment horizontal="right" wrapText="1"/>
    </xf>
    <xf numFmtId="164" fontId="16" fillId="22" borderId="33" xfId="2" applyNumberFormat="1" applyFont="1" applyFill="1" applyBorder="1"/>
    <xf numFmtId="164" fontId="16" fillId="12" borderId="33" xfId="2" applyNumberFormat="1" applyFont="1" applyFill="1" applyBorder="1"/>
    <xf numFmtId="164" fontId="16" fillId="4" borderId="33" xfId="2" applyNumberFormat="1" applyFont="1" applyFill="1" applyBorder="1"/>
    <xf numFmtId="164" fontId="16" fillId="13" borderId="33" xfId="2" applyNumberFormat="1" applyFont="1" applyFill="1" applyBorder="1"/>
    <xf numFmtId="164" fontId="16" fillId="10" borderId="33" xfId="2" applyNumberFormat="1" applyFont="1" applyFill="1" applyBorder="1"/>
    <xf numFmtId="49" fontId="15" fillId="0" borderId="17" xfId="22" applyNumberFormat="1" applyFont="1" applyFill="1" applyBorder="1" applyAlignment="1">
      <alignment horizontal="left"/>
    </xf>
    <xf numFmtId="164" fontId="16" fillId="8" borderId="21" xfId="2" applyNumberFormat="1" applyFont="1" applyFill="1" applyBorder="1"/>
    <xf numFmtId="164" fontId="16" fillId="12" borderId="13" xfId="2" applyNumberFormat="1" applyFont="1" applyFill="1" applyBorder="1"/>
    <xf numFmtId="164" fontId="16" fillId="11" borderId="13" xfId="2" applyNumberFormat="1" applyFont="1" applyFill="1" applyBorder="1"/>
    <xf numFmtId="164" fontId="16" fillId="22" borderId="13" xfId="2" applyNumberFormat="1" applyFont="1" applyFill="1" applyBorder="1"/>
    <xf numFmtId="164" fontId="16" fillId="4" borderId="13" xfId="2" applyNumberFormat="1" applyFont="1" applyFill="1" applyBorder="1"/>
    <xf numFmtId="164" fontId="16" fillId="13" borderId="13" xfId="2" applyNumberFormat="1" applyFont="1" applyFill="1" applyBorder="1"/>
    <xf numFmtId="164" fontId="16" fillId="6" borderId="13" xfId="2" applyNumberFormat="1" applyFont="1" applyFill="1" applyBorder="1"/>
    <xf numFmtId="164" fontId="16" fillId="10" borderId="13" xfId="2" applyNumberFormat="1" applyFont="1" applyFill="1" applyBorder="1"/>
    <xf numFmtId="0" fontId="15" fillId="0" borderId="17" xfId="22" applyFont="1" applyFill="1" applyBorder="1" applyAlignment="1">
      <alignment horizontal="left"/>
    </xf>
    <xf numFmtId="0" fontId="15" fillId="0" borderId="17" xfId="22" applyFont="1" applyFill="1" applyBorder="1"/>
    <xf numFmtId="164" fontId="16" fillId="18" borderId="13" xfId="2" applyNumberFormat="1" applyFont="1" applyFill="1" applyBorder="1"/>
    <xf numFmtId="164" fontId="16" fillId="25" borderId="13" xfId="2" applyNumberFormat="1" applyFont="1" applyFill="1" applyBorder="1"/>
    <xf numFmtId="164" fontId="16" fillId="20" borderId="13" xfId="2" applyNumberFormat="1" applyFont="1" applyFill="1" applyBorder="1"/>
    <xf numFmtId="0" fontId="15" fillId="0" borderId="11" xfId="22" applyFont="1" applyFill="1" applyBorder="1"/>
    <xf numFmtId="164" fontId="15" fillId="0" borderId="45" xfId="2" applyNumberFormat="1" applyFont="1" applyFill="1" applyBorder="1"/>
    <xf numFmtId="164" fontId="15" fillId="0" borderId="46" xfId="2" applyNumberFormat="1" applyFont="1" applyFill="1" applyBorder="1"/>
    <xf numFmtId="164" fontId="15" fillId="0" borderId="46" xfId="22" applyNumberFormat="1" applyFont="1" applyFill="1" applyBorder="1"/>
    <xf numFmtId="164" fontId="15" fillId="0" borderId="47" xfId="22" applyNumberFormat="1" applyFont="1" applyFill="1" applyBorder="1"/>
    <xf numFmtId="0" fontId="16" fillId="0" borderId="48" xfId="22" applyFont="1" applyFill="1" applyBorder="1" applyAlignment="1">
      <alignment horizontal="center" wrapText="1"/>
    </xf>
    <xf numFmtId="164" fontId="16" fillId="11" borderId="34" xfId="2" applyNumberFormat="1" applyFont="1" applyFill="1" applyBorder="1"/>
    <xf numFmtId="164" fontId="16" fillId="0" borderId="0" xfId="11" applyNumberFormat="1" applyFont="1" applyAlignment="1">
      <alignment horizontal="center"/>
    </xf>
    <xf numFmtId="0" fontId="16" fillId="0" borderId="0" xfId="22" applyFont="1"/>
    <xf numFmtId="0" fontId="16" fillId="0" borderId="0" xfId="22" applyFont="1" applyBorder="1"/>
    <xf numFmtId="0" fontId="16" fillId="0" borderId="47" xfId="22" applyFont="1" applyBorder="1" applyAlignment="1">
      <alignment horizontal="center"/>
    </xf>
    <xf numFmtId="0" fontId="16" fillId="0" borderId="50" xfId="22" applyFont="1" applyBorder="1" applyAlignment="1">
      <alignment horizontal="center" wrapText="1"/>
    </xf>
    <xf numFmtId="0" fontId="16" fillId="0" borderId="49" xfId="22" applyFont="1" applyFill="1" applyBorder="1" applyAlignment="1">
      <alignment horizontal="center" wrapText="1"/>
    </xf>
    <xf numFmtId="164" fontId="16" fillId="18" borderId="33" xfId="2" applyNumberFormat="1" applyFont="1" applyFill="1" applyBorder="1" applyAlignment="1">
      <alignment horizontal="center" wrapText="1"/>
    </xf>
    <xf numFmtId="164" fontId="16" fillId="18" borderId="34" xfId="2" applyNumberFormat="1" applyFont="1" applyFill="1" applyBorder="1"/>
    <xf numFmtId="164" fontId="16" fillId="25" borderId="34" xfId="2" applyNumberFormat="1" applyFont="1" applyFill="1" applyBorder="1"/>
    <xf numFmtId="164" fontId="16" fillId="12" borderId="34" xfId="2" applyNumberFormat="1" applyFont="1" applyFill="1" applyBorder="1"/>
    <xf numFmtId="164" fontId="16" fillId="20" borderId="34" xfId="2" applyNumberFormat="1" applyFont="1" applyFill="1" applyBorder="1"/>
    <xf numFmtId="164" fontId="16" fillId="22" borderId="34" xfId="2" applyNumberFormat="1" applyFont="1" applyFill="1" applyBorder="1"/>
    <xf numFmtId="164" fontId="16" fillId="4" borderId="34" xfId="2" applyNumberFormat="1" applyFont="1" applyFill="1" applyBorder="1"/>
    <xf numFmtId="164" fontId="16" fillId="13" borderId="34" xfId="2" applyNumberFormat="1" applyFont="1" applyFill="1" applyBorder="1"/>
    <xf numFmtId="164" fontId="16" fillId="10" borderId="34" xfId="2" applyNumberFormat="1" applyFont="1" applyFill="1" applyBorder="1"/>
    <xf numFmtId="164" fontId="15" fillId="0" borderId="45" xfId="2" applyNumberFormat="1" applyFont="1" applyBorder="1"/>
    <xf numFmtId="164" fontId="15" fillId="0" borderId="46" xfId="2" applyNumberFormat="1" applyFont="1" applyBorder="1"/>
    <xf numFmtId="164" fontId="15" fillId="0" borderId="7" xfId="2" applyNumberFormat="1" applyFont="1" applyFill="1" applyBorder="1"/>
    <xf numFmtId="164" fontId="15" fillId="0" borderId="0" xfId="2" applyNumberFormat="1" applyFont="1" applyFill="1" applyBorder="1"/>
    <xf numFmtId="0" fontId="60" fillId="0" borderId="0" xfId="0" applyFont="1" applyBorder="1" applyAlignment="1">
      <alignment vertical="center"/>
    </xf>
    <xf numFmtId="164" fontId="60" fillId="0" borderId="0" xfId="2" applyNumberFormat="1" applyFont="1" applyBorder="1"/>
    <xf numFmtId="0" fontId="60" fillId="0" borderId="0" xfId="0" applyFont="1" applyFill="1" applyBorder="1" applyAlignment="1"/>
    <xf numFmtId="0" fontId="60" fillId="0" borderId="0" xfId="0" applyFont="1" applyFill="1" applyBorder="1" applyAlignment="1">
      <alignment wrapText="1"/>
    </xf>
    <xf numFmtId="0" fontId="61" fillId="0" borderId="0" xfId="0" applyFont="1" applyFill="1" applyBorder="1" applyAlignment="1"/>
    <xf numFmtId="0" fontId="6" fillId="0" borderId="0" xfId="22" applyNumberFormat="1" applyFont="1" applyFill="1" applyBorder="1" applyAlignment="1">
      <alignment horizontal="center"/>
    </xf>
    <xf numFmtId="0" fontId="6" fillId="0" borderId="0" xfId="22" applyFont="1" applyAlignment="1">
      <alignment horizontal="centerContinuous"/>
    </xf>
    <xf numFmtId="0" fontId="7" fillId="0" borderId="0" xfId="22" applyNumberFormat="1" applyFont="1" applyFill="1" applyBorder="1" applyAlignment="1"/>
    <xf numFmtId="0" fontId="7" fillId="0" borderId="0" xfId="22" applyNumberFormat="1" applyFont="1" applyFill="1" applyBorder="1" applyAlignment="1">
      <alignment horizontal="center"/>
    </xf>
    <xf numFmtId="37" fontId="7" fillId="0" borderId="0" xfId="22" applyNumberFormat="1" applyFont="1" applyBorder="1" applyAlignment="1">
      <alignment horizontal="left"/>
    </xf>
    <xf numFmtId="37" fontId="36" fillId="0" borderId="0" xfId="22" applyNumberFormat="1" applyFont="1" applyBorder="1" applyAlignment="1">
      <alignment horizontal="left"/>
    </xf>
    <xf numFmtId="0" fontId="6" fillId="0" borderId="0" xfId="22" applyFont="1" applyFill="1" applyBorder="1" applyAlignment="1">
      <alignment horizontal="left"/>
    </xf>
    <xf numFmtId="0" fontId="7" fillId="0" borderId="0" xfId="22" applyNumberFormat="1" applyFont="1" applyBorder="1" applyAlignment="1">
      <alignment horizontal="center"/>
    </xf>
    <xf numFmtId="0" fontId="7" fillId="0" borderId="0" xfId="22" applyFont="1" applyBorder="1" applyAlignment="1"/>
    <xf numFmtId="0" fontId="6" fillId="0" borderId="0" xfId="22" applyFont="1" applyBorder="1" applyAlignment="1">
      <alignment horizontal="center"/>
    </xf>
    <xf numFmtId="37" fontId="6" fillId="0" borderId="1" xfId="22" applyNumberFormat="1" applyFont="1" applyFill="1" applyBorder="1" applyAlignment="1">
      <alignment horizontal="center"/>
    </xf>
    <xf numFmtId="0" fontId="6" fillId="16" borderId="11" xfId="22" applyFont="1" applyFill="1" applyBorder="1" applyAlignment="1"/>
    <xf numFmtId="0" fontId="6" fillId="16" borderId="12" xfId="22" applyFont="1" applyFill="1" applyBorder="1" applyAlignment="1"/>
    <xf numFmtId="0" fontId="6" fillId="16" borderId="12" xfId="22" applyFont="1" applyFill="1" applyBorder="1" applyAlignment="1">
      <alignment horizontal="center"/>
    </xf>
    <xf numFmtId="0" fontId="6" fillId="16" borderId="12" xfId="22" applyFont="1" applyFill="1" applyBorder="1" applyAlignment="1">
      <alignment wrapText="1"/>
    </xf>
    <xf numFmtId="0" fontId="6" fillId="16" borderId="14" xfId="22" applyFont="1" applyFill="1" applyBorder="1" applyAlignment="1">
      <alignment horizontal="center" wrapText="1"/>
    </xf>
    <xf numFmtId="0" fontId="7" fillId="0" borderId="7" xfId="22" applyFont="1" applyBorder="1" applyAlignment="1">
      <alignment horizontal="center"/>
    </xf>
    <xf numFmtId="0" fontId="6" fillId="0" borderId="8" xfId="22" applyNumberFormat="1" applyFont="1" applyFill="1" applyBorder="1" applyAlignment="1"/>
    <xf numFmtId="0" fontId="7" fillId="0" borderId="8" xfId="22" applyFont="1" applyBorder="1" applyAlignment="1"/>
    <xf numFmtId="0" fontId="7" fillId="0" borderId="8" xfId="22" applyFont="1" applyBorder="1"/>
    <xf numFmtId="0" fontId="7" fillId="0" borderId="8" xfId="22" applyFont="1" applyBorder="1" applyAlignment="1">
      <alignment horizontal="center"/>
    </xf>
    <xf numFmtId="0" fontId="7" fillId="0" borderId="31" xfId="22" applyFont="1" applyBorder="1"/>
    <xf numFmtId="0" fontId="7" fillId="0" borderId="16" xfId="22" applyFont="1" applyBorder="1" applyAlignment="1">
      <alignment horizontal="center"/>
    </xf>
    <xf numFmtId="0" fontId="6" fillId="0" borderId="0" xfId="22" applyNumberFormat="1" applyFont="1" applyFill="1" applyBorder="1" applyAlignment="1"/>
    <xf numFmtId="0" fontId="7" fillId="0" borderId="0" xfId="22" applyFont="1" applyFill="1" applyBorder="1" applyAlignment="1">
      <alignment horizontal="left"/>
    </xf>
    <xf numFmtId="164" fontId="7" fillId="8" borderId="0" xfId="2" applyNumberFormat="1" applyFont="1" applyFill="1" applyBorder="1"/>
    <xf numFmtId="3" fontId="7" fillId="8" borderId="0" xfId="2" applyNumberFormat="1" applyFont="1" applyFill="1" applyBorder="1"/>
    <xf numFmtId="3" fontId="7" fillId="0" borderId="0" xfId="22" applyNumberFormat="1" applyFont="1" applyFill="1" applyBorder="1"/>
    <xf numFmtId="0" fontId="7" fillId="0" borderId="16" xfId="22" applyNumberFormat="1" applyFont="1" applyFill="1" applyBorder="1" applyAlignment="1">
      <alignment horizontal="center"/>
    </xf>
    <xf numFmtId="0" fontId="7" fillId="0" borderId="0" xfId="22" applyNumberFormat="1" applyFont="1" applyFill="1" applyBorder="1" applyAlignment="1">
      <alignment horizontal="left"/>
    </xf>
    <xf numFmtId="3" fontId="17" fillId="0" borderId="0" xfId="2" applyNumberFormat="1" applyFont="1" applyFill="1" applyBorder="1" applyAlignment="1"/>
    <xf numFmtId="3" fontId="7" fillId="0" borderId="0" xfId="22" applyNumberFormat="1" applyFont="1" applyFill="1" applyBorder="1" applyAlignment="1">
      <alignment horizontal="center"/>
    </xf>
    <xf numFmtId="3" fontId="7" fillId="0" borderId="0" xfId="22" applyNumberFormat="1" applyFont="1" applyFill="1" applyBorder="1" applyAlignment="1">
      <alignment horizontal="left"/>
    </xf>
    <xf numFmtId="0" fontId="7" fillId="0" borderId="15" xfId="22" applyFont="1" applyBorder="1"/>
    <xf numFmtId="3" fontId="7" fillId="0" borderId="0" xfId="22" applyNumberFormat="1" applyFont="1" applyFill="1" applyBorder="1" applyAlignment="1"/>
    <xf numFmtId="3" fontId="17" fillId="0" borderId="0" xfId="2" applyNumberFormat="1" applyFont="1" applyFill="1" applyBorder="1"/>
    <xf numFmtId="0" fontId="7" fillId="0" borderId="16" xfId="22" applyFont="1" applyFill="1" applyBorder="1" applyAlignment="1">
      <alignment horizontal="center"/>
    </xf>
    <xf numFmtId="0" fontId="6" fillId="0" borderId="0" xfId="22" applyNumberFormat="1" applyFont="1" applyFill="1" applyBorder="1" applyAlignment="1">
      <alignment horizontal="left"/>
    </xf>
    <xf numFmtId="0" fontId="7" fillId="0" borderId="0" xfId="22" applyFont="1" applyBorder="1" applyAlignment="1">
      <alignment horizontal="left"/>
    </xf>
    <xf numFmtId="0" fontId="7" fillId="0" borderId="6" xfId="22" applyFont="1" applyFill="1" applyBorder="1" applyAlignment="1">
      <alignment horizontal="center"/>
    </xf>
    <xf numFmtId="0" fontId="6" fillId="0" borderId="2" xfId="22" applyNumberFormat="1" applyFont="1" applyFill="1" applyBorder="1" applyAlignment="1">
      <alignment horizontal="left"/>
    </xf>
    <xf numFmtId="0" fontId="7" fillId="0" borderId="2" xfId="22" applyNumberFormat="1" applyFont="1" applyFill="1" applyBorder="1" applyAlignment="1">
      <alignment horizontal="left"/>
    </xf>
    <xf numFmtId="0" fontId="7" fillId="0" borderId="2" xfId="22" applyFont="1" applyFill="1" applyBorder="1"/>
    <xf numFmtId="0" fontId="7" fillId="0" borderId="2" xfId="22" applyFont="1" applyFill="1" applyBorder="1" applyAlignment="1">
      <alignment horizontal="center"/>
    </xf>
    <xf numFmtId="0" fontId="7" fillId="0" borderId="2" xfId="22" applyFont="1" applyFill="1" applyBorder="1" applyAlignment="1"/>
    <xf numFmtId="0" fontId="7" fillId="0" borderId="9" xfId="22" applyFont="1" applyFill="1" applyBorder="1"/>
    <xf numFmtId="0" fontId="7" fillId="0" borderId="0" xfId="22" applyFont="1" applyFill="1" applyBorder="1" applyAlignment="1"/>
    <xf numFmtId="0" fontId="7" fillId="0" borderId="0" xfId="22" applyNumberFormat="1" applyFont="1" applyBorder="1" applyAlignment="1">
      <alignment horizontal="left"/>
    </xf>
    <xf numFmtId="0" fontId="7" fillId="0" borderId="0" xfId="22" applyFont="1" applyBorder="1" applyAlignment="1">
      <alignment horizontal="center"/>
    </xf>
    <xf numFmtId="0" fontId="7" fillId="0" borderId="0" xfId="22" applyNumberFormat="1" applyFont="1" applyBorder="1" applyAlignment="1"/>
    <xf numFmtId="37" fontId="6" fillId="0" borderId="0" xfId="22" applyNumberFormat="1" applyFont="1" applyBorder="1" applyAlignment="1">
      <alignment horizontal="left"/>
    </xf>
    <xf numFmtId="0" fontId="7" fillId="16" borderId="12" xfId="22" applyFont="1" applyFill="1" applyBorder="1"/>
    <xf numFmtId="0" fontId="7" fillId="16" borderId="14" xfId="22" applyFont="1" applyFill="1" applyBorder="1"/>
    <xf numFmtId="0" fontId="6" fillId="0" borderId="16" xfId="22" applyFont="1" applyFill="1" applyBorder="1" applyAlignment="1"/>
    <xf numFmtId="0" fontId="6" fillId="0" borderId="0" xfId="22" applyFont="1" applyFill="1" applyBorder="1" applyAlignment="1">
      <alignment horizontal="center"/>
    </xf>
    <xf numFmtId="0" fontId="6" fillId="0" borderId="0" xfId="22" applyFont="1" applyFill="1" applyBorder="1" applyAlignment="1">
      <alignment wrapText="1"/>
    </xf>
    <xf numFmtId="0" fontId="7" fillId="0" borderId="15" xfId="22" applyFont="1" applyFill="1" applyBorder="1"/>
    <xf numFmtId="3" fontId="7" fillId="0" borderId="0" xfId="22" applyNumberFormat="1" applyFont="1" applyFill="1" applyAlignment="1">
      <alignment horizontal="center"/>
    </xf>
    <xf numFmtId="0" fontId="7" fillId="0" borderId="6" xfId="22" applyNumberFormat="1" applyFont="1" applyFill="1" applyBorder="1" applyAlignment="1">
      <alignment horizontal="center"/>
    </xf>
    <xf numFmtId="0" fontId="7" fillId="0" borderId="2" xfId="22" applyFont="1" applyBorder="1"/>
    <xf numFmtId="0" fontId="7" fillId="0" borderId="2" xfId="22" applyNumberFormat="1" applyFont="1" applyBorder="1" applyAlignment="1">
      <alignment horizontal="left"/>
    </xf>
    <xf numFmtId="0" fontId="7" fillId="0" borderId="2" xfId="22" applyFont="1" applyBorder="1" applyAlignment="1">
      <alignment horizontal="center"/>
    </xf>
    <xf numFmtId="0" fontId="7" fillId="0" borderId="2" xfId="22" applyNumberFormat="1" applyFont="1" applyBorder="1" applyAlignment="1"/>
    <xf numFmtId="0" fontId="7" fillId="0" borderId="9" xfId="22" applyFont="1" applyBorder="1"/>
    <xf numFmtId="0" fontId="6" fillId="16" borderId="12" xfId="22" applyFont="1" applyFill="1" applyBorder="1" applyAlignment="1">
      <alignment horizontal="center" wrapText="1"/>
    </xf>
    <xf numFmtId="0" fontId="7" fillId="0" borderId="16" xfId="22" applyFont="1" applyBorder="1"/>
    <xf numFmtId="0" fontId="7" fillId="0" borderId="0" xfId="22" applyFont="1" applyBorder="1" applyAlignment="1">
      <alignment horizontal="left" indent="1"/>
    </xf>
    <xf numFmtId="0" fontId="7" fillId="0" borderId="2" xfId="22" applyNumberFormat="1" applyFont="1" applyFill="1" applyBorder="1" applyAlignment="1">
      <alignment horizontal="center"/>
    </xf>
    <xf numFmtId="0" fontId="7" fillId="0" borderId="2" xfId="22" applyNumberFormat="1" applyFont="1" applyBorder="1" applyAlignment="1">
      <alignment horizontal="center"/>
    </xf>
    <xf numFmtId="3" fontId="6" fillId="16" borderId="12" xfId="22" applyNumberFormat="1" applyFont="1" applyFill="1" applyBorder="1" applyAlignment="1">
      <alignment horizontal="center" wrapText="1"/>
    </xf>
    <xf numFmtId="3" fontId="6" fillId="16" borderId="12" xfId="22" applyNumberFormat="1" applyFont="1" applyFill="1" applyBorder="1" applyAlignment="1">
      <alignment horizontal="center"/>
    </xf>
    <xf numFmtId="0" fontId="7" fillId="0" borderId="7" xfId="22" applyFont="1" applyFill="1" applyBorder="1"/>
    <xf numFmtId="0" fontId="6" fillId="0" borderId="8" xfId="22" applyNumberFormat="1" applyFont="1" applyFill="1" applyBorder="1" applyAlignment="1">
      <alignment horizontal="left"/>
    </xf>
    <xf numFmtId="0" fontId="6" fillId="0" borderId="8" xfId="22" applyFont="1" applyFill="1" applyBorder="1"/>
    <xf numFmtId="0" fontId="7" fillId="0" borderId="8" xfId="22" applyFont="1" applyFill="1" applyBorder="1"/>
    <xf numFmtId="0" fontId="7" fillId="0" borderId="8" xfId="22" applyFont="1" applyFill="1" applyBorder="1" applyAlignment="1">
      <alignment horizontal="center"/>
    </xf>
    <xf numFmtId="0" fontId="7" fillId="0" borderId="8" xfId="22" applyNumberFormat="1" applyFont="1" applyFill="1" applyBorder="1" applyAlignment="1">
      <alignment horizontal="left"/>
    </xf>
    <xf numFmtId="3" fontId="6" fillId="0" borderId="8" xfId="22" applyNumberFormat="1" applyFont="1" applyFill="1" applyBorder="1" applyAlignment="1">
      <alignment horizontal="center"/>
    </xf>
    <xf numFmtId="0" fontId="6" fillId="0" borderId="8" xfId="22" applyFont="1" applyFill="1" applyBorder="1" applyAlignment="1">
      <alignment horizontal="left"/>
    </xf>
    <xf numFmtId="167" fontId="7" fillId="0" borderId="8" xfId="22" applyNumberFormat="1" applyFont="1" applyFill="1" applyBorder="1"/>
    <xf numFmtId="0" fontId="7" fillId="0" borderId="31" xfId="22" applyFont="1" applyFill="1" applyBorder="1"/>
    <xf numFmtId="0" fontId="7" fillId="0" borderId="16" xfId="22" applyFont="1" applyFill="1" applyBorder="1"/>
    <xf numFmtId="0" fontId="6" fillId="0" borderId="0" xfId="22" applyFont="1" applyFill="1" applyBorder="1"/>
    <xf numFmtId="3" fontId="6" fillId="0" borderId="0" xfId="22" applyNumberFormat="1" applyFont="1" applyFill="1" applyBorder="1" applyAlignment="1">
      <alignment horizontal="center"/>
    </xf>
    <xf numFmtId="167" fontId="7" fillId="0" borderId="0" xfId="22" applyNumberFormat="1" applyFont="1" applyFill="1" applyBorder="1"/>
    <xf numFmtId="0" fontId="7" fillId="0" borderId="15" xfId="22" applyFont="1" applyFill="1" applyBorder="1" applyAlignment="1">
      <alignment horizontal="center" wrapText="1"/>
    </xf>
    <xf numFmtId="167" fontId="6" fillId="0" borderId="0" xfId="2" applyNumberFormat="1" applyFont="1" applyFill="1" applyBorder="1"/>
    <xf numFmtId="0" fontId="6" fillId="0" borderId="2" xfId="22" applyNumberFormat="1" applyFont="1" applyFill="1" applyBorder="1" applyAlignment="1"/>
    <xf numFmtId="0" fontId="7" fillId="0" borderId="2" xfId="22" applyFont="1" applyFill="1" applyBorder="1" applyAlignment="1">
      <alignment horizontal="left"/>
    </xf>
    <xf numFmtId="3" fontId="7" fillId="0" borderId="2" xfId="22" applyNumberFormat="1" applyFont="1" applyFill="1" applyBorder="1" applyAlignment="1">
      <alignment horizontal="center"/>
    </xf>
    <xf numFmtId="3" fontId="7" fillId="0" borderId="0" xfId="22" applyNumberFormat="1" applyFont="1" applyBorder="1" applyAlignment="1">
      <alignment horizontal="center"/>
    </xf>
    <xf numFmtId="0" fontId="6" fillId="0" borderId="7" xfId="22" applyFont="1" applyBorder="1"/>
    <xf numFmtId="0" fontId="6" fillId="0" borderId="8" xfId="22" applyFont="1" applyBorder="1"/>
    <xf numFmtId="0" fontId="6" fillId="0" borderId="8" xfId="22" applyFont="1" applyBorder="1" applyAlignment="1">
      <alignment horizontal="left"/>
    </xf>
    <xf numFmtId="3" fontId="7" fillId="0" borderId="8" xfId="22" applyNumberFormat="1" applyFont="1" applyBorder="1" applyAlignment="1">
      <alignment horizontal="center"/>
    </xf>
    <xf numFmtId="3" fontId="7" fillId="0" borderId="8" xfId="22" applyNumberFormat="1" applyFont="1" applyBorder="1" applyAlignment="1"/>
    <xf numFmtId="167" fontId="7" fillId="0" borderId="0" xfId="22" applyNumberFormat="1" applyFont="1" applyBorder="1"/>
    <xf numFmtId="0" fontId="6" fillId="0" borderId="15" xfId="22" applyFont="1" applyFill="1" applyBorder="1" applyAlignment="1">
      <alignment horizontal="center" wrapText="1"/>
    </xf>
    <xf numFmtId="166" fontId="7" fillId="0" borderId="2" xfId="6" applyNumberFormat="1" applyFont="1" applyFill="1" applyBorder="1"/>
    <xf numFmtId="0" fontId="6" fillId="16" borderId="7" xfId="22" applyFont="1" applyFill="1" applyBorder="1" applyAlignment="1"/>
    <xf numFmtId="0" fontId="6" fillId="16" borderId="8" xfId="22" applyFont="1" applyFill="1" applyBorder="1" applyAlignment="1"/>
    <xf numFmtId="0" fontId="6" fillId="16" borderId="8" xfId="22" applyFont="1" applyFill="1" applyBorder="1" applyAlignment="1">
      <alignment horizontal="center"/>
    </xf>
    <xf numFmtId="0" fontId="6" fillId="16" borderId="8" xfId="22" applyFont="1" applyFill="1" applyBorder="1" applyAlignment="1">
      <alignment wrapText="1"/>
    </xf>
    <xf numFmtId="0" fontId="7" fillId="0" borderId="7" xfId="22" applyNumberFormat="1" applyFont="1" applyFill="1" applyBorder="1" applyAlignment="1">
      <alignment horizontal="center"/>
    </xf>
    <xf numFmtId="3" fontId="7" fillId="0" borderId="15" xfId="22" applyNumberFormat="1" applyFont="1" applyBorder="1" applyAlignment="1">
      <alignment horizontal="center"/>
    </xf>
    <xf numFmtId="0" fontId="6" fillId="0" borderId="0" xfId="22" applyNumberFormat="1" applyFont="1" applyBorder="1" applyAlignment="1">
      <alignment horizontal="left"/>
    </xf>
    <xf numFmtId="0" fontId="7" fillId="0" borderId="2" xfId="22" applyNumberFormat="1" applyFont="1" applyFill="1" applyBorder="1" applyAlignment="1"/>
    <xf numFmtId="3" fontId="7" fillId="0" borderId="9" xfId="22" applyNumberFormat="1" applyFont="1" applyBorder="1" applyAlignment="1">
      <alignment horizontal="center"/>
    </xf>
    <xf numFmtId="0" fontId="6" fillId="0" borderId="7" xfId="22" applyFont="1" applyFill="1" applyBorder="1" applyAlignment="1"/>
    <xf numFmtId="0" fontId="6" fillId="0" borderId="8" xfId="22" applyFont="1" applyFill="1" applyBorder="1" applyAlignment="1"/>
    <xf numFmtId="0" fontId="6" fillId="0" borderId="8" xfId="22" applyFont="1" applyFill="1" applyBorder="1" applyAlignment="1">
      <alignment horizontal="center"/>
    </xf>
    <xf numFmtId="0" fontId="6" fillId="0" borderId="8" xfId="22" applyFont="1" applyFill="1" applyBorder="1" applyAlignment="1">
      <alignment wrapText="1"/>
    </xf>
    <xf numFmtId="0" fontId="6" fillId="0" borderId="8" xfId="22" applyFont="1" applyFill="1" applyBorder="1" applyAlignment="1">
      <alignment horizontal="center" wrapText="1"/>
    </xf>
    <xf numFmtId="0" fontId="6" fillId="0" borderId="31" xfId="22" applyFont="1" applyFill="1" applyBorder="1" applyAlignment="1">
      <alignment horizontal="center" wrapText="1"/>
    </xf>
    <xf numFmtId="3" fontId="7" fillId="0" borderId="15" xfId="22" applyNumberFormat="1" applyFont="1" applyFill="1" applyBorder="1" applyAlignment="1">
      <alignment horizontal="right"/>
    </xf>
    <xf numFmtId="0" fontId="6" fillId="0" borderId="15" xfId="22" applyFont="1" applyBorder="1" applyAlignment="1">
      <alignment horizontal="center"/>
    </xf>
    <xf numFmtId="3" fontId="7" fillId="0" borderId="15" xfId="22" applyNumberFormat="1" applyFont="1" applyBorder="1" applyAlignment="1">
      <alignment horizontal="right"/>
    </xf>
    <xf numFmtId="0" fontId="7" fillId="0" borderId="6" xfId="22" applyFont="1" applyBorder="1"/>
    <xf numFmtId="0" fontId="6" fillId="0" borderId="0" xfId="22" applyFont="1" applyBorder="1"/>
    <xf numFmtId="0" fontId="7" fillId="0" borderId="15" xfId="22" applyFont="1" applyFill="1" applyBorder="1" applyAlignment="1">
      <alignment horizontal="center"/>
    </xf>
    <xf numFmtId="164" fontId="7" fillId="0" borderId="2" xfId="22" applyNumberFormat="1" applyFont="1" applyFill="1" applyBorder="1" applyAlignment="1">
      <alignment horizontal="center"/>
    </xf>
    <xf numFmtId="0" fontId="7" fillId="0" borderId="9" xfId="22" applyFont="1" applyBorder="1" applyAlignment="1">
      <alignment horizontal="center"/>
    </xf>
    <xf numFmtId="0" fontId="7" fillId="0" borderId="16" xfId="22" applyNumberFormat="1" applyFont="1" applyBorder="1" applyAlignment="1">
      <alignment horizontal="center"/>
    </xf>
    <xf numFmtId="0" fontId="7" fillId="0" borderId="0" xfId="22" applyNumberFormat="1" applyFont="1" applyFill="1" applyBorder="1" applyAlignment="1">
      <alignment horizontal="right"/>
    </xf>
    <xf numFmtId="164" fontId="7" fillId="0" borderId="15" xfId="2" applyNumberFormat="1" applyFont="1" applyBorder="1" applyAlignment="1">
      <alignment horizontal="center"/>
    </xf>
    <xf numFmtId="0" fontId="7" fillId="0" borderId="6" xfId="22" applyNumberFormat="1" applyFont="1" applyBorder="1" applyAlignment="1">
      <alignment horizontal="center"/>
    </xf>
    <xf numFmtId="0" fontId="7" fillId="0" borderId="2" xfId="22" applyNumberFormat="1" applyFont="1" applyFill="1" applyBorder="1" applyAlignment="1">
      <alignment horizontal="right"/>
    </xf>
    <xf numFmtId="0" fontId="6" fillId="0" borderId="2" xfId="22" applyFont="1" applyBorder="1" applyAlignment="1">
      <alignment horizontal="center"/>
    </xf>
    <xf numFmtId="0" fontId="6" fillId="0" borderId="9" xfId="22" applyFont="1" applyBorder="1" applyAlignment="1">
      <alignment horizontal="center"/>
    </xf>
    <xf numFmtId="164" fontId="7" fillId="0" borderId="15" xfId="22" applyNumberFormat="1" applyFont="1" applyBorder="1" applyAlignment="1">
      <alignment horizontal="center"/>
    </xf>
    <xf numFmtId="0" fontId="7" fillId="0" borderId="8" xfId="22" applyFont="1" applyFill="1" applyBorder="1" applyAlignment="1"/>
    <xf numFmtId="0" fontId="7" fillId="0" borderId="0" xfId="22" applyNumberFormat="1" applyFont="1" applyBorder="1" applyAlignment="1">
      <alignment horizontal="right"/>
    </xf>
    <xf numFmtId="0" fontId="7" fillId="0" borderId="8" xfId="22" applyNumberFormat="1" applyFont="1" applyFill="1" applyBorder="1" applyAlignment="1">
      <alignment horizontal="center"/>
    </xf>
    <xf numFmtId="0" fontId="7" fillId="0" borderId="8" xfId="22" applyNumberFormat="1" applyFont="1" applyFill="1" applyBorder="1" applyAlignment="1">
      <alignment horizontal="left" wrapText="1"/>
    </xf>
    <xf numFmtId="164" fontId="7" fillId="0" borderId="8" xfId="2" applyNumberFormat="1" applyFont="1" applyFill="1" applyBorder="1"/>
    <xf numFmtId="164" fontId="7" fillId="0" borderId="31" xfId="22" applyNumberFormat="1" applyFont="1" applyFill="1" applyBorder="1" applyAlignment="1">
      <alignment horizontal="center" wrapText="1"/>
    </xf>
    <xf numFmtId="0" fontId="7" fillId="0" borderId="0" xfId="22" applyNumberFormat="1" applyFont="1" applyFill="1" applyBorder="1" applyAlignment="1">
      <alignment horizontal="left" wrapText="1"/>
    </xf>
    <xf numFmtId="164" fontId="7" fillId="0" borderId="15" xfId="22" applyNumberFormat="1" applyFont="1" applyFill="1" applyBorder="1" applyAlignment="1">
      <alignment horizontal="center" wrapText="1"/>
    </xf>
    <xf numFmtId="0" fontId="7" fillId="0" borderId="16" xfId="22" applyNumberFormat="1" applyFont="1" applyFill="1" applyBorder="1" applyAlignment="1">
      <alignment horizontal="left"/>
    </xf>
    <xf numFmtId="0" fontId="6" fillId="0" borderId="0" xfId="22" applyFont="1" applyFill="1" applyAlignment="1">
      <alignment horizontal="left"/>
    </xf>
    <xf numFmtId="164" fontId="6" fillId="0" borderId="0" xfId="2" applyNumberFormat="1" applyFont="1" applyFill="1" applyBorder="1"/>
    <xf numFmtId="3" fontId="7" fillId="0" borderId="2" xfId="22" applyNumberFormat="1" applyFont="1" applyFill="1" applyBorder="1"/>
    <xf numFmtId="3" fontId="7" fillId="0" borderId="2" xfId="22" applyNumberFormat="1" applyFont="1" applyFill="1" applyBorder="1" applyAlignment="1">
      <alignment horizontal="left"/>
    </xf>
    <xf numFmtId="167" fontId="6" fillId="0" borderId="0" xfId="22" applyNumberFormat="1" applyFont="1" applyBorder="1" applyAlignment="1">
      <alignment horizontal="left"/>
    </xf>
    <xf numFmtId="3" fontId="7" fillId="0" borderId="0" xfId="22" applyNumberFormat="1" applyFont="1" applyBorder="1" applyAlignment="1"/>
    <xf numFmtId="169" fontId="7" fillId="0" borderId="0" xfId="22" applyNumberFormat="1" applyFont="1" applyBorder="1" applyAlignment="1"/>
    <xf numFmtId="167" fontId="7" fillId="0" borderId="0" xfId="11" applyNumberFormat="1" applyFont="1" applyFill="1" applyBorder="1" applyAlignment="1">
      <alignment horizontal="center"/>
    </xf>
    <xf numFmtId="10" fontId="7" fillId="0" borderId="15" xfId="11" applyNumberFormat="1" applyFont="1" applyFill="1" applyBorder="1" applyAlignment="1">
      <alignment horizontal="center"/>
    </xf>
    <xf numFmtId="0" fontId="7" fillId="0" borderId="0" xfId="22" applyFont="1" applyFill="1" applyAlignment="1">
      <alignment horizontal="center"/>
    </xf>
    <xf numFmtId="0" fontId="7" fillId="0" borderId="0" xfId="22" applyNumberFormat="1" applyFont="1" applyFill="1" applyAlignment="1">
      <alignment horizontal="left"/>
    </xf>
    <xf numFmtId="0" fontId="6" fillId="16" borderId="8" xfId="22" applyFont="1" applyFill="1" applyBorder="1" applyAlignment="1">
      <alignment horizontal="center" wrapText="1"/>
    </xf>
    <xf numFmtId="0" fontId="6" fillId="16" borderId="31" xfId="22" applyFont="1" applyFill="1" applyBorder="1" applyAlignment="1">
      <alignment horizontal="center" wrapText="1"/>
    </xf>
    <xf numFmtId="0" fontId="6" fillId="0" borderId="31" xfId="22" applyFont="1" applyFill="1" applyBorder="1" applyAlignment="1">
      <alignment wrapText="1"/>
    </xf>
    <xf numFmtId="2" fontId="7" fillId="0" borderId="0" xfId="22" applyNumberFormat="1" applyFont="1" applyFill="1" applyBorder="1" applyAlignment="1">
      <alignment horizontal="center"/>
    </xf>
    <xf numFmtId="166" fontId="7" fillId="8" borderId="0" xfId="6" applyNumberFormat="1" applyFont="1" applyFill="1" applyBorder="1"/>
    <xf numFmtId="0" fontId="26" fillId="0" borderId="0" xfId="22" applyFont="1" applyFill="1"/>
    <xf numFmtId="0" fontId="26" fillId="0" borderId="0" xfId="22" applyFont="1"/>
    <xf numFmtId="0" fontId="26" fillId="0" borderId="0" xfId="22" applyFont="1" applyFill="1" applyBorder="1"/>
    <xf numFmtId="0" fontId="23" fillId="16" borderId="1" xfId="22" applyFont="1" applyFill="1" applyBorder="1" applyAlignment="1">
      <alignment horizontal="center" wrapText="1"/>
    </xf>
    <xf numFmtId="0" fontId="23" fillId="0" borderId="0" xfId="22" applyFont="1" applyFill="1" applyBorder="1" applyAlignment="1">
      <alignment horizontal="center" wrapText="1"/>
    </xf>
    <xf numFmtId="0" fontId="26" fillId="5" borderId="0" xfId="22" applyFont="1" applyFill="1" applyBorder="1" applyAlignment="1">
      <alignment horizontal="center" wrapText="1"/>
    </xf>
    <xf numFmtId="0" fontId="26" fillId="0" borderId="0" xfId="22" applyFont="1" applyFill="1" applyBorder="1" applyAlignment="1">
      <alignment horizontal="center" wrapText="1"/>
    </xf>
    <xf numFmtId="3" fontId="26" fillId="0" borderId="0" xfId="22" applyNumberFormat="1" applyFont="1" applyAlignment="1"/>
    <xf numFmtId="3" fontId="26" fillId="0" borderId="0" xfId="22" applyNumberFormat="1" applyFont="1" applyFill="1" applyAlignment="1"/>
    <xf numFmtId="3" fontId="26" fillId="0" borderId="3" xfId="22" applyNumberFormat="1" applyFont="1" applyBorder="1" applyAlignment="1"/>
    <xf numFmtId="3" fontId="26" fillId="0" borderId="4" xfId="22" applyNumberFormat="1" applyFont="1" applyFill="1" applyBorder="1" applyAlignment="1"/>
    <xf numFmtId="3" fontId="26" fillId="0" borderId="0" xfId="22" applyNumberFormat="1" applyFont="1" applyFill="1" applyBorder="1" applyAlignment="1"/>
    <xf numFmtId="3" fontId="26" fillId="0" borderId="0" xfId="22" applyNumberFormat="1" applyFont="1" applyBorder="1"/>
    <xf numFmtId="3" fontId="26" fillId="0" borderId="0" xfId="22" applyNumberFormat="1" applyFont="1" applyBorder="1" applyAlignment="1"/>
    <xf numFmtId="3" fontId="26" fillId="0" borderId="0" xfId="22" applyNumberFormat="1" applyFont="1"/>
    <xf numFmtId="3" fontId="26" fillId="0" borderId="3" xfId="22" applyNumberFormat="1" applyFont="1" applyFill="1" applyBorder="1" applyAlignment="1"/>
    <xf numFmtId="3" fontId="23" fillId="0" borderId="5" xfId="22" applyNumberFormat="1" applyFont="1" applyBorder="1"/>
    <xf numFmtId="3" fontId="26" fillId="0" borderId="0" xfId="22" applyNumberFormat="1" applyFont="1" applyAlignment="1">
      <alignment horizontal="center"/>
    </xf>
    <xf numFmtId="0" fontId="26" fillId="5" borderId="0" xfId="22" applyFont="1" applyFill="1"/>
    <xf numFmtId="3" fontId="26" fillId="0" borderId="0" xfId="22" applyNumberFormat="1" applyFont="1" applyFill="1" applyBorder="1" applyAlignment="1">
      <alignment horizontal="right"/>
    </xf>
    <xf numFmtId="3" fontId="26" fillId="0" borderId="0" xfId="22" applyNumberFormat="1" applyFont="1" applyFill="1" applyAlignment="1">
      <alignment horizontal="right"/>
    </xf>
    <xf numFmtId="172" fontId="26" fillId="0" borderId="0" xfId="22" applyNumberFormat="1" applyFont="1" applyFill="1" applyAlignment="1">
      <alignment horizontal="right"/>
    </xf>
    <xf numFmtId="3" fontId="26" fillId="0" borderId="3" xfId="22" applyNumberFormat="1" applyFont="1" applyBorder="1" applyAlignment="1">
      <alignment horizontal="right"/>
    </xf>
    <xf numFmtId="3" fontId="26" fillId="0" borderId="4" xfId="22" applyNumberFormat="1" applyFont="1" applyFill="1" applyBorder="1" applyAlignment="1">
      <alignment horizontal="right"/>
    </xf>
    <xf numFmtId="3" fontId="23" fillId="0" borderId="0" xfId="22" applyNumberFormat="1" applyFont="1" applyBorder="1" applyAlignment="1">
      <alignment horizontal="right"/>
    </xf>
    <xf numFmtId="3" fontId="23" fillId="0" borderId="10" xfId="22" applyNumberFormat="1" applyFont="1" applyBorder="1"/>
    <xf numFmtId="3" fontId="23" fillId="0" borderId="3" xfId="22" applyNumberFormat="1" applyFont="1" applyFill="1" applyBorder="1" applyAlignment="1"/>
    <xf numFmtId="3" fontId="29" fillId="0" borderId="0" xfId="22" applyNumberFormat="1" applyFont="1" applyFill="1" applyAlignment="1">
      <alignment horizontal="right"/>
    </xf>
    <xf numFmtId="3" fontId="23" fillId="0" borderId="3" xfId="22" applyNumberFormat="1" applyFont="1" applyFill="1" applyBorder="1" applyAlignment="1">
      <alignment horizontal="right"/>
    </xf>
    <xf numFmtId="3" fontId="23" fillId="0" borderId="10" xfId="22" applyNumberFormat="1" applyFont="1" applyFill="1" applyBorder="1" applyAlignment="1"/>
    <xf numFmtId="172" fontId="29" fillId="0" borderId="0" xfId="22" applyNumberFormat="1" applyFont="1" applyAlignment="1">
      <alignment horizontal="right"/>
    </xf>
    <xf numFmtId="10" fontId="26" fillId="0" borderId="0" xfId="22" applyNumberFormat="1" applyFont="1" applyFill="1" applyAlignment="1"/>
    <xf numFmtId="10" fontId="26" fillId="0" borderId="0" xfId="22" applyNumberFormat="1" applyFont="1" applyAlignment="1"/>
    <xf numFmtId="165" fontId="26" fillId="0" borderId="0" xfId="22" applyNumberFormat="1" applyFont="1" applyFill="1" applyAlignment="1"/>
    <xf numFmtId="0" fontId="26" fillId="0" borderId="0" xfId="22" applyFont="1" applyAlignment="1"/>
    <xf numFmtId="165" fontId="26" fillId="0" borderId="0" xfId="22" applyNumberFormat="1" applyFont="1" applyAlignment="1"/>
    <xf numFmtId="165" fontId="26" fillId="0" borderId="4" xfId="22" applyNumberFormat="1" applyFont="1" applyBorder="1" applyAlignment="1"/>
    <xf numFmtId="165" fontId="23" fillId="0" borderId="0" xfId="22" applyNumberFormat="1" applyFont="1" applyAlignment="1"/>
    <xf numFmtId="3" fontId="23" fillId="0" borderId="10" xfId="22" applyNumberFormat="1" applyFont="1" applyBorder="1" applyAlignment="1"/>
    <xf numFmtId="10" fontId="26" fillId="8" borderId="0" xfId="22" applyNumberFormat="1" applyFont="1" applyFill="1"/>
    <xf numFmtId="10" fontId="26" fillId="0" borderId="0" xfId="22" applyNumberFormat="1" applyFont="1" applyFill="1" applyAlignment="1">
      <alignment horizontal="right"/>
    </xf>
    <xf numFmtId="10" fontId="26" fillId="0" borderId="0" xfId="22" applyNumberFormat="1" applyFont="1" applyFill="1"/>
    <xf numFmtId="3" fontId="23" fillId="0" borderId="3" xfId="22" applyNumberFormat="1" applyFont="1" applyBorder="1" applyAlignment="1">
      <alignment horizontal="right"/>
    </xf>
    <xf numFmtId="3" fontId="33" fillId="0" borderId="0" xfId="22" applyNumberFormat="1" applyFont="1" applyBorder="1" applyAlignment="1">
      <alignment horizontal="right"/>
    </xf>
    <xf numFmtId="10" fontId="20" fillId="0" borderId="0" xfId="22" applyNumberFormat="1" applyFont="1" applyFill="1" applyAlignment="1">
      <alignment horizontal="right"/>
    </xf>
    <xf numFmtId="3" fontId="26" fillId="0" borderId="0" xfId="22" applyNumberFormat="1" applyFont="1" applyBorder="1" applyAlignment="1">
      <alignment horizontal="right"/>
    </xf>
    <xf numFmtId="3" fontId="23" fillId="0" borderId="3" xfId="22" applyNumberFormat="1" applyFont="1" applyBorder="1"/>
    <xf numFmtId="3" fontId="23" fillId="0" borderId="24" xfId="22" applyNumberFormat="1" applyFont="1" applyBorder="1"/>
    <xf numFmtId="3" fontId="23" fillId="0" borderId="0" xfId="22" applyNumberFormat="1" applyFont="1" applyBorder="1"/>
    <xf numFmtId="3" fontId="26" fillId="0" borderId="0" xfId="22" applyNumberFormat="1" applyFont="1" applyFill="1" applyBorder="1"/>
    <xf numFmtId="3" fontId="26" fillId="0" borderId="4" xfId="22" applyNumberFormat="1" applyFont="1" applyFill="1" applyBorder="1"/>
    <xf numFmtId="3" fontId="23" fillId="0" borderId="0" xfId="22" applyNumberFormat="1" applyFont="1" applyFill="1" applyBorder="1"/>
    <xf numFmtId="3" fontId="23" fillId="0" borderId="12" xfId="22" applyNumberFormat="1" applyFont="1" applyFill="1" applyBorder="1"/>
    <xf numFmtId="179" fontId="23" fillId="0" borderId="0" xfId="22" applyNumberFormat="1" applyFont="1" applyFill="1" applyBorder="1"/>
    <xf numFmtId="37" fontId="23" fillId="0" borderId="0" xfId="22" applyNumberFormat="1" applyFont="1" applyBorder="1" applyAlignment="1">
      <alignment horizontal="right"/>
    </xf>
    <xf numFmtId="37" fontId="23" fillId="0" borderId="0" xfId="22" applyNumberFormat="1" applyFont="1" applyFill="1" applyBorder="1" applyAlignment="1">
      <alignment horizontal="right"/>
    </xf>
    <xf numFmtId="0" fontId="23" fillId="0" borderId="0" xfId="22" applyNumberFormat="1" applyFont="1" applyFill="1" applyBorder="1" applyAlignment="1">
      <alignment horizontal="center"/>
    </xf>
    <xf numFmtId="0" fontId="26" fillId="0" borderId="0" xfId="22" applyFont="1" applyFill="1" applyAlignment="1">
      <alignment horizontal="left"/>
    </xf>
    <xf numFmtId="37" fontId="26" fillId="0" borderId="0" xfId="22" applyNumberFormat="1" applyFont="1" applyFill="1" applyBorder="1" applyAlignment="1">
      <alignment horizontal="left"/>
    </xf>
    <xf numFmtId="3" fontId="26" fillId="0" borderId="3" xfId="22" applyNumberFormat="1" applyFont="1" applyFill="1" applyBorder="1"/>
    <xf numFmtId="0" fontId="7" fillId="0" borderId="0" xfId="22" applyFont="1" applyFill="1" applyBorder="1" applyAlignment="1">
      <alignment horizontal="center"/>
    </xf>
    <xf numFmtId="164" fontId="7" fillId="0" borderId="34" xfId="2" applyNumberFormat="1" applyFont="1" applyFill="1" applyBorder="1" applyAlignment="1">
      <alignment horizontal="right"/>
    </xf>
    <xf numFmtId="0" fontId="4" fillId="0" borderId="0" xfId="1" applyFont="1" applyFill="1"/>
    <xf numFmtId="164" fontId="21" fillId="0" borderId="0" xfId="4" applyNumberFormat="1" applyFont="1" applyFill="1"/>
    <xf numFmtId="0" fontId="21" fillId="0" borderId="0" xfId="1" applyFont="1" applyFill="1" applyAlignment="1">
      <alignment horizontal="center"/>
    </xf>
    <xf numFmtId="0" fontId="21" fillId="0" borderId="0" xfId="1" applyFont="1" applyFill="1"/>
    <xf numFmtId="164" fontId="16" fillId="12" borderId="0" xfId="2" applyNumberFormat="1" applyFont="1" applyFill="1" applyBorder="1"/>
    <xf numFmtId="164" fontId="16" fillId="26" borderId="0" xfId="2" applyNumberFormat="1" applyFont="1" applyFill="1" applyBorder="1" applyAlignment="1">
      <alignment horizontal="center"/>
    </xf>
    <xf numFmtId="164" fontId="16" fillId="12" borderId="15" xfId="2" applyNumberFormat="1" applyFont="1" applyFill="1" applyBorder="1"/>
    <xf numFmtId="164" fontId="16" fillId="12" borderId="2" xfId="2" applyNumberFormat="1" applyFont="1" applyFill="1" applyBorder="1"/>
    <xf numFmtId="164" fontId="16" fillId="12" borderId="9" xfId="2" applyNumberFormat="1" applyFont="1" applyFill="1" applyBorder="1"/>
    <xf numFmtId="180" fontId="16" fillId="26" borderId="0" xfId="2" applyNumberFormat="1" applyFont="1" applyFill="1" applyBorder="1" applyAlignment="1">
      <alignment horizontal="center"/>
    </xf>
    <xf numFmtId="0" fontId="60" fillId="0" borderId="0" xfId="0" applyFont="1" applyFill="1" applyBorder="1" applyAlignment="1">
      <alignment vertical="center"/>
    </xf>
    <xf numFmtId="164" fontId="60" fillId="0" borderId="0" xfId="2" applyNumberFormat="1" applyFont="1" applyFill="1" applyBorder="1"/>
    <xf numFmtId="164" fontId="61" fillId="0" borderId="0" xfId="2" applyNumberFormat="1" applyFont="1" applyFill="1" applyBorder="1"/>
    <xf numFmtId="0" fontId="7" fillId="0" borderId="8" xfId="22" applyFont="1" applyBorder="1" applyAlignment="1">
      <alignment horizontal="left"/>
    </xf>
    <xf numFmtId="164" fontId="7" fillId="11" borderId="0" xfId="2" applyNumberFormat="1" applyFont="1" applyFill="1" applyBorder="1" applyAlignment="1">
      <alignment horizontal="center"/>
    </xf>
    <xf numFmtId="43" fontId="7" fillId="11" borderId="0" xfId="2" applyNumberFormat="1" applyFont="1" applyFill="1" applyBorder="1" applyAlignment="1">
      <alignment horizontal="center"/>
    </xf>
    <xf numFmtId="1" fontId="7" fillId="11" borderId="2" xfId="2" applyNumberFormat="1" applyFont="1" applyFill="1" applyBorder="1" applyAlignment="1">
      <alignment horizontal="center"/>
    </xf>
    <xf numFmtId="164" fontId="7" fillId="12" borderId="16" xfId="2" applyNumberFormat="1" applyFont="1" applyFill="1" applyBorder="1" applyAlignment="1">
      <alignment horizontal="center"/>
    </xf>
    <xf numFmtId="43" fontId="7" fillId="12" borderId="16" xfId="2" applyNumberFormat="1" applyFont="1" applyFill="1" applyBorder="1" applyAlignment="1">
      <alignment horizontal="center"/>
    </xf>
    <xf numFmtId="1" fontId="7" fillId="12" borderId="6" xfId="2" applyNumberFormat="1" applyFont="1" applyFill="1" applyBorder="1" applyAlignment="1">
      <alignment horizontal="center"/>
    </xf>
    <xf numFmtId="164" fontId="7" fillId="20" borderId="16" xfId="2" applyNumberFormat="1" applyFont="1" applyFill="1" applyBorder="1" applyAlignment="1">
      <alignment horizontal="center"/>
    </xf>
    <xf numFmtId="43" fontId="7" fillId="20" borderId="16" xfId="2" applyNumberFormat="1" applyFont="1" applyFill="1" applyBorder="1" applyAlignment="1">
      <alignment horizontal="center"/>
    </xf>
    <xf numFmtId="1" fontId="7" fillId="20" borderId="6" xfId="2" applyNumberFormat="1" applyFont="1" applyFill="1" applyBorder="1" applyAlignment="1">
      <alignment horizontal="center"/>
    </xf>
    <xf numFmtId="164" fontId="7" fillId="17" borderId="0" xfId="2" applyNumberFormat="1" applyFont="1" applyFill="1" applyBorder="1" applyAlignment="1">
      <alignment horizontal="center"/>
    </xf>
    <xf numFmtId="43" fontId="7" fillId="17" borderId="0" xfId="2" applyNumberFormat="1" applyFont="1" applyFill="1" applyBorder="1" applyAlignment="1">
      <alignment horizontal="center"/>
    </xf>
    <xf numFmtId="1" fontId="7" fillId="17" borderId="2" xfId="2" applyNumberFormat="1" applyFont="1" applyFill="1" applyBorder="1" applyAlignment="1">
      <alignment horizontal="center"/>
    </xf>
    <xf numFmtId="164" fontId="16" fillId="17" borderId="16" xfId="2" applyNumberFormat="1" applyFont="1" applyFill="1" applyBorder="1" applyAlignment="1">
      <alignment horizontal="center"/>
    </xf>
    <xf numFmtId="43" fontId="16" fillId="17" borderId="16" xfId="2" applyNumberFormat="1" applyFont="1" applyFill="1" applyBorder="1" applyAlignment="1">
      <alignment horizontal="center"/>
    </xf>
    <xf numFmtId="1" fontId="16" fillId="17" borderId="6" xfId="2" applyNumberFormat="1" applyFont="1" applyFill="1" applyBorder="1" applyAlignment="1">
      <alignment horizontal="center"/>
    </xf>
    <xf numFmtId="164" fontId="16" fillId="14" borderId="16" xfId="2" applyNumberFormat="1" applyFont="1" applyFill="1" applyBorder="1" applyAlignment="1">
      <alignment horizontal="center"/>
    </xf>
    <xf numFmtId="43" fontId="16" fillId="14" borderId="16" xfId="2" applyNumberFormat="1" applyFont="1" applyFill="1" applyBorder="1" applyAlignment="1">
      <alignment horizontal="center"/>
    </xf>
    <xf numFmtId="1" fontId="16" fillId="14" borderId="6" xfId="2" applyNumberFormat="1" applyFont="1" applyFill="1" applyBorder="1" applyAlignment="1">
      <alignment horizontal="center"/>
    </xf>
    <xf numFmtId="164" fontId="16" fillId="12" borderId="16" xfId="2" applyNumberFormat="1" applyFont="1" applyFill="1" applyBorder="1" applyAlignment="1">
      <alignment horizontal="center"/>
    </xf>
    <xf numFmtId="43" fontId="16" fillId="12" borderId="16" xfId="2" applyNumberFormat="1" applyFont="1" applyFill="1" applyBorder="1" applyAlignment="1">
      <alignment horizontal="center"/>
    </xf>
    <xf numFmtId="1" fontId="16" fillId="12" borderId="6" xfId="2" applyNumberFormat="1" applyFont="1" applyFill="1" applyBorder="1" applyAlignment="1">
      <alignment horizontal="center"/>
    </xf>
    <xf numFmtId="164" fontId="16" fillId="18" borderId="16" xfId="2" applyNumberFormat="1" applyFont="1" applyFill="1" applyBorder="1" applyAlignment="1">
      <alignment horizontal="center"/>
    </xf>
    <xf numFmtId="43" fontId="16" fillId="18" borderId="16" xfId="2" applyNumberFormat="1" applyFont="1" applyFill="1" applyBorder="1" applyAlignment="1">
      <alignment horizontal="center"/>
    </xf>
    <xf numFmtId="1" fontId="16" fillId="18" borderId="6" xfId="2" applyNumberFormat="1" applyFont="1" applyFill="1" applyBorder="1" applyAlignment="1">
      <alignment horizontal="center"/>
    </xf>
    <xf numFmtId="164" fontId="16" fillId="8" borderId="0" xfId="2" applyNumberFormat="1" applyFont="1" applyFill="1" applyBorder="1" applyAlignment="1">
      <alignment horizontal="center"/>
    </xf>
    <xf numFmtId="43" fontId="16" fillId="8" borderId="0" xfId="2" applyNumberFormat="1" applyFont="1" applyFill="1" applyBorder="1" applyAlignment="1">
      <alignment horizontal="center"/>
    </xf>
    <xf numFmtId="1" fontId="16" fillId="8" borderId="2" xfId="2" applyNumberFormat="1" applyFont="1" applyFill="1" applyBorder="1" applyAlignment="1">
      <alignment horizontal="center"/>
    </xf>
    <xf numFmtId="164" fontId="16" fillId="13" borderId="16" xfId="2" applyNumberFormat="1" applyFont="1" applyFill="1" applyBorder="1" applyAlignment="1">
      <alignment horizontal="center"/>
    </xf>
    <xf numFmtId="43" fontId="16" fillId="13" borderId="16" xfId="2" applyNumberFormat="1" applyFont="1" applyFill="1" applyBorder="1" applyAlignment="1">
      <alignment horizontal="center"/>
    </xf>
    <xf numFmtId="1" fontId="16" fillId="13" borderId="6" xfId="2" applyNumberFormat="1" applyFont="1" applyFill="1" applyBorder="1" applyAlignment="1">
      <alignment horizontal="center"/>
    </xf>
    <xf numFmtId="164" fontId="16" fillId="15" borderId="16" xfId="2" applyNumberFormat="1" applyFont="1" applyFill="1" applyBorder="1" applyAlignment="1">
      <alignment horizontal="center"/>
    </xf>
    <xf numFmtId="43" fontId="16" fillId="15" borderId="16" xfId="2" applyNumberFormat="1" applyFont="1" applyFill="1" applyBorder="1" applyAlignment="1">
      <alignment horizontal="center"/>
    </xf>
    <xf numFmtId="49" fontId="16" fillId="15" borderId="6" xfId="2" applyNumberFormat="1" applyFont="1" applyFill="1" applyBorder="1" applyAlignment="1">
      <alignment horizontal="center"/>
    </xf>
    <xf numFmtId="164" fontId="16" fillId="10" borderId="0" xfId="2" applyNumberFormat="1" applyFont="1" applyFill="1" applyBorder="1" applyAlignment="1">
      <alignment horizontal="center"/>
    </xf>
    <xf numFmtId="43" fontId="16" fillId="10" borderId="0" xfId="2" applyNumberFormat="1" applyFont="1" applyFill="1" applyBorder="1" applyAlignment="1">
      <alignment horizontal="center"/>
    </xf>
    <xf numFmtId="1" fontId="16" fillId="10" borderId="2" xfId="2" applyNumberFormat="1" applyFont="1" applyFill="1" applyBorder="1" applyAlignment="1">
      <alignment horizontal="center"/>
    </xf>
    <xf numFmtId="164" fontId="16" fillId="11" borderId="0" xfId="2" applyNumberFormat="1" applyFont="1" applyFill="1" applyBorder="1" applyAlignment="1">
      <alignment horizontal="center"/>
    </xf>
    <xf numFmtId="43" fontId="16" fillId="11" borderId="0" xfId="2" applyNumberFormat="1" applyFont="1" applyFill="1" applyBorder="1" applyAlignment="1">
      <alignment horizontal="center"/>
    </xf>
    <xf numFmtId="1" fontId="16" fillId="11" borderId="2" xfId="2" applyNumberFormat="1" applyFont="1" applyFill="1" applyBorder="1" applyAlignment="1">
      <alignment horizontal="center"/>
    </xf>
    <xf numFmtId="164" fontId="16" fillId="19" borderId="16" xfId="2" applyNumberFormat="1" applyFont="1" applyFill="1" applyBorder="1" applyAlignment="1">
      <alignment horizontal="center"/>
    </xf>
    <xf numFmtId="43" fontId="16" fillId="19" borderId="16" xfId="2" applyNumberFormat="1" applyFont="1" applyFill="1" applyBorder="1" applyAlignment="1">
      <alignment horizontal="center"/>
    </xf>
    <xf numFmtId="1" fontId="16" fillId="19" borderId="6" xfId="2" applyNumberFormat="1" applyFont="1" applyFill="1" applyBorder="1" applyAlignment="1">
      <alignment horizontal="center"/>
    </xf>
    <xf numFmtId="164" fontId="7" fillId="4" borderId="16" xfId="2" applyNumberFormat="1" applyFont="1" applyFill="1" applyBorder="1" applyAlignment="1">
      <alignment horizontal="center"/>
    </xf>
    <xf numFmtId="43" fontId="7" fillId="4" borderId="16" xfId="2" applyNumberFormat="1" applyFont="1" applyFill="1" applyBorder="1" applyAlignment="1">
      <alignment horizontal="center"/>
    </xf>
    <xf numFmtId="1" fontId="7" fillId="4" borderId="6" xfId="2" applyNumberFormat="1" applyFont="1" applyFill="1" applyBorder="1" applyAlignment="1">
      <alignment horizontal="center"/>
    </xf>
    <xf numFmtId="164" fontId="7" fillId="10" borderId="16" xfId="2" applyNumberFormat="1" applyFont="1" applyFill="1" applyBorder="1" applyAlignment="1">
      <alignment horizontal="center"/>
    </xf>
    <xf numFmtId="43" fontId="7" fillId="10" borderId="16" xfId="2" applyNumberFormat="1" applyFont="1" applyFill="1" applyBorder="1" applyAlignment="1">
      <alignment horizontal="center"/>
    </xf>
    <xf numFmtId="1" fontId="7" fillId="10" borderId="6" xfId="2" applyNumberFormat="1" applyFont="1" applyFill="1" applyBorder="1" applyAlignment="1">
      <alignment horizontal="center"/>
    </xf>
    <xf numFmtId="3" fontId="7" fillId="23" borderId="0" xfId="11" applyNumberFormat="1" applyFont="1" applyFill="1" applyBorder="1" applyAlignment="1">
      <alignment horizontal="center"/>
    </xf>
    <xf numFmtId="164" fontId="7" fillId="23" borderId="16" xfId="2" applyNumberFormat="1" applyFont="1" applyFill="1" applyBorder="1" applyAlignment="1">
      <alignment horizontal="center"/>
    </xf>
    <xf numFmtId="43" fontId="7" fillId="23" borderId="16" xfId="2" applyNumberFormat="1" applyFont="1" applyFill="1" applyBorder="1" applyAlignment="1">
      <alignment horizontal="center"/>
    </xf>
    <xf numFmtId="1" fontId="7" fillId="23" borderId="6" xfId="2" applyNumberFormat="1" applyFont="1" applyFill="1" applyBorder="1" applyAlignment="1">
      <alignment horizontal="center"/>
    </xf>
    <xf numFmtId="164" fontId="7" fillId="18" borderId="16" xfId="2" applyNumberFormat="1" applyFont="1" applyFill="1" applyBorder="1" applyAlignment="1">
      <alignment horizontal="center"/>
    </xf>
    <xf numFmtId="1" fontId="7" fillId="18" borderId="6" xfId="2" applyNumberFormat="1" applyFont="1" applyFill="1" applyBorder="1" applyAlignment="1">
      <alignment horizontal="center"/>
    </xf>
    <xf numFmtId="1" fontId="16" fillId="12" borderId="16" xfId="2" applyNumberFormat="1" applyFont="1" applyFill="1" applyBorder="1" applyAlignment="1">
      <alignment horizontal="center"/>
    </xf>
    <xf numFmtId="2" fontId="16" fillId="12" borderId="16" xfId="2" applyNumberFormat="1" applyFont="1" applyFill="1" applyBorder="1" applyAlignment="1">
      <alignment horizontal="center"/>
    </xf>
    <xf numFmtId="1" fontId="16" fillId="12" borderId="0" xfId="2" applyNumberFormat="1" applyFont="1" applyFill="1" applyBorder="1" applyAlignment="1">
      <alignment horizontal="center"/>
    </xf>
    <xf numFmtId="3" fontId="16" fillId="12" borderId="16" xfId="2" applyNumberFormat="1" applyFont="1" applyFill="1" applyBorder="1" applyAlignment="1">
      <alignment horizontal="center"/>
    </xf>
    <xf numFmtId="164" fontId="16" fillId="26" borderId="0" xfId="2" applyNumberFormat="1" applyFont="1" applyFill="1" applyBorder="1" applyAlignment="1"/>
    <xf numFmtId="1" fontId="7" fillId="4" borderId="0" xfId="2" applyNumberFormat="1" applyFont="1" applyFill="1" applyBorder="1" applyAlignment="1"/>
    <xf numFmtId="1" fontId="16" fillId="23" borderId="0" xfId="2" applyNumberFormat="1" applyFont="1" applyFill="1" applyBorder="1" applyAlignment="1"/>
    <xf numFmtId="1" fontId="16" fillId="21" borderId="0" xfId="2" applyNumberFormat="1" applyFont="1" applyFill="1" applyBorder="1" applyAlignment="1"/>
    <xf numFmtId="1" fontId="16" fillId="10" borderId="0" xfId="2" applyNumberFormat="1" applyFont="1" applyFill="1" applyBorder="1" applyAlignment="1"/>
    <xf numFmtId="1" fontId="16" fillId="4" borderId="0" xfId="2" applyNumberFormat="1" applyFont="1" applyFill="1" applyBorder="1" applyAlignment="1"/>
    <xf numFmtId="1" fontId="16" fillId="27" borderId="0" xfId="2" applyNumberFormat="1" applyFont="1" applyFill="1" applyBorder="1" applyAlignment="1"/>
    <xf numFmtId="164" fontId="7" fillId="4" borderId="0" xfId="2" applyNumberFormat="1" applyFont="1" applyFill="1" applyBorder="1" applyAlignment="1"/>
    <xf numFmtId="164" fontId="7" fillId="4" borderId="15" xfId="2" applyNumberFormat="1" applyFont="1" applyFill="1" applyBorder="1" applyAlignment="1"/>
    <xf numFmtId="164" fontId="7" fillId="30" borderId="0" xfId="2" applyNumberFormat="1" applyFont="1" applyFill="1" applyBorder="1" applyAlignment="1"/>
    <xf numFmtId="164" fontId="7" fillId="30" borderId="15" xfId="2" applyNumberFormat="1" applyFont="1" applyFill="1" applyBorder="1" applyAlignment="1"/>
    <xf numFmtId="164" fontId="16" fillId="23" borderId="0" xfId="2" applyNumberFormat="1" applyFont="1" applyFill="1" applyBorder="1" applyAlignment="1"/>
    <xf numFmtId="164" fontId="16" fillId="23" borderId="15" xfId="2" applyNumberFormat="1" applyFont="1" applyFill="1" applyBorder="1" applyAlignment="1"/>
    <xf numFmtId="164" fontId="16" fillId="21" borderId="0" xfId="2" applyNumberFormat="1" applyFont="1" applyFill="1" applyBorder="1" applyAlignment="1"/>
    <xf numFmtId="164" fontId="16" fillId="21" borderId="15" xfId="2" applyNumberFormat="1" applyFont="1" applyFill="1" applyBorder="1" applyAlignment="1"/>
    <xf numFmtId="164" fontId="16" fillId="10" borderId="0" xfId="2" applyNumberFormat="1" applyFont="1" applyFill="1" applyBorder="1" applyAlignment="1"/>
    <xf numFmtId="164" fontId="16" fillId="29" borderId="0" xfId="2" applyNumberFormat="1" applyFont="1" applyFill="1" applyBorder="1" applyAlignment="1"/>
    <xf numFmtId="171" fontId="16" fillId="4" borderId="0" xfId="2" applyNumberFormat="1" applyFont="1" applyFill="1" applyBorder="1" applyAlignment="1"/>
    <xf numFmtId="164" fontId="16" fillId="4" borderId="15" xfId="2" applyNumberFormat="1" applyFont="1" applyFill="1" applyBorder="1" applyAlignment="1"/>
    <xf numFmtId="164" fontId="16" fillId="27" borderId="0" xfId="2" applyNumberFormat="1" applyFont="1" applyFill="1" applyBorder="1" applyAlignment="1"/>
    <xf numFmtId="171" fontId="16" fillId="27" borderId="0" xfId="2" applyNumberFormat="1" applyFont="1" applyFill="1" applyBorder="1" applyAlignment="1"/>
    <xf numFmtId="164" fontId="16" fillId="27" borderId="15" xfId="2" applyNumberFormat="1" applyFont="1" applyFill="1" applyBorder="1" applyAlignment="1"/>
    <xf numFmtId="164" fontId="16" fillId="31" borderId="0" xfId="2" applyNumberFormat="1" applyFont="1" applyFill="1" applyBorder="1" applyAlignment="1"/>
    <xf numFmtId="164" fontId="16" fillId="31" borderId="15" xfId="2" applyNumberFormat="1" applyFont="1" applyFill="1" applyBorder="1" applyAlignment="1"/>
    <xf numFmtId="164" fontId="16" fillId="32" borderId="0" xfId="2" applyNumberFormat="1" applyFont="1" applyFill="1" applyBorder="1" applyAlignment="1"/>
    <xf numFmtId="164" fontId="16" fillId="32" borderId="15" xfId="2" applyNumberFormat="1" applyFont="1" applyFill="1" applyBorder="1" applyAlignment="1"/>
    <xf numFmtId="164" fontId="7" fillId="29" borderId="0" xfId="2" applyNumberFormat="1" applyFont="1" applyFill="1" applyBorder="1" applyAlignment="1"/>
    <xf numFmtId="164" fontId="16" fillId="4" borderId="0" xfId="2" applyNumberFormat="1" applyFont="1" applyFill="1" applyBorder="1" applyAlignment="1"/>
    <xf numFmtId="43" fontId="7" fillId="4" borderId="0" xfId="2" applyNumberFormat="1" applyFont="1" applyFill="1" applyBorder="1" applyAlignment="1"/>
    <xf numFmtId="43" fontId="7" fillId="4" borderId="15" xfId="2" applyNumberFormat="1" applyFont="1" applyFill="1" applyBorder="1" applyAlignment="1"/>
    <xf numFmtId="43" fontId="7" fillId="30" borderId="0" xfId="2" applyNumberFormat="1" applyFont="1" applyFill="1" applyBorder="1" applyAlignment="1"/>
    <xf numFmtId="43" fontId="7" fillId="30" borderId="15" xfId="2" applyNumberFormat="1" applyFont="1" applyFill="1" applyBorder="1" applyAlignment="1"/>
    <xf numFmtId="43" fontId="16" fillId="23" borderId="0" xfId="2" applyNumberFormat="1" applyFont="1" applyFill="1" applyBorder="1" applyAlignment="1"/>
    <xf numFmtId="43" fontId="16" fillId="23" borderId="15" xfId="2" applyNumberFormat="1" applyFont="1" applyFill="1" applyBorder="1" applyAlignment="1"/>
    <xf numFmtId="171" fontId="16" fillId="10" borderId="0" xfId="2" applyNumberFormat="1" applyFont="1" applyFill="1" applyBorder="1" applyAlignment="1"/>
    <xf numFmtId="171" fontId="16" fillId="29" borderId="0" xfId="2" applyNumberFormat="1" applyFont="1" applyFill="1" applyBorder="1" applyAlignment="1"/>
    <xf numFmtId="171" fontId="16" fillId="4" borderId="15" xfId="2" applyNumberFormat="1" applyFont="1" applyFill="1" applyBorder="1" applyAlignment="1"/>
    <xf numFmtId="171" fontId="16" fillId="27" borderId="15" xfId="2" applyNumberFormat="1" applyFont="1" applyFill="1" applyBorder="1" applyAlignment="1"/>
    <xf numFmtId="43" fontId="16" fillId="31" borderId="0" xfId="2" applyNumberFormat="1" applyFont="1" applyFill="1" applyBorder="1" applyAlignment="1"/>
    <xf numFmtId="43" fontId="16" fillId="32" borderId="0" xfId="2" applyNumberFormat="1" applyFont="1" applyFill="1" applyBorder="1" applyAlignment="1"/>
    <xf numFmtId="164" fontId="7" fillId="4" borderId="2" xfId="2" applyNumberFormat="1" applyFont="1" applyFill="1" applyBorder="1" applyAlignment="1"/>
    <xf numFmtId="164" fontId="7" fillId="4" borderId="9" xfId="2" applyNumberFormat="1" applyFont="1" applyFill="1" applyBorder="1" applyAlignment="1"/>
    <xf numFmtId="164" fontId="7" fillId="30" borderId="2" xfId="2" applyNumberFormat="1" applyFont="1" applyFill="1" applyBorder="1" applyAlignment="1"/>
    <xf numFmtId="164" fontId="7" fillId="30" borderId="9" xfId="2" applyNumberFormat="1" applyFont="1" applyFill="1" applyBorder="1" applyAlignment="1"/>
    <xf numFmtId="164" fontId="16" fillId="21" borderId="2" xfId="2" applyNumberFormat="1" applyFont="1" applyFill="1" applyBorder="1" applyAlignment="1"/>
    <xf numFmtId="164" fontId="16" fillId="21" borderId="9" xfId="2" applyNumberFormat="1" applyFont="1" applyFill="1" applyBorder="1" applyAlignment="1"/>
    <xf numFmtId="1" fontId="16" fillId="10" borderId="2" xfId="2" applyNumberFormat="1" applyFont="1" applyFill="1" applyBorder="1" applyAlignment="1"/>
    <xf numFmtId="1" fontId="16" fillId="29" borderId="2" xfId="2" applyNumberFormat="1" applyFont="1" applyFill="1" applyBorder="1" applyAlignment="1"/>
    <xf numFmtId="164" fontId="16" fillId="4" borderId="2" xfId="2" applyNumberFormat="1" applyFont="1" applyFill="1" applyBorder="1" applyAlignment="1"/>
    <xf numFmtId="164" fontId="16" fillId="4" borderId="9" xfId="2" applyNumberFormat="1" applyFont="1" applyFill="1" applyBorder="1" applyAlignment="1"/>
    <xf numFmtId="164" fontId="16" fillId="27" borderId="2" xfId="2" applyNumberFormat="1" applyFont="1" applyFill="1" applyBorder="1" applyAlignment="1"/>
    <xf numFmtId="164" fontId="16" fillId="27" borderId="9" xfId="2" applyNumberFormat="1" applyFont="1" applyFill="1" applyBorder="1" applyAlignment="1"/>
    <xf numFmtId="1" fontId="16" fillId="31" borderId="2" xfId="2" quotePrefix="1" applyNumberFormat="1" applyFont="1" applyFill="1" applyBorder="1" applyAlignment="1"/>
    <xf numFmtId="1" fontId="16" fillId="32" borderId="2" xfId="2" quotePrefix="1" applyNumberFormat="1" applyFont="1" applyFill="1" applyBorder="1" applyAlignment="1"/>
    <xf numFmtId="164" fontId="7" fillId="30" borderId="16" xfId="2" applyNumberFormat="1" applyFont="1" applyFill="1" applyBorder="1" applyAlignment="1">
      <alignment horizontal="center"/>
    </xf>
    <xf numFmtId="164" fontId="16" fillId="23" borderId="0" xfId="2" applyNumberFormat="1" applyFont="1" applyFill="1" applyBorder="1" applyAlignment="1">
      <alignment horizontal="center"/>
    </xf>
    <xf numFmtId="164" fontId="16" fillId="21" borderId="16" xfId="2" applyNumberFormat="1" applyFont="1" applyFill="1" applyBorder="1" applyAlignment="1">
      <alignment horizontal="center"/>
    </xf>
    <xf numFmtId="164" fontId="16" fillId="29" borderId="16" xfId="2" applyNumberFormat="1" applyFont="1" applyFill="1" applyBorder="1" applyAlignment="1">
      <alignment horizontal="center"/>
    </xf>
    <xf numFmtId="164" fontId="16" fillId="4" borderId="16" xfId="2" applyNumberFormat="1" applyFont="1" applyFill="1" applyBorder="1" applyAlignment="1">
      <alignment horizontal="center"/>
    </xf>
    <xf numFmtId="164" fontId="16" fillId="27" borderId="0" xfId="2" applyNumberFormat="1" applyFont="1" applyFill="1" applyBorder="1" applyAlignment="1">
      <alignment horizontal="center"/>
    </xf>
    <xf numFmtId="164" fontId="16" fillId="31" borderId="0" xfId="2" applyNumberFormat="1" applyFont="1" applyFill="1" applyBorder="1" applyAlignment="1">
      <alignment horizontal="center"/>
    </xf>
    <xf numFmtId="164" fontId="16" fillId="32" borderId="0" xfId="2" applyNumberFormat="1" applyFont="1" applyFill="1" applyBorder="1" applyAlignment="1">
      <alignment horizontal="center"/>
    </xf>
    <xf numFmtId="164" fontId="7" fillId="23" borderId="0" xfId="2" applyNumberFormat="1" applyFont="1" applyFill="1" applyBorder="1" applyAlignment="1">
      <alignment horizontal="center"/>
    </xf>
    <xf numFmtId="164" fontId="7" fillId="21" borderId="16" xfId="2" applyNumberFormat="1" applyFont="1" applyFill="1" applyBorder="1" applyAlignment="1">
      <alignment horizontal="center"/>
    </xf>
    <xf numFmtId="164" fontId="7" fillId="29" borderId="16" xfId="2" applyNumberFormat="1" applyFont="1" applyFill="1" applyBorder="1" applyAlignment="1">
      <alignment horizontal="center"/>
    </xf>
    <xf numFmtId="164" fontId="7" fillId="27" borderId="16" xfId="2" applyNumberFormat="1" applyFont="1" applyFill="1" applyBorder="1" applyAlignment="1">
      <alignment horizontal="center"/>
    </xf>
    <xf numFmtId="43" fontId="7" fillId="30" borderId="16" xfId="2" applyNumberFormat="1" applyFont="1" applyFill="1" applyBorder="1" applyAlignment="1">
      <alignment horizontal="center"/>
    </xf>
    <xf numFmtId="43" fontId="16" fillId="23" borderId="0" xfId="2" applyNumberFormat="1" applyFont="1" applyFill="1" applyBorder="1" applyAlignment="1">
      <alignment horizontal="center"/>
    </xf>
    <xf numFmtId="43" fontId="16" fillId="21" borderId="16" xfId="2" applyNumberFormat="1" applyFont="1" applyFill="1" applyBorder="1" applyAlignment="1">
      <alignment horizontal="center"/>
    </xf>
    <xf numFmtId="43" fontId="16" fillId="10" borderId="16" xfId="2" applyNumberFormat="1" applyFont="1" applyFill="1" applyBorder="1" applyAlignment="1">
      <alignment horizontal="center"/>
    </xf>
    <xf numFmtId="43" fontId="16" fillId="29" borderId="16" xfId="2" applyNumberFormat="1" applyFont="1" applyFill="1" applyBorder="1" applyAlignment="1">
      <alignment horizontal="center"/>
    </xf>
    <xf numFmtId="43" fontId="16" fillId="4" borderId="16" xfId="2" applyNumberFormat="1" applyFont="1" applyFill="1" applyBorder="1" applyAlignment="1">
      <alignment horizontal="center"/>
    </xf>
    <xf numFmtId="43" fontId="16" fillId="27" borderId="16" xfId="2" applyNumberFormat="1" applyFont="1" applyFill="1" applyBorder="1" applyAlignment="1">
      <alignment horizontal="center"/>
    </xf>
    <xf numFmtId="1" fontId="7" fillId="30" borderId="6" xfId="2" applyNumberFormat="1" applyFont="1" applyFill="1" applyBorder="1" applyAlignment="1">
      <alignment horizontal="center"/>
    </xf>
    <xf numFmtId="1" fontId="16" fillId="23" borderId="2" xfId="2" applyNumberFormat="1" applyFont="1" applyFill="1" applyBorder="1" applyAlignment="1">
      <alignment horizontal="center"/>
    </xf>
    <xf numFmtId="1" fontId="16" fillId="21" borderId="6" xfId="2" applyNumberFormat="1" applyFont="1" applyFill="1" applyBorder="1" applyAlignment="1">
      <alignment horizontal="center"/>
    </xf>
    <xf numFmtId="1" fontId="16" fillId="10" borderId="6" xfId="2" applyNumberFormat="1" applyFont="1" applyFill="1" applyBorder="1" applyAlignment="1">
      <alignment horizontal="center"/>
    </xf>
    <xf numFmtId="1" fontId="16" fillId="29" borderId="6" xfId="2" applyNumberFormat="1" applyFont="1" applyFill="1" applyBorder="1" applyAlignment="1">
      <alignment horizontal="center"/>
    </xf>
    <xf numFmtId="1" fontId="16" fillId="4" borderId="6" xfId="2" applyNumberFormat="1" applyFont="1" applyFill="1" applyBorder="1" applyAlignment="1">
      <alignment horizontal="center"/>
    </xf>
    <xf numFmtId="1" fontId="16" fillId="27" borderId="6" xfId="2" applyNumberFormat="1" applyFont="1" applyFill="1" applyBorder="1" applyAlignment="1">
      <alignment horizontal="center"/>
    </xf>
    <xf numFmtId="164" fontId="16" fillId="33" borderId="0" xfId="2" applyNumberFormat="1" applyFont="1" applyFill="1" applyBorder="1" applyAlignment="1">
      <alignment horizontal="center"/>
    </xf>
    <xf numFmtId="9" fontId="15" fillId="0" borderId="0" xfId="11" applyFont="1" applyFill="1"/>
    <xf numFmtId="164" fontId="15" fillId="0" borderId="0" xfId="2" applyNumberFormat="1" applyFont="1" applyFill="1"/>
    <xf numFmtId="164" fontId="16" fillId="0" borderId="0" xfId="11" applyNumberFormat="1" applyFont="1" applyFill="1" applyAlignment="1">
      <alignment horizontal="center"/>
    </xf>
    <xf numFmtId="0" fontId="6" fillId="0" borderId="0" xfId="22" applyFont="1" applyFill="1" applyBorder="1" applyAlignment="1">
      <alignment horizontal="center"/>
    </xf>
    <xf numFmtId="0" fontId="6" fillId="0" borderId="0" xfId="22" applyNumberFormat="1" applyFont="1" applyFill="1" applyBorder="1" applyAlignment="1">
      <alignment horizontal="center"/>
    </xf>
    <xf numFmtId="37" fontId="7" fillId="0" borderId="5" xfId="1" applyNumberFormat="1" applyFont="1" applyFill="1" applyBorder="1" applyAlignment="1" applyProtection="1">
      <alignment horizontal="right" wrapText="1"/>
      <protection locked="0"/>
    </xf>
    <xf numFmtId="0" fontId="7" fillId="0" borderId="7" xfId="22" applyFont="1" applyBorder="1"/>
    <xf numFmtId="0" fontId="7" fillId="0" borderId="15" xfId="22" applyFont="1" applyFill="1" applyBorder="1" applyAlignment="1">
      <alignment horizontal="left"/>
    </xf>
    <xf numFmtId="3" fontId="6" fillId="0" borderId="8" xfId="22" applyNumberFormat="1" applyFont="1" applyBorder="1" applyAlignment="1">
      <alignment horizontal="center"/>
    </xf>
    <xf numFmtId="3" fontId="7" fillId="0" borderId="8" xfId="2" applyNumberFormat="1" applyFont="1" applyFill="1" applyBorder="1"/>
    <xf numFmtId="10" fontId="7" fillId="8" borderId="0" xfId="11" applyNumberFormat="1" applyFont="1" applyFill="1" applyBorder="1"/>
    <xf numFmtId="0" fontId="6" fillId="0" borderId="0" xfId="22" applyNumberFormat="1" applyFont="1" applyFill="1" applyBorder="1" applyAlignment="1">
      <alignment horizontal="center"/>
    </xf>
    <xf numFmtId="3" fontId="23" fillId="33" borderId="0" xfId="22" applyNumberFormat="1" applyFont="1" applyFill="1" applyBorder="1"/>
    <xf numFmtId="166" fontId="7" fillId="0" borderId="24" xfId="6" applyNumberFormat="1" applyFont="1" applyFill="1" applyBorder="1" applyAlignment="1">
      <alignment horizontal="center"/>
    </xf>
    <xf numFmtId="0" fontId="16" fillId="17" borderId="7" xfId="22" applyFont="1" applyFill="1" applyBorder="1" applyAlignment="1">
      <alignment horizontal="center"/>
    </xf>
    <xf numFmtId="0" fontId="16" fillId="17" borderId="16" xfId="22" applyFont="1" applyFill="1" applyBorder="1" applyAlignment="1">
      <alignment horizontal="center"/>
    </xf>
    <xf numFmtId="1" fontId="16" fillId="17" borderId="16" xfId="22" applyNumberFormat="1" applyFont="1" applyFill="1" applyBorder="1" applyAlignment="1">
      <alignment horizontal="center"/>
    </xf>
    <xf numFmtId="164" fontId="21" fillId="25" borderId="0" xfId="2" applyNumberFormat="1" applyFont="1" applyFill="1" applyBorder="1" applyAlignment="1">
      <alignment horizontal="right"/>
    </xf>
    <xf numFmtId="1" fontId="21" fillId="25" borderId="0" xfId="2" applyNumberFormat="1" applyFont="1" applyFill="1" applyBorder="1" applyAlignment="1">
      <alignment horizontal="right"/>
    </xf>
    <xf numFmtId="49" fontId="21" fillId="25" borderId="2" xfId="2" applyNumberFormat="1" applyFont="1" applyFill="1" applyBorder="1" applyAlignment="1">
      <alignment horizontal="right"/>
    </xf>
    <xf numFmtId="0" fontId="16" fillId="13" borderId="7" xfId="22" applyFont="1" applyFill="1" applyBorder="1" applyAlignment="1">
      <alignment horizontal="right"/>
    </xf>
    <xf numFmtId="0" fontId="16" fillId="13" borderId="8" xfId="22" applyFont="1" applyFill="1" applyBorder="1" applyAlignment="1">
      <alignment horizontal="right"/>
    </xf>
    <xf numFmtId="0" fontId="16" fillId="13" borderId="31" xfId="22" applyFont="1" applyFill="1" applyBorder="1" applyAlignment="1">
      <alignment horizontal="right"/>
    </xf>
    <xf numFmtId="1" fontId="16" fillId="13" borderId="16" xfId="22" applyNumberFormat="1" applyFont="1" applyFill="1" applyBorder="1" applyAlignment="1">
      <alignment horizontal="right"/>
    </xf>
    <xf numFmtId="1" fontId="51" fillId="13" borderId="0" xfId="22" applyNumberFormat="1" applyFont="1" applyFill="1" applyBorder="1" applyAlignment="1">
      <alignment horizontal="right"/>
    </xf>
    <xf numFmtId="1" fontId="16" fillId="13" borderId="15" xfId="22" applyNumberFormat="1" applyFont="1" applyFill="1" applyBorder="1" applyAlignment="1">
      <alignment horizontal="right"/>
    </xf>
    <xf numFmtId="0" fontId="16" fillId="13" borderId="16" xfId="22" applyFont="1" applyFill="1" applyBorder="1" applyAlignment="1">
      <alignment horizontal="right"/>
    </xf>
    <xf numFmtId="0" fontId="16" fillId="13" borderId="0" xfId="22" applyFont="1" applyFill="1" applyBorder="1" applyAlignment="1">
      <alignment horizontal="right"/>
    </xf>
    <xf numFmtId="0" fontId="16" fillId="13" borderId="15" xfId="22" applyFont="1" applyFill="1" applyBorder="1" applyAlignment="1">
      <alignment horizontal="right"/>
    </xf>
    <xf numFmtId="0" fontId="51" fillId="13" borderId="0" xfId="22" applyFont="1" applyFill="1" applyBorder="1" applyAlignment="1">
      <alignment horizontal="right"/>
    </xf>
    <xf numFmtId="172" fontId="16" fillId="13" borderId="0" xfId="11" applyNumberFormat="1" applyFont="1" applyFill="1" applyBorder="1" applyAlignment="1">
      <alignment horizontal="right"/>
    </xf>
    <xf numFmtId="172" fontId="16" fillId="13" borderId="15" xfId="11" applyNumberFormat="1" applyFont="1" applyFill="1" applyBorder="1" applyAlignment="1">
      <alignment horizontal="right"/>
    </xf>
    <xf numFmtId="164" fontId="16" fillId="13" borderId="16" xfId="2" applyNumberFormat="1" applyFont="1" applyFill="1" applyBorder="1" applyAlignment="1">
      <alignment horizontal="right"/>
    </xf>
    <xf numFmtId="43" fontId="16" fillId="13" borderId="16" xfId="2" applyNumberFormat="1" applyFont="1" applyFill="1" applyBorder="1" applyAlignment="1">
      <alignment horizontal="right"/>
    </xf>
    <xf numFmtId="16" fontId="16" fillId="13" borderId="15" xfId="22" quotePrefix="1" applyNumberFormat="1" applyFont="1" applyFill="1" applyBorder="1" applyAlignment="1">
      <alignment horizontal="right"/>
    </xf>
    <xf numFmtId="1" fontId="16" fillId="13" borderId="6" xfId="2" applyNumberFormat="1" applyFont="1" applyFill="1" applyBorder="1" applyAlignment="1">
      <alignment horizontal="right"/>
    </xf>
    <xf numFmtId="1" fontId="16" fillId="13" borderId="2" xfId="2" quotePrefix="1" applyNumberFormat="1" applyFont="1" applyFill="1" applyBorder="1" applyAlignment="1">
      <alignment horizontal="right"/>
    </xf>
    <xf numFmtId="1" fontId="16" fillId="13" borderId="9" xfId="22" applyNumberFormat="1" applyFont="1" applyFill="1" applyBorder="1" applyAlignment="1">
      <alignment horizontal="right"/>
    </xf>
    <xf numFmtId="43" fontId="15" fillId="0" borderId="16" xfId="22" applyNumberFormat="1" applyFont="1" applyFill="1" applyBorder="1"/>
    <xf numFmtId="0" fontId="16" fillId="0" borderId="6" xfId="22" applyFont="1" applyBorder="1" applyAlignment="1">
      <alignment horizontal="center"/>
    </xf>
    <xf numFmtId="0" fontId="16" fillId="0" borderId="22" xfId="22" applyFont="1" applyFill="1" applyBorder="1" applyAlignment="1">
      <alignment horizontal="center" wrapText="1"/>
    </xf>
    <xf numFmtId="0" fontId="16" fillId="0" borderId="20" xfId="22" applyFont="1" applyFill="1" applyBorder="1" applyAlignment="1">
      <alignment horizontal="center" wrapText="1"/>
    </xf>
    <xf numFmtId="164" fontId="16" fillId="0" borderId="0" xfId="4" applyNumberFormat="1" applyFont="1" applyFill="1" applyBorder="1"/>
    <xf numFmtId="0" fontId="16" fillId="0" borderId="50" xfId="22" applyFont="1" applyFill="1" applyBorder="1" applyAlignment="1">
      <alignment horizontal="center"/>
    </xf>
    <xf numFmtId="0" fontId="16" fillId="0" borderId="48" xfId="22" applyFont="1" applyFill="1" applyBorder="1" applyAlignment="1">
      <alignment horizontal="center"/>
    </xf>
    <xf numFmtId="0" fontId="16" fillId="0" borderId="48" xfId="22" applyFont="1" applyBorder="1" applyAlignment="1">
      <alignment horizontal="center"/>
    </xf>
    <xf numFmtId="0" fontId="16" fillId="0" borderId="49" xfId="22" applyFont="1" applyFill="1" applyBorder="1" applyAlignment="1">
      <alignment horizontal="center"/>
    </xf>
    <xf numFmtId="0" fontId="16" fillId="0" borderId="0" xfId="22" applyFont="1" applyFill="1" applyBorder="1" applyAlignment="1">
      <alignment horizontal="center" wrapText="1"/>
    </xf>
    <xf numFmtId="0" fontId="16" fillId="0" borderId="45" xfId="22" applyFont="1" applyBorder="1" applyAlignment="1">
      <alignment horizontal="center"/>
    </xf>
    <xf numFmtId="0" fontId="16" fillId="0" borderId="47" xfId="22" applyFont="1" applyFill="1" applyBorder="1" applyAlignment="1">
      <alignment horizontal="center" wrapText="1"/>
    </xf>
    <xf numFmtId="0" fontId="16" fillId="0" borderId="52" xfId="22" applyFont="1" applyFill="1" applyBorder="1" applyAlignment="1">
      <alignment horizontal="center" wrapText="1"/>
    </xf>
    <xf numFmtId="0" fontId="16" fillId="0" borderId="53" xfId="22" applyFont="1" applyFill="1" applyBorder="1" applyAlignment="1">
      <alignment horizontal="center" wrapText="1"/>
    </xf>
    <xf numFmtId="164" fontId="16" fillId="25" borderId="33" xfId="2" applyNumberFormat="1" applyFont="1" applyFill="1" applyBorder="1" applyAlignment="1">
      <alignment horizontal="center" wrapText="1"/>
    </xf>
    <xf numFmtId="164" fontId="16" fillId="12" borderId="33" xfId="2" applyNumberFormat="1" applyFont="1" applyFill="1" applyBorder="1" applyAlignment="1">
      <alignment horizontal="center"/>
    </xf>
    <xf numFmtId="164" fontId="16" fillId="11" borderId="33" xfId="2" applyNumberFormat="1" applyFont="1" applyFill="1" applyBorder="1" applyAlignment="1">
      <alignment horizontal="center"/>
    </xf>
    <xf numFmtId="164" fontId="16" fillId="26" borderId="33" xfId="2" applyNumberFormat="1" applyFont="1" applyFill="1" applyBorder="1" applyAlignment="1">
      <alignment horizontal="center"/>
    </xf>
    <xf numFmtId="164" fontId="16" fillId="28" borderId="33" xfId="2" applyNumberFormat="1" applyFont="1" applyFill="1" applyBorder="1"/>
    <xf numFmtId="164" fontId="16" fillId="26" borderId="13" xfId="2" applyNumberFormat="1" applyFont="1" applyFill="1" applyBorder="1" applyAlignment="1">
      <alignment horizontal="center"/>
    </xf>
    <xf numFmtId="164" fontId="16" fillId="28" borderId="13" xfId="2" applyNumberFormat="1" applyFont="1" applyFill="1" applyBorder="1"/>
    <xf numFmtId="164" fontId="16" fillId="29" borderId="13" xfId="2" applyNumberFormat="1" applyFont="1" applyFill="1" applyBorder="1"/>
    <xf numFmtId="164" fontId="16" fillId="27" borderId="13" xfId="2" applyNumberFormat="1" applyFont="1" applyFill="1" applyBorder="1"/>
    <xf numFmtId="17" fontId="15" fillId="0" borderId="27" xfId="22" applyNumberFormat="1" applyFont="1" applyFill="1" applyBorder="1" applyAlignment="1">
      <alignment horizontal="left" wrapText="1"/>
    </xf>
    <xf numFmtId="17" fontId="15" fillId="0" borderId="28" xfId="22" applyNumberFormat="1" applyFont="1" applyFill="1" applyBorder="1" applyAlignment="1">
      <alignment wrapText="1" shrinkToFit="1"/>
    </xf>
    <xf numFmtId="0" fontId="47" fillId="0" borderId="0" xfId="0" applyFont="1" applyBorder="1"/>
    <xf numFmtId="43" fontId="15" fillId="0" borderId="22" xfId="22" applyNumberFormat="1" applyFont="1" applyFill="1" applyBorder="1"/>
    <xf numFmtId="0" fontId="16" fillId="0" borderId="23" xfId="22" applyFont="1" applyBorder="1" applyAlignment="1">
      <alignment horizontal="center"/>
    </xf>
    <xf numFmtId="164" fontId="15" fillId="0" borderId="23" xfId="2" applyNumberFormat="1" applyFont="1" applyFill="1" applyBorder="1"/>
    <xf numFmtId="164" fontId="15" fillId="36" borderId="40" xfId="2" applyNumberFormat="1" applyFont="1" applyFill="1" applyBorder="1"/>
    <xf numFmtId="0" fontId="4" fillId="0" borderId="0" xfId="1" applyFont="1"/>
    <xf numFmtId="43" fontId="21" fillId="0" borderId="0" xfId="2" applyFont="1" applyFill="1"/>
    <xf numFmtId="0" fontId="16" fillId="0" borderId="0" xfId="0" applyFont="1"/>
    <xf numFmtId="0" fontId="7" fillId="0" borderId="0" xfId="0" applyFont="1"/>
    <xf numFmtId="0" fontId="16" fillId="0" borderId="0" xfId="0" applyFont="1" applyBorder="1"/>
    <xf numFmtId="0" fontId="7" fillId="0" borderId="0" xfId="0" applyFont="1" applyBorder="1"/>
    <xf numFmtId="164" fontId="16" fillId="37" borderId="13" xfId="2" applyNumberFormat="1" applyFont="1" applyFill="1" applyBorder="1"/>
    <xf numFmtId="164" fontId="7" fillId="37" borderId="16" xfId="2" applyNumberFormat="1" applyFont="1" applyFill="1" applyBorder="1" applyAlignment="1">
      <alignment horizontal="center"/>
    </xf>
    <xf numFmtId="164" fontId="7" fillId="37" borderId="0" xfId="2" applyNumberFormat="1" applyFont="1" applyFill="1" applyBorder="1" applyAlignment="1"/>
    <xf numFmtId="164" fontId="7" fillId="37" borderId="15" xfId="2" applyNumberFormat="1" applyFont="1" applyFill="1" applyBorder="1" applyAlignment="1"/>
    <xf numFmtId="43" fontId="7" fillId="37" borderId="16" xfId="2" applyNumberFormat="1" applyFont="1" applyFill="1" applyBorder="1" applyAlignment="1">
      <alignment horizontal="center"/>
    </xf>
    <xf numFmtId="43" fontId="7" fillId="37" borderId="0" xfId="2" applyNumberFormat="1" applyFont="1" applyFill="1" applyBorder="1" applyAlignment="1"/>
    <xf numFmtId="43" fontId="7" fillId="37" borderId="15" xfId="2" applyNumberFormat="1" applyFont="1" applyFill="1" applyBorder="1" applyAlignment="1"/>
    <xf numFmtId="1" fontId="7" fillId="37" borderId="6" xfId="2" applyNumberFormat="1" applyFont="1" applyFill="1" applyBorder="1" applyAlignment="1">
      <alignment horizontal="center"/>
    </xf>
    <xf numFmtId="164" fontId="7" fillId="37" borderId="2" xfId="2" applyNumberFormat="1" applyFont="1" applyFill="1" applyBorder="1" applyAlignment="1"/>
    <xf numFmtId="164" fontId="7" fillId="37" borderId="9" xfId="2" applyNumberFormat="1" applyFont="1" applyFill="1" applyBorder="1" applyAlignment="1"/>
    <xf numFmtId="0" fontId="6" fillId="0" borderId="25" xfId="0" applyFont="1" applyFill="1" applyBorder="1"/>
    <xf numFmtId="0" fontId="6" fillId="0" borderId="0" xfId="0" applyFont="1" applyFill="1" applyBorder="1"/>
    <xf numFmtId="0" fontId="7" fillId="0" borderId="0" xfId="0" applyFont="1" applyFill="1"/>
    <xf numFmtId="164" fontId="16" fillId="29" borderId="33" xfId="2" applyNumberFormat="1" applyFont="1" applyFill="1" applyBorder="1" applyAlignment="1">
      <alignment horizontal="center"/>
    </xf>
    <xf numFmtId="164" fontId="16" fillId="27" borderId="33" xfId="2" applyNumberFormat="1" applyFont="1" applyFill="1" applyBorder="1" applyAlignment="1">
      <alignment horizontal="center"/>
    </xf>
    <xf numFmtId="164" fontId="26" fillId="0" borderId="8" xfId="2" applyNumberFormat="1" applyFont="1" applyFill="1" applyBorder="1"/>
    <xf numFmtId="164" fontId="26" fillId="0" borderId="31" xfId="2" applyNumberFormat="1" applyFont="1" applyFill="1" applyBorder="1"/>
    <xf numFmtId="164" fontId="26" fillId="0" borderId="0" xfId="2" applyNumberFormat="1" applyFont="1" applyFill="1" applyBorder="1"/>
    <xf numFmtId="164" fontId="26" fillId="0" borderId="15" xfId="2" applyNumberFormat="1" applyFont="1" applyFill="1" applyBorder="1"/>
    <xf numFmtId="164" fontId="26" fillId="0" borderId="16" xfId="22" applyNumberFormat="1" applyFont="1" applyFill="1" applyBorder="1"/>
    <xf numFmtId="164" fontId="26" fillId="0" borderId="0" xfId="22" applyNumberFormat="1" applyFont="1" applyFill="1" applyBorder="1"/>
    <xf numFmtId="164" fontId="7" fillId="25" borderId="16" xfId="2" applyNumberFormat="1" applyFont="1" applyFill="1" applyBorder="1" applyAlignment="1">
      <alignment horizontal="center"/>
    </xf>
    <xf numFmtId="164" fontId="7" fillId="25" borderId="15" xfId="2" applyNumberFormat="1" applyFont="1" applyFill="1" applyBorder="1" applyAlignment="1">
      <alignment horizontal="right"/>
    </xf>
    <xf numFmtId="43" fontId="7" fillId="25" borderId="15" xfId="2" applyNumberFormat="1" applyFont="1" applyFill="1" applyBorder="1" applyAlignment="1">
      <alignment horizontal="right"/>
    </xf>
    <xf numFmtId="1" fontId="7" fillId="25" borderId="6" xfId="2" applyNumberFormat="1" applyFont="1" applyFill="1" applyBorder="1" applyAlignment="1">
      <alignment horizontal="center"/>
    </xf>
    <xf numFmtId="164" fontId="7" fillId="25" borderId="9" xfId="2" applyNumberFormat="1" applyFont="1" applyFill="1" applyBorder="1" applyAlignment="1">
      <alignment horizontal="right"/>
    </xf>
    <xf numFmtId="1" fontId="7" fillId="11" borderId="16" xfId="2" applyNumberFormat="1" applyFont="1" applyFill="1" applyBorder="1" applyAlignment="1">
      <alignment horizontal="right"/>
    </xf>
    <xf numFmtId="1" fontId="7" fillId="11" borderId="15" xfId="2" applyNumberFormat="1" applyFont="1" applyFill="1" applyBorder="1" applyAlignment="1">
      <alignment horizontal="right"/>
    </xf>
    <xf numFmtId="164" fontId="7" fillId="11" borderId="16" xfId="2" applyNumberFormat="1" applyFont="1" applyFill="1" applyBorder="1" applyAlignment="1">
      <alignment horizontal="right"/>
    </xf>
    <xf numFmtId="1" fontId="7" fillId="11" borderId="6" xfId="2" applyNumberFormat="1" applyFont="1" applyFill="1" applyBorder="1" applyAlignment="1">
      <alignment horizontal="right"/>
    </xf>
    <xf numFmtId="1" fontId="7" fillId="11" borderId="9" xfId="2" applyNumberFormat="1" applyFont="1" applyFill="1" applyBorder="1" applyAlignment="1">
      <alignment horizontal="right"/>
    </xf>
    <xf numFmtId="164" fontId="16" fillId="26" borderId="34" xfId="2" applyNumberFormat="1" applyFont="1" applyFill="1" applyBorder="1" applyAlignment="1">
      <alignment horizontal="center"/>
    </xf>
    <xf numFmtId="164" fontId="16" fillId="29" borderId="34" xfId="2" applyNumberFormat="1" applyFont="1" applyFill="1" applyBorder="1"/>
    <xf numFmtId="164" fontId="16" fillId="27" borderId="34" xfId="2" applyNumberFormat="1" applyFont="1" applyFill="1" applyBorder="1"/>
    <xf numFmtId="0" fontId="0" fillId="0" borderId="0" xfId="0" applyFill="1" applyAlignment="1">
      <alignment vertical="center" wrapText="1"/>
    </xf>
    <xf numFmtId="0" fontId="7" fillId="0" borderId="0" xfId="0" applyFont="1" applyFill="1" applyAlignment="1"/>
    <xf numFmtId="0" fontId="18" fillId="0" borderId="0" xfId="0" applyFont="1" applyFill="1" applyAlignment="1">
      <alignment horizontal="center"/>
    </xf>
    <xf numFmtId="0" fontId="7" fillId="0" borderId="0" xfId="0" applyFont="1" applyFill="1" applyAlignment="1">
      <alignment horizontal="left"/>
    </xf>
    <xf numFmtId="0" fontId="18" fillId="0" borderId="0" xfId="0" applyFont="1" applyFill="1"/>
    <xf numFmtId="37" fontId="7" fillId="0" borderId="0" xfId="0" applyNumberFormat="1" applyFont="1" applyFill="1"/>
    <xf numFmtId="172" fontId="7" fillId="0" borderId="0" xfId="0" applyNumberFormat="1" applyFont="1" applyFill="1"/>
    <xf numFmtId="37" fontId="6" fillId="0" borderId="0" xfId="0" applyNumberFormat="1" applyFont="1" applyFill="1"/>
    <xf numFmtId="37" fontId="7" fillId="0" borderId="0" xfId="0" applyNumberFormat="1" applyFont="1"/>
    <xf numFmtId="37" fontId="7" fillId="0" borderId="0" xfId="0" applyNumberFormat="1" applyFont="1" applyFill="1" applyAlignment="1">
      <alignment horizontal="left"/>
    </xf>
    <xf numFmtId="0" fontId="6" fillId="0" borderId="0" xfId="0" applyFont="1" applyFill="1"/>
    <xf numFmtId="37" fontId="7" fillId="8" borderId="0" xfId="0" applyNumberFormat="1" applyFont="1" applyFill="1"/>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Alignment="1">
      <alignment horizontal="center"/>
    </xf>
    <xf numFmtId="0" fontId="18" fillId="0" borderId="0" xfId="0" applyFont="1" applyFill="1" applyAlignment="1">
      <alignment horizontal="left"/>
    </xf>
    <xf numFmtId="41" fontId="7" fillId="8" borderId="13" xfId="0" applyNumberFormat="1" applyFont="1" applyFill="1" applyBorder="1"/>
    <xf numFmtId="0" fontId="7" fillId="8" borderId="32" xfId="0" applyFont="1" applyFill="1" applyBorder="1" applyAlignment="1">
      <alignment wrapText="1"/>
    </xf>
    <xf numFmtId="0" fontId="7" fillId="8" borderId="38" xfId="0" applyFont="1" applyFill="1" applyBorder="1" applyAlignment="1">
      <alignment wrapText="1"/>
    </xf>
    <xf numFmtId="37" fontId="7" fillId="0" borderId="44" xfId="0" applyNumberFormat="1" applyFont="1" applyFill="1" applyBorder="1" applyAlignment="1">
      <alignment wrapText="1"/>
    </xf>
    <xf numFmtId="0" fontId="8" fillId="0" borderId="32" xfId="0" applyFont="1" applyFill="1" applyBorder="1" applyAlignment="1">
      <alignment wrapText="1"/>
    </xf>
    <xf numFmtId="37" fontId="6" fillId="0" borderId="0" xfId="0" applyNumberFormat="1" applyFont="1" applyFill="1" applyBorder="1"/>
    <xf numFmtId="37" fontId="6" fillId="0" borderId="0" xfId="0" applyNumberFormat="1" applyFont="1" applyFill="1" applyBorder="1" applyAlignment="1">
      <alignment horizontal="center"/>
    </xf>
    <xf numFmtId="0" fontId="6" fillId="0" borderId="0" xfId="0" applyFont="1" applyBorder="1"/>
    <xf numFmtId="37" fontId="6" fillId="0" borderId="0" xfId="0" applyNumberFormat="1" applyFont="1" applyFill="1" applyBorder="1" applyAlignment="1">
      <alignment wrapText="1"/>
    </xf>
    <xf numFmtId="0" fontId="6" fillId="0" borderId="0" xfId="0" applyFont="1" applyFill="1" applyBorder="1" applyAlignment="1">
      <alignment horizontal="left"/>
    </xf>
    <xf numFmtId="0" fontId="7" fillId="0" borderId="0" xfId="0" applyFont="1" applyBorder="1" applyAlignment="1">
      <alignment horizontal="left"/>
    </xf>
    <xf numFmtId="41" fontId="6" fillId="0" borderId="0" xfId="0" applyNumberFormat="1" applyFont="1" applyBorder="1" applyAlignment="1">
      <alignment horizontal="center"/>
    </xf>
    <xf numFmtId="0" fontId="7" fillId="0" borderId="0" xfId="0" applyFont="1" applyFill="1" applyBorder="1" applyAlignment="1">
      <alignment wrapText="1"/>
    </xf>
    <xf numFmtId="0" fontId="9" fillId="0" borderId="0" xfId="0" applyFont="1" applyBorder="1"/>
    <xf numFmtId="0" fontId="18" fillId="0" borderId="0" xfId="0" applyFont="1" applyBorder="1" applyAlignment="1">
      <alignment horizontal="left"/>
    </xf>
    <xf numFmtId="0" fontId="7" fillId="0" borderId="0" xfId="0" applyFont="1" applyBorder="1" applyAlignment="1"/>
    <xf numFmtId="0" fontId="18" fillId="0" borderId="0" xfId="0" applyFont="1" applyBorder="1" applyAlignment="1">
      <alignment horizontal="center"/>
    </xf>
    <xf numFmtId="0" fontId="18" fillId="0" borderId="0" xfId="0" applyFont="1" applyFill="1" applyBorder="1" applyAlignment="1">
      <alignment horizontal="center"/>
    </xf>
    <xf numFmtId="0" fontId="18" fillId="0" borderId="0" xfId="0" applyFont="1" applyBorder="1"/>
    <xf numFmtId="37" fontId="7" fillId="8" borderId="21" xfId="0" applyNumberFormat="1" applyFont="1" applyFill="1" applyBorder="1"/>
    <xf numFmtId="37" fontId="7" fillId="8" borderId="13" xfId="0" applyNumberFormat="1" applyFont="1" applyFill="1" applyBorder="1"/>
    <xf numFmtId="37" fontId="7" fillId="8" borderId="37" xfId="0" applyNumberFormat="1" applyFont="1" applyFill="1" applyBorder="1"/>
    <xf numFmtId="0" fontId="6" fillId="0" borderId="35" xfId="0" applyFont="1" applyFill="1" applyBorder="1" applyAlignment="1"/>
    <xf numFmtId="37" fontId="7" fillId="0" borderId="36" xfId="0" applyNumberFormat="1" applyFont="1" applyFill="1" applyBorder="1" applyAlignment="1">
      <alignment wrapText="1"/>
    </xf>
    <xf numFmtId="0" fontId="6" fillId="0" borderId="21" xfId="0" applyFont="1" applyFill="1" applyBorder="1"/>
    <xf numFmtId="0" fontId="6" fillId="0" borderId="18" xfId="0" applyFont="1" applyFill="1" applyBorder="1"/>
    <xf numFmtId="0" fontId="8" fillId="0" borderId="41" xfId="0" applyFont="1" applyFill="1" applyBorder="1" applyAlignment="1">
      <alignment wrapText="1"/>
    </xf>
    <xf numFmtId="0" fontId="6" fillId="0" borderId="26" xfId="0" applyFont="1" applyFill="1" applyBorder="1" applyAlignment="1">
      <alignment wrapText="1"/>
    </xf>
    <xf numFmtId="0" fontId="7" fillId="0" borderId="5" xfId="0" applyFont="1" applyBorder="1"/>
    <xf numFmtId="0" fontId="16" fillId="0" borderId="0" xfId="0" applyFont="1" applyBorder="1" applyAlignment="1">
      <alignment horizontal="left"/>
    </xf>
    <xf numFmtId="0" fontId="16" fillId="0" borderId="0" xfId="0" applyFont="1" applyFill="1" applyBorder="1" applyAlignment="1">
      <alignment wrapText="1"/>
    </xf>
    <xf numFmtId="41" fontId="6" fillId="0" borderId="0" xfId="0" applyNumberFormat="1" applyFont="1" applyFill="1" applyAlignment="1">
      <alignment horizontal="center" wrapText="1"/>
    </xf>
    <xf numFmtId="0" fontId="7" fillId="0" borderId="0" xfId="0" applyFont="1" applyAlignment="1">
      <alignment horizontal="left"/>
    </xf>
    <xf numFmtId="0" fontId="7" fillId="8" borderId="54" xfId="0" applyFont="1" applyFill="1" applyBorder="1" applyAlignment="1">
      <alignment wrapText="1"/>
    </xf>
    <xf numFmtId="0" fontId="7" fillId="8" borderId="39" xfId="0" applyFont="1" applyFill="1" applyBorder="1" applyAlignment="1"/>
    <xf numFmtId="0" fontId="6" fillId="0" borderId="17" xfId="0" applyFont="1" applyFill="1" applyBorder="1"/>
    <xf numFmtId="0" fontId="7" fillId="0" borderId="32" xfId="0" applyFont="1" applyFill="1" applyBorder="1" applyAlignment="1">
      <alignment wrapText="1"/>
    </xf>
    <xf numFmtId="0" fontId="7" fillId="0" borderId="26" xfId="0" applyFont="1" applyFill="1" applyBorder="1" applyAlignment="1">
      <alignment wrapText="1"/>
    </xf>
    <xf numFmtId="37" fontId="7" fillId="0" borderId="0" xfId="0" applyNumberFormat="1" applyFont="1" applyBorder="1"/>
    <xf numFmtId="37" fontId="7" fillId="0" borderId="0" xfId="0" applyNumberFormat="1" applyFont="1" applyFill="1" applyBorder="1"/>
    <xf numFmtId="164" fontId="7" fillId="0" borderId="0" xfId="0" applyNumberFormat="1" applyFont="1" applyFill="1" applyBorder="1" applyAlignment="1">
      <alignment wrapText="1"/>
    </xf>
    <xf numFmtId="0" fontId="6" fillId="0" borderId="0" xfId="0" applyFont="1" applyFill="1" applyBorder="1" applyAlignment="1">
      <alignment horizontal="centerContinuous"/>
    </xf>
    <xf numFmtId="0" fontId="7" fillId="0" borderId="0" xfId="0" applyFont="1" applyFill="1" applyBorder="1" applyAlignment="1">
      <alignment horizontal="centerContinuous"/>
    </xf>
    <xf numFmtId="41" fontId="6" fillId="0" borderId="0" xfId="0" applyNumberFormat="1" applyFont="1" applyFill="1" applyBorder="1" applyAlignment="1">
      <alignment horizontal="center"/>
    </xf>
    <xf numFmtId="0" fontId="7" fillId="0" borderId="0" xfId="0" applyFont="1" applyFill="1" applyBorder="1" applyAlignment="1">
      <alignment horizontal="left"/>
    </xf>
    <xf numFmtId="0" fontId="7" fillId="0" borderId="0" xfId="0" applyFont="1" applyFill="1" applyAlignment="1">
      <alignment horizontal="center"/>
    </xf>
    <xf numFmtId="0" fontId="64" fillId="0" borderId="0" xfId="0" applyFont="1" applyFill="1"/>
    <xf numFmtId="37" fontId="65" fillId="0" borderId="0" xfId="0" applyNumberFormat="1" applyFont="1" applyFill="1"/>
    <xf numFmtId="181" fontId="17" fillId="0" borderId="0" xfId="2" applyNumberFormat="1" applyFont="1"/>
    <xf numFmtId="0" fontId="10" fillId="0" borderId="0" xfId="0" applyFont="1" applyBorder="1"/>
    <xf numFmtId="0" fontId="6" fillId="0" borderId="30" xfId="0" applyFont="1" applyFill="1" applyBorder="1" applyAlignment="1">
      <alignment wrapText="1"/>
    </xf>
    <xf numFmtId="0" fontId="8" fillId="0" borderId="0" xfId="0" applyFont="1" applyFill="1" applyBorder="1" applyAlignment="1">
      <alignment wrapText="1"/>
    </xf>
    <xf numFmtId="37" fontId="7" fillId="8" borderId="43" xfId="0" applyNumberFormat="1" applyFont="1" applyFill="1" applyBorder="1"/>
    <xf numFmtId="37" fontId="7" fillId="8" borderId="17" xfId="0" applyNumberFormat="1" applyFont="1" applyFill="1" applyBorder="1" applyAlignment="1">
      <alignment horizontal="center"/>
    </xf>
    <xf numFmtId="0" fontId="7" fillId="8" borderId="17" xfId="0" applyFont="1" applyFill="1" applyBorder="1" applyAlignment="1">
      <alignment horizontal="center"/>
    </xf>
    <xf numFmtId="0" fontId="7" fillId="8" borderId="28" xfId="0" applyFont="1" applyFill="1" applyBorder="1" applyAlignment="1">
      <alignment horizontal="center"/>
    </xf>
    <xf numFmtId="0" fontId="15" fillId="0" borderId="0" xfId="0" applyFont="1" applyBorder="1" applyAlignment="1">
      <alignment horizontal="centerContinuous"/>
    </xf>
    <xf numFmtId="0" fontId="16" fillId="0" borderId="0" xfId="0" applyFont="1" applyBorder="1" applyAlignment="1">
      <alignment horizontal="centerContinuous"/>
    </xf>
    <xf numFmtId="0" fontId="16" fillId="0" borderId="0" xfId="0" applyFont="1" applyFill="1" applyBorder="1" applyAlignment="1">
      <alignment horizontal="centerContinuous"/>
    </xf>
    <xf numFmtId="0" fontId="6" fillId="0" borderId="27" xfId="0" applyFont="1" applyFill="1" applyBorder="1" applyAlignment="1"/>
    <xf numFmtId="0" fontId="7" fillId="0" borderId="36" xfId="0" applyFont="1" applyFill="1" applyBorder="1" applyAlignment="1">
      <alignment wrapText="1"/>
    </xf>
    <xf numFmtId="0" fontId="6" fillId="0" borderId="42" xfId="0" applyFont="1" applyFill="1" applyBorder="1"/>
    <xf numFmtId="0" fontId="7" fillId="0" borderId="41" xfId="0" applyFont="1" applyFill="1" applyBorder="1" applyAlignment="1">
      <alignment wrapText="1"/>
    </xf>
    <xf numFmtId="164" fontId="26" fillId="0" borderId="6" xfId="22" applyNumberFormat="1" applyFont="1" applyFill="1" applyBorder="1"/>
    <xf numFmtId="164" fontId="26" fillId="0" borderId="2" xfId="22" applyNumberFormat="1" applyFont="1" applyFill="1" applyBorder="1"/>
    <xf numFmtId="164" fontId="26" fillId="0" borderId="9" xfId="2" applyNumberFormat="1" applyFont="1" applyFill="1" applyBorder="1"/>
    <xf numFmtId="164" fontId="26" fillId="0" borderId="9" xfId="22" applyNumberFormat="1" applyFont="1" applyFill="1" applyBorder="1"/>
    <xf numFmtId="0" fontId="7" fillId="8" borderId="35" xfId="22" applyFont="1" applyFill="1" applyBorder="1"/>
    <xf numFmtId="0" fontId="7" fillId="8" borderId="19" xfId="22" applyFont="1" applyFill="1" applyBorder="1"/>
    <xf numFmtId="0" fontId="7" fillId="8" borderId="21" xfId="22" applyFont="1" applyFill="1" applyBorder="1"/>
    <xf numFmtId="0" fontId="7" fillId="8" borderId="21" xfId="22" applyFont="1" applyFill="1" applyBorder="1" applyAlignment="1">
      <alignment wrapText="1"/>
    </xf>
    <xf numFmtId="0" fontId="7" fillId="8" borderId="39" xfId="22" applyFont="1" applyFill="1" applyBorder="1" applyAlignment="1">
      <alignment wrapText="1"/>
    </xf>
    <xf numFmtId="0" fontId="6" fillId="0" borderId="35" xfId="22" applyFont="1" applyFill="1" applyBorder="1"/>
    <xf numFmtId="0" fontId="6" fillId="0" borderId="13" xfId="22" applyFont="1" applyFill="1" applyBorder="1"/>
    <xf numFmtId="0" fontId="6" fillId="0" borderId="29" xfId="22" applyFont="1" applyFill="1" applyBorder="1"/>
    <xf numFmtId="0" fontId="7" fillId="8" borderId="35" xfId="22" applyFont="1" applyFill="1" applyBorder="1" applyAlignment="1">
      <alignment wrapText="1"/>
    </xf>
    <xf numFmtId="37" fontId="7" fillId="8" borderId="21" xfId="22" applyNumberFormat="1" applyFont="1" applyFill="1" applyBorder="1"/>
    <xf numFmtId="0" fontId="7" fillId="8" borderId="36" xfId="22" applyFont="1" applyFill="1" applyBorder="1" applyAlignment="1">
      <alignment wrapText="1"/>
    </xf>
    <xf numFmtId="0" fontId="7" fillId="8" borderId="32" xfId="22" applyFont="1" applyFill="1" applyBorder="1" applyAlignment="1">
      <alignment wrapText="1"/>
    </xf>
    <xf numFmtId="0" fontId="7" fillId="8" borderId="38" xfId="22" applyFont="1" applyFill="1" applyBorder="1" applyAlignment="1">
      <alignment wrapText="1"/>
    </xf>
    <xf numFmtId="37" fontId="7" fillId="8" borderId="32" xfId="22" applyNumberFormat="1" applyFont="1" applyFill="1" applyBorder="1" applyAlignment="1">
      <alignment wrapText="1"/>
    </xf>
    <xf numFmtId="164" fontId="15" fillId="0" borderId="31" xfId="2" applyNumberFormat="1" applyFont="1" applyFill="1" applyBorder="1" applyAlignment="1">
      <alignment horizontal="center"/>
    </xf>
    <xf numFmtId="164" fontId="16" fillId="8" borderId="18" xfId="2" applyNumberFormat="1" applyFont="1" applyFill="1" applyBorder="1"/>
    <xf numFmtId="10" fontId="16" fillId="17" borderId="16" xfId="22" applyNumberFormat="1" applyFont="1" applyFill="1" applyBorder="1" applyAlignment="1">
      <alignment horizontal="center"/>
    </xf>
    <xf numFmtId="10" fontId="16" fillId="14" borderId="15" xfId="2" applyNumberFormat="1" applyFont="1" applyFill="1" applyBorder="1" applyAlignment="1">
      <alignment horizontal="right"/>
    </xf>
    <xf numFmtId="10" fontId="16" fillId="12" borderId="15" xfId="2" applyNumberFormat="1" applyFont="1" applyFill="1" applyBorder="1" applyAlignment="1">
      <alignment horizontal="right"/>
    </xf>
    <xf numFmtId="10" fontId="16" fillId="18" borderId="15" xfId="2" applyNumberFormat="1" applyFont="1" applyFill="1" applyBorder="1" applyAlignment="1">
      <alignment horizontal="right"/>
    </xf>
    <xf numFmtId="10" fontId="16" fillId="15" borderId="16" xfId="11" applyNumberFormat="1" applyFont="1" applyFill="1" applyBorder="1" applyAlignment="1">
      <alignment horizontal="center"/>
    </xf>
    <xf numFmtId="10" fontId="7" fillId="23" borderId="16" xfId="11" applyNumberFormat="1" applyFont="1" applyFill="1" applyBorder="1" applyAlignment="1">
      <alignment horizontal="center"/>
    </xf>
    <xf numFmtId="10" fontId="7" fillId="23" borderId="0" xfId="11" applyNumberFormat="1" applyFont="1" applyFill="1" applyBorder="1" applyAlignment="1">
      <alignment horizontal="right"/>
    </xf>
    <xf numFmtId="10" fontId="7" fillId="23" borderId="15" xfId="11" applyNumberFormat="1" applyFont="1" applyFill="1" applyBorder="1" applyAlignment="1">
      <alignment horizontal="right"/>
    </xf>
    <xf numFmtId="10" fontId="7" fillId="18" borderId="16" xfId="11" applyNumberFormat="1" applyFont="1" applyFill="1" applyBorder="1" applyAlignment="1">
      <alignment horizontal="center"/>
    </xf>
    <xf numFmtId="10" fontId="7" fillId="18" borderId="0" xfId="11" applyNumberFormat="1" applyFont="1" applyFill="1" applyBorder="1" applyAlignment="1">
      <alignment horizontal="right"/>
    </xf>
    <xf numFmtId="10" fontId="7" fillId="18" borderId="15" xfId="11" applyNumberFormat="1" applyFont="1" applyFill="1" applyBorder="1" applyAlignment="1">
      <alignment horizontal="right"/>
    </xf>
    <xf numFmtId="10" fontId="7" fillId="25" borderId="16" xfId="11" applyNumberFormat="1" applyFont="1" applyFill="1" applyBorder="1" applyAlignment="1">
      <alignment horizontal="center"/>
    </xf>
    <xf numFmtId="10" fontId="7" fillId="25" borderId="0" xfId="11" applyNumberFormat="1" applyFont="1" applyFill="1" applyBorder="1" applyAlignment="1">
      <alignment horizontal="right"/>
    </xf>
    <xf numFmtId="10" fontId="7" fillId="25" borderId="15" xfId="11" applyNumberFormat="1" applyFont="1" applyFill="1" applyBorder="1" applyAlignment="1">
      <alignment horizontal="right"/>
    </xf>
    <xf numFmtId="10" fontId="7" fillId="12" borderId="16" xfId="11" applyNumberFormat="1" applyFont="1" applyFill="1" applyBorder="1" applyAlignment="1">
      <alignment horizontal="center"/>
    </xf>
    <xf numFmtId="10" fontId="7" fillId="12" borderId="0" xfId="11" applyNumberFormat="1" applyFont="1" applyFill="1" applyBorder="1" applyAlignment="1">
      <alignment horizontal="right"/>
    </xf>
    <xf numFmtId="10" fontId="7" fillId="12" borderId="15" xfId="11" applyNumberFormat="1" applyFont="1" applyFill="1" applyBorder="1" applyAlignment="1">
      <alignment horizontal="right"/>
    </xf>
    <xf numFmtId="10" fontId="7" fillId="11" borderId="0" xfId="11" applyNumberFormat="1" applyFont="1" applyFill="1" applyBorder="1" applyAlignment="1">
      <alignment horizontal="center"/>
    </xf>
    <xf numFmtId="10" fontId="7" fillId="11" borderId="0" xfId="11" applyNumberFormat="1" applyFont="1" applyFill="1" applyBorder="1" applyAlignment="1">
      <alignment horizontal="right"/>
    </xf>
    <xf numFmtId="10" fontId="7" fillId="20" borderId="16" xfId="11" applyNumberFormat="1" applyFont="1" applyFill="1" applyBorder="1" applyAlignment="1">
      <alignment horizontal="center"/>
    </xf>
    <xf numFmtId="10" fontId="7" fillId="20" borderId="0" xfId="11" applyNumberFormat="1" applyFont="1" applyFill="1" applyBorder="1" applyAlignment="1">
      <alignment horizontal="right"/>
    </xf>
    <xf numFmtId="10" fontId="7" fillId="20" borderId="15" xfId="11" applyNumberFormat="1" applyFont="1" applyFill="1" applyBorder="1" applyAlignment="1">
      <alignment horizontal="right"/>
    </xf>
    <xf numFmtId="10" fontId="7" fillId="11" borderId="16" xfId="11" applyNumberFormat="1" applyFont="1" applyFill="1" applyBorder="1" applyAlignment="1">
      <alignment horizontal="right"/>
    </xf>
    <xf numFmtId="10" fontId="7" fillId="11" borderId="0" xfId="2" applyNumberFormat="1" applyFont="1" applyFill="1" applyBorder="1" applyAlignment="1">
      <alignment horizontal="right"/>
    </xf>
    <xf numFmtId="10" fontId="7" fillId="11" borderId="15" xfId="2" applyNumberFormat="1" applyFont="1" applyFill="1" applyBorder="1" applyAlignment="1">
      <alignment horizontal="right"/>
    </xf>
    <xf numFmtId="10" fontId="21" fillId="25" borderId="0" xfId="11" applyNumberFormat="1" applyFont="1" applyFill="1" applyBorder="1" applyAlignment="1">
      <alignment horizontal="right"/>
    </xf>
    <xf numFmtId="10" fontId="7" fillId="17" borderId="0" xfId="11" applyNumberFormat="1" applyFont="1" applyFill="1" applyBorder="1" applyAlignment="1">
      <alignment horizontal="center"/>
    </xf>
    <xf numFmtId="10" fontId="7" fillId="17" borderId="0" xfId="11" applyNumberFormat="1" applyFont="1" applyFill="1" applyBorder="1" applyAlignment="1">
      <alignment horizontal="right"/>
    </xf>
    <xf numFmtId="10" fontId="7" fillId="17" borderId="15" xfId="11" applyNumberFormat="1" applyFont="1" applyFill="1" applyBorder="1" applyAlignment="1">
      <alignment horizontal="right"/>
    </xf>
    <xf numFmtId="10" fontId="16" fillId="12" borderId="0" xfId="11" applyNumberFormat="1" applyFont="1" applyFill="1" applyBorder="1" applyAlignment="1">
      <alignment horizontal="center"/>
    </xf>
    <xf numFmtId="10" fontId="16" fillId="12" borderId="0" xfId="2" applyNumberFormat="1" applyFont="1" applyFill="1" applyBorder="1"/>
    <xf numFmtId="10" fontId="16" fillId="12" borderId="15" xfId="2" applyNumberFormat="1" applyFont="1" applyFill="1" applyBorder="1"/>
    <xf numFmtId="10" fontId="16" fillId="26" borderId="0" xfId="11" applyNumberFormat="1" applyFont="1" applyFill="1" applyBorder="1" applyAlignment="1">
      <alignment horizontal="center"/>
    </xf>
    <xf numFmtId="10" fontId="16" fillId="26" borderId="0" xfId="2" applyNumberFormat="1" applyFont="1" applyFill="1" applyBorder="1" applyAlignment="1"/>
    <xf numFmtId="10" fontId="7" fillId="4" borderId="16" xfId="11" applyNumberFormat="1" applyFont="1" applyFill="1" applyBorder="1" applyAlignment="1">
      <alignment horizontal="center"/>
    </xf>
    <xf numFmtId="10" fontId="7" fillId="4" borderId="0" xfId="11" applyNumberFormat="1" applyFont="1" applyFill="1" applyBorder="1" applyAlignment="1"/>
    <xf numFmtId="10" fontId="7" fillId="4" borderId="15" xfId="11" applyNumberFormat="1" applyFont="1" applyFill="1" applyBorder="1" applyAlignment="1"/>
    <xf numFmtId="10" fontId="7" fillId="30" borderId="16" xfId="11" applyNumberFormat="1" applyFont="1" applyFill="1" applyBorder="1" applyAlignment="1">
      <alignment horizontal="center"/>
    </xf>
    <xf numFmtId="10" fontId="7" fillId="30" borderId="0" xfId="11" applyNumberFormat="1" applyFont="1" applyFill="1" applyBorder="1" applyAlignment="1"/>
    <xf numFmtId="10" fontId="7" fillId="30" borderId="15" xfId="11" applyNumberFormat="1" applyFont="1" applyFill="1" applyBorder="1" applyAlignment="1"/>
    <xf numFmtId="10" fontId="7" fillId="37" borderId="16" xfId="11" applyNumberFormat="1" applyFont="1" applyFill="1" applyBorder="1" applyAlignment="1">
      <alignment horizontal="center"/>
    </xf>
    <xf numFmtId="10" fontId="7" fillId="37" borderId="0" xfId="11" applyNumberFormat="1" applyFont="1" applyFill="1" applyBorder="1" applyAlignment="1"/>
    <xf numFmtId="10" fontId="7" fillId="37" borderId="15" xfId="11" applyNumberFormat="1" applyFont="1" applyFill="1" applyBorder="1" applyAlignment="1"/>
    <xf numFmtId="10" fontId="16" fillId="23" borderId="0" xfId="11" applyNumberFormat="1" applyFont="1" applyFill="1" applyBorder="1" applyAlignment="1">
      <alignment horizontal="center"/>
    </xf>
    <xf numFmtId="10" fontId="16" fillId="23" borderId="0" xfId="11" applyNumberFormat="1" applyFont="1" applyFill="1" applyBorder="1" applyAlignment="1"/>
    <xf numFmtId="10" fontId="16" fillId="23" borderId="15" xfId="11" applyNumberFormat="1" applyFont="1" applyFill="1" applyBorder="1" applyAlignment="1"/>
    <xf numFmtId="10" fontId="16" fillId="21" borderId="16" xfId="11" applyNumberFormat="1" applyFont="1" applyFill="1" applyBorder="1" applyAlignment="1">
      <alignment horizontal="center"/>
    </xf>
    <xf numFmtId="10" fontId="16" fillId="21" borderId="0" xfId="11" applyNumberFormat="1" applyFont="1" applyFill="1" applyBorder="1" applyAlignment="1"/>
    <xf numFmtId="10" fontId="16" fillId="21" borderId="15" xfId="11" applyNumberFormat="1" applyFont="1" applyFill="1" applyBorder="1" applyAlignment="1"/>
    <xf numFmtId="10" fontId="16" fillId="10" borderId="16" xfId="11" applyNumberFormat="1" applyFont="1" applyFill="1" applyBorder="1" applyAlignment="1">
      <alignment horizontal="center"/>
    </xf>
    <xf numFmtId="10" fontId="16" fillId="10" borderId="0" xfId="11" applyNumberFormat="1" applyFont="1" applyFill="1" applyBorder="1" applyAlignment="1"/>
    <xf numFmtId="10" fontId="16" fillId="29" borderId="16" xfId="11" applyNumberFormat="1" applyFont="1" applyFill="1" applyBorder="1" applyAlignment="1">
      <alignment horizontal="center"/>
    </xf>
    <xf numFmtId="10" fontId="16" fillId="29" borderId="0" xfId="11" applyNumberFormat="1" applyFont="1" applyFill="1" applyBorder="1" applyAlignment="1"/>
    <xf numFmtId="10" fontId="16" fillId="4" borderId="16" xfId="11" applyNumberFormat="1" applyFont="1" applyFill="1" applyBorder="1" applyAlignment="1">
      <alignment horizontal="center"/>
    </xf>
    <xf numFmtId="10" fontId="16" fillId="4" borderId="0" xfId="11" applyNumberFormat="1" applyFont="1" applyFill="1" applyBorder="1" applyAlignment="1"/>
    <xf numFmtId="10" fontId="16" fillId="4" borderId="15" xfId="11" applyNumberFormat="1" applyFont="1" applyFill="1" applyBorder="1" applyAlignment="1"/>
    <xf numFmtId="10" fontId="16" fillId="27" borderId="16" xfId="11" applyNumberFormat="1" applyFont="1" applyFill="1" applyBorder="1" applyAlignment="1">
      <alignment horizontal="center"/>
    </xf>
    <xf numFmtId="10" fontId="16" fillId="27" borderId="0" xfId="11" applyNumberFormat="1" applyFont="1" applyFill="1" applyBorder="1" applyAlignment="1"/>
    <xf numFmtId="10" fontId="16" fillId="27" borderId="15" xfId="11" applyNumberFormat="1" applyFont="1" applyFill="1" applyBorder="1" applyAlignment="1"/>
    <xf numFmtId="10" fontId="16" fillId="31" borderId="0" xfId="11" applyNumberFormat="1" applyFont="1" applyFill="1" applyBorder="1" applyAlignment="1">
      <alignment horizontal="center"/>
    </xf>
    <xf numFmtId="10" fontId="16" fillId="32" borderId="0" xfId="11" applyNumberFormat="1" applyFont="1" applyFill="1" applyBorder="1" applyAlignment="1">
      <alignment horizontal="center"/>
    </xf>
    <xf numFmtId="10" fontId="16" fillId="13" borderId="16" xfId="11" applyNumberFormat="1" applyFont="1" applyFill="1" applyBorder="1" applyAlignment="1">
      <alignment horizontal="right"/>
    </xf>
    <xf numFmtId="10" fontId="16" fillId="17" borderId="0" xfId="11" applyNumberFormat="1" applyFont="1" applyFill="1" applyBorder="1" applyAlignment="1">
      <alignment horizontal="center"/>
    </xf>
    <xf numFmtId="10" fontId="16" fillId="30" borderId="16" xfId="11" applyNumberFormat="1" applyFont="1" applyFill="1" applyBorder="1" applyAlignment="1">
      <alignment horizontal="center"/>
    </xf>
    <xf numFmtId="166" fontId="26" fillId="0" borderId="40" xfId="6" applyNumberFormat="1" applyFont="1" applyBorder="1"/>
    <xf numFmtId="166" fontId="26" fillId="0" borderId="22" xfId="6" applyNumberFormat="1" applyFont="1" applyBorder="1"/>
    <xf numFmtId="166" fontId="26" fillId="0" borderId="22" xfId="6" applyNumberFormat="1" applyFont="1" applyFill="1" applyBorder="1"/>
    <xf numFmtId="164" fontId="26" fillId="0" borderId="22" xfId="2" applyNumberFormat="1" applyFont="1" applyBorder="1"/>
    <xf numFmtId="164" fontId="26" fillId="0" borderId="22" xfId="2" applyNumberFormat="1" applyFont="1" applyFill="1" applyBorder="1"/>
    <xf numFmtId="166" fontId="26" fillId="0" borderId="23" xfId="6" applyNumberFormat="1" applyFont="1" applyFill="1" applyBorder="1"/>
    <xf numFmtId="0" fontId="15" fillId="0" borderId="0" xfId="22" applyFont="1" applyAlignment="1">
      <alignment horizontal="center"/>
    </xf>
    <xf numFmtId="0" fontId="15" fillId="0" borderId="0" xfId="1" applyFont="1" applyAlignment="1">
      <alignment horizontal="center"/>
    </xf>
    <xf numFmtId="0" fontId="15" fillId="0" borderId="0" xfId="22" applyFont="1" applyAlignment="1"/>
    <xf numFmtId="0" fontId="16" fillId="0" borderId="0" xfId="22" applyFont="1" applyAlignment="1">
      <alignment horizontal="center"/>
    </xf>
    <xf numFmtId="17" fontId="7" fillId="0" borderId="0" xfId="1" applyNumberFormat="1" applyFont="1" applyFill="1" applyAlignment="1">
      <alignment horizontal="center"/>
    </xf>
    <xf numFmtId="0" fontId="18" fillId="0" borderId="0" xfId="22" applyFont="1" applyFill="1" applyAlignment="1">
      <alignment horizontal="center"/>
    </xf>
    <xf numFmtId="0" fontId="18" fillId="0" borderId="0" xfId="22" applyFont="1" applyFill="1"/>
    <xf numFmtId="41" fontId="6" fillId="0" borderId="33" xfId="22" applyNumberFormat="1" applyFont="1" applyFill="1" applyBorder="1"/>
    <xf numFmtId="37" fontId="6" fillId="0" borderId="33" xfId="22" applyNumberFormat="1" applyFont="1" applyFill="1" applyBorder="1"/>
    <xf numFmtId="41" fontId="7" fillId="0" borderId="13" xfId="22" applyNumberFormat="1" applyFont="1" applyFill="1" applyBorder="1"/>
    <xf numFmtId="37" fontId="7" fillId="0" borderId="13" xfId="22" applyNumberFormat="1" applyFont="1" applyFill="1" applyBorder="1"/>
    <xf numFmtId="37" fontId="7" fillId="0" borderId="13" xfId="22" applyNumberFormat="1" applyFont="1" applyFill="1" applyBorder="1" applyAlignment="1">
      <alignment horizontal="right"/>
    </xf>
    <xf numFmtId="0" fontId="7" fillId="0" borderId="13" xfId="22" applyFont="1" applyFill="1" applyBorder="1" applyAlignment="1">
      <alignment horizontal="center"/>
    </xf>
    <xf numFmtId="41" fontId="6" fillId="0" borderId="29" xfId="22" applyNumberFormat="1" applyFont="1" applyFill="1" applyBorder="1"/>
    <xf numFmtId="37" fontId="6" fillId="0" borderId="29" xfId="22" applyNumberFormat="1" applyFont="1" applyFill="1" applyBorder="1"/>
    <xf numFmtId="0" fontId="7" fillId="0" borderId="0" xfId="22" applyFont="1" applyFill="1" applyBorder="1" applyAlignment="1">
      <alignment wrapText="1"/>
    </xf>
    <xf numFmtId="41" fontId="7" fillId="8" borderId="33" xfId="22" applyNumberFormat="1" applyFont="1" applyFill="1" applyBorder="1"/>
    <xf numFmtId="43" fontId="17" fillId="8" borderId="33" xfId="3" applyNumberFormat="1" applyFont="1" applyFill="1" applyBorder="1"/>
    <xf numFmtId="41" fontId="7" fillId="8" borderId="13" xfId="22" applyNumberFormat="1" applyFont="1" applyFill="1" applyBorder="1"/>
    <xf numFmtId="37" fontId="7" fillId="0" borderId="34" xfId="22" applyNumberFormat="1" applyFont="1" applyFill="1" applyBorder="1"/>
    <xf numFmtId="0" fontId="7" fillId="0" borderId="0" xfId="22" applyFont="1" applyAlignment="1">
      <alignment horizontal="left"/>
    </xf>
    <xf numFmtId="41" fontId="7" fillId="8" borderId="58" xfId="22" applyNumberFormat="1" applyFont="1" applyFill="1" applyBorder="1"/>
    <xf numFmtId="0" fontId="7" fillId="8" borderId="0" xfId="22" applyFont="1" applyFill="1" applyBorder="1"/>
    <xf numFmtId="0" fontId="7" fillId="8" borderId="13" xfId="22" applyFont="1" applyFill="1" applyBorder="1"/>
    <xf numFmtId="37" fontId="6" fillId="0" borderId="33" xfId="22" applyNumberFormat="1" applyFont="1" applyBorder="1"/>
    <xf numFmtId="0" fontId="16" fillId="0" borderId="0" xfId="22" applyFont="1" applyFill="1" applyBorder="1"/>
    <xf numFmtId="41" fontId="7" fillId="8" borderId="59" xfId="22" applyNumberFormat="1" applyFont="1" applyFill="1" applyBorder="1"/>
    <xf numFmtId="3" fontId="7" fillId="8" borderId="13" xfId="22" applyNumberFormat="1" applyFont="1" applyFill="1" applyBorder="1"/>
    <xf numFmtId="41" fontId="7" fillId="8" borderId="37" xfId="22" applyNumberFormat="1" applyFont="1" applyFill="1" applyBorder="1"/>
    <xf numFmtId="0" fontId="16" fillId="0" borderId="0" xfId="1" applyFont="1" applyFill="1" applyBorder="1" applyAlignment="1">
      <alignment horizontal="center"/>
    </xf>
    <xf numFmtId="164" fontId="16" fillId="0" borderId="0" xfId="1" applyNumberFormat="1" applyFont="1" applyFill="1" applyBorder="1" applyAlignment="1">
      <alignment horizontal="center"/>
    </xf>
    <xf numFmtId="164" fontId="16" fillId="6" borderId="33" xfId="2" applyNumberFormat="1" applyFont="1" applyFill="1" applyBorder="1"/>
    <xf numFmtId="164" fontId="16" fillId="6" borderId="34" xfId="2" applyNumberFormat="1" applyFont="1" applyFill="1" applyBorder="1"/>
    <xf numFmtId="0" fontId="15" fillId="0" borderId="27" xfId="22" applyFont="1" applyFill="1" applyBorder="1" applyAlignment="1">
      <alignment horizontal="left" wrapText="1"/>
    </xf>
    <xf numFmtId="164" fontId="16" fillId="8" borderId="19" xfId="2" applyNumberFormat="1" applyFont="1" applyFill="1" applyBorder="1" applyAlignment="1">
      <alignment horizontal="right" wrapText="1"/>
    </xf>
    <xf numFmtId="164" fontId="16" fillId="25" borderId="43" xfId="2" applyNumberFormat="1" applyFont="1" applyFill="1" applyBorder="1"/>
    <xf numFmtId="164" fontId="16" fillId="22" borderId="43" xfId="2" applyNumberFormat="1" applyFont="1" applyFill="1" applyBorder="1"/>
    <xf numFmtId="164" fontId="16" fillId="12" borderId="43" xfId="2" applyNumberFormat="1" applyFont="1" applyFill="1" applyBorder="1"/>
    <xf numFmtId="164" fontId="16" fillId="13" borderId="43" xfId="2" applyNumberFormat="1" applyFont="1" applyFill="1" applyBorder="1"/>
    <xf numFmtId="164" fontId="16" fillId="10" borderId="43" xfId="2" applyNumberFormat="1" applyFont="1" applyFill="1" applyBorder="1"/>
    <xf numFmtId="164" fontId="16" fillId="25" borderId="37" xfId="2" applyNumberFormat="1" applyFont="1" applyFill="1" applyBorder="1"/>
    <xf numFmtId="164" fontId="16" fillId="12" borderId="37" xfId="2" applyNumberFormat="1" applyFont="1" applyFill="1" applyBorder="1"/>
    <xf numFmtId="164" fontId="16" fillId="11" borderId="37" xfId="2" applyNumberFormat="1" applyFont="1" applyFill="1" applyBorder="1"/>
    <xf numFmtId="164" fontId="16" fillId="20" borderId="37" xfId="2" applyNumberFormat="1" applyFont="1" applyFill="1" applyBorder="1"/>
    <xf numFmtId="164" fontId="16" fillId="22" borderId="37" xfId="2" applyNumberFormat="1" applyFont="1" applyFill="1" applyBorder="1"/>
    <xf numFmtId="164" fontId="16" fillId="13" borderId="37" xfId="2" applyNumberFormat="1" applyFont="1" applyFill="1" applyBorder="1"/>
    <xf numFmtId="164" fontId="16" fillId="6" borderId="37" xfId="2" applyNumberFormat="1" applyFont="1" applyFill="1" applyBorder="1"/>
    <xf numFmtId="164" fontId="16" fillId="10" borderId="37" xfId="2" applyNumberFormat="1" applyFont="1" applyFill="1" applyBorder="1"/>
    <xf numFmtId="43" fontId="16" fillId="0" borderId="0" xfId="1" applyNumberFormat="1" applyFont="1" applyFill="1" applyBorder="1"/>
    <xf numFmtId="0" fontId="16" fillId="37" borderId="13" xfId="22" applyFont="1" applyFill="1" applyBorder="1"/>
    <xf numFmtId="164" fontId="16" fillId="0" borderId="0" xfId="2" applyNumberFormat="1" applyFont="1" applyFill="1" applyBorder="1"/>
    <xf numFmtId="164" fontId="16" fillId="0" borderId="0" xfId="22" applyNumberFormat="1" applyFont="1" applyFill="1" applyBorder="1"/>
    <xf numFmtId="164" fontId="16" fillId="0" borderId="0" xfId="22" applyNumberFormat="1" applyFont="1" applyFill="1"/>
    <xf numFmtId="164" fontId="16" fillId="0" borderId="0" xfId="11" applyNumberFormat="1" applyFont="1" applyFill="1" applyBorder="1" applyAlignment="1">
      <alignment horizontal="center"/>
    </xf>
    <xf numFmtId="164" fontId="16" fillId="0" borderId="0" xfId="22" applyNumberFormat="1" applyFont="1" applyBorder="1"/>
    <xf numFmtId="166" fontId="16" fillId="0" borderId="0" xfId="22" applyNumberFormat="1" applyFont="1" applyBorder="1"/>
    <xf numFmtId="164" fontId="16" fillId="0" borderId="0" xfId="22" applyNumberFormat="1" applyFont="1" applyAlignment="1">
      <alignment horizontal="center"/>
    </xf>
    <xf numFmtId="41" fontId="17" fillId="8" borderId="43" xfId="3" applyFont="1" applyFill="1" applyBorder="1"/>
    <xf numFmtId="0" fontId="6" fillId="0" borderId="0" xfId="22" applyNumberFormat="1" applyFont="1" applyFill="1" applyBorder="1" applyAlignment="1">
      <alignment horizontal="center"/>
    </xf>
    <xf numFmtId="0" fontId="6" fillId="0" borderId="0" xfId="22" applyNumberFormat="1" applyFont="1" applyFill="1" applyBorder="1" applyAlignment="1">
      <alignment horizontal="center"/>
    </xf>
    <xf numFmtId="37" fontId="7" fillId="0" borderId="0" xfId="22" applyNumberFormat="1" applyFont="1" applyFill="1" applyBorder="1" applyAlignment="1">
      <alignment horizontal="left"/>
    </xf>
    <xf numFmtId="3" fontId="7" fillId="7" borderId="22" xfId="2" applyNumberFormat="1" applyFont="1" applyFill="1" applyBorder="1"/>
    <xf numFmtId="3" fontId="7" fillId="0" borderId="22" xfId="2" applyNumberFormat="1" applyFont="1" applyFill="1" applyBorder="1"/>
    <xf numFmtId="3" fontId="7" fillId="7" borderId="23" xfId="2" applyNumberFormat="1" applyFont="1" applyFill="1" applyBorder="1"/>
    <xf numFmtId="3" fontId="16" fillId="8" borderId="0" xfId="2" applyNumberFormat="1" applyFont="1" applyFill="1" applyBorder="1"/>
    <xf numFmtId="164" fontId="16" fillId="0" borderId="0" xfId="2" applyNumberFormat="1" applyFont="1" applyFill="1" applyAlignment="1">
      <alignment horizontal="center"/>
    </xf>
    <xf numFmtId="3" fontId="7" fillId="0" borderId="0" xfId="22" applyNumberFormat="1" applyFont="1"/>
    <xf numFmtId="9" fontId="16" fillId="0" borderId="0" xfId="11" applyFont="1" applyBorder="1"/>
    <xf numFmtId="176" fontId="7" fillId="0" borderId="0" xfId="22" applyNumberFormat="1" applyFont="1" applyFill="1" applyBorder="1"/>
    <xf numFmtId="3" fontId="26" fillId="0" borderId="3" xfId="1" applyNumberFormat="1" applyFont="1" applyFill="1" applyBorder="1"/>
    <xf numFmtId="164" fontId="7" fillId="8" borderId="13" xfId="3" applyNumberFormat="1" applyFont="1" applyFill="1" applyBorder="1"/>
    <xf numFmtId="0" fontId="6" fillId="0" borderId="0" xfId="22" applyNumberFormat="1" applyFont="1" applyFill="1" applyBorder="1" applyAlignment="1">
      <alignment horizontal="center"/>
    </xf>
    <xf numFmtId="164" fontId="16" fillId="0" borderId="0" xfId="22" applyNumberFormat="1" applyFont="1" applyFill="1" applyAlignment="1">
      <alignment horizontal="center"/>
    </xf>
    <xf numFmtId="0" fontId="15" fillId="0" borderId="0" xfId="22" applyFont="1" applyFill="1" applyAlignment="1">
      <alignment horizontal="center"/>
    </xf>
    <xf numFmtId="0" fontId="15" fillId="0" borderId="0" xfId="22" applyFont="1" applyAlignment="1">
      <alignment horizontal="center"/>
    </xf>
    <xf numFmtId="43" fontId="7" fillId="0" borderId="0" xfId="2" applyFont="1"/>
    <xf numFmtId="43" fontId="7" fillId="0" borderId="5" xfId="2" applyFont="1" applyBorder="1"/>
    <xf numFmtId="43" fontId="7" fillId="0" borderId="0" xfId="0" applyNumberFormat="1" applyFont="1"/>
    <xf numFmtId="166" fontId="7" fillId="33" borderId="0" xfId="0" applyNumberFormat="1" applyFont="1" applyFill="1" applyBorder="1" applyAlignment="1">
      <alignment horizontal="center"/>
    </xf>
    <xf numFmtId="166" fontId="7" fillId="33" borderId="0" xfId="6" applyNumberFormat="1" applyFont="1" applyFill="1" applyBorder="1" applyAlignment="1">
      <alignment horizontal="center"/>
    </xf>
    <xf numFmtId="0" fontId="7" fillId="33" borderId="0" xfId="0" applyFont="1" applyFill="1" applyBorder="1" applyAlignment="1">
      <alignment horizontal="center"/>
    </xf>
    <xf numFmtId="171" fontId="7" fillId="33" borderId="0" xfId="2" applyNumberFormat="1" applyFont="1" applyFill="1" applyBorder="1" applyAlignment="1"/>
    <xf numFmtId="164" fontId="16" fillId="0" borderId="13" xfId="2" applyNumberFormat="1" applyFont="1" applyFill="1" applyBorder="1"/>
    <xf numFmtId="164" fontId="16" fillId="0" borderId="43" xfId="2" applyNumberFormat="1" applyFont="1" applyFill="1" applyBorder="1"/>
    <xf numFmtId="164" fontId="16" fillId="0" borderId="34" xfId="2" applyNumberFormat="1" applyFont="1" applyFill="1" applyBorder="1"/>
    <xf numFmtId="166" fontId="16" fillId="0" borderId="0" xfId="1" applyNumberFormat="1" applyFont="1" applyFill="1" applyBorder="1"/>
    <xf numFmtId="43" fontId="16" fillId="0" borderId="0" xfId="2" applyNumberFormat="1" applyFont="1" applyFill="1" applyBorder="1"/>
    <xf numFmtId="0" fontId="15" fillId="0" borderId="0" xfId="1" applyFont="1" applyFill="1" applyBorder="1" applyAlignment="1">
      <alignment horizontal="center"/>
    </xf>
    <xf numFmtId="164" fontId="15" fillId="0" borderId="0" xfId="22" applyNumberFormat="1" applyFont="1" applyFill="1" applyBorder="1"/>
    <xf numFmtId="3" fontId="16" fillId="0" borderId="0" xfId="1" applyNumberFormat="1" applyFont="1" applyFill="1" applyBorder="1"/>
    <xf numFmtId="0" fontId="15" fillId="0" borderId="0" xfId="1" applyFont="1" applyFill="1" applyBorder="1"/>
    <xf numFmtId="0" fontId="4" fillId="0" borderId="0" xfId="22" applyFont="1" applyFill="1" applyBorder="1"/>
    <xf numFmtId="0" fontId="4" fillId="0" borderId="0" xfId="22" applyFont="1" applyFill="1" applyBorder="1" applyAlignment="1">
      <alignment horizontal="center"/>
    </xf>
    <xf numFmtId="0" fontId="16" fillId="0" borderId="16" xfId="22" applyFont="1" applyFill="1" applyBorder="1" applyAlignment="1">
      <alignment horizontal="center" wrapText="1"/>
    </xf>
    <xf numFmtId="164" fontId="16" fillId="40" borderId="13" xfId="2" applyNumberFormat="1" applyFont="1" applyFill="1" applyBorder="1" applyAlignment="1">
      <alignment horizontal="center"/>
    </xf>
    <xf numFmtId="164" fontId="16" fillId="41" borderId="13" xfId="2" applyNumberFormat="1" applyFont="1" applyFill="1" applyBorder="1" applyAlignment="1">
      <alignment horizontal="center"/>
    </xf>
    <xf numFmtId="164" fontId="16" fillId="35" borderId="13" xfId="2" applyNumberFormat="1" applyFont="1" applyFill="1" applyBorder="1" applyAlignment="1">
      <alignment horizontal="center"/>
    </xf>
    <xf numFmtId="164" fontId="16" fillId="34" borderId="13" xfId="2" applyNumberFormat="1" applyFont="1" applyFill="1" applyBorder="1" applyAlignment="1">
      <alignment horizontal="center"/>
    </xf>
    <xf numFmtId="164" fontId="16" fillId="42" borderId="13" xfId="2" applyNumberFormat="1" applyFont="1" applyFill="1" applyBorder="1" applyAlignment="1">
      <alignment horizontal="center"/>
    </xf>
    <xf numFmtId="164" fontId="16" fillId="31" borderId="13" xfId="2" applyNumberFormat="1" applyFont="1" applyFill="1" applyBorder="1" applyAlignment="1">
      <alignment horizontal="center"/>
    </xf>
    <xf numFmtId="164" fontId="16" fillId="38" borderId="13" xfId="2" applyNumberFormat="1" applyFont="1" applyFill="1" applyBorder="1" applyAlignment="1">
      <alignment horizontal="center"/>
    </xf>
    <xf numFmtId="164" fontId="16" fillId="30" borderId="13" xfId="2" applyNumberFormat="1" applyFont="1" applyFill="1" applyBorder="1" applyAlignment="1">
      <alignment horizontal="center"/>
    </xf>
    <xf numFmtId="164" fontId="16" fillId="43" borderId="13" xfId="2" applyNumberFormat="1" applyFont="1" applyFill="1" applyBorder="1" applyAlignment="1">
      <alignment horizontal="center"/>
    </xf>
    <xf numFmtId="164" fontId="16" fillId="29" borderId="13" xfId="2" applyNumberFormat="1" applyFont="1" applyFill="1" applyBorder="1" applyAlignment="1">
      <alignment horizontal="center"/>
    </xf>
    <xf numFmtId="164" fontId="16" fillId="44" borderId="13" xfId="2" applyNumberFormat="1" applyFont="1" applyFill="1" applyBorder="1" applyAlignment="1">
      <alignment horizontal="center"/>
    </xf>
    <xf numFmtId="164" fontId="16" fillId="45" borderId="13" xfId="2" applyNumberFormat="1" applyFont="1" applyFill="1" applyBorder="1" applyAlignment="1">
      <alignment horizontal="center"/>
    </xf>
    <xf numFmtId="164" fontId="16" fillId="46" borderId="13" xfId="2" applyNumberFormat="1" applyFont="1" applyFill="1" applyBorder="1" applyAlignment="1">
      <alignment horizontal="center"/>
    </xf>
    <xf numFmtId="164" fontId="16" fillId="47" borderId="13" xfId="2" applyNumberFormat="1" applyFont="1" applyFill="1" applyBorder="1" applyAlignment="1">
      <alignment horizontal="center"/>
    </xf>
    <xf numFmtId="164" fontId="16" fillId="48" borderId="13" xfId="2" applyNumberFormat="1" applyFont="1" applyFill="1" applyBorder="1" applyAlignment="1">
      <alignment horizontal="center"/>
    </xf>
    <xf numFmtId="164" fontId="16" fillId="49" borderId="13" xfId="2" applyNumberFormat="1" applyFont="1" applyFill="1" applyBorder="1" applyAlignment="1">
      <alignment horizontal="center"/>
    </xf>
    <xf numFmtId="0" fontId="21" fillId="0" borderId="0" xfId="22" applyFont="1" applyFill="1" applyAlignment="1">
      <alignment horizontal="center" vertical="top"/>
    </xf>
    <xf numFmtId="164" fontId="68" fillId="0" borderId="0" xfId="22" applyNumberFormat="1" applyFont="1" applyBorder="1"/>
    <xf numFmtId="0" fontId="70" fillId="0" borderId="0" xfId="40" applyFont="1"/>
    <xf numFmtId="0" fontId="15" fillId="0" borderId="23" xfId="22" applyFont="1" applyBorder="1" applyAlignment="1">
      <alignment wrapText="1"/>
    </xf>
    <xf numFmtId="164" fontId="7" fillId="0" borderId="0" xfId="22" applyNumberFormat="1" applyFont="1" applyFill="1" applyBorder="1"/>
    <xf numFmtId="0" fontId="67" fillId="0" borderId="0" xfId="22" applyFont="1"/>
    <xf numFmtId="43" fontId="47" fillId="0" borderId="22" xfId="22" applyNumberFormat="1" applyFont="1" applyFill="1" applyBorder="1"/>
    <xf numFmtId="43" fontId="47" fillId="0" borderId="16" xfId="22" applyNumberFormat="1" applyFont="1" applyFill="1" applyBorder="1"/>
    <xf numFmtId="164" fontId="47" fillId="0" borderId="22" xfId="22" applyNumberFormat="1" applyFont="1" applyBorder="1" applyAlignment="1">
      <alignment wrapText="1"/>
    </xf>
    <xf numFmtId="164" fontId="70" fillId="0" borderId="0" xfId="40" applyNumberFormat="1" applyFont="1"/>
    <xf numFmtId="164" fontId="67" fillId="0" borderId="0" xfId="2" applyNumberFormat="1" applyFont="1" applyFill="1" applyBorder="1"/>
    <xf numFmtId="3" fontId="67" fillId="0" borderId="0" xfId="22" applyNumberFormat="1" applyFont="1" applyFill="1"/>
    <xf numFmtId="0" fontId="15" fillId="0" borderId="40" xfId="22" applyFont="1" applyFill="1" applyBorder="1" applyAlignment="1">
      <alignment wrapText="1"/>
    </xf>
    <xf numFmtId="164" fontId="4" fillId="0" borderId="0" xfId="22" applyNumberFormat="1" applyFont="1"/>
    <xf numFmtId="164" fontId="16" fillId="41" borderId="13" xfId="2" applyNumberFormat="1" applyFont="1" applyFill="1" applyBorder="1"/>
    <xf numFmtId="0" fontId="15" fillId="0" borderId="28" xfId="22" applyFont="1" applyFill="1" applyBorder="1"/>
    <xf numFmtId="43" fontId="16" fillId="0" borderId="13" xfId="2" applyNumberFormat="1" applyFont="1" applyFill="1" applyBorder="1"/>
    <xf numFmtId="164" fontId="16" fillId="41" borderId="34" xfId="2" applyNumberFormat="1" applyFont="1" applyFill="1" applyBorder="1"/>
    <xf numFmtId="164" fontId="7" fillId="0" borderId="0" xfId="22" applyNumberFormat="1" applyFont="1"/>
    <xf numFmtId="164" fontId="16" fillId="25" borderId="43" xfId="2" applyNumberFormat="1" applyFont="1" applyFill="1" applyBorder="1" applyAlignment="1">
      <alignment horizontal="center" wrapText="1"/>
    </xf>
    <xf numFmtId="164" fontId="16" fillId="30" borderId="52" xfId="2" applyNumberFormat="1" applyFont="1" applyFill="1" applyBorder="1" applyAlignment="1">
      <alignment horizontal="center"/>
    </xf>
    <xf numFmtId="164" fontId="16" fillId="20" borderId="33" xfId="2" applyNumberFormat="1" applyFont="1" applyFill="1" applyBorder="1"/>
    <xf numFmtId="164" fontId="16" fillId="41" borderId="33" xfId="2" applyNumberFormat="1" applyFont="1" applyFill="1" applyBorder="1" applyAlignment="1">
      <alignment horizontal="center" wrapText="1"/>
    </xf>
    <xf numFmtId="164" fontId="16" fillId="40" borderId="43" xfId="2" applyNumberFormat="1" applyFont="1" applyFill="1" applyBorder="1" applyAlignment="1">
      <alignment horizontal="center"/>
    </xf>
    <xf numFmtId="164" fontId="16" fillId="41" borderId="43" xfId="2" applyNumberFormat="1" applyFont="1" applyFill="1" applyBorder="1" applyAlignment="1">
      <alignment horizontal="center"/>
    </xf>
    <xf numFmtId="164" fontId="16" fillId="35" borderId="43" xfId="2" applyNumberFormat="1" applyFont="1" applyFill="1" applyBorder="1" applyAlignment="1">
      <alignment horizontal="center"/>
    </xf>
    <xf numFmtId="164" fontId="16" fillId="34" borderId="43" xfId="2" applyNumberFormat="1" applyFont="1" applyFill="1" applyBorder="1" applyAlignment="1">
      <alignment horizontal="center"/>
    </xf>
    <xf numFmtId="164" fontId="16" fillId="42" borderId="43" xfId="2" applyNumberFormat="1" applyFont="1" applyFill="1" applyBorder="1" applyAlignment="1">
      <alignment horizontal="center"/>
    </xf>
    <xf numFmtId="164" fontId="16" fillId="31" borderId="43" xfId="2" applyNumberFormat="1" applyFont="1" applyFill="1" applyBorder="1" applyAlignment="1">
      <alignment horizontal="center"/>
    </xf>
    <xf numFmtId="164" fontId="16" fillId="38" borderId="43" xfId="2" applyNumberFormat="1" applyFont="1" applyFill="1" applyBorder="1" applyAlignment="1">
      <alignment horizontal="center"/>
    </xf>
    <xf numFmtId="164" fontId="16" fillId="30" borderId="43" xfId="2" applyNumberFormat="1" applyFont="1" applyFill="1" applyBorder="1" applyAlignment="1">
      <alignment horizontal="center"/>
    </xf>
    <xf numFmtId="164" fontId="16" fillId="43" borderId="43" xfId="2" applyNumberFormat="1" applyFont="1" applyFill="1" applyBorder="1" applyAlignment="1">
      <alignment horizontal="center"/>
    </xf>
    <xf numFmtId="164" fontId="16" fillId="29" borderId="43" xfId="2" applyNumberFormat="1" applyFont="1" applyFill="1" applyBorder="1" applyAlignment="1">
      <alignment horizontal="center"/>
    </xf>
    <xf numFmtId="164" fontId="16" fillId="44" borderId="43" xfId="2" applyNumberFormat="1" applyFont="1" applyFill="1" applyBorder="1" applyAlignment="1">
      <alignment horizontal="center"/>
    </xf>
    <xf numFmtId="164" fontId="16" fillId="45" borderId="43" xfId="2" applyNumberFormat="1" applyFont="1" applyFill="1" applyBorder="1" applyAlignment="1">
      <alignment horizontal="center"/>
    </xf>
    <xf numFmtId="164" fontId="16" fillId="46" borderId="43" xfId="2" applyNumberFormat="1" applyFont="1" applyFill="1" applyBorder="1" applyAlignment="1">
      <alignment horizontal="center"/>
    </xf>
    <xf numFmtId="164" fontId="16" fillId="47" borderId="43" xfId="2" applyNumberFormat="1" applyFont="1" applyFill="1" applyBorder="1" applyAlignment="1">
      <alignment horizontal="center"/>
    </xf>
    <xf numFmtId="164" fontId="16" fillId="48" borderId="43" xfId="2" applyNumberFormat="1" applyFont="1" applyFill="1" applyBorder="1" applyAlignment="1">
      <alignment horizontal="center"/>
    </xf>
    <xf numFmtId="164" fontId="16" fillId="49" borderId="43" xfId="2" applyNumberFormat="1" applyFont="1" applyFill="1" applyBorder="1" applyAlignment="1">
      <alignment horizontal="center"/>
    </xf>
    <xf numFmtId="164" fontId="16" fillId="27" borderId="43" xfId="2" applyNumberFormat="1" applyFont="1" applyFill="1" applyBorder="1"/>
    <xf numFmtId="164" fontId="16" fillId="4" borderId="43" xfId="2" applyNumberFormat="1" applyFont="1" applyFill="1" applyBorder="1"/>
    <xf numFmtId="164" fontId="16" fillId="27" borderId="43" xfId="2" applyNumberFormat="1" applyFont="1" applyFill="1" applyBorder="1" applyAlignment="1">
      <alignment horizontal="center"/>
    </xf>
    <xf numFmtId="164" fontId="16" fillId="28" borderId="43" xfId="2" applyNumberFormat="1" applyFont="1" applyFill="1" applyBorder="1"/>
    <xf numFmtId="164" fontId="16" fillId="37" borderId="43" xfId="2" applyNumberFormat="1" applyFont="1" applyFill="1" applyBorder="1"/>
    <xf numFmtId="164" fontId="16" fillId="30" borderId="51" xfId="2" applyNumberFormat="1" applyFont="1" applyFill="1" applyBorder="1" applyAlignment="1">
      <alignment horizontal="center"/>
    </xf>
    <xf numFmtId="164" fontId="16" fillId="26" borderId="43" xfId="2" applyNumberFormat="1" applyFont="1" applyFill="1" applyBorder="1" applyAlignment="1">
      <alignment horizontal="center"/>
    </xf>
    <xf numFmtId="164" fontId="16" fillId="0" borderId="60" xfId="2" applyNumberFormat="1" applyFont="1" applyFill="1" applyBorder="1"/>
    <xf numFmtId="164" fontId="16" fillId="12" borderId="61" xfId="2" applyNumberFormat="1" applyFont="1" applyFill="1" applyBorder="1" applyAlignment="1">
      <alignment horizontal="center"/>
    </xf>
    <xf numFmtId="164" fontId="16" fillId="41" borderId="43" xfId="2" applyNumberFormat="1" applyFont="1" applyFill="1" applyBorder="1" applyAlignment="1">
      <alignment horizontal="center" wrapText="1"/>
    </xf>
    <xf numFmtId="0" fontId="16" fillId="0" borderId="45" xfId="22" applyFont="1" applyFill="1" applyBorder="1"/>
    <xf numFmtId="0" fontId="16" fillId="0" borderId="23" xfId="22" applyFont="1" applyFill="1" applyBorder="1" applyAlignment="1">
      <alignment horizontal="center" wrapText="1"/>
    </xf>
    <xf numFmtId="0" fontId="16" fillId="0" borderId="62" xfId="22" applyFont="1" applyBorder="1" applyAlignment="1">
      <alignment horizontal="center"/>
    </xf>
    <xf numFmtId="43" fontId="16" fillId="0" borderId="0" xfId="22" applyNumberFormat="1" applyFont="1" applyFill="1" applyBorder="1"/>
    <xf numFmtId="43" fontId="7" fillId="0" borderId="0" xfId="22" applyNumberFormat="1" applyFont="1" applyFill="1" applyBorder="1"/>
    <xf numFmtId="43" fontId="7" fillId="0" borderId="0" xfId="2" applyFont="1" applyFill="1" applyBorder="1"/>
    <xf numFmtId="43" fontId="4" fillId="0" borderId="0" xfId="2" applyNumberFormat="1" applyFont="1" applyFill="1" applyBorder="1"/>
    <xf numFmtId="0" fontId="71" fillId="0" borderId="0" xfId="22" applyFont="1" applyFill="1" applyBorder="1"/>
    <xf numFmtId="164" fontId="15" fillId="0" borderId="22" xfId="22" applyNumberFormat="1" applyFont="1" applyBorder="1" applyAlignment="1">
      <alignment wrapText="1"/>
    </xf>
    <xf numFmtId="164" fontId="7" fillId="0" borderId="0" xfId="22" applyNumberFormat="1" applyFont="1" applyFill="1"/>
    <xf numFmtId="164" fontId="4" fillId="0" borderId="0" xfId="2" applyNumberFormat="1" applyFont="1" applyFill="1" applyBorder="1"/>
    <xf numFmtId="164" fontId="6" fillId="0" borderId="0" xfId="2" applyNumberFormat="1" applyFont="1" applyFill="1"/>
    <xf numFmtId="164" fontId="7" fillId="0" borderId="0" xfId="2" applyNumberFormat="1" applyFont="1" applyFill="1" applyBorder="1" applyAlignment="1">
      <alignment horizontal="center"/>
    </xf>
    <xf numFmtId="3" fontId="4" fillId="0" borderId="0" xfId="22" applyNumberFormat="1" applyFont="1" applyAlignment="1">
      <alignment horizontal="center"/>
    </xf>
    <xf numFmtId="0" fontId="15" fillId="0" borderId="7" xfId="22" applyFont="1" applyFill="1" applyBorder="1"/>
    <xf numFmtId="164" fontId="16" fillId="31" borderId="37" xfId="2" applyNumberFormat="1" applyFont="1" applyFill="1" applyBorder="1"/>
    <xf numFmtId="164" fontId="16" fillId="27" borderId="37" xfId="2" applyNumberFormat="1" applyFont="1" applyFill="1" applyBorder="1"/>
    <xf numFmtId="164" fontId="16" fillId="4" borderId="37" xfId="2" applyNumberFormat="1" applyFont="1" applyFill="1" applyBorder="1"/>
    <xf numFmtId="164" fontId="16" fillId="29" borderId="37" xfId="2" applyNumberFormat="1" applyFont="1" applyFill="1" applyBorder="1"/>
    <xf numFmtId="164" fontId="16" fillId="30" borderId="37" xfId="2" applyNumberFormat="1" applyFont="1" applyFill="1" applyBorder="1"/>
    <xf numFmtId="164" fontId="16" fillId="26" borderId="37" xfId="2" applyNumberFormat="1" applyFont="1" applyFill="1" applyBorder="1" applyAlignment="1">
      <alignment horizontal="center"/>
    </xf>
    <xf numFmtId="164" fontId="16" fillId="18" borderId="37" xfId="2" applyNumberFormat="1" applyFont="1" applyFill="1" applyBorder="1"/>
    <xf numFmtId="164" fontId="16" fillId="8" borderId="39" xfId="2" applyNumberFormat="1" applyFont="1" applyFill="1" applyBorder="1"/>
    <xf numFmtId="164" fontId="16" fillId="31" borderId="13" xfId="2" applyNumberFormat="1" applyFont="1" applyFill="1" applyBorder="1"/>
    <xf numFmtId="0" fontId="4" fillId="37" borderId="34" xfId="22" applyFont="1" applyFill="1" applyBorder="1"/>
    <xf numFmtId="164" fontId="16" fillId="30" borderId="34" xfId="2" applyNumberFormat="1" applyFont="1" applyFill="1" applyBorder="1"/>
    <xf numFmtId="164" fontId="16" fillId="30" borderId="13" xfId="2" applyNumberFormat="1" applyFont="1" applyFill="1" applyBorder="1"/>
    <xf numFmtId="0" fontId="4" fillId="37" borderId="13" xfId="22" applyFont="1" applyFill="1" applyBorder="1"/>
    <xf numFmtId="164" fontId="16" fillId="31" borderId="33" xfId="2" applyNumberFormat="1" applyFont="1" applyFill="1" applyBorder="1" applyAlignment="1">
      <alignment horizontal="center"/>
    </xf>
    <xf numFmtId="164" fontId="16" fillId="30" borderId="33" xfId="2" applyNumberFormat="1" applyFont="1" applyFill="1" applyBorder="1" applyAlignment="1">
      <alignment horizontal="center"/>
    </xf>
    <xf numFmtId="0" fontId="4" fillId="0" borderId="0" xfId="22" applyFont="1" applyBorder="1"/>
    <xf numFmtId="164" fontId="4" fillId="0" borderId="0" xfId="2" applyNumberFormat="1" applyFont="1"/>
    <xf numFmtId="0" fontId="4" fillId="0" borderId="0" xfId="22" applyFont="1" applyAlignment="1">
      <alignment horizontal="left"/>
    </xf>
    <xf numFmtId="43" fontId="72" fillId="0" borderId="0" xfId="2" applyFont="1"/>
    <xf numFmtId="0" fontId="72" fillId="0" borderId="0" xfId="22" applyFont="1"/>
    <xf numFmtId="0" fontId="72" fillId="0" borderId="0" xfId="22" applyFont="1" applyFill="1"/>
    <xf numFmtId="164" fontId="72" fillId="0" borderId="0" xfId="2" applyNumberFormat="1" applyFont="1"/>
    <xf numFmtId="0" fontId="72" fillId="0" borderId="0" xfId="22" applyFont="1" applyAlignment="1">
      <alignment horizontal="center"/>
    </xf>
    <xf numFmtId="0" fontId="72" fillId="0" borderId="0" xfId="22" applyFont="1" applyAlignment="1">
      <alignment horizontal="left"/>
    </xf>
    <xf numFmtId="164" fontId="72" fillId="0" borderId="0" xfId="22" applyNumberFormat="1" applyFont="1" applyAlignment="1">
      <alignment horizontal="center"/>
    </xf>
    <xf numFmtId="0" fontId="4" fillId="0" borderId="0" xfId="22" applyFont="1" applyBorder="1" applyAlignment="1">
      <alignment horizontal="center"/>
    </xf>
    <xf numFmtId="166" fontId="4" fillId="0" borderId="0" xfId="22" applyNumberFormat="1" applyFont="1"/>
    <xf numFmtId="0" fontId="73" fillId="0" borderId="0" xfId="22" applyFont="1"/>
    <xf numFmtId="0" fontId="72" fillId="0" borderId="0" xfId="22" applyFont="1" applyBorder="1"/>
    <xf numFmtId="166" fontId="26" fillId="0" borderId="22" xfId="22" applyNumberFormat="1" applyFont="1" applyFill="1" applyBorder="1"/>
    <xf numFmtId="0" fontId="26" fillId="0" borderId="22" xfId="22" applyFont="1" applyBorder="1" applyAlignment="1">
      <alignment horizontal="center"/>
    </xf>
    <xf numFmtId="0" fontId="26" fillId="0" borderId="22" xfId="22" applyFont="1" applyBorder="1"/>
    <xf numFmtId="0" fontId="4" fillId="0" borderId="16" xfId="22" applyFont="1" applyFill="1" applyBorder="1" applyAlignment="1">
      <alignment horizontal="center"/>
    </xf>
    <xf numFmtId="0" fontId="26" fillId="0" borderId="22" xfId="22" applyFont="1" applyFill="1" applyBorder="1"/>
    <xf numFmtId="0" fontId="26" fillId="0" borderId="22" xfId="22" applyFont="1" applyFill="1" applyBorder="1" applyAlignment="1">
      <alignment horizontal="center"/>
    </xf>
    <xf numFmtId="0" fontId="4" fillId="0" borderId="16" xfId="22" applyFont="1" applyBorder="1" applyAlignment="1">
      <alignment horizontal="center"/>
    </xf>
    <xf numFmtId="166" fontId="26" fillId="0" borderId="22" xfId="22" applyNumberFormat="1" applyFont="1" applyBorder="1"/>
    <xf numFmtId="164" fontId="74" fillId="0" borderId="15" xfId="2" applyNumberFormat="1" applyFont="1" applyFill="1" applyBorder="1"/>
    <xf numFmtId="164" fontId="74" fillId="0" borderId="0" xfId="2" applyNumberFormat="1" applyFont="1" applyFill="1" applyBorder="1"/>
    <xf numFmtId="164" fontId="74" fillId="0" borderId="16" xfId="22" applyNumberFormat="1" applyFont="1" applyFill="1" applyBorder="1"/>
    <xf numFmtId="0" fontId="26" fillId="0" borderId="40" xfId="22" applyFont="1" applyBorder="1"/>
    <xf numFmtId="166" fontId="26" fillId="0" borderId="40" xfId="22" applyNumberFormat="1" applyFont="1" applyBorder="1"/>
    <xf numFmtId="164" fontId="26" fillId="0" borderId="7" xfId="22" applyNumberFormat="1" applyFont="1" applyFill="1" applyBorder="1"/>
    <xf numFmtId="0" fontId="26" fillId="0" borderId="40" xfId="22" applyFont="1" applyFill="1" applyBorder="1" applyAlignment="1">
      <alignment horizontal="center"/>
    </xf>
    <xf numFmtId="0" fontId="15" fillId="0" borderId="7" xfId="22" applyFont="1" applyFill="1" applyBorder="1" applyAlignment="1">
      <alignment horizontal="center"/>
    </xf>
    <xf numFmtId="0" fontId="16" fillId="0" borderId="40" xfId="22" applyFont="1" applyFill="1" applyBorder="1"/>
    <xf numFmtId="0" fontId="7" fillId="0" borderId="7" xfId="22" applyFont="1" applyFill="1" applyBorder="1" applyAlignment="1">
      <alignment horizontal="center"/>
    </xf>
    <xf numFmtId="0" fontId="4" fillId="0" borderId="9" xfId="22" applyFont="1" applyBorder="1"/>
    <xf numFmtId="0" fontId="4" fillId="0" borderId="6" xfId="22" applyFont="1" applyBorder="1"/>
    <xf numFmtId="0" fontId="4" fillId="0" borderId="22" xfId="22" applyFont="1" applyBorder="1"/>
    <xf numFmtId="1" fontId="16" fillId="32" borderId="2" xfId="22" applyNumberFormat="1" applyFont="1" applyFill="1" applyBorder="1" applyAlignment="1"/>
    <xf numFmtId="0" fontId="16" fillId="32" borderId="0" xfId="22" applyFont="1" applyFill="1" applyBorder="1" applyAlignment="1">
      <alignment horizontal="center"/>
    </xf>
    <xf numFmtId="1" fontId="16" fillId="40" borderId="9" xfId="22" applyNumberFormat="1" applyFont="1" applyFill="1" applyBorder="1" applyAlignment="1"/>
    <xf numFmtId="1" fontId="16" fillId="40" borderId="2" xfId="2" quotePrefix="1" applyNumberFormat="1" applyFont="1" applyFill="1" applyBorder="1" applyAlignment="1"/>
    <xf numFmtId="0" fontId="16" fillId="40" borderId="6" xfId="22" applyFont="1" applyFill="1" applyBorder="1" applyAlignment="1">
      <alignment horizontal="center"/>
    </xf>
    <xf numFmtId="1" fontId="16" fillId="27" borderId="2" xfId="22" applyNumberFormat="1" applyFont="1" applyFill="1" applyBorder="1" applyAlignment="1"/>
    <xf numFmtId="1" fontId="16" fillId="27" borderId="2" xfId="2" quotePrefix="1" applyNumberFormat="1" applyFont="1" applyFill="1" applyBorder="1" applyAlignment="1"/>
    <xf numFmtId="0" fontId="16" fillId="27" borderId="0" xfId="22" applyFont="1" applyFill="1" applyBorder="1" applyAlignment="1">
      <alignment horizontal="center"/>
    </xf>
    <xf numFmtId="1" fontId="16" fillId="26" borderId="9" xfId="22" applyNumberFormat="1" applyFont="1" applyFill="1" applyBorder="1" applyAlignment="1"/>
    <xf numFmtId="1" fontId="16" fillId="26" borderId="2" xfId="2" quotePrefix="1" applyNumberFormat="1" applyFont="1" applyFill="1" applyBorder="1" applyAlignment="1"/>
    <xf numFmtId="0" fontId="16" fillId="26" borderId="6" xfId="22" applyFont="1" applyFill="1" applyBorder="1" applyAlignment="1">
      <alignment horizontal="center"/>
    </xf>
    <xf numFmtId="1" fontId="16" fillId="51" borderId="9" xfId="22" applyNumberFormat="1" applyFont="1" applyFill="1" applyBorder="1" applyAlignment="1"/>
    <xf numFmtId="1" fontId="16" fillId="51" borderId="2" xfId="2" quotePrefix="1" applyNumberFormat="1" applyFont="1" applyFill="1" applyBorder="1" applyAlignment="1"/>
    <xf numFmtId="0" fontId="16" fillId="51" borderId="6" xfId="22" applyFont="1" applyFill="1" applyBorder="1" applyAlignment="1">
      <alignment horizontal="center"/>
    </xf>
    <xf numFmtId="1" fontId="16" fillId="52" borderId="9" xfId="22" applyNumberFormat="1" applyFont="1" applyFill="1" applyBorder="1" applyAlignment="1"/>
    <xf numFmtId="1" fontId="16" fillId="52" borderId="2" xfId="2" quotePrefix="1" applyNumberFormat="1" applyFont="1" applyFill="1" applyBorder="1" applyAlignment="1"/>
    <xf numFmtId="0" fontId="16" fillId="52" borderId="6" xfId="22" applyFont="1" applyFill="1" applyBorder="1" applyAlignment="1">
      <alignment horizontal="center"/>
    </xf>
    <xf numFmtId="1" fontId="16" fillId="31" borderId="9" xfId="22" applyNumberFormat="1" applyFont="1" applyFill="1" applyBorder="1" applyAlignment="1"/>
    <xf numFmtId="0" fontId="16" fillId="31" borderId="6" xfId="22" applyFont="1" applyFill="1" applyBorder="1" applyAlignment="1">
      <alignment horizontal="center"/>
    </xf>
    <xf numFmtId="1" fontId="16" fillId="30" borderId="9" xfId="22" applyNumberFormat="1" applyFont="1" applyFill="1" applyBorder="1" applyAlignment="1"/>
    <xf numFmtId="1" fontId="16" fillId="30" borderId="2" xfId="2" quotePrefix="1" applyNumberFormat="1" applyFont="1" applyFill="1" applyBorder="1" applyAlignment="1"/>
    <xf numFmtId="0" fontId="16" fillId="30" borderId="6" xfId="22" applyFont="1" applyFill="1" applyBorder="1" applyAlignment="1">
      <alignment horizontal="center"/>
    </xf>
    <xf numFmtId="1" fontId="16" fillId="39" borderId="9" xfId="22" applyNumberFormat="1" applyFont="1" applyFill="1" applyBorder="1" applyAlignment="1"/>
    <xf numFmtId="1" fontId="16" fillId="39" borderId="2" xfId="2" quotePrefix="1" applyNumberFormat="1" applyFont="1" applyFill="1" applyBorder="1" applyAlignment="1"/>
    <xf numFmtId="0" fontId="16" fillId="39" borderId="6" xfId="22" applyFont="1" applyFill="1" applyBorder="1" applyAlignment="1">
      <alignment horizontal="center"/>
    </xf>
    <xf numFmtId="1" fontId="16" fillId="32" borderId="9" xfId="22" applyNumberFormat="1" applyFont="1" applyFill="1" applyBorder="1" applyAlignment="1"/>
    <xf numFmtId="0" fontId="16" fillId="32" borderId="6" xfId="22" applyFont="1" applyFill="1" applyBorder="1" applyAlignment="1">
      <alignment horizontal="center"/>
    </xf>
    <xf numFmtId="1" fontId="16" fillId="38" borderId="9" xfId="22" applyNumberFormat="1" applyFont="1" applyFill="1" applyBorder="1" applyAlignment="1"/>
    <xf numFmtId="1" fontId="16" fillId="38" borderId="2" xfId="2" quotePrefix="1" applyNumberFormat="1" applyFont="1" applyFill="1" applyBorder="1" applyAlignment="1"/>
    <xf numFmtId="0" fontId="16" fillId="38" borderId="0" xfId="22" applyFont="1" applyFill="1" applyBorder="1" applyAlignment="1">
      <alignment horizontal="center"/>
    </xf>
    <xf numFmtId="0" fontId="16" fillId="51" borderId="0" xfId="22" applyFont="1" applyFill="1" applyBorder="1" applyAlignment="1">
      <alignment horizontal="center"/>
    </xf>
    <xf numFmtId="1" fontId="16" fillId="29" borderId="9" xfId="22" applyNumberFormat="1" applyFont="1" applyFill="1" applyBorder="1" applyAlignment="1"/>
    <xf numFmtId="1" fontId="16" fillId="29" borderId="2" xfId="2" quotePrefix="1" applyNumberFormat="1" applyFont="1" applyFill="1" applyBorder="1" applyAlignment="1"/>
    <xf numFmtId="0" fontId="16" fillId="29" borderId="0" xfId="22" applyFont="1" applyFill="1" applyBorder="1" applyAlignment="1">
      <alignment horizontal="center"/>
    </xf>
    <xf numFmtId="1" fontId="16" fillId="44" borderId="9" xfId="22" applyNumberFormat="1" applyFont="1" applyFill="1" applyBorder="1" applyAlignment="1"/>
    <xf numFmtId="1" fontId="16" fillId="44" borderId="2" xfId="2" quotePrefix="1" applyNumberFormat="1" applyFont="1" applyFill="1" applyBorder="1" applyAlignment="1"/>
    <xf numFmtId="0" fontId="16" fillId="44" borderId="0" xfId="22" applyFont="1" applyFill="1" applyBorder="1" applyAlignment="1">
      <alignment horizontal="center"/>
    </xf>
    <xf numFmtId="1" fontId="16" fillId="45" borderId="9" xfId="22" applyNumberFormat="1" applyFont="1" applyFill="1" applyBorder="1" applyAlignment="1"/>
    <xf numFmtId="1" fontId="16" fillId="45" borderId="2" xfId="2" quotePrefix="1" applyNumberFormat="1" applyFont="1" applyFill="1" applyBorder="1" applyAlignment="1"/>
    <xf numFmtId="0" fontId="16" fillId="45" borderId="0" xfId="22" applyFont="1" applyFill="1" applyBorder="1" applyAlignment="1">
      <alignment horizontal="center"/>
    </xf>
    <xf numFmtId="1" fontId="16" fillId="46" borderId="9" xfId="22" applyNumberFormat="1" applyFont="1" applyFill="1" applyBorder="1" applyAlignment="1"/>
    <xf numFmtId="1" fontId="16" fillId="46" borderId="2" xfId="2" quotePrefix="1" applyNumberFormat="1" applyFont="1" applyFill="1" applyBorder="1" applyAlignment="1"/>
    <xf numFmtId="0" fontId="16" fillId="46" borderId="0" xfId="22" applyFont="1" applyFill="1" applyBorder="1" applyAlignment="1">
      <alignment horizontal="center"/>
    </xf>
    <xf numFmtId="1" fontId="16" fillId="53" borderId="9" xfId="22" applyNumberFormat="1" applyFont="1" applyFill="1" applyBorder="1" applyAlignment="1"/>
    <xf numFmtId="1" fontId="16" fillId="53" borderId="2" xfId="2" quotePrefix="1" applyNumberFormat="1" applyFont="1" applyFill="1" applyBorder="1" applyAlignment="1"/>
    <xf numFmtId="0" fontId="16" fillId="53" borderId="0" xfId="22" applyFont="1" applyFill="1" applyBorder="1" applyAlignment="1">
      <alignment horizontal="center"/>
    </xf>
    <xf numFmtId="1" fontId="16" fillId="54" borderId="9" xfId="22" applyNumberFormat="1" applyFont="1" applyFill="1" applyBorder="1" applyAlignment="1"/>
    <xf numFmtId="1" fontId="16" fillId="54" borderId="2" xfId="2" quotePrefix="1" applyNumberFormat="1" applyFont="1" applyFill="1" applyBorder="1" applyAlignment="1"/>
    <xf numFmtId="0" fontId="16" fillId="54" borderId="0" xfId="22" applyFont="1" applyFill="1" applyBorder="1" applyAlignment="1">
      <alignment horizontal="center"/>
    </xf>
    <xf numFmtId="1" fontId="16" fillId="35" borderId="9" xfId="22" applyNumberFormat="1" applyFont="1" applyFill="1" applyBorder="1" applyAlignment="1"/>
    <xf numFmtId="1" fontId="16" fillId="35" borderId="2" xfId="2" quotePrefix="1" applyNumberFormat="1" applyFont="1" applyFill="1" applyBorder="1" applyAlignment="1"/>
    <xf numFmtId="0" fontId="16" fillId="35" borderId="0" xfId="22" applyFont="1" applyFill="1" applyBorder="1" applyAlignment="1">
      <alignment horizontal="center"/>
    </xf>
    <xf numFmtId="0" fontId="16" fillId="30" borderId="0" xfId="22" applyFont="1" applyFill="1" applyBorder="1" applyAlignment="1">
      <alignment horizontal="center"/>
    </xf>
    <xf numFmtId="0" fontId="16" fillId="31" borderId="0" xfId="22" applyFont="1" applyFill="1" applyBorder="1" applyAlignment="1">
      <alignment horizontal="center"/>
    </xf>
    <xf numFmtId="1" fontId="16" fillId="28" borderId="9" xfId="2" applyNumberFormat="1" applyFont="1" applyFill="1" applyBorder="1" applyAlignment="1"/>
    <xf numFmtId="1" fontId="16" fillId="28" borderId="2" xfId="2" applyNumberFormat="1" applyFont="1" applyFill="1" applyBorder="1" applyAlignment="1"/>
    <xf numFmtId="1" fontId="16" fillId="28" borderId="6" xfId="2" applyNumberFormat="1" applyFont="1" applyFill="1" applyBorder="1" applyAlignment="1">
      <alignment horizontal="center"/>
    </xf>
    <xf numFmtId="164" fontId="7" fillId="29" borderId="2" xfId="2" applyNumberFormat="1" applyFont="1" applyFill="1" applyBorder="1" applyAlignment="1"/>
    <xf numFmtId="1" fontId="7" fillId="29" borderId="6" xfId="2" applyNumberFormat="1" applyFont="1" applyFill="1" applyBorder="1" applyAlignment="1">
      <alignment horizontal="center"/>
    </xf>
    <xf numFmtId="164" fontId="21" fillId="47" borderId="2" xfId="2" applyNumberFormat="1" applyFont="1" applyFill="1" applyBorder="1" applyAlignment="1">
      <alignment horizontal="right"/>
    </xf>
    <xf numFmtId="49" fontId="7" fillId="47" borderId="6" xfId="2" applyNumberFormat="1" applyFont="1" applyFill="1" applyBorder="1" applyAlignment="1">
      <alignment horizontal="right"/>
    </xf>
    <xf numFmtId="164" fontId="21" fillId="27" borderId="9" xfId="2" applyNumberFormat="1" applyFont="1" applyFill="1" applyBorder="1" applyAlignment="1">
      <alignment horizontal="right"/>
    </xf>
    <xf numFmtId="164" fontId="4" fillId="27" borderId="2" xfId="2" applyNumberFormat="1" applyFont="1" applyFill="1" applyBorder="1" applyAlignment="1">
      <alignment horizontal="right"/>
    </xf>
    <xf numFmtId="49" fontId="7" fillId="27" borderId="6" xfId="2" applyNumberFormat="1" applyFont="1" applyFill="1" applyBorder="1" applyAlignment="1">
      <alignment horizontal="right"/>
    </xf>
    <xf numFmtId="164" fontId="16" fillId="25" borderId="9" xfId="2" applyNumberFormat="1" applyFont="1" applyFill="1" applyBorder="1" applyAlignment="1">
      <alignment horizontal="center" wrapText="1"/>
    </xf>
    <xf numFmtId="164" fontId="16" fillId="25" borderId="2" xfId="2" applyNumberFormat="1" applyFont="1" applyFill="1" applyBorder="1" applyAlignment="1">
      <alignment horizontal="center" wrapText="1"/>
    </xf>
    <xf numFmtId="180" fontId="16" fillId="25" borderId="6" xfId="2" applyNumberFormat="1" applyFont="1" applyFill="1" applyBorder="1" applyAlignment="1">
      <alignment horizontal="center" wrapText="1"/>
    </xf>
    <xf numFmtId="49" fontId="21" fillId="50" borderId="9" xfId="2" applyNumberFormat="1" applyFont="1" applyFill="1" applyBorder="1" applyAlignment="1">
      <alignment horizontal="right"/>
    </xf>
    <xf numFmtId="49" fontId="21" fillId="50" borderId="2" xfId="2" applyNumberFormat="1" applyFont="1" applyFill="1" applyBorder="1" applyAlignment="1">
      <alignment horizontal="right"/>
    </xf>
    <xf numFmtId="1" fontId="7" fillId="50" borderId="16" xfId="2" applyNumberFormat="1" applyFont="1" applyFill="1" applyBorder="1" applyAlignment="1">
      <alignment horizontal="right"/>
    </xf>
    <xf numFmtId="49" fontId="21" fillId="29" borderId="9" xfId="2" applyNumberFormat="1" applyFont="1" applyFill="1" applyBorder="1" applyAlignment="1">
      <alignment horizontal="right"/>
    </xf>
    <xf numFmtId="49" fontId="21" fillId="29" borderId="2" xfId="2" applyNumberFormat="1" applyFont="1" applyFill="1" applyBorder="1" applyAlignment="1">
      <alignment horizontal="right"/>
    </xf>
    <xf numFmtId="1" fontId="7" fillId="29" borderId="16" xfId="2" applyNumberFormat="1" applyFont="1" applyFill="1" applyBorder="1" applyAlignment="1">
      <alignment horizontal="right"/>
    </xf>
    <xf numFmtId="49" fontId="21" fillId="25" borderId="9" xfId="2" applyNumberFormat="1" applyFont="1" applyFill="1" applyBorder="1" applyAlignment="1">
      <alignment horizontal="right"/>
    </xf>
    <xf numFmtId="1" fontId="7" fillId="25" borderId="16" xfId="2" applyNumberFormat="1" applyFont="1" applyFill="1" applyBorder="1" applyAlignment="1">
      <alignment horizontal="right"/>
    </xf>
    <xf numFmtId="1" fontId="16" fillId="17" borderId="9" xfId="22" applyNumberFormat="1" applyFont="1" applyFill="1" applyBorder="1" applyAlignment="1">
      <alignment horizontal="right"/>
    </xf>
    <xf numFmtId="0" fontId="16" fillId="0" borderId="9" xfId="22" applyFont="1" applyBorder="1" applyAlignment="1">
      <alignment horizontal="center"/>
    </xf>
    <xf numFmtId="0" fontId="16" fillId="0" borderId="6" xfId="22" applyFont="1" applyBorder="1"/>
    <xf numFmtId="0" fontId="16" fillId="0" borderId="15" xfId="22" applyFont="1" applyFill="1" applyBorder="1" applyAlignment="1">
      <alignment horizontal="left" wrapText="1"/>
    </xf>
    <xf numFmtId="0" fontId="4" fillId="0" borderId="15" xfId="22" applyFont="1" applyBorder="1"/>
    <xf numFmtId="44" fontId="4" fillId="0" borderId="16" xfId="22" applyNumberFormat="1" applyFont="1" applyFill="1" applyBorder="1"/>
    <xf numFmtId="0" fontId="4" fillId="0" borderId="22" xfId="22" applyFont="1" applyFill="1" applyBorder="1"/>
    <xf numFmtId="16" fontId="16" fillId="32" borderId="0" xfId="22" quotePrefix="1" applyNumberFormat="1" applyFont="1" applyFill="1" applyBorder="1" applyAlignment="1"/>
    <xf numFmtId="43" fontId="16" fillId="32" borderId="0" xfId="22" applyNumberFormat="1" applyFont="1" applyFill="1" applyBorder="1" applyAlignment="1">
      <alignment horizontal="center"/>
    </xf>
    <xf numFmtId="16" fontId="16" fillId="40" borderId="15" xfId="22" quotePrefix="1" applyNumberFormat="1" applyFont="1" applyFill="1" applyBorder="1" applyAlignment="1"/>
    <xf numFmtId="43" fontId="16" fillId="40" borderId="0" xfId="2" applyNumberFormat="1" applyFont="1" applyFill="1" applyBorder="1" applyAlignment="1"/>
    <xf numFmtId="43" fontId="16" fillId="40" borderId="16" xfId="22" applyNumberFormat="1" applyFont="1" applyFill="1" applyBorder="1" applyAlignment="1">
      <alignment horizontal="center"/>
    </xf>
    <xf numFmtId="16" fontId="16" fillId="27" borderId="0" xfId="22" quotePrefix="1" applyNumberFormat="1" applyFont="1" applyFill="1" applyBorder="1" applyAlignment="1"/>
    <xf numFmtId="43" fontId="16" fillId="27" borderId="0" xfId="2" applyNumberFormat="1" applyFont="1" applyFill="1" applyBorder="1" applyAlignment="1"/>
    <xf numFmtId="43" fontId="16" fillId="27" borderId="0" xfId="22" applyNumberFormat="1" applyFont="1" applyFill="1" applyBorder="1" applyAlignment="1">
      <alignment horizontal="center"/>
    </xf>
    <xf numFmtId="16" fontId="16" fillId="26" borderId="15" xfId="22" quotePrefix="1" applyNumberFormat="1" applyFont="1" applyFill="1" applyBorder="1" applyAlignment="1"/>
    <xf numFmtId="43" fontId="16" fillId="26" borderId="0" xfId="2" applyNumberFormat="1" applyFont="1" applyFill="1" applyBorder="1" applyAlignment="1"/>
    <xf numFmtId="43" fontId="16" fillId="26" borderId="16" xfId="22" applyNumberFormat="1" applyFont="1" applyFill="1" applyBorder="1" applyAlignment="1">
      <alignment horizontal="center"/>
    </xf>
    <xf numFmtId="16" fontId="16" fillId="51" borderId="15" xfId="22" quotePrefix="1" applyNumberFormat="1" applyFont="1" applyFill="1" applyBorder="1" applyAlignment="1"/>
    <xf numFmtId="43" fontId="16" fillId="51" borderId="0" xfId="2" applyNumberFormat="1" applyFont="1" applyFill="1" applyBorder="1" applyAlignment="1"/>
    <xf numFmtId="43" fontId="16" fillId="51" borderId="16" xfId="22" applyNumberFormat="1" applyFont="1" applyFill="1" applyBorder="1" applyAlignment="1">
      <alignment horizontal="center"/>
    </xf>
    <xf numFmtId="16" fontId="16" fillId="52" borderId="15" xfId="22" quotePrefix="1" applyNumberFormat="1" applyFont="1" applyFill="1" applyBorder="1" applyAlignment="1"/>
    <xf numFmtId="43" fontId="16" fillId="52" borderId="0" xfId="2" applyNumberFormat="1" applyFont="1" applyFill="1" applyBorder="1" applyAlignment="1"/>
    <xf numFmtId="43" fontId="16" fillId="52" borderId="16" xfId="22" applyNumberFormat="1" applyFont="1" applyFill="1" applyBorder="1" applyAlignment="1">
      <alignment horizontal="center"/>
    </xf>
    <xf numFmtId="16" fontId="16" fillId="31" borderId="15" xfId="22" quotePrefix="1" applyNumberFormat="1" applyFont="1" applyFill="1" applyBorder="1" applyAlignment="1"/>
    <xf numFmtId="43" fontId="16" fillId="31" borderId="16" xfId="22" applyNumberFormat="1" applyFont="1" applyFill="1" applyBorder="1" applyAlignment="1">
      <alignment horizontal="center"/>
    </xf>
    <xf numFmtId="16" fontId="16" fillId="30" borderId="15" xfId="22" quotePrefix="1" applyNumberFormat="1" applyFont="1" applyFill="1" applyBorder="1" applyAlignment="1"/>
    <xf numFmtId="43" fontId="16" fillId="30" borderId="0" xfId="2" applyNumberFormat="1" applyFont="1" applyFill="1" applyBorder="1" applyAlignment="1"/>
    <xf numFmtId="43" fontId="16" fillId="30" borderId="16" xfId="22" applyNumberFormat="1" applyFont="1" applyFill="1" applyBorder="1" applyAlignment="1">
      <alignment horizontal="center"/>
    </xf>
    <xf numFmtId="16" fontId="16" fillId="39" borderId="15" xfId="22" quotePrefix="1" applyNumberFormat="1" applyFont="1" applyFill="1" applyBorder="1" applyAlignment="1"/>
    <xf numFmtId="43" fontId="16" fillId="39" borderId="0" xfId="2" applyNumberFormat="1" applyFont="1" applyFill="1" applyBorder="1" applyAlignment="1"/>
    <xf numFmtId="43" fontId="16" fillId="39" borderId="16" xfId="22" applyNumberFormat="1" applyFont="1" applyFill="1" applyBorder="1" applyAlignment="1">
      <alignment horizontal="center"/>
    </xf>
    <xf numFmtId="16" fontId="16" fillId="32" borderId="15" xfId="22" quotePrefix="1" applyNumberFormat="1" applyFont="1" applyFill="1" applyBorder="1" applyAlignment="1"/>
    <xf numFmtId="43" fontId="16" fillId="32" borderId="16" xfId="22" applyNumberFormat="1" applyFont="1" applyFill="1" applyBorder="1" applyAlignment="1">
      <alignment horizontal="center"/>
    </xf>
    <xf numFmtId="16" fontId="16" fillId="38" borderId="15" xfId="22" quotePrefix="1" applyNumberFormat="1" applyFont="1" applyFill="1" applyBorder="1" applyAlignment="1"/>
    <xf numFmtId="43" fontId="16" fillId="38" borderId="0" xfId="2" applyNumberFormat="1" applyFont="1" applyFill="1" applyBorder="1" applyAlignment="1"/>
    <xf numFmtId="43" fontId="16" fillId="38" borderId="0" xfId="22" applyNumberFormat="1" applyFont="1" applyFill="1" applyBorder="1" applyAlignment="1">
      <alignment horizontal="center"/>
    </xf>
    <xf numFmtId="43" fontId="16" fillId="51" borderId="0" xfId="22" applyNumberFormat="1" applyFont="1" applyFill="1" applyBorder="1" applyAlignment="1">
      <alignment horizontal="center"/>
    </xf>
    <xf numFmtId="16" fontId="16" fillId="29" borderId="15" xfId="22" quotePrefix="1" applyNumberFormat="1" applyFont="1" applyFill="1" applyBorder="1" applyAlignment="1"/>
    <xf numFmtId="43" fontId="16" fillId="29" borderId="0" xfId="2" applyNumberFormat="1" applyFont="1" applyFill="1" applyBorder="1" applyAlignment="1"/>
    <xf numFmtId="43" fontId="16" fillId="29" borderId="0" xfId="22" applyNumberFormat="1" applyFont="1" applyFill="1" applyBorder="1" applyAlignment="1">
      <alignment horizontal="center"/>
    </xf>
    <xf numFmtId="16" fontId="16" fillId="44" borderId="15" xfId="22" quotePrefix="1" applyNumberFormat="1" applyFont="1" applyFill="1" applyBorder="1" applyAlignment="1"/>
    <xf numFmtId="43" fontId="16" fillId="44" borderId="0" xfId="2" applyNumberFormat="1" applyFont="1" applyFill="1" applyBorder="1" applyAlignment="1"/>
    <xf numFmtId="43" fontId="16" fillId="44" borderId="0" xfId="22" applyNumberFormat="1" applyFont="1" applyFill="1" applyBorder="1" applyAlignment="1">
      <alignment horizontal="center"/>
    </xf>
    <xf numFmtId="16" fontId="16" fillId="45" borderId="15" xfId="22" quotePrefix="1" applyNumberFormat="1" applyFont="1" applyFill="1" applyBorder="1" applyAlignment="1"/>
    <xf numFmtId="43" fontId="16" fillId="45" borderId="0" xfId="2" applyNumberFormat="1" applyFont="1" applyFill="1" applyBorder="1" applyAlignment="1"/>
    <xf numFmtId="43" fontId="16" fillId="45" borderId="0" xfId="22" applyNumberFormat="1" applyFont="1" applyFill="1" applyBorder="1" applyAlignment="1">
      <alignment horizontal="center"/>
    </xf>
    <xf numFmtId="16" fontId="16" fillId="46" borderId="15" xfId="22" quotePrefix="1" applyNumberFormat="1" applyFont="1" applyFill="1" applyBorder="1" applyAlignment="1"/>
    <xf numFmtId="43" fontId="16" fillId="46" borderId="0" xfId="2" applyNumberFormat="1" applyFont="1" applyFill="1" applyBorder="1" applyAlignment="1"/>
    <xf numFmtId="43" fontId="16" fillId="46" borderId="0" xfId="22" applyNumberFormat="1" applyFont="1" applyFill="1" applyBorder="1" applyAlignment="1">
      <alignment horizontal="center"/>
    </xf>
    <xf numFmtId="16" fontId="16" fillId="53" borderId="15" xfId="22" quotePrefix="1" applyNumberFormat="1" applyFont="1" applyFill="1" applyBorder="1" applyAlignment="1"/>
    <xf numFmtId="43" fontId="16" fillId="53" borderId="0" xfId="2" applyNumberFormat="1" applyFont="1" applyFill="1" applyBorder="1" applyAlignment="1"/>
    <xf numFmtId="43" fontId="16" fillId="53" borderId="0" xfId="22" applyNumberFormat="1" applyFont="1" applyFill="1" applyBorder="1" applyAlignment="1">
      <alignment horizontal="center"/>
    </xf>
    <xf numFmtId="16" fontId="16" fillId="54" borderId="15" xfId="22" quotePrefix="1" applyNumberFormat="1" applyFont="1" applyFill="1" applyBorder="1" applyAlignment="1"/>
    <xf numFmtId="43" fontId="16" fillId="54" borderId="0" xfId="2" applyNumberFormat="1" applyFont="1" applyFill="1" applyBorder="1" applyAlignment="1"/>
    <xf numFmtId="43" fontId="16" fillId="54" borderId="0" xfId="22" applyNumberFormat="1" applyFont="1" applyFill="1" applyBorder="1" applyAlignment="1">
      <alignment horizontal="center"/>
    </xf>
    <xf numFmtId="16" fontId="16" fillId="35" borderId="15" xfId="22" quotePrefix="1" applyNumberFormat="1" applyFont="1" applyFill="1" applyBorder="1" applyAlignment="1"/>
    <xf numFmtId="43" fontId="16" fillId="35" borderId="0" xfId="2" applyNumberFormat="1" applyFont="1" applyFill="1" applyBorder="1" applyAlignment="1"/>
    <xf numFmtId="43" fontId="16" fillId="35" borderId="0" xfId="22" applyNumberFormat="1" applyFont="1" applyFill="1" applyBorder="1" applyAlignment="1">
      <alignment horizontal="center"/>
    </xf>
    <xf numFmtId="43" fontId="16" fillId="30" borderId="0" xfId="22" applyNumberFormat="1" applyFont="1" applyFill="1" applyBorder="1" applyAlignment="1">
      <alignment horizontal="center"/>
    </xf>
    <xf numFmtId="43" fontId="16" fillId="31" borderId="0" xfId="22" applyNumberFormat="1" applyFont="1" applyFill="1" applyBorder="1" applyAlignment="1">
      <alignment horizontal="center"/>
    </xf>
    <xf numFmtId="171" fontId="16" fillId="28" borderId="15" xfId="2" applyNumberFormat="1" applyFont="1" applyFill="1" applyBorder="1" applyAlignment="1"/>
    <xf numFmtId="164" fontId="16" fillId="28" borderId="0" xfId="2" applyNumberFormat="1" applyFont="1" applyFill="1" applyBorder="1" applyAlignment="1"/>
    <xf numFmtId="43" fontId="16" fillId="28" borderId="16" xfId="2" applyNumberFormat="1" applyFont="1" applyFill="1" applyBorder="1" applyAlignment="1">
      <alignment horizontal="center"/>
    </xf>
    <xf numFmtId="0" fontId="16" fillId="21" borderId="15" xfId="22" applyFont="1" applyFill="1" applyBorder="1" applyAlignment="1"/>
    <xf numFmtId="0" fontId="16" fillId="21" borderId="0" xfId="22" applyFont="1" applyFill="1" applyBorder="1" applyAlignment="1"/>
    <xf numFmtId="43" fontId="7" fillId="29" borderId="0" xfId="2" applyNumberFormat="1" applyFont="1" applyFill="1" applyBorder="1" applyAlignment="1"/>
    <xf numFmtId="43" fontId="7" fillId="29" borderId="16" xfId="2" applyNumberFormat="1" applyFont="1" applyFill="1" applyBorder="1" applyAlignment="1">
      <alignment horizontal="center"/>
    </xf>
    <xf numFmtId="164" fontId="21" fillId="47" borderId="0" xfId="2" applyNumberFormat="1" applyFont="1" applyFill="1" applyBorder="1" applyAlignment="1">
      <alignment horizontal="right"/>
    </xf>
    <xf numFmtId="164" fontId="75" fillId="47" borderId="0" xfId="2" applyNumberFormat="1" applyFont="1" applyFill="1" applyBorder="1" applyAlignment="1">
      <alignment horizontal="right"/>
    </xf>
    <xf numFmtId="43" fontId="7" fillId="47" borderId="16" xfId="2" applyNumberFormat="1" applyFont="1" applyFill="1" applyBorder="1" applyAlignment="1">
      <alignment horizontal="right"/>
    </xf>
    <xf numFmtId="164" fontId="21" fillId="27" borderId="15" xfId="2" applyNumberFormat="1" applyFont="1" applyFill="1" applyBorder="1" applyAlignment="1">
      <alignment horizontal="right"/>
    </xf>
    <xf numFmtId="43" fontId="7" fillId="27" borderId="16" xfId="2" applyNumberFormat="1" applyFont="1" applyFill="1" applyBorder="1" applyAlignment="1">
      <alignment horizontal="right"/>
    </xf>
    <xf numFmtId="164" fontId="16" fillId="25" borderId="15" xfId="2" applyNumberFormat="1" applyFont="1" applyFill="1" applyBorder="1" applyAlignment="1">
      <alignment horizontal="center" wrapText="1"/>
    </xf>
    <xf numFmtId="164" fontId="76" fillId="25" borderId="0" xfId="2" applyNumberFormat="1" applyFont="1" applyFill="1" applyBorder="1" applyAlignment="1">
      <alignment horizontal="center" wrapText="1"/>
    </xf>
    <xf numFmtId="43" fontId="16" fillId="25" borderId="16" xfId="2" applyNumberFormat="1" applyFont="1" applyFill="1" applyBorder="1" applyAlignment="1">
      <alignment horizontal="center" wrapText="1"/>
    </xf>
    <xf numFmtId="164" fontId="21" fillId="50" borderId="15" xfId="2" applyNumberFormat="1" applyFont="1" applyFill="1" applyBorder="1" applyAlignment="1">
      <alignment horizontal="right"/>
    </xf>
    <xf numFmtId="164" fontId="21" fillId="50" borderId="0" xfId="2" applyNumberFormat="1" applyFont="1" applyFill="1" applyBorder="1" applyAlignment="1">
      <alignment horizontal="right"/>
    </xf>
    <xf numFmtId="43" fontId="7" fillId="50" borderId="16" xfId="2" applyNumberFormat="1" applyFont="1" applyFill="1" applyBorder="1" applyAlignment="1">
      <alignment horizontal="right"/>
    </xf>
    <xf numFmtId="164" fontId="21" fillId="29" borderId="15" xfId="2" applyNumberFormat="1" applyFont="1" applyFill="1" applyBorder="1" applyAlignment="1">
      <alignment horizontal="right"/>
    </xf>
    <xf numFmtId="164" fontId="21" fillId="29" borderId="0" xfId="2" applyNumberFormat="1" applyFont="1" applyFill="1" applyBorder="1" applyAlignment="1">
      <alignment horizontal="right"/>
    </xf>
    <xf numFmtId="43" fontId="7" fillId="29" borderId="16" xfId="2" applyNumberFormat="1" applyFont="1" applyFill="1" applyBorder="1" applyAlignment="1">
      <alignment horizontal="right"/>
    </xf>
    <xf numFmtId="164" fontId="21" fillId="25" borderId="15" xfId="2" applyNumberFormat="1" applyFont="1" applyFill="1" applyBorder="1" applyAlignment="1">
      <alignment horizontal="right"/>
    </xf>
    <xf numFmtId="43" fontId="7" fillId="25" borderId="16" xfId="2" applyNumberFormat="1" applyFont="1" applyFill="1" applyBorder="1" applyAlignment="1">
      <alignment horizontal="right"/>
    </xf>
    <xf numFmtId="1" fontId="63" fillId="11" borderId="0" xfId="2" applyNumberFormat="1" applyFont="1" applyFill="1" applyBorder="1" applyAlignment="1">
      <alignment horizontal="right"/>
    </xf>
    <xf numFmtId="43" fontId="7" fillId="25" borderId="16" xfId="22" applyNumberFormat="1" applyFont="1" applyFill="1" applyBorder="1" applyAlignment="1">
      <alignment horizontal="center"/>
    </xf>
    <xf numFmtId="16" fontId="16" fillId="17" borderId="15" xfId="22" quotePrefix="1" applyNumberFormat="1" applyFont="1" applyFill="1" applyBorder="1" applyAlignment="1">
      <alignment horizontal="right"/>
    </xf>
    <xf numFmtId="0" fontId="16" fillId="0" borderId="15" xfId="22" applyFont="1" applyBorder="1" applyAlignment="1">
      <alignment horizontal="center"/>
    </xf>
    <xf numFmtId="0" fontId="16" fillId="0" borderId="16" xfId="22" applyFont="1" applyBorder="1"/>
    <xf numFmtId="42" fontId="4" fillId="0" borderId="16" xfId="22" applyNumberFormat="1" applyFont="1" applyBorder="1"/>
    <xf numFmtId="0" fontId="16" fillId="32" borderId="0" xfId="22" applyFont="1" applyFill="1" applyBorder="1" applyAlignment="1"/>
    <xf numFmtId="0" fontId="16" fillId="40" borderId="15" xfId="22" applyFont="1" applyFill="1" applyBorder="1" applyAlignment="1"/>
    <xf numFmtId="0" fontId="16" fillId="40" borderId="0" xfId="22" applyFont="1" applyFill="1" applyBorder="1" applyAlignment="1"/>
    <xf numFmtId="164" fontId="16" fillId="40" borderId="16" xfId="2" applyNumberFormat="1" applyFont="1" applyFill="1" applyBorder="1" applyAlignment="1">
      <alignment horizontal="center"/>
    </xf>
    <xf numFmtId="0" fontId="16" fillId="27" borderId="0" xfId="22" applyFont="1" applyFill="1" applyBorder="1" applyAlignment="1"/>
    <xf numFmtId="0" fontId="16" fillId="26" borderId="15" xfId="22" applyFont="1" applyFill="1" applyBorder="1" applyAlignment="1"/>
    <xf numFmtId="0" fontId="16" fillId="26" borderId="0" xfId="22" applyFont="1" applyFill="1" applyBorder="1" applyAlignment="1"/>
    <xf numFmtId="164" fontId="16" fillId="26" borderId="16" xfId="2" applyNumberFormat="1" applyFont="1" applyFill="1" applyBorder="1" applyAlignment="1">
      <alignment horizontal="center"/>
    </xf>
    <xf numFmtId="0" fontId="16" fillId="51" borderId="15" xfId="22" applyFont="1" applyFill="1" applyBorder="1" applyAlignment="1"/>
    <xf numFmtId="0" fontId="16" fillId="51" borderId="0" xfId="22" applyFont="1" applyFill="1" applyBorder="1" applyAlignment="1"/>
    <xf numFmtId="164" fontId="16" fillId="51" borderId="16" xfId="2" applyNumberFormat="1" applyFont="1" applyFill="1" applyBorder="1" applyAlignment="1">
      <alignment horizontal="center"/>
    </xf>
    <xf numFmtId="0" fontId="16" fillId="52" borderId="15" xfId="22" applyFont="1" applyFill="1" applyBorder="1" applyAlignment="1"/>
    <xf numFmtId="0" fontId="16" fillId="52" borderId="0" xfId="22" applyFont="1" applyFill="1" applyBorder="1" applyAlignment="1"/>
    <xf numFmtId="164" fontId="16" fillId="52" borderId="16" xfId="2" applyNumberFormat="1" applyFont="1" applyFill="1" applyBorder="1" applyAlignment="1">
      <alignment horizontal="center"/>
    </xf>
    <xf numFmtId="0" fontId="16" fillId="31" borderId="15" xfId="22" applyFont="1" applyFill="1" applyBorder="1" applyAlignment="1"/>
    <xf numFmtId="0" fontId="16" fillId="31" borderId="0" xfId="22" applyFont="1" applyFill="1" applyBorder="1" applyAlignment="1"/>
    <xf numFmtId="164" fontId="16" fillId="31" borderId="16" xfId="2" applyNumberFormat="1" applyFont="1" applyFill="1" applyBorder="1" applyAlignment="1">
      <alignment horizontal="center"/>
    </xf>
    <xf numFmtId="0" fontId="16" fillId="30" borderId="15" xfId="22" applyFont="1" applyFill="1" applyBorder="1" applyAlignment="1"/>
    <xf numFmtId="0" fontId="16" fillId="30" borderId="0" xfId="22" applyFont="1" applyFill="1" applyBorder="1" applyAlignment="1"/>
    <xf numFmtId="164" fontId="16" fillId="30" borderId="16" xfId="2" applyNumberFormat="1" applyFont="1" applyFill="1" applyBorder="1" applyAlignment="1">
      <alignment horizontal="center"/>
    </xf>
    <xf numFmtId="0" fontId="16" fillId="39" borderId="15" xfId="22" applyFont="1" applyFill="1" applyBorder="1" applyAlignment="1"/>
    <xf numFmtId="0" fontId="16" fillId="39" borderId="0" xfId="22" applyFont="1" applyFill="1" applyBorder="1" applyAlignment="1"/>
    <xf numFmtId="164" fontId="16" fillId="39" borderId="16" xfId="2" applyNumberFormat="1" applyFont="1" applyFill="1" applyBorder="1" applyAlignment="1">
      <alignment horizontal="center"/>
    </xf>
    <xf numFmtId="0" fontId="16" fillId="32" borderId="15" xfId="22" applyFont="1" applyFill="1" applyBorder="1" applyAlignment="1"/>
    <xf numFmtId="164" fontId="16" fillId="32" borderId="16" xfId="2" applyNumberFormat="1" applyFont="1" applyFill="1" applyBorder="1" applyAlignment="1">
      <alignment horizontal="center"/>
    </xf>
    <xf numFmtId="0" fontId="16" fillId="38" borderId="15" xfId="22" applyFont="1" applyFill="1" applyBorder="1" applyAlignment="1"/>
    <xf numFmtId="0" fontId="16" fillId="38" borderId="0" xfId="22" applyFont="1" applyFill="1" applyBorder="1" applyAlignment="1"/>
    <xf numFmtId="164" fontId="16" fillId="38" borderId="0" xfId="2" applyNumberFormat="1" applyFont="1" applyFill="1" applyBorder="1" applyAlignment="1">
      <alignment horizontal="center"/>
    </xf>
    <xf numFmtId="164" fontId="16" fillId="51" borderId="0" xfId="2" applyNumberFormat="1" applyFont="1" applyFill="1" applyBorder="1" applyAlignment="1">
      <alignment horizontal="center"/>
    </xf>
    <xf numFmtId="0" fontId="16" fillId="29" borderId="15" xfId="22" applyFont="1" applyFill="1" applyBorder="1" applyAlignment="1"/>
    <xf numFmtId="0" fontId="16" fillId="29" borderId="0" xfId="22" applyFont="1" applyFill="1" applyBorder="1" applyAlignment="1"/>
    <xf numFmtId="164" fontId="16" fillId="29" borderId="0" xfId="2" applyNumberFormat="1" applyFont="1" applyFill="1" applyBorder="1" applyAlignment="1">
      <alignment horizontal="center"/>
    </xf>
    <xf numFmtId="0" fontId="16" fillId="44" borderId="15" xfId="22" applyFont="1" applyFill="1" applyBorder="1" applyAlignment="1"/>
    <xf numFmtId="0" fontId="16" fillId="44" borderId="0" xfId="22" applyFont="1" applyFill="1" applyBorder="1" applyAlignment="1"/>
    <xf numFmtId="164" fontId="16" fillId="44" borderId="0" xfId="2" applyNumberFormat="1" applyFont="1" applyFill="1" applyBorder="1" applyAlignment="1">
      <alignment horizontal="center"/>
    </xf>
    <xf numFmtId="0" fontId="16" fillId="45" borderId="15" xfId="22" applyFont="1" applyFill="1" applyBorder="1" applyAlignment="1"/>
    <xf numFmtId="0" fontId="16" fillId="45" borderId="0" xfId="22" applyFont="1" applyFill="1" applyBorder="1" applyAlignment="1"/>
    <xf numFmtId="164" fontId="16" fillId="45" borderId="0" xfId="2" applyNumberFormat="1" applyFont="1" applyFill="1" applyBorder="1" applyAlignment="1">
      <alignment horizontal="center"/>
    </xf>
    <xf numFmtId="0" fontId="16" fillId="46" borderId="15" xfId="22" applyFont="1" applyFill="1" applyBorder="1" applyAlignment="1"/>
    <xf numFmtId="0" fontId="16" fillId="46" borderId="0" xfId="22" applyFont="1" applyFill="1" applyBorder="1" applyAlignment="1"/>
    <xf numFmtId="164" fontId="16" fillId="46" borderId="0" xfId="2" applyNumberFormat="1" applyFont="1" applyFill="1" applyBorder="1" applyAlignment="1">
      <alignment horizontal="center"/>
    </xf>
    <xf numFmtId="0" fontId="16" fillId="53" borderId="15" xfId="22" applyFont="1" applyFill="1" applyBorder="1" applyAlignment="1"/>
    <xf numFmtId="0" fontId="16" fillId="53" borderId="0" xfId="22" applyFont="1" applyFill="1" applyBorder="1" applyAlignment="1"/>
    <xf numFmtId="164" fontId="16" fillId="53" borderId="0" xfId="2" applyNumberFormat="1" applyFont="1" applyFill="1" applyBorder="1" applyAlignment="1">
      <alignment horizontal="center"/>
    </xf>
    <xf numFmtId="0" fontId="16" fillId="54" borderId="15" xfId="22" applyFont="1" applyFill="1" applyBorder="1" applyAlignment="1"/>
    <xf numFmtId="0" fontId="16" fillId="54" borderId="0" xfId="22" applyFont="1" applyFill="1" applyBorder="1" applyAlignment="1"/>
    <xf numFmtId="164" fontId="16" fillId="54" borderId="0" xfId="2" applyNumberFormat="1" applyFont="1" applyFill="1" applyBorder="1" applyAlignment="1">
      <alignment horizontal="center"/>
    </xf>
    <xf numFmtId="0" fontId="16" fillId="35" borderId="15" xfId="22" applyFont="1" applyFill="1" applyBorder="1" applyAlignment="1"/>
    <xf numFmtId="0" fontId="16" fillId="35" borderId="0" xfId="22" applyFont="1" applyFill="1" applyBorder="1" applyAlignment="1"/>
    <xf numFmtId="164" fontId="16" fillId="35" borderId="0" xfId="2" applyNumberFormat="1" applyFont="1" applyFill="1" applyBorder="1" applyAlignment="1">
      <alignment horizontal="center"/>
    </xf>
    <xf numFmtId="164" fontId="16" fillId="30" borderId="0" xfId="2" applyNumberFormat="1" applyFont="1" applyFill="1" applyBorder="1" applyAlignment="1">
      <alignment horizontal="center"/>
    </xf>
    <xf numFmtId="164" fontId="7" fillId="28" borderId="15" xfId="2" applyNumberFormat="1" applyFont="1" applyFill="1" applyBorder="1" applyAlignment="1"/>
    <xf numFmtId="164" fontId="7" fillId="28" borderId="0" xfId="2" applyNumberFormat="1" applyFont="1" applyFill="1" applyBorder="1" applyAlignment="1"/>
    <xf numFmtId="164" fontId="7" fillId="28" borderId="16" xfId="2" applyNumberFormat="1" applyFont="1" applyFill="1" applyBorder="1" applyAlignment="1">
      <alignment horizontal="center"/>
    </xf>
    <xf numFmtId="164" fontId="7" fillId="47" borderId="16" xfId="2" applyNumberFormat="1" applyFont="1" applyFill="1" applyBorder="1" applyAlignment="1">
      <alignment horizontal="right"/>
    </xf>
    <xf numFmtId="164" fontId="7" fillId="27" borderId="16" xfId="2" applyNumberFormat="1" applyFont="1" applyFill="1" applyBorder="1" applyAlignment="1">
      <alignment horizontal="right"/>
    </xf>
    <xf numFmtId="164" fontId="16" fillId="25" borderId="16" xfId="2" applyNumberFormat="1" applyFont="1" applyFill="1" applyBorder="1" applyAlignment="1">
      <alignment horizontal="center" wrapText="1"/>
    </xf>
    <xf numFmtId="164" fontId="7" fillId="50" borderId="16" xfId="2" applyNumberFormat="1" applyFont="1" applyFill="1" applyBorder="1" applyAlignment="1">
      <alignment horizontal="right"/>
    </xf>
    <xf numFmtId="164" fontId="7" fillId="29" borderId="16" xfId="2" applyNumberFormat="1" applyFont="1" applyFill="1" applyBorder="1" applyAlignment="1">
      <alignment horizontal="right"/>
    </xf>
    <xf numFmtId="164" fontId="7" fillId="25" borderId="16" xfId="2" applyNumberFormat="1" applyFont="1" applyFill="1" applyBorder="1" applyAlignment="1">
      <alignment horizontal="right"/>
    </xf>
    <xf numFmtId="0" fontId="16" fillId="17" borderId="15" xfId="22" applyFont="1" applyFill="1" applyBorder="1" applyAlignment="1">
      <alignment horizontal="right"/>
    </xf>
    <xf numFmtId="0" fontId="16" fillId="17" borderId="0" xfId="22" applyFont="1" applyFill="1" applyBorder="1" applyAlignment="1">
      <alignment horizontal="right"/>
    </xf>
    <xf numFmtId="0" fontId="16" fillId="0" borderId="15" xfId="22" applyFont="1" applyFill="1" applyBorder="1" applyAlignment="1">
      <alignment horizontal="center" vertical="center" wrapText="1"/>
    </xf>
    <xf numFmtId="0" fontId="16" fillId="0" borderId="16" xfId="22" applyFont="1" applyFill="1" applyBorder="1" applyAlignment="1">
      <alignment horizontal="center" vertical="center" wrapText="1"/>
    </xf>
    <xf numFmtId="0" fontId="16" fillId="0" borderId="15" xfId="22" applyFont="1" applyBorder="1" applyAlignment="1">
      <alignment horizontal="left" wrapText="1"/>
    </xf>
    <xf numFmtId="0" fontId="4" fillId="0" borderId="16" xfId="22" applyFont="1" applyFill="1" applyBorder="1"/>
    <xf numFmtId="164" fontId="16" fillId="38" borderId="15" xfId="2" applyNumberFormat="1" applyFont="1" applyFill="1" applyBorder="1" applyAlignment="1"/>
    <xf numFmtId="164" fontId="16" fillId="38" borderId="0" xfId="2" applyNumberFormat="1" applyFont="1" applyFill="1" applyBorder="1" applyAlignment="1"/>
    <xf numFmtId="164" fontId="16" fillId="29" borderId="15" xfId="2" applyNumberFormat="1" applyFont="1" applyFill="1" applyBorder="1" applyAlignment="1"/>
    <xf numFmtId="164" fontId="16" fillId="53" borderId="15" xfId="2" applyNumberFormat="1" applyFont="1" applyFill="1" applyBorder="1" applyAlignment="1"/>
    <xf numFmtId="164" fontId="16" fillId="53" borderId="0" xfId="2" applyNumberFormat="1" applyFont="1" applyFill="1" applyBorder="1" applyAlignment="1"/>
    <xf numFmtId="164" fontId="16" fillId="54" borderId="15" xfId="2" applyNumberFormat="1" applyFont="1" applyFill="1" applyBorder="1" applyAlignment="1"/>
    <xf numFmtId="164" fontId="16" fillId="54" borderId="0" xfId="2" applyNumberFormat="1" applyFont="1" applyFill="1" applyBorder="1" applyAlignment="1"/>
    <xf numFmtId="164" fontId="16" fillId="35" borderId="15" xfId="2" applyNumberFormat="1" applyFont="1" applyFill="1" applyBorder="1" applyAlignment="1"/>
    <xf numFmtId="164" fontId="16" fillId="35" borderId="0" xfId="2" applyNumberFormat="1" applyFont="1" applyFill="1" applyBorder="1" applyAlignment="1"/>
    <xf numFmtId="164" fontId="16" fillId="30" borderId="15" xfId="2" applyNumberFormat="1" applyFont="1" applyFill="1" applyBorder="1" applyAlignment="1"/>
    <xf numFmtId="164" fontId="16" fillId="30" borderId="0" xfId="2" applyNumberFormat="1" applyFont="1" applyFill="1" applyBorder="1" applyAlignment="1"/>
    <xf numFmtId="164" fontId="16" fillId="28" borderId="15" xfId="2" applyNumberFormat="1" applyFont="1" applyFill="1" applyBorder="1" applyAlignment="1"/>
    <xf numFmtId="0" fontId="16" fillId="28" borderId="0" xfId="22" applyFont="1" applyFill="1" applyBorder="1" applyAlignment="1"/>
    <xf numFmtId="164" fontId="16" fillId="28" borderId="16" xfId="2" applyNumberFormat="1" applyFont="1" applyFill="1" applyBorder="1" applyAlignment="1">
      <alignment horizontal="center"/>
    </xf>
    <xf numFmtId="0" fontId="7" fillId="25" borderId="0" xfId="22" applyFont="1" applyFill="1" applyBorder="1" applyAlignment="1">
      <alignment horizontal="right"/>
    </xf>
    <xf numFmtId="172" fontId="7" fillId="18" borderId="15" xfId="22" applyNumberFormat="1" applyFont="1" applyFill="1" applyBorder="1" applyAlignment="1">
      <alignment horizontal="right"/>
    </xf>
    <xf numFmtId="0" fontId="16" fillId="0" borderId="16" xfId="22" applyFont="1" applyFill="1" applyBorder="1"/>
    <xf numFmtId="164" fontId="4" fillId="0" borderId="0" xfId="2" applyNumberFormat="1" applyFont="1" applyBorder="1"/>
    <xf numFmtId="0" fontId="4" fillId="0" borderId="16" xfId="22" applyFont="1" applyBorder="1"/>
    <xf numFmtId="10" fontId="16" fillId="32" borderId="0" xfId="22" applyNumberFormat="1" applyFont="1" applyFill="1" applyBorder="1" applyAlignment="1"/>
    <xf numFmtId="10" fontId="16" fillId="40" borderId="15" xfId="22" applyNumberFormat="1" applyFont="1" applyFill="1" applyBorder="1" applyAlignment="1"/>
    <xf numFmtId="10" fontId="16" fillId="40" borderId="0" xfId="22" applyNumberFormat="1" applyFont="1" applyFill="1" applyBorder="1" applyAlignment="1"/>
    <xf numFmtId="10" fontId="16" fillId="40" borderId="16" xfId="11" applyNumberFormat="1" applyFont="1" applyFill="1" applyBorder="1" applyAlignment="1">
      <alignment horizontal="center"/>
    </xf>
    <xf numFmtId="10" fontId="16" fillId="27" borderId="0" xfId="22" applyNumberFormat="1" applyFont="1" applyFill="1" applyBorder="1" applyAlignment="1"/>
    <xf numFmtId="10" fontId="16" fillId="27" borderId="0" xfId="11" applyNumberFormat="1" applyFont="1" applyFill="1" applyBorder="1" applyAlignment="1">
      <alignment horizontal="center"/>
    </xf>
    <xf numFmtId="10" fontId="16" fillId="26" borderId="15" xfId="22" applyNumberFormat="1" applyFont="1" applyFill="1" applyBorder="1" applyAlignment="1"/>
    <xf numFmtId="10" fontId="16" fillId="26" borderId="0" xfId="22" applyNumberFormat="1" applyFont="1" applyFill="1" applyBorder="1" applyAlignment="1"/>
    <xf numFmtId="10" fontId="16" fillId="26" borderId="16" xfId="11" applyNumberFormat="1" applyFont="1" applyFill="1" applyBorder="1" applyAlignment="1">
      <alignment horizontal="center"/>
    </xf>
    <xf numFmtId="10" fontId="16" fillId="51" borderId="15" xfId="22" applyNumberFormat="1" applyFont="1" applyFill="1" applyBorder="1" applyAlignment="1"/>
    <xf numFmtId="10" fontId="16" fillId="51" borderId="0" xfId="22" applyNumberFormat="1" applyFont="1" applyFill="1" applyBorder="1" applyAlignment="1"/>
    <xf numFmtId="10" fontId="16" fillId="51" borderId="16" xfId="11" applyNumberFormat="1" applyFont="1" applyFill="1" applyBorder="1" applyAlignment="1">
      <alignment horizontal="center"/>
    </xf>
    <xf numFmtId="10" fontId="16" fillId="52" borderId="15" xfId="22" applyNumberFormat="1" applyFont="1" applyFill="1" applyBorder="1" applyAlignment="1"/>
    <xf numFmtId="10" fontId="16" fillId="52" borderId="0" xfId="22" applyNumberFormat="1" applyFont="1" applyFill="1" applyBorder="1" applyAlignment="1"/>
    <xf numFmtId="10" fontId="16" fillId="52" borderId="16" xfId="11" applyNumberFormat="1" applyFont="1" applyFill="1" applyBorder="1" applyAlignment="1">
      <alignment horizontal="center"/>
    </xf>
    <xf numFmtId="10" fontId="16" fillId="31" borderId="15" xfId="22" applyNumberFormat="1" applyFont="1" applyFill="1" applyBorder="1" applyAlignment="1"/>
    <xf numFmtId="10" fontId="16" fillId="31" borderId="0" xfId="22" applyNumberFormat="1" applyFont="1" applyFill="1" applyBorder="1" applyAlignment="1"/>
    <xf numFmtId="10" fontId="16" fillId="31" borderId="16" xfId="11" applyNumberFormat="1" applyFont="1" applyFill="1" applyBorder="1" applyAlignment="1">
      <alignment horizontal="center"/>
    </xf>
    <xf numFmtId="10" fontId="16" fillId="30" borderId="15" xfId="22" applyNumberFormat="1" applyFont="1" applyFill="1" applyBorder="1" applyAlignment="1"/>
    <xf numFmtId="10" fontId="16" fillId="30" borderId="0" xfId="22" applyNumberFormat="1" applyFont="1" applyFill="1" applyBorder="1" applyAlignment="1"/>
    <xf numFmtId="10" fontId="16" fillId="39" borderId="15" xfId="22" applyNumberFormat="1" applyFont="1" applyFill="1" applyBorder="1" applyAlignment="1"/>
    <xf numFmtId="10" fontId="16" fillId="39" borderId="0" xfId="22" applyNumberFormat="1" applyFont="1" applyFill="1" applyBorder="1" applyAlignment="1"/>
    <xf numFmtId="10" fontId="16" fillId="39" borderId="16" xfId="11" applyNumberFormat="1" applyFont="1" applyFill="1" applyBorder="1" applyAlignment="1">
      <alignment horizontal="center"/>
    </xf>
    <xf numFmtId="10" fontId="16" fillId="32" borderId="15" xfId="22" applyNumberFormat="1" applyFont="1" applyFill="1" applyBorder="1" applyAlignment="1"/>
    <xf numFmtId="10" fontId="16" fillId="32" borderId="16" xfId="11" applyNumberFormat="1" applyFont="1" applyFill="1" applyBorder="1" applyAlignment="1">
      <alignment horizontal="center"/>
    </xf>
    <xf numFmtId="10" fontId="16" fillId="38" borderId="15" xfId="22" applyNumberFormat="1" applyFont="1" applyFill="1" applyBorder="1" applyAlignment="1"/>
    <xf numFmtId="10" fontId="16" fillId="38" borderId="0" xfId="22" applyNumberFormat="1" applyFont="1" applyFill="1" applyBorder="1" applyAlignment="1"/>
    <xf numFmtId="10" fontId="16" fillId="38" borderId="0" xfId="11" applyNumberFormat="1" applyFont="1" applyFill="1" applyBorder="1" applyAlignment="1">
      <alignment horizontal="center"/>
    </xf>
    <xf numFmtId="10" fontId="16" fillId="51" borderId="0" xfId="11" applyNumberFormat="1" applyFont="1" applyFill="1" applyBorder="1" applyAlignment="1">
      <alignment horizontal="center"/>
    </xf>
    <xf numFmtId="10" fontId="16" fillId="29" borderId="15" xfId="22" applyNumberFormat="1" applyFont="1" applyFill="1" applyBorder="1" applyAlignment="1"/>
    <xf numFmtId="10" fontId="16" fillId="29" borderId="0" xfId="22" applyNumberFormat="1" applyFont="1" applyFill="1" applyBorder="1" applyAlignment="1"/>
    <xf numFmtId="10" fontId="16" fillId="29" borderId="0" xfId="11" applyNumberFormat="1" applyFont="1" applyFill="1" applyBorder="1" applyAlignment="1">
      <alignment horizontal="center"/>
    </xf>
    <xf numFmtId="10" fontId="16" fillId="44" borderId="15" xfId="22" applyNumberFormat="1" applyFont="1" applyFill="1" applyBorder="1" applyAlignment="1"/>
    <xf numFmtId="10" fontId="16" fillId="44" borderId="0" xfId="22" applyNumberFormat="1" applyFont="1" applyFill="1" applyBorder="1" applyAlignment="1"/>
    <xf numFmtId="10" fontId="16" fillId="44" borderId="0" xfId="11" applyNumberFormat="1" applyFont="1" applyFill="1" applyBorder="1" applyAlignment="1">
      <alignment horizontal="center"/>
    </xf>
    <xf numFmtId="10" fontId="16" fillId="45" borderId="15" xfId="22" applyNumberFormat="1" applyFont="1" applyFill="1" applyBorder="1" applyAlignment="1"/>
    <xf numFmtId="10" fontId="16" fillId="45" borderId="0" xfId="22" applyNumberFormat="1" applyFont="1" applyFill="1" applyBorder="1" applyAlignment="1"/>
    <xf numFmtId="10" fontId="16" fillId="45" borderId="0" xfId="11" applyNumberFormat="1" applyFont="1" applyFill="1" applyBorder="1" applyAlignment="1">
      <alignment horizontal="center"/>
    </xf>
    <xf numFmtId="10" fontId="16" fillId="46" borderId="15" xfId="22" applyNumberFormat="1" applyFont="1" applyFill="1" applyBorder="1" applyAlignment="1"/>
    <xf numFmtId="10" fontId="16" fillId="46" borderId="0" xfId="22" applyNumberFormat="1" applyFont="1" applyFill="1" applyBorder="1" applyAlignment="1"/>
    <xf numFmtId="10" fontId="16" fillId="46" borderId="0" xfId="11" applyNumberFormat="1" applyFont="1" applyFill="1" applyBorder="1" applyAlignment="1">
      <alignment horizontal="center"/>
    </xf>
    <xf numFmtId="10" fontId="16" fillId="53" borderId="15" xfId="22" applyNumberFormat="1" applyFont="1" applyFill="1" applyBorder="1" applyAlignment="1"/>
    <xf numFmtId="10" fontId="16" fillId="53" borderId="0" xfId="22" applyNumberFormat="1" applyFont="1" applyFill="1" applyBorder="1" applyAlignment="1"/>
    <xf numFmtId="10" fontId="16" fillId="53" borderId="0" xfId="11" applyNumberFormat="1" applyFont="1" applyFill="1" applyBorder="1" applyAlignment="1">
      <alignment horizontal="center"/>
    </xf>
    <xf numFmtId="10" fontId="16" fillId="54" borderId="15" xfId="22" applyNumberFormat="1" applyFont="1" applyFill="1" applyBorder="1" applyAlignment="1"/>
    <xf numFmtId="10" fontId="16" fillId="54" borderId="0" xfId="22" applyNumberFormat="1" applyFont="1" applyFill="1" applyBorder="1" applyAlignment="1"/>
    <xf numFmtId="10" fontId="16" fillId="54" borderId="0" xfId="11" applyNumberFormat="1" applyFont="1" applyFill="1" applyBorder="1" applyAlignment="1">
      <alignment horizontal="center"/>
    </xf>
    <xf numFmtId="10" fontId="16" fillId="35" borderId="15" xfId="22" applyNumberFormat="1" applyFont="1" applyFill="1" applyBorder="1" applyAlignment="1"/>
    <xf numFmtId="10" fontId="16" fillId="35" borderId="0" xfId="22" applyNumberFormat="1" applyFont="1" applyFill="1" applyBorder="1" applyAlignment="1"/>
    <xf numFmtId="10" fontId="16" fillId="35" borderId="0" xfId="11" applyNumberFormat="1" applyFont="1" applyFill="1" applyBorder="1" applyAlignment="1">
      <alignment horizontal="center"/>
    </xf>
    <xf numFmtId="10" fontId="16" fillId="30" borderId="0" xfId="11" applyNumberFormat="1" applyFont="1" applyFill="1" applyBorder="1" applyAlignment="1">
      <alignment horizontal="center"/>
    </xf>
    <xf numFmtId="10" fontId="16" fillId="28" borderId="15" xfId="11" applyNumberFormat="1" applyFont="1" applyFill="1" applyBorder="1" applyAlignment="1"/>
    <xf numFmtId="10" fontId="16" fillId="28" borderId="0" xfId="11" applyNumberFormat="1" applyFont="1" applyFill="1" applyBorder="1" applyAlignment="1"/>
    <xf numFmtId="10" fontId="16" fillId="28" borderId="16" xfId="11" applyNumberFormat="1" applyFont="1" applyFill="1" applyBorder="1" applyAlignment="1">
      <alignment horizontal="center"/>
    </xf>
    <xf numFmtId="10" fontId="7" fillId="29" borderId="0" xfId="11" applyNumberFormat="1" applyFont="1" applyFill="1" applyBorder="1" applyAlignment="1"/>
    <xf numFmtId="10" fontId="21" fillId="47" borderId="0" xfId="11" applyNumberFormat="1" applyFont="1" applyFill="1" applyBorder="1" applyAlignment="1">
      <alignment horizontal="right"/>
    </xf>
    <xf numFmtId="10" fontId="7" fillId="47" borderId="16" xfId="11" applyNumberFormat="1" applyFont="1" applyFill="1" applyBorder="1" applyAlignment="1">
      <alignment horizontal="right"/>
    </xf>
    <xf numFmtId="10" fontId="21" fillId="27" borderId="15" xfId="11" applyNumberFormat="1" applyFont="1" applyFill="1" applyBorder="1" applyAlignment="1">
      <alignment horizontal="right"/>
    </xf>
    <xf numFmtId="10" fontId="4" fillId="27" borderId="0" xfId="11" applyNumberFormat="1" applyFont="1" applyFill="1" applyBorder="1" applyAlignment="1">
      <alignment horizontal="right"/>
    </xf>
    <xf numFmtId="10" fontId="7" fillId="27" borderId="16" xfId="11" applyNumberFormat="1" applyFont="1" applyFill="1" applyBorder="1" applyAlignment="1">
      <alignment horizontal="right"/>
    </xf>
    <xf numFmtId="10" fontId="16" fillId="25" borderId="15" xfId="2" applyNumberFormat="1" applyFont="1" applyFill="1" applyBorder="1" applyAlignment="1">
      <alignment horizontal="center" wrapText="1"/>
    </xf>
    <xf numFmtId="10" fontId="16" fillId="25" borderId="0" xfId="2" applyNumberFormat="1" applyFont="1" applyFill="1" applyBorder="1" applyAlignment="1">
      <alignment horizontal="center" wrapText="1"/>
    </xf>
    <xf numFmtId="10" fontId="16" fillId="25" borderId="16" xfId="11" applyNumberFormat="1" applyFont="1" applyFill="1" applyBorder="1" applyAlignment="1">
      <alignment horizontal="center" wrapText="1"/>
    </xf>
    <xf numFmtId="10" fontId="21" fillId="50" borderId="15" xfId="11" applyNumberFormat="1" applyFont="1" applyFill="1" applyBorder="1" applyAlignment="1">
      <alignment horizontal="right"/>
    </xf>
    <xf numFmtId="10" fontId="21" fillId="50" borderId="0" xfId="11" applyNumberFormat="1" applyFont="1" applyFill="1" applyBorder="1" applyAlignment="1">
      <alignment horizontal="right"/>
    </xf>
    <xf numFmtId="10" fontId="7" fillId="50" borderId="16" xfId="11" applyNumberFormat="1" applyFont="1" applyFill="1" applyBorder="1" applyAlignment="1">
      <alignment horizontal="right"/>
    </xf>
    <xf numFmtId="10" fontId="21" fillId="29" borderId="15" xfId="11" applyNumberFormat="1" applyFont="1" applyFill="1" applyBorder="1" applyAlignment="1">
      <alignment horizontal="right"/>
    </xf>
    <xf numFmtId="10" fontId="21" fillId="29" borderId="0" xfId="11" applyNumberFormat="1" applyFont="1" applyFill="1" applyBorder="1" applyAlignment="1">
      <alignment horizontal="right"/>
    </xf>
    <xf numFmtId="10" fontId="7" fillId="29" borderId="16" xfId="11" applyNumberFormat="1" applyFont="1" applyFill="1" applyBorder="1" applyAlignment="1">
      <alignment horizontal="right"/>
    </xf>
    <xf numFmtId="10" fontId="21" fillId="25" borderId="15" xfId="11" applyNumberFormat="1" applyFont="1" applyFill="1" applyBorder="1" applyAlignment="1">
      <alignment horizontal="right"/>
    </xf>
    <xf numFmtId="10" fontId="7" fillId="25" borderId="16" xfId="11" applyNumberFormat="1" applyFont="1" applyFill="1" applyBorder="1" applyAlignment="1">
      <alignment horizontal="right"/>
    </xf>
    <xf numFmtId="10" fontId="7" fillId="10" borderId="15" xfId="22" applyNumberFormat="1" applyFont="1" applyFill="1" applyBorder="1" applyAlignment="1">
      <alignment horizontal="right"/>
    </xf>
    <xf numFmtId="10" fontId="7" fillId="10" borderId="0" xfId="22" applyNumberFormat="1" applyFont="1" applyFill="1" applyBorder="1" applyAlignment="1">
      <alignment horizontal="right"/>
    </xf>
    <xf numFmtId="10" fontId="7" fillId="10" borderId="16" xfId="22" applyNumberFormat="1" applyFont="1" applyFill="1" applyBorder="1" applyAlignment="1">
      <alignment horizontal="center"/>
    </xf>
    <xf numFmtId="10" fontId="7" fillId="4" borderId="15" xfId="22" applyNumberFormat="1" applyFont="1" applyFill="1" applyBorder="1" applyAlignment="1">
      <alignment horizontal="right"/>
    </xf>
    <xf numFmtId="10" fontId="7" fillId="4" borderId="0" xfId="22" applyNumberFormat="1" applyFont="1" applyFill="1" applyBorder="1" applyAlignment="1">
      <alignment horizontal="right"/>
    </xf>
    <xf numFmtId="10" fontId="7" fillId="4" borderId="16" xfId="22" applyNumberFormat="1" applyFont="1" applyFill="1" applyBorder="1" applyAlignment="1">
      <alignment horizontal="center"/>
    </xf>
    <xf numFmtId="10" fontId="16" fillId="19" borderId="0" xfId="22" applyNumberFormat="1" applyFont="1" applyFill="1" applyBorder="1" applyAlignment="1">
      <alignment horizontal="right"/>
    </xf>
    <xf numFmtId="10" fontId="16" fillId="19" borderId="16" xfId="22" applyNumberFormat="1" applyFont="1" applyFill="1" applyBorder="1" applyAlignment="1">
      <alignment horizontal="center"/>
    </xf>
    <xf numFmtId="10" fontId="16" fillId="11" borderId="15" xfId="22" applyNumberFormat="1" applyFont="1" applyFill="1" applyBorder="1" applyAlignment="1">
      <alignment horizontal="right"/>
    </xf>
    <xf numFmtId="10" fontId="16" fillId="11" borderId="0" xfId="22" applyNumberFormat="1" applyFont="1" applyFill="1" applyBorder="1" applyAlignment="1">
      <alignment horizontal="right"/>
    </xf>
    <xf numFmtId="10" fontId="16" fillId="11" borderId="0" xfId="22" applyNumberFormat="1" applyFont="1" applyFill="1" applyBorder="1" applyAlignment="1">
      <alignment horizontal="center"/>
    </xf>
    <xf numFmtId="10" fontId="16" fillId="10" borderId="15" xfId="22" applyNumberFormat="1" applyFont="1" applyFill="1" applyBorder="1" applyAlignment="1">
      <alignment horizontal="right"/>
    </xf>
    <xf numFmtId="10" fontId="16" fillId="10" borderId="0" xfId="22" applyNumberFormat="1" applyFont="1" applyFill="1" applyBorder="1" applyAlignment="1">
      <alignment horizontal="right"/>
    </xf>
    <xf numFmtId="10" fontId="16" fillId="10" borderId="0" xfId="22" applyNumberFormat="1" applyFont="1" applyFill="1" applyBorder="1" applyAlignment="1">
      <alignment horizontal="center"/>
    </xf>
    <xf numFmtId="10" fontId="16" fillId="15" borderId="15" xfId="22" applyNumberFormat="1" applyFont="1" applyFill="1" applyBorder="1" applyAlignment="1">
      <alignment horizontal="right"/>
    </xf>
    <xf numFmtId="10" fontId="16" fillId="15" borderId="0" xfId="22" applyNumberFormat="1" applyFont="1" applyFill="1" applyBorder="1" applyAlignment="1">
      <alignment horizontal="right"/>
    </xf>
    <xf numFmtId="10" fontId="16" fillId="15" borderId="16" xfId="22" applyNumberFormat="1" applyFont="1" applyFill="1" applyBorder="1" applyAlignment="1">
      <alignment horizontal="center"/>
    </xf>
    <xf numFmtId="10" fontId="16" fillId="13" borderId="15" xfId="22" applyNumberFormat="1" applyFont="1" applyFill="1" applyBorder="1" applyAlignment="1">
      <alignment horizontal="right"/>
    </xf>
    <xf numFmtId="10" fontId="16" fillId="13" borderId="0" xfId="22" applyNumberFormat="1" applyFont="1" applyFill="1" applyBorder="1" applyAlignment="1">
      <alignment horizontal="right"/>
    </xf>
    <xf numFmtId="10" fontId="16" fillId="13" borderId="16" xfId="22" applyNumberFormat="1" applyFont="1" applyFill="1" applyBorder="1" applyAlignment="1">
      <alignment horizontal="center"/>
    </xf>
    <xf numFmtId="10" fontId="16" fillId="8" borderId="15" xfId="22" applyNumberFormat="1" applyFont="1" applyFill="1" applyBorder="1" applyAlignment="1">
      <alignment horizontal="right"/>
    </xf>
    <xf numFmtId="10" fontId="16" fillId="8" borderId="0" xfId="22" applyNumberFormat="1" applyFont="1" applyFill="1" applyBorder="1" applyAlignment="1">
      <alignment horizontal="right"/>
    </xf>
    <xf numFmtId="10" fontId="16" fillId="8" borderId="0" xfId="22" applyNumberFormat="1" applyFont="1" applyFill="1" applyBorder="1" applyAlignment="1">
      <alignment horizontal="center"/>
    </xf>
    <xf numFmtId="10" fontId="16" fillId="18" borderId="0" xfId="22" applyNumberFormat="1" applyFont="1" applyFill="1" applyBorder="1" applyAlignment="1">
      <alignment horizontal="right"/>
    </xf>
    <xf numFmtId="10" fontId="16" fillId="18" borderId="16" xfId="22" applyNumberFormat="1" applyFont="1" applyFill="1" applyBorder="1" applyAlignment="1">
      <alignment horizontal="center"/>
    </xf>
    <xf numFmtId="10" fontId="16" fillId="12" borderId="0" xfId="22" applyNumberFormat="1" applyFont="1" applyFill="1" applyBorder="1" applyAlignment="1">
      <alignment horizontal="right"/>
    </xf>
    <xf numFmtId="10" fontId="16" fillId="12" borderId="16" xfId="22" applyNumberFormat="1" applyFont="1" applyFill="1" applyBorder="1" applyAlignment="1">
      <alignment horizontal="center"/>
    </xf>
    <xf numFmtId="10" fontId="16" fillId="14" borderId="0" xfId="22" applyNumberFormat="1" applyFont="1" applyFill="1" applyBorder="1" applyAlignment="1">
      <alignment horizontal="right"/>
    </xf>
    <xf numFmtId="10" fontId="16" fillId="14" borderId="16" xfId="22" applyNumberFormat="1" applyFont="1" applyFill="1" applyBorder="1" applyAlignment="1">
      <alignment horizontal="center"/>
    </xf>
    <xf numFmtId="10" fontId="16" fillId="17" borderId="15" xfId="22" applyNumberFormat="1" applyFont="1" applyFill="1" applyBorder="1" applyAlignment="1">
      <alignment horizontal="right"/>
    </xf>
    <xf numFmtId="10" fontId="16" fillId="17" borderId="0" xfId="22" applyNumberFormat="1" applyFont="1" applyFill="1" applyBorder="1" applyAlignment="1">
      <alignment horizontal="right"/>
    </xf>
    <xf numFmtId="0" fontId="16" fillId="0" borderId="15" xfId="22" applyFont="1" applyFill="1" applyBorder="1" applyAlignment="1">
      <alignment horizontal="center"/>
    </xf>
    <xf numFmtId="172" fontId="4" fillId="0" borderId="22" xfId="22" applyNumberFormat="1" applyFont="1" applyBorder="1"/>
    <xf numFmtId="10" fontId="7" fillId="29" borderId="16" xfId="11" applyNumberFormat="1" applyFont="1" applyFill="1" applyBorder="1" applyAlignment="1">
      <alignment horizontal="center"/>
    </xf>
    <xf numFmtId="0" fontId="51" fillId="32" borderId="0" xfId="22" applyFont="1" applyFill="1" applyBorder="1" applyAlignment="1"/>
    <xf numFmtId="0" fontId="51" fillId="40" borderId="0" xfId="22" applyFont="1" applyFill="1" applyBorder="1" applyAlignment="1"/>
    <xf numFmtId="0" fontId="16" fillId="40" borderId="16" xfId="22" applyFont="1" applyFill="1" applyBorder="1" applyAlignment="1">
      <alignment horizontal="center"/>
    </xf>
    <xf numFmtId="0" fontId="51" fillId="27" borderId="0" xfId="22" applyFont="1" applyFill="1" applyBorder="1" applyAlignment="1"/>
    <xf numFmtId="0" fontId="51" fillId="26" borderId="0" xfId="22" applyFont="1" applyFill="1" applyBorder="1" applyAlignment="1"/>
    <xf numFmtId="0" fontId="16" fillId="26" borderId="16" xfId="22" applyFont="1" applyFill="1" applyBorder="1" applyAlignment="1">
      <alignment horizontal="center"/>
    </xf>
    <xf numFmtId="0" fontId="51" fillId="51" borderId="0" xfId="22" applyFont="1" applyFill="1" applyBorder="1" applyAlignment="1"/>
    <xf numFmtId="0" fontId="16" fillId="51" borderId="16" xfId="22" applyFont="1" applyFill="1" applyBorder="1" applyAlignment="1">
      <alignment horizontal="center"/>
    </xf>
    <xf numFmtId="0" fontId="51" fillId="52" borderId="0" xfId="22" applyFont="1" applyFill="1" applyBorder="1" applyAlignment="1"/>
    <xf numFmtId="0" fontId="16" fillId="52" borderId="16" xfId="22" applyFont="1" applyFill="1" applyBorder="1" applyAlignment="1">
      <alignment horizontal="center"/>
    </xf>
    <xf numFmtId="0" fontId="51" fillId="31" borderId="0" xfId="22" applyFont="1" applyFill="1" applyBorder="1" applyAlignment="1"/>
    <xf numFmtId="0" fontId="16" fillId="31" borderId="16" xfId="22" applyFont="1" applyFill="1" applyBorder="1" applyAlignment="1">
      <alignment horizontal="center"/>
    </xf>
    <xf numFmtId="0" fontId="51" fillId="30" borderId="0" xfId="22" applyFont="1" applyFill="1" applyBorder="1" applyAlignment="1"/>
    <xf numFmtId="0" fontId="16" fillId="30" borderId="16" xfId="22" applyFont="1" applyFill="1" applyBorder="1" applyAlignment="1">
      <alignment horizontal="center"/>
    </xf>
    <xf numFmtId="0" fontId="51" fillId="39" borderId="0" xfId="22" applyFont="1" applyFill="1" applyBorder="1" applyAlignment="1"/>
    <xf numFmtId="0" fontId="16" fillId="39" borderId="16" xfId="22" applyFont="1" applyFill="1" applyBorder="1" applyAlignment="1">
      <alignment horizontal="center"/>
    </xf>
    <xf numFmtId="0" fontId="16" fillId="32" borderId="16" xfId="22" applyFont="1" applyFill="1" applyBorder="1" applyAlignment="1">
      <alignment horizontal="center"/>
    </xf>
    <xf numFmtId="0" fontId="51" fillId="38" borderId="0" xfId="22" applyFont="1" applyFill="1" applyBorder="1" applyAlignment="1"/>
    <xf numFmtId="0" fontId="51" fillId="29" borderId="0" xfId="22" applyFont="1" applyFill="1" applyBorder="1" applyAlignment="1"/>
    <xf numFmtId="0" fontId="51" fillId="44" borderId="0" xfId="22" applyFont="1" applyFill="1" applyBorder="1" applyAlignment="1"/>
    <xf numFmtId="0" fontId="51" fillId="45" borderId="0" xfId="22" applyFont="1" applyFill="1" applyBorder="1" applyAlignment="1"/>
    <xf numFmtId="0" fontId="51" fillId="46" borderId="0" xfId="22" applyFont="1" applyFill="1" applyBorder="1" applyAlignment="1"/>
    <xf numFmtId="0" fontId="51" fillId="53" borderId="0" xfId="22" applyFont="1" applyFill="1" applyBorder="1" applyAlignment="1"/>
    <xf numFmtId="0" fontId="51" fillId="54" borderId="0" xfId="22" applyFont="1" applyFill="1" applyBorder="1" applyAlignment="1"/>
    <xf numFmtId="0" fontId="51" fillId="35" borderId="0" xfId="22" applyFont="1" applyFill="1" applyBorder="1" applyAlignment="1"/>
    <xf numFmtId="0" fontId="51" fillId="27" borderId="15" xfId="22" applyFont="1" applyFill="1" applyBorder="1" applyAlignment="1"/>
    <xf numFmtId="0" fontId="16" fillId="27" borderId="16" xfId="22" applyFont="1" applyFill="1" applyBorder="1" applyAlignment="1">
      <alignment horizontal="center"/>
    </xf>
    <xf numFmtId="0" fontId="51" fillId="4" borderId="15" xfId="22" applyFont="1" applyFill="1" applyBorder="1" applyAlignment="1"/>
    <xf numFmtId="0" fontId="51" fillId="4" borderId="0" xfId="22" applyFont="1" applyFill="1" applyBorder="1" applyAlignment="1"/>
    <xf numFmtId="0" fontId="16" fillId="4" borderId="16" xfId="22" applyFont="1" applyFill="1" applyBorder="1" applyAlignment="1">
      <alignment horizontal="center"/>
    </xf>
    <xf numFmtId="0" fontId="51" fillId="28" borderId="15" xfId="22" applyFont="1" applyFill="1" applyBorder="1" applyAlignment="1"/>
    <xf numFmtId="0" fontId="51" fillId="28" borderId="0" xfId="22" applyFont="1" applyFill="1" applyBorder="1" applyAlignment="1"/>
    <xf numFmtId="0" fontId="16" fillId="28" borderId="16" xfId="22" applyFont="1" applyFill="1" applyBorder="1" applyAlignment="1">
      <alignment horizontal="center"/>
    </xf>
    <xf numFmtId="0" fontId="51" fillId="10" borderId="0" xfId="22" applyFont="1" applyFill="1" applyBorder="1" applyAlignment="1"/>
    <xf numFmtId="0" fontId="16" fillId="10" borderId="16" xfId="22" applyFont="1" applyFill="1" applyBorder="1" applyAlignment="1">
      <alignment horizontal="center"/>
    </xf>
    <xf numFmtId="0" fontId="51" fillId="23" borderId="15" xfId="22" applyFont="1" applyFill="1" applyBorder="1" applyAlignment="1"/>
    <xf numFmtId="0" fontId="51" fillId="23" borderId="0" xfId="22" applyFont="1" applyFill="1" applyBorder="1" applyAlignment="1"/>
    <xf numFmtId="0" fontId="16" fillId="23" borderId="0" xfId="22" applyFont="1" applyFill="1" applyBorder="1" applyAlignment="1">
      <alignment horizontal="center"/>
    </xf>
    <xf numFmtId="0" fontId="51" fillId="21" borderId="15" xfId="22" applyFont="1" applyFill="1" applyBorder="1" applyAlignment="1"/>
    <xf numFmtId="0" fontId="51" fillId="21" borderId="0" xfId="22" applyFont="1" applyFill="1" applyBorder="1" applyAlignment="1"/>
    <xf numFmtId="0" fontId="16" fillId="21" borderId="16" xfId="22" applyFont="1" applyFill="1" applyBorder="1" applyAlignment="1">
      <alignment horizontal="center"/>
    </xf>
    <xf numFmtId="0" fontId="10" fillId="37" borderId="15" xfId="22" applyFont="1" applyFill="1" applyBorder="1" applyAlignment="1"/>
    <xf numFmtId="0" fontId="10" fillId="37" borderId="0" xfId="22" applyFont="1" applyFill="1" applyBorder="1" applyAlignment="1"/>
    <xf numFmtId="0" fontId="7" fillId="37" borderId="16" xfId="22" applyFont="1" applyFill="1" applyBorder="1" applyAlignment="1">
      <alignment horizontal="center"/>
    </xf>
    <xf numFmtId="0" fontId="10" fillId="30" borderId="15" xfId="22" applyFont="1" applyFill="1" applyBorder="1" applyAlignment="1"/>
    <xf numFmtId="0" fontId="10" fillId="30" borderId="0" xfId="22" applyFont="1" applyFill="1" applyBorder="1" applyAlignment="1"/>
    <xf numFmtId="0" fontId="7" fillId="30" borderId="16" xfId="22" applyFont="1" applyFill="1" applyBorder="1" applyAlignment="1">
      <alignment horizontal="center"/>
    </xf>
    <xf numFmtId="0" fontId="10" fillId="29" borderId="0" xfId="22" applyFont="1" applyFill="1" applyBorder="1" applyAlignment="1"/>
    <xf numFmtId="0" fontId="7" fillId="29" borderId="16" xfId="22" applyFont="1" applyFill="1" applyBorder="1" applyAlignment="1">
      <alignment horizontal="center"/>
    </xf>
    <xf numFmtId="0" fontId="10" fillId="4" borderId="15" xfId="22" applyFont="1" applyFill="1" applyBorder="1" applyAlignment="1"/>
    <xf numFmtId="0" fontId="10" fillId="4" borderId="0" xfId="22" applyFont="1" applyFill="1" applyBorder="1" applyAlignment="1"/>
    <xf numFmtId="0" fontId="7" fillId="4" borderId="16" xfId="22" applyFont="1" applyFill="1" applyBorder="1" applyAlignment="1">
      <alignment horizontal="center"/>
    </xf>
    <xf numFmtId="0" fontId="10" fillId="17" borderId="15" xfId="22" applyFont="1" applyFill="1" applyBorder="1" applyAlignment="1">
      <alignment horizontal="right"/>
    </xf>
    <xf numFmtId="0" fontId="10" fillId="17" borderId="0" xfId="22" applyFont="1" applyFill="1" applyBorder="1" applyAlignment="1">
      <alignment horizontal="right"/>
    </xf>
    <xf numFmtId="0" fontId="7" fillId="17" borderId="0" xfId="22" applyFont="1" applyFill="1" applyBorder="1" applyAlignment="1">
      <alignment horizontal="center"/>
    </xf>
    <xf numFmtId="49" fontId="7" fillId="47" borderId="16" xfId="2" applyNumberFormat="1" applyFont="1" applyFill="1" applyBorder="1" applyAlignment="1">
      <alignment horizontal="right"/>
    </xf>
    <xf numFmtId="164" fontId="4" fillId="27" borderId="0" xfId="2" applyNumberFormat="1" applyFont="1" applyFill="1" applyBorder="1" applyAlignment="1">
      <alignment horizontal="right"/>
    </xf>
    <xf numFmtId="49" fontId="7" fillId="27" borderId="16" xfId="2" applyNumberFormat="1" applyFont="1" applyFill="1" applyBorder="1" applyAlignment="1">
      <alignment horizontal="right"/>
    </xf>
    <xf numFmtId="9" fontId="16" fillId="25" borderId="0" xfId="11" applyFont="1" applyFill="1" applyBorder="1" applyAlignment="1">
      <alignment horizontal="center" wrapText="1"/>
    </xf>
    <xf numFmtId="49" fontId="7" fillId="50" borderId="16" xfId="2" applyNumberFormat="1" applyFont="1" applyFill="1" applyBorder="1" applyAlignment="1">
      <alignment horizontal="right"/>
    </xf>
    <xf numFmtId="49" fontId="7" fillId="29" borderId="16" xfId="2" applyNumberFormat="1" applyFont="1" applyFill="1" applyBorder="1" applyAlignment="1">
      <alignment horizontal="right"/>
    </xf>
    <xf numFmtId="49" fontId="7" fillId="25" borderId="16" xfId="2" applyNumberFormat="1" applyFont="1" applyFill="1" applyBorder="1" applyAlignment="1">
      <alignment horizontal="right"/>
    </xf>
    <xf numFmtId="0" fontId="10" fillId="20" borderId="15" xfId="22" applyFont="1" applyFill="1" applyBorder="1" applyAlignment="1">
      <alignment horizontal="right"/>
    </xf>
    <xf numFmtId="0" fontId="10" fillId="20" borderId="0" xfId="22" applyFont="1" applyFill="1" applyBorder="1" applyAlignment="1">
      <alignment horizontal="right"/>
    </xf>
    <xf numFmtId="0" fontId="7" fillId="20" borderId="16" xfId="22" applyFont="1" applyFill="1" applyBorder="1" applyAlignment="1">
      <alignment horizontal="center"/>
    </xf>
    <xf numFmtId="0" fontId="10" fillId="11" borderId="0" xfId="22" applyFont="1" applyFill="1" applyBorder="1" applyAlignment="1">
      <alignment horizontal="right"/>
    </xf>
    <xf numFmtId="0" fontId="7" fillId="11" borderId="0" xfId="22" applyFont="1" applyFill="1" applyBorder="1" applyAlignment="1">
      <alignment horizontal="center"/>
    </xf>
    <xf numFmtId="0" fontId="10" fillId="12" borderId="15" xfId="22" applyFont="1" applyFill="1" applyBorder="1" applyAlignment="1">
      <alignment horizontal="right"/>
    </xf>
    <xf numFmtId="0" fontId="10" fillId="12" borderId="0" xfId="22" applyFont="1" applyFill="1" applyBorder="1" applyAlignment="1">
      <alignment horizontal="right"/>
    </xf>
    <xf numFmtId="0" fontId="7" fillId="12" borderId="16" xfId="22" applyFont="1" applyFill="1" applyBorder="1" applyAlignment="1">
      <alignment horizontal="center"/>
    </xf>
    <xf numFmtId="0" fontId="10" fillId="25" borderId="15" xfId="22" applyFont="1" applyFill="1" applyBorder="1" applyAlignment="1">
      <alignment horizontal="right"/>
    </xf>
    <xf numFmtId="0" fontId="10" fillId="25" borderId="0" xfId="22" applyFont="1" applyFill="1" applyBorder="1" applyAlignment="1">
      <alignment horizontal="right"/>
    </xf>
    <xf numFmtId="0" fontId="7" fillId="25" borderId="16" xfId="22" applyFont="1" applyFill="1" applyBorder="1" applyAlignment="1">
      <alignment horizontal="center"/>
    </xf>
    <xf numFmtId="0" fontId="10" fillId="18" borderId="15" xfId="22" applyFont="1" applyFill="1" applyBorder="1" applyAlignment="1">
      <alignment horizontal="right"/>
    </xf>
    <xf numFmtId="0" fontId="10" fillId="18" borderId="0" xfId="22" applyFont="1" applyFill="1" applyBorder="1" applyAlignment="1">
      <alignment horizontal="right"/>
    </xf>
    <xf numFmtId="0" fontId="7" fillId="18" borderId="16" xfId="22" applyFont="1" applyFill="1" applyBorder="1" applyAlignment="1">
      <alignment horizontal="center"/>
    </xf>
    <xf numFmtId="0" fontId="10" fillId="23" borderId="15" xfId="22" applyFont="1" applyFill="1" applyBorder="1" applyAlignment="1">
      <alignment horizontal="right"/>
    </xf>
    <xf numFmtId="0" fontId="10" fillId="23" borderId="0" xfId="22" applyFont="1" applyFill="1" applyBorder="1" applyAlignment="1">
      <alignment horizontal="right"/>
    </xf>
    <xf numFmtId="0" fontId="7" fillId="23" borderId="16" xfId="22" applyFont="1" applyFill="1" applyBorder="1" applyAlignment="1">
      <alignment horizontal="center"/>
    </xf>
    <xf numFmtId="0" fontId="10" fillId="10" borderId="15" xfId="22" applyFont="1" applyFill="1" applyBorder="1" applyAlignment="1">
      <alignment horizontal="right"/>
    </xf>
    <xf numFmtId="0" fontId="10" fillId="10" borderId="0" xfId="22" applyFont="1" applyFill="1" applyBorder="1" applyAlignment="1">
      <alignment horizontal="right"/>
    </xf>
    <xf numFmtId="0" fontId="7" fillId="10" borderId="16" xfId="22" applyFont="1" applyFill="1" applyBorder="1" applyAlignment="1">
      <alignment horizontal="center"/>
    </xf>
    <xf numFmtId="0" fontId="10" fillId="4" borderId="15" xfId="22" applyFont="1" applyFill="1" applyBorder="1" applyAlignment="1">
      <alignment horizontal="right"/>
    </xf>
    <xf numFmtId="0" fontId="10" fillId="4" borderId="0" xfId="22" applyFont="1" applyFill="1" applyBorder="1" applyAlignment="1">
      <alignment horizontal="right"/>
    </xf>
    <xf numFmtId="0" fontId="51" fillId="19" borderId="0" xfId="22" applyFont="1" applyFill="1" applyBorder="1" applyAlignment="1">
      <alignment horizontal="right"/>
    </xf>
    <xf numFmtId="0" fontId="16" fillId="19" borderId="16" xfId="22" applyFont="1" applyFill="1" applyBorder="1" applyAlignment="1">
      <alignment horizontal="center"/>
    </xf>
    <xf numFmtId="0" fontId="51" fillId="11" borderId="15" xfId="22" applyFont="1" applyFill="1" applyBorder="1" applyAlignment="1">
      <alignment horizontal="right"/>
    </xf>
    <xf numFmtId="0" fontId="51" fillId="11" borderId="0" xfId="22" applyFont="1" applyFill="1" applyBorder="1" applyAlignment="1">
      <alignment horizontal="right"/>
    </xf>
    <xf numFmtId="0" fontId="16" fillId="11" borderId="0" xfId="22" applyFont="1" applyFill="1" applyBorder="1" applyAlignment="1">
      <alignment horizontal="center"/>
    </xf>
    <xf numFmtId="0" fontId="51" fillId="10" borderId="15" xfId="22" applyFont="1" applyFill="1" applyBorder="1" applyAlignment="1">
      <alignment horizontal="right"/>
    </xf>
    <xf numFmtId="0" fontId="51" fillId="10" borderId="0" xfId="22" applyFont="1" applyFill="1" applyBorder="1" applyAlignment="1">
      <alignment horizontal="right"/>
    </xf>
    <xf numFmtId="0" fontId="16" fillId="10" borderId="0" xfId="22" applyFont="1" applyFill="1" applyBorder="1" applyAlignment="1">
      <alignment horizontal="center"/>
    </xf>
    <xf numFmtId="0" fontId="51" fillId="15" borderId="15" xfId="22" applyFont="1" applyFill="1" applyBorder="1" applyAlignment="1">
      <alignment horizontal="right"/>
    </xf>
    <xf numFmtId="0" fontId="51" fillId="15" borderId="0" xfId="22" applyFont="1" applyFill="1" applyBorder="1" applyAlignment="1">
      <alignment horizontal="right"/>
    </xf>
    <xf numFmtId="0" fontId="16" fillId="15" borderId="16" xfId="22" applyFont="1" applyFill="1" applyBorder="1" applyAlignment="1">
      <alignment horizontal="center"/>
    </xf>
    <xf numFmtId="0" fontId="51" fillId="13" borderId="15" xfId="22" applyFont="1" applyFill="1" applyBorder="1" applyAlignment="1">
      <alignment horizontal="right"/>
    </xf>
    <xf numFmtId="0" fontId="16" fillId="13" borderId="16" xfId="22" applyFont="1" applyFill="1" applyBorder="1" applyAlignment="1">
      <alignment horizontal="center"/>
    </xf>
    <xf numFmtId="0" fontId="51" fillId="8" borderId="15" xfId="22" applyFont="1" applyFill="1" applyBorder="1" applyAlignment="1">
      <alignment horizontal="right"/>
    </xf>
    <xf numFmtId="0" fontId="51" fillId="8" borderId="0" xfId="22" applyFont="1" applyFill="1" applyBorder="1" applyAlignment="1">
      <alignment horizontal="right"/>
    </xf>
    <xf numFmtId="0" fontId="16" fillId="8" borderId="0" xfId="22" applyFont="1" applyFill="1" applyBorder="1" applyAlignment="1">
      <alignment horizontal="center"/>
    </xf>
    <xf numFmtId="0" fontId="51" fillId="18" borderId="0" xfId="22" applyFont="1" applyFill="1" applyBorder="1" applyAlignment="1">
      <alignment horizontal="right"/>
    </xf>
    <xf numFmtId="0" fontId="16" fillId="18" borderId="16" xfId="22" applyFont="1" applyFill="1" applyBorder="1" applyAlignment="1">
      <alignment horizontal="center"/>
    </xf>
    <xf numFmtId="0" fontId="51" fillId="12" borderId="0" xfId="22" applyFont="1" applyFill="1" applyBorder="1" applyAlignment="1">
      <alignment horizontal="right"/>
    </xf>
    <xf numFmtId="0" fontId="16" fillId="12" borderId="16" xfId="22" applyFont="1" applyFill="1" applyBorder="1" applyAlignment="1">
      <alignment horizontal="center"/>
    </xf>
    <xf numFmtId="0" fontId="51" fillId="14" borderId="0" xfId="22" applyFont="1" applyFill="1" applyBorder="1" applyAlignment="1">
      <alignment horizontal="right"/>
    </xf>
    <xf numFmtId="0" fontId="16" fillId="14" borderId="16" xfId="22" applyFont="1" applyFill="1" applyBorder="1" applyAlignment="1">
      <alignment horizontal="center"/>
    </xf>
    <xf numFmtId="0" fontId="51" fillId="17" borderId="0" xfId="22" applyFont="1" applyFill="1" applyBorder="1" applyAlignment="1">
      <alignment horizontal="right"/>
    </xf>
    <xf numFmtId="0" fontId="16" fillId="27" borderId="15" xfId="22" applyFont="1" applyFill="1" applyBorder="1" applyAlignment="1"/>
    <xf numFmtId="0" fontId="16" fillId="4" borderId="15" xfId="22" applyFont="1" applyFill="1" applyBorder="1" applyAlignment="1"/>
    <xf numFmtId="0" fontId="16" fillId="4" borderId="0" xfId="22" applyFont="1" applyFill="1" applyBorder="1" applyAlignment="1"/>
    <xf numFmtId="0" fontId="16" fillId="28" borderId="15" xfId="22" applyFont="1" applyFill="1" applyBorder="1" applyAlignment="1"/>
    <xf numFmtId="0" fontId="16" fillId="10" borderId="0" xfId="22" applyFont="1" applyFill="1" applyBorder="1" applyAlignment="1"/>
    <xf numFmtId="0" fontId="16" fillId="23" borderId="15" xfId="22" applyFont="1" applyFill="1" applyBorder="1" applyAlignment="1"/>
    <xf numFmtId="0" fontId="16" fillId="23" borderId="0" xfId="22" applyFont="1" applyFill="1" applyBorder="1" applyAlignment="1"/>
    <xf numFmtId="0" fontId="7" fillId="37" borderId="15" xfId="22" applyFont="1" applyFill="1" applyBorder="1" applyAlignment="1"/>
    <xf numFmtId="0" fontId="7" fillId="37" borderId="0" xfId="22" applyFont="1" applyFill="1" applyBorder="1" applyAlignment="1"/>
    <xf numFmtId="0" fontId="7" fillId="30" borderId="15" xfId="22" applyFont="1" applyFill="1" applyBorder="1" applyAlignment="1"/>
    <xf numFmtId="0" fontId="7" fillId="30" borderId="0" xfId="22" applyFont="1" applyFill="1" applyBorder="1" applyAlignment="1"/>
    <xf numFmtId="0" fontId="7" fillId="29" borderId="0" xfId="22" applyFont="1" applyFill="1" applyBorder="1" applyAlignment="1"/>
    <xf numFmtId="0" fontId="7" fillId="4" borderId="15" xfId="22" applyFont="1" applyFill="1" applyBorder="1" applyAlignment="1"/>
    <xf numFmtId="0" fontId="7" fillId="4" borderId="0" xfId="22" applyFont="1" applyFill="1" applyBorder="1" applyAlignment="1"/>
    <xf numFmtId="0" fontId="7" fillId="17" borderId="15" xfId="22" applyFont="1" applyFill="1" applyBorder="1" applyAlignment="1">
      <alignment horizontal="right"/>
    </xf>
    <xf numFmtId="0" fontId="7" fillId="17" borderId="0" xfId="22" applyFont="1" applyFill="1" applyBorder="1" applyAlignment="1">
      <alignment horizontal="right"/>
    </xf>
    <xf numFmtId="164" fontId="16" fillId="25" borderId="0" xfId="2" applyNumberFormat="1" applyFont="1" applyFill="1" applyBorder="1" applyAlignment="1">
      <alignment horizontal="center" wrapText="1"/>
    </xf>
    <xf numFmtId="0" fontId="7" fillId="20" borderId="15" xfId="22" applyFont="1" applyFill="1" applyBorder="1" applyAlignment="1">
      <alignment horizontal="right"/>
    </xf>
    <xf numFmtId="0" fontId="7" fillId="20" borderId="0" xfId="22" applyFont="1" applyFill="1" applyBorder="1" applyAlignment="1">
      <alignment horizontal="right"/>
    </xf>
    <xf numFmtId="0" fontId="7" fillId="11" borderId="0" xfId="22" applyFont="1" applyFill="1" applyBorder="1" applyAlignment="1">
      <alignment horizontal="right"/>
    </xf>
    <xf numFmtId="0" fontId="7" fillId="12" borderId="15" xfId="22" applyFont="1" applyFill="1" applyBorder="1" applyAlignment="1">
      <alignment horizontal="right"/>
    </xf>
    <xf numFmtId="0" fontId="7" fillId="12" borderId="0" xfId="22" applyFont="1" applyFill="1" applyBorder="1" applyAlignment="1">
      <alignment horizontal="right"/>
    </xf>
    <xf numFmtId="0" fontId="7" fillId="25" borderId="15" xfId="22" applyFont="1" applyFill="1" applyBorder="1" applyAlignment="1">
      <alignment horizontal="right"/>
    </xf>
    <xf numFmtId="0" fontId="7" fillId="18" borderId="15" xfId="22" applyFont="1" applyFill="1" applyBorder="1" applyAlignment="1">
      <alignment horizontal="right"/>
    </xf>
    <xf numFmtId="0" fontId="7" fillId="18" borderId="0" xfId="22" applyFont="1" applyFill="1" applyBorder="1" applyAlignment="1">
      <alignment horizontal="right"/>
    </xf>
    <xf numFmtId="0" fontId="7" fillId="23" borderId="15" xfId="22" applyFont="1" applyFill="1" applyBorder="1" applyAlignment="1">
      <alignment horizontal="right"/>
    </xf>
    <xf numFmtId="0" fontId="7" fillId="23" borderId="0" xfId="22" applyFont="1" applyFill="1" applyBorder="1" applyAlignment="1">
      <alignment horizontal="right"/>
    </xf>
    <xf numFmtId="0" fontId="7" fillId="10" borderId="15" xfId="22" applyFont="1" applyFill="1" applyBorder="1" applyAlignment="1">
      <alignment horizontal="right"/>
    </xf>
    <xf numFmtId="0" fontId="7" fillId="10" borderId="0" xfId="22" applyFont="1" applyFill="1" applyBorder="1" applyAlignment="1">
      <alignment horizontal="right"/>
    </xf>
    <xf numFmtId="0" fontId="7" fillId="4" borderId="15" xfId="22" applyFont="1" applyFill="1" applyBorder="1" applyAlignment="1">
      <alignment horizontal="right"/>
    </xf>
    <xf numFmtId="0" fontId="7" fillId="4" borderId="0" xfId="22" applyFont="1" applyFill="1" applyBorder="1" applyAlignment="1">
      <alignment horizontal="right"/>
    </xf>
    <xf numFmtId="0" fontId="16" fillId="19" borderId="0" xfId="22" applyFont="1" applyFill="1" applyBorder="1" applyAlignment="1">
      <alignment horizontal="right"/>
    </xf>
    <xf numFmtId="0" fontId="16" fillId="11" borderId="15" xfId="22" applyFont="1" applyFill="1" applyBorder="1" applyAlignment="1">
      <alignment horizontal="right"/>
    </xf>
    <xf numFmtId="0" fontId="16" fillId="11" borderId="0" xfId="22" applyFont="1" applyFill="1" applyBorder="1" applyAlignment="1">
      <alignment horizontal="right"/>
    </xf>
    <xf numFmtId="0" fontId="16" fillId="10" borderId="15" xfId="22" applyFont="1" applyFill="1" applyBorder="1" applyAlignment="1">
      <alignment horizontal="right"/>
    </xf>
    <xf numFmtId="0" fontId="16" fillId="10" borderId="0" xfId="22" applyFont="1" applyFill="1" applyBorder="1" applyAlignment="1">
      <alignment horizontal="right"/>
    </xf>
    <xf numFmtId="0" fontId="16" fillId="15" borderId="15" xfId="22" applyFont="1" applyFill="1" applyBorder="1" applyAlignment="1">
      <alignment horizontal="right"/>
    </xf>
    <xf numFmtId="0" fontId="16" fillId="15" borderId="0" xfId="22" applyFont="1" applyFill="1" applyBorder="1" applyAlignment="1">
      <alignment horizontal="right"/>
    </xf>
    <xf numFmtId="0" fontId="16" fillId="8" borderId="15" xfId="22" applyFont="1" applyFill="1" applyBorder="1" applyAlignment="1">
      <alignment horizontal="right"/>
    </xf>
    <xf numFmtId="0" fontId="16" fillId="8" borderId="0" xfId="22" applyFont="1" applyFill="1" applyBorder="1" applyAlignment="1">
      <alignment horizontal="right"/>
    </xf>
    <xf numFmtId="0" fontId="16" fillId="18" borderId="0" xfId="22" applyFont="1" applyFill="1" applyBorder="1" applyAlignment="1">
      <alignment horizontal="right"/>
    </xf>
    <xf numFmtId="0" fontId="16" fillId="12" borderId="0" xfId="22" applyFont="1" applyFill="1" applyBorder="1" applyAlignment="1">
      <alignment horizontal="right"/>
    </xf>
    <xf numFmtId="0" fontId="16" fillId="14" borderId="0" xfId="22" applyFont="1" applyFill="1" applyBorder="1" applyAlignment="1">
      <alignment horizontal="right"/>
    </xf>
    <xf numFmtId="1" fontId="16" fillId="32" borderId="0" xfId="22" applyNumberFormat="1" applyFont="1" applyFill="1" applyBorder="1" applyAlignment="1"/>
    <xf numFmtId="1" fontId="51" fillId="32" borderId="0" xfId="22" applyNumberFormat="1" applyFont="1" applyFill="1" applyBorder="1" applyAlignment="1"/>
    <xf numFmtId="1" fontId="16" fillId="32" borderId="0" xfId="22" applyNumberFormat="1" applyFont="1" applyFill="1" applyBorder="1" applyAlignment="1">
      <alignment horizontal="center"/>
    </xf>
    <xf numFmtId="1" fontId="16" fillId="40" borderId="15" xfId="22" applyNumberFormat="1" applyFont="1" applyFill="1" applyBorder="1" applyAlignment="1"/>
    <xf numFmtId="1" fontId="51" fillId="40" borderId="0" xfId="22" applyNumberFormat="1" applyFont="1" applyFill="1" applyBorder="1" applyAlignment="1"/>
    <xf numFmtId="1" fontId="16" fillId="40" borderId="16" xfId="22" applyNumberFormat="1" applyFont="1" applyFill="1" applyBorder="1" applyAlignment="1">
      <alignment horizontal="center"/>
    </xf>
    <xf numFmtId="1" fontId="16" fillId="27" borderId="0" xfId="22" applyNumberFormat="1" applyFont="1" applyFill="1" applyBorder="1" applyAlignment="1"/>
    <xf numFmtId="1" fontId="51" fillId="27" borderId="0" xfId="22" applyNumberFormat="1" applyFont="1" applyFill="1" applyBorder="1" applyAlignment="1"/>
    <xf numFmtId="1" fontId="16" fillId="27" borderId="0" xfId="22" applyNumberFormat="1" applyFont="1" applyFill="1" applyBorder="1" applyAlignment="1">
      <alignment horizontal="center"/>
    </xf>
    <xf numFmtId="1" fontId="16" fillId="26" borderId="15" xfId="22" applyNumberFormat="1" applyFont="1" applyFill="1" applyBorder="1" applyAlignment="1"/>
    <xf numFmtId="1" fontId="51" fillId="26" borderId="0" xfId="22" applyNumberFormat="1" applyFont="1" applyFill="1" applyBorder="1" applyAlignment="1"/>
    <xf numFmtId="1" fontId="16" fillId="26" borderId="16" xfId="22" applyNumberFormat="1" applyFont="1" applyFill="1" applyBorder="1" applyAlignment="1">
      <alignment horizontal="center"/>
    </xf>
    <xf numFmtId="1" fontId="16" fillId="51" borderId="15" xfId="22" applyNumberFormat="1" applyFont="1" applyFill="1" applyBorder="1" applyAlignment="1"/>
    <xf numFmtId="1" fontId="51" fillId="51" borderId="0" xfId="22" applyNumberFormat="1" applyFont="1" applyFill="1" applyBorder="1" applyAlignment="1"/>
    <xf numFmtId="1" fontId="16" fillId="51" borderId="16" xfId="22" applyNumberFormat="1" applyFont="1" applyFill="1" applyBorder="1" applyAlignment="1">
      <alignment horizontal="center"/>
    </xf>
    <xf numFmtId="1" fontId="16" fillId="52" borderId="15" xfId="22" applyNumberFormat="1" applyFont="1" applyFill="1" applyBorder="1" applyAlignment="1"/>
    <xf numFmtId="1" fontId="51" fillId="52" borderId="0" xfId="22" applyNumberFormat="1" applyFont="1" applyFill="1" applyBorder="1" applyAlignment="1"/>
    <xf numFmtId="1" fontId="16" fillId="52" borderId="16" xfId="22" applyNumberFormat="1" applyFont="1" applyFill="1" applyBorder="1" applyAlignment="1">
      <alignment horizontal="center"/>
    </xf>
    <xf numFmtId="1" fontId="16" fillId="31" borderId="15" xfId="22" applyNumberFormat="1" applyFont="1" applyFill="1" applyBorder="1" applyAlignment="1"/>
    <xf numFmtId="1" fontId="51" fillId="31" borderId="0" xfId="22" applyNumberFormat="1" applyFont="1" applyFill="1" applyBorder="1" applyAlignment="1"/>
    <xf numFmtId="1" fontId="16" fillId="31" borderId="16" xfId="22" applyNumberFormat="1" applyFont="1" applyFill="1" applyBorder="1" applyAlignment="1">
      <alignment horizontal="center"/>
    </xf>
    <xf numFmtId="1" fontId="16" fillId="30" borderId="15" xfId="22" applyNumberFormat="1" applyFont="1" applyFill="1" applyBorder="1" applyAlignment="1"/>
    <xf numFmtId="1" fontId="51" fillId="30" borderId="0" xfId="22" applyNumberFormat="1" applyFont="1" applyFill="1" applyBorder="1" applyAlignment="1"/>
    <xf numFmtId="1" fontId="16" fillId="30" borderId="16" xfId="22" applyNumberFormat="1" applyFont="1" applyFill="1" applyBorder="1" applyAlignment="1">
      <alignment horizontal="center"/>
    </xf>
    <xf numFmtId="1" fontId="16" fillId="39" borderId="15" xfId="22" applyNumberFormat="1" applyFont="1" applyFill="1" applyBorder="1" applyAlignment="1"/>
    <xf numFmtId="1" fontId="51" fillId="39" borderId="0" xfId="22" applyNumberFormat="1" applyFont="1" applyFill="1" applyBorder="1" applyAlignment="1"/>
    <xf numFmtId="1" fontId="16" fillId="39" borderId="16" xfId="22" applyNumberFormat="1" applyFont="1" applyFill="1" applyBorder="1" applyAlignment="1">
      <alignment horizontal="center"/>
    </xf>
    <xf numFmtId="1" fontId="16" fillId="32" borderId="15" xfId="22" applyNumberFormat="1" applyFont="1" applyFill="1" applyBorder="1" applyAlignment="1"/>
    <xf numFmtId="1" fontId="16" fillId="32" borderId="16" xfId="22" applyNumberFormat="1" applyFont="1" applyFill="1" applyBorder="1" applyAlignment="1">
      <alignment horizontal="center"/>
    </xf>
    <xf numFmtId="1" fontId="16" fillId="38" borderId="15" xfId="22" applyNumberFormat="1" applyFont="1" applyFill="1" applyBorder="1" applyAlignment="1"/>
    <xf numFmtId="1" fontId="51" fillId="38" borderId="0" xfId="22" applyNumberFormat="1" applyFont="1" applyFill="1" applyBorder="1" applyAlignment="1"/>
    <xf numFmtId="1" fontId="16" fillId="38" borderId="16" xfId="22" applyNumberFormat="1" applyFont="1" applyFill="1" applyBorder="1" applyAlignment="1">
      <alignment horizontal="center"/>
    </xf>
    <xf numFmtId="1" fontId="16" fillId="29" borderId="15" xfId="22" applyNumberFormat="1" applyFont="1" applyFill="1" applyBorder="1" applyAlignment="1"/>
    <xf numFmtId="1" fontId="51" fillId="29" borderId="0" xfId="22" applyNumberFormat="1" applyFont="1" applyFill="1" applyBorder="1" applyAlignment="1"/>
    <xf numFmtId="1" fontId="16" fillId="29" borderId="16" xfId="22" applyNumberFormat="1" applyFont="1" applyFill="1" applyBorder="1" applyAlignment="1">
      <alignment horizontal="center"/>
    </xf>
    <xf numFmtId="1" fontId="16" fillId="44" borderId="15" xfId="22" applyNumberFormat="1" applyFont="1" applyFill="1" applyBorder="1" applyAlignment="1"/>
    <xf numFmtId="1" fontId="51" fillId="44" borderId="0" xfId="22" applyNumberFormat="1" applyFont="1" applyFill="1" applyBorder="1" applyAlignment="1"/>
    <xf numFmtId="1" fontId="16" fillId="44" borderId="16" xfId="22" applyNumberFormat="1" applyFont="1" applyFill="1" applyBorder="1" applyAlignment="1">
      <alignment horizontal="center"/>
    </xf>
    <xf numFmtId="1" fontId="16" fillId="45" borderId="15" xfId="22" applyNumberFormat="1" applyFont="1" applyFill="1" applyBorder="1" applyAlignment="1"/>
    <xf numFmtId="1" fontId="51" fillId="45" borderId="0" xfId="22" applyNumberFormat="1" applyFont="1" applyFill="1" applyBorder="1" applyAlignment="1"/>
    <xf numFmtId="1" fontId="16" fillId="45" borderId="16" xfId="22" applyNumberFormat="1" applyFont="1" applyFill="1" applyBorder="1" applyAlignment="1">
      <alignment horizontal="center"/>
    </xf>
    <xf numFmtId="1" fontId="16" fillId="46" borderId="15" xfId="22" applyNumberFormat="1" applyFont="1" applyFill="1" applyBorder="1" applyAlignment="1"/>
    <xf numFmtId="1" fontId="51" fillId="46" borderId="0" xfId="22" applyNumberFormat="1" applyFont="1" applyFill="1" applyBorder="1" applyAlignment="1"/>
    <xf numFmtId="1" fontId="16" fillId="46" borderId="16" xfId="22" applyNumberFormat="1" applyFont="1" applyFill="1" applyBorder="1" applyAlignment="1">
      <alignment horizontal="center"/>
    </xf>
    <xf numFmtId="1" fontId="16" fillId="53" borderId="15" xfId="22" applyNumberFormat="1" applyFont="1" applyFill="1" applyBorder="1" applyAlignment="1"/>
    <xf numFmtId="1" fontId="51" fillId="53" borderId="0" xfId="22" applyNumberFormat="1" applyFont="1" applyFill="1" applyBorder="1" applyAlignment="1"/>
    <xf numFmtId="1" fontId="16" fillId="53" borderId="16" xfId="22" applyNumberFormat="1" applyFont="1" applyFill="1" applyBorder="1" applyAlignment="1">
      <alignment horizontal="center"/>
    </xf>
    <xf numFmtId="1" fontId="16" fillId="54" borderId="15" xfId="22" applyNumberFormat="1" applyFont="1" applyFill="1" applyBorder="1" applyAlignment="1"/>
    <xf numFmtId="1" fontId="51" fillId="54" borderId="0" xfId="22" applyNumberFormat="1" applyFont="1" applyFill="1" applyBorder="1" applyAlignment="1"/>
    <xf numFmtId="1" fontId="16" fillId="54" borderId="16" xfId="22" applyNumberFormat="1" applyFont="1" applyFill="1" applyBorder="1" applyAlignment="1">
      <alignment horizontal="center"/>
    </xf>
    <xf numFmtId="1" fontId="16" fillId="35" borderId="15" xfId="22" applyNumberFormat="1" applyFont="1" applyFill="1" applyBorder="1" applyAlignment="1"/>
    <xf numFmtId="1" fontId="51" fillId="35" borderId="0" xfId="22" applyNumberFormat="1" applyFont="1" applyFill="1" applyBorder="1" applyAlignment="1"/>
    <xf numFmtId="1" fontId="16" fillId="35" borderId="16" xfId="22" applyNumberFormat="1" applyFont="1" applyFill="1" applyBorder="1" applyAlignment="1">
      <alignment horizontal="center"/>
    </xf>
    <xf numFmtId="1" fontId="16" fillId="27" borderId="15" xfId="22" applyNumberFormat="1" applyFont="1" applyFill="1" applyBorder="1" applyAlignment="1"/>
    <xf numFmtId="1" fontId="16" fillId="27" borderId="16" xfId="22" applyNumberFormat="1" applyFont="1" applyFill="1" applyBorder="1" applyAlignment="1">
      <alignment horizontal="center"/>
    </xf>
    <xf numFmtId="1" fontId="16" fillId="4" borderId="15" xfId="22" applyNumberFormat="1" applyFont="1" applyFill="1" applyBorder="1" applyAlignment="1"/>
    <xf numFmtId="1" fontId="16" fillId="4" borderId="16" xfId="22" applyNumberFormat="1" applyFont="1" applyFill="1" applyBorder="1" applyAlignment="1">
      <alignment horizontal="center"/>
    </xf>
    <xf numFmtId="1" fontId="16" fillId="29" borderId="0" xfId="22" applyNumberFormat="1" applyFont="1" applyFill="1" applyBorder="1" applyAlignment="1"/>
    <xf numFmtId="1" fontId="16" fillId="29" borderId="0" xfId="22" applyNumberFormat="1" applyFont="1" applyFill="1" applyBorder="1" applyAlignment="1">
      <alignment horizontal="center"/>
    </xf>
    <xf numFmtId="1" fontId="16" fillId="28" borderId="15" xfId="22" applyNumberFormat="1" applyFont="1" applyFill="1" applyBorder="1" applyAlignment="1"/>
    <xf numFmtId="1" fontId="16" fillId="28" borderId="0" xfId="2" applyNumberFormat="1" applyFont="1" applyFill="1" applyBorder="1" applyAlignment="1"/>
    <xf numFmtId="1" fontId="16" fillId="28" borderId="16" xfId="22" applyNumberFormat="1" applyFont="1" applyFill="1" applyBorder="1" applyAlignment="1">
      <alignment horizontal="center"/>
    </xf>
    <xf numFmtId="1" fontId="16" fillId="10" borderId="0" xfId="22" applyNumberFormat="1" applyFont="1" applyFill="1" applyBorder="1" applyAlignment="1"/>
    <xf numFmtId="1" fontId="16" fillId="10" borderId="16" xfId="22" applyNumberFormat="1" applyFont="1" applyFill="1" applyBorder="1" applyAlignment="1">
      <alignment horizontal="center"/>
    </xf>
    <xf numFmtId="1" fontId="16" fillId="23" borderId="15" xfId="22" applyNumberFormat="1" applyFont="1" applyFill="1" applyBorder="1" applyAlignment="1"/>
    <xf numFmtId="1" fontId="16" fillId="23" borderId="0" xfId="22" applyNumberFormat="1" applyFont="1" applyFill="1" applyBorder="1" applyAlignment="1">
      <alignment horizontal="center"/>
    </xf>
    <xf numFmtId="1" fontId="16" fillId="21" borderId="15" xfId="22" applyNumberFormat="1" applyFont="1" applyFill="1" applyBorder="1" applyAlignment="1"/>
    <xf numFmtId="1" fontId="16" fillId="21" borderId="16" xfId="22" applyNumberFormat="1" applyFont="1" applyFill="1" applyBorder="1" applyAlignment="1">
      <alignment horizontal="center"/>
    </xf>
    <xf numFmtId="1" fontId="7" fillId="37" borderId="15" xfId="22" applyNumberFormat="1" applyFont="1" applyFill="1" applyBorder="1" applyAlignment="1"/>
    <xf numFmtId="1" fontId="7" fillId="37" borderId="0" xfId="22" applyNumberFormat="1" applyFont="1" applyFill="1" applyBorder="1" applyAlignment="1"/>
    <xf numFmtId="1" fontId="7" fillId="37" borderId="16" xfId="22" applyNumberFormat="1" applyFont="1" applyFill="1" applyBorder="1" applyAlignment="1">
      <alignment horizontal="center"/>
    </xf>
    <xf numFmtId="1" fontId="7" fillId="30" borderId="15" xfId="22" applyNumberFormat="1" applyFont="1" applyFill="1" applyBorder="1" applyAlignment="1"/>
    <xf numFmtId="1" fontId="7" fillId="30" borderId="0" xfId="22" applyNumberFormat="1" applyFont="1" applyFill="1" applyBorder="1" applyAlignment="1"/>
    <xf numFmtId="1" fontId="7" fillId="30" borderId="16" xfId="22" applyNumberFormat="1" applyFont="1" applyFill="1" applyBorder="1" applyAlignment="1">
      <alignment horizontal="center"/>
    </xf>
    <xf numFmtId="1" fontId="7" fillId="29" borderId="0" xfId="22" applyNumberFormat="1" applyFont="1" applyFill="1" applyBorder="1" applyAlignment="1"/>
    <xf numFmtId="1" fontId="7" fillId="29" borderId="16" xfId="22" applyNumberFormat="1" applyFont="1" applyFill="1" applyBorder="1" applyAlignment="1">
      <alignment horizontal="center"/>
    </xf>
    <xf numFmtId="1" fontId="7" fillId="4" borderId="15" xfId="22" applyNumberFormat="1" applyFont="1" applyFill="1" applyBorder="1" applyAlignment="1"/>
    <xf numFmtId="1" fontId="7" fillId="4" borderId="16" xfId="22" applyNumberFormat="1" applyFont="1" applyFill="1" applyBorder="1" applyAlignment="1">
      <alignment horizontal="center"/>
    </xf>
    <xf numFmtId="1" fontId="7" fillId="17" borderId="15" xfId="22" applyNumberFormat="1" applyFont="1" applyFill="1" applyBorder="1" applyAlignment="1">
      <alignment horizontal="right"/>
    </xf>
    <xf numFmtId="1" fontId="7" fillId="17" borderId="0" xfId="22" applyNumberFormat="1" applyFont="1" applyFill="1" applyBorder="1" applyAlignment="1">
      <alignment horizontal="center"/>
    </xf>
    <xf numFmtId="1" fontId="21" fillId="47" borderId="0" xfId="2" applyNumberFormat="1" applyFont="1" applyFill="1" applyBorder="1" applyAlignment="1">
      <alignment horizontal="right"/>
    </xf>
    <xf numFmtId="1" fontId="7" fillId="47" borderId="16" xfId="2" applyNumberFormat="1" applyFont="1" applyFill="1" applyBorder="1" applyAlignment="1">
      <alignment horizontal="right"/>
    </xf>
    <xf numFmtId="1" fontId="21" fillId="27" borderId="15" xfId="2" applyNumberFormat="1" applyFont="1" applyFill="1" applyBorder="1" applyAlignment="1">
      <alignment horizontal="right"/>
    </xf>
    <xf numFmtId="1" fontId="4" fillId="27" borderId="0" xfId="2" applyNumberFormat="1" applyFont="1" applyFill="1" applyBorder="1" applyAlignment="1">
      <alignment horizontal="right"/>
    </xf>
    <xf numFmtId="1" fontId="7" fillId="27" borderId="16" xfId="2" applyNumberFormat="1" applyFont="1" applyFill="1" applyBorder="1" applyAlignment="1">
      <alignment horizontal="right"/>
    </xf>
    <xf numFmtId="1" fontId="21" fillId="50" borderId="15" xfId="2" applyNumberFormat="1" applyFont="1" applyFill="1" applyBorder="1" applyAlignment="1">
      <alignment horizontal="right"/>
    </xf>
    <xf numFmtId="1" fontId="21" fillId="50" borderId="0" xfId="2" applyNumberFormat="1" applyFont="1" applyFill="1" applyBorder="1" applyAlignment="1">
      <alignment horizontal="right"/>
    </xf>
    <xf numFmtId="1" fontId="21" fillId="29" borderId="15" xfId="2" applyNumberFormat="1" applyFont="1" applyFill="1" applyBorder="1" applyAlignment="1">
      <alignment horizontal="right"/>
    </xf>
    <xf numFmtId="1" fontId="21" fillId="29" borderId="0" xfId="2" applyNumberFormat="1" applyFont="1" applyFill="1" applyBorder="1" applyAlignment="1">
      <alignment horizontal="right"/>
    </xf>
    <xf numFmtId="1" fontId="21" fillId="25" borderId="15" xfId="2" applyNumberFormat="1" applyFont="1" applyFill="1" applyBorder="1" applyAlignment="1">
      <alignment horizontal="right"/>
    </xf>
    <xf numFmtId="1" fontId="7" fillId="20" borderId="15" xfId="22" applyNumberFormat="1" applyFont="1" applyFill="1" applyBorder="1" applyAlignment="1">
      <alignment horizontal="right"/>
    </xf>
    <xf numFmtId="1" fontId="7" fillId="20" borderId="16" xfId="22" applyNumberFormat="1" applyFont="1" applyFill="1" applyBorder="1" applyAlignment="1">
      <alignment horizontal="center"/>
    </xf>
    <xf numFmtId="1" fontId="7" fillId="11" borderId="0" xfId="22" applyNumberFormat="1" applyFont="1" applyFill="1" applyBorder="1" applyAlignment="1">
      <alignment horizontal="right"/>
    </xf>
    <xf numFmtId="1" fontId="7" fillId="11" borderId="0" xfId="22" applyNumberFormat="1" applyFont="1" applyFill="1" applyBorder="1" applyAlignment="1">
      <alignment horizontal="center"/>
    </xf>
    <xf numFmtId="1" fontId="7" fillId="12" borderId="15" xfId="22" applyNumberFormat="1" applyFont="1" applyFill="1" applyBorder="1" applyAlignment="1">
      <alignment horizontal="right"/>
    </xf>
    <xf numFmtId="1" fontId="7" fillId="12" borderId="16" xfId="22" applyNumberFormat="1" applyFont="1" applyFill="1" applyBorder="1" applyAlignment="1">
      <alignment horizontal="center"/>
    </xf>
    <xf numFmtId="1" fontId="7" fillId="25" borderId="15" xfId="22" applyNumberFormat="1" applyFont="1" applyFill="1" applyBorder="1" applyAlignment="1">
      <alignment horizontal="right"/>
    </xf>
    <xf numFmtId="1" fontId="7" fillId="25" borderId="16" xfId="22" applyNumberFormat="1" applyFont="1" applyFill="1" applyBorder="1" applyAlignment="1">
      <alignment horizontal="center"/>
    </xf>
    <xf numFmtId="1" fontId="7" fillId="18" borderId="15" xfId="22" applyNumberFormat="1" applyFont="1" applyFill="1" applyBorder="1" applyAlignment="1">
      <alignment horizontal="right"/>
    </xf>
    <xf numFmtId="1" fontId="7" fillId="18" borderId="16" xfId="22" applyNumberFormat="1" applyFont="1" applyFill="1" applyBorder="1" applyAlignment="1">
      <alignment horizontal="center"/>
    </xf>
    <xf numFmtId="1" fontId="7" fillId="23" borderId="15" xfId="22" applyNumberFormat="1" applyFont="1" applyFill="1" applyBorder="1" applyAlignment="1">
      <alignment horizontal="right"/>
    </xf>
    <xf numFmtId="1" fontId="7" fillId="23" borderId="16" xfId="22" applyNumberFormat="1" applyFont="1" applyFill="1" applyBorder="1" applyAlignment="1">
      <alignment horizontal="center"/>
    </xf>
    <xf numFmtId="1" fontId="7" fillId="10" borderId="15" xfId="22" applyNumberFormat="1" applyFont="1" applyFill="1" applyBorder="1" applyAlignment="1">
      <alignment horizontal="right"/>
    </xf>
    <xf numFmtId="1" fontId="7" fillId="10" borderId="16" xfId="22" applyNumberFormat="1" applyFont="1" applyFill="1" applyBorder="1" applyAlignment="1">
      <alignment horizontal="center"/>
    </xf>
    <xf numFmtId="1" fontId="7" fillId="4" borderId="15" xfId="22" applyNumberFormat="1" applyFont="1" applyFill="1" applyBorder="1" applyAlignment="1">
      <alignment horizontal="right"/>
    </xf>
    <xf numFmtId="1" fontId="16" fillId="19" borderId="0" xfId="22" applyNumberFormat="1" applyFont="1" applyFill="1" applyBorder="1" applyAlignment="1">
      <alignment horizontal="right"/>
    </xf>
    <xf numFmtId="1" fontId="16" fillId="19" borderId="16" xfId="22" applyNumberFormat="1" applyFont="1" applyFill="1" applyBorder="1" applyAlignment="1">
      <alignment horizontal="center"/>
    </xf>
    <xf numFmtId="1" fontId="16" fillId="11" borderId="15" xfId="22" applyNumberFormat="1" applyFont="1" applyFill="1" applyBorder="1" applyAlignment="1">
      <alignment horizontal="right"/>
    </xf>
    <xf numFmtId="1" fontId="16" fillId="11" borderId="0" xfId="22" applyNumberFormat="1" applyFont="1" applyFill="1" applyBorder="1" applyAlignment="1">
      <alignment horizontal="center"/>
    </xf>
    <xf numFmtId="1" fontId="16" fillId="10" borderId="15" xfId="22" applyNumberFormat="1" applyFont="1" applyFill="1" applyBorder="1" applyAlignment="1">
      <alignment horizontal="right"/>
    </xf>
    <xf numFmtId="1" fontId="16" fillId="10" borderId="0" xfId="22" applyNumberFormat="1" applyFont="1" applyFill="1" applyBorder="1" applyAlignment="1">
      <alignment horizontal="center"/>
    </xf>
    <xf numFmtId="1" fontId="16" fillId="15" borderId="15" xfId="22" applyNumberFormat="1" applyFont="1" applyFill="1" applyBorder="1" applyAlignment="1">
      <alignment horizontal="right"/>
    </xf>
    <xf numFmtId="1" fontId="16" fillId="15" borderId="0" xfId="22" applyNumberFormat="1" applyFont="1" applyFill="1" applyBorder="1" applyAlignment="1">
      <alignment horizontal="right"/>
    </xf>
    <xf numFmtId="1" fontId="16" fillId="15" borderId="16" xfId="22" applyNumberFormat="1" applyFont="1" applyFill="1" applyBorder="1" applyAlignment="1">
      <alignment horizontal="center"/>
    </xf>
    <xf numFmtId="1" fontId="16" fillId="13" borderId="16" xfId="22" applyNumberFormat="1" applyFont="1" applyFill="1" applyBorder="1" applyAlignment="1">
      <alignment horizontal="center"/>
    </xf>
    <xf numFmtId="1" fontId="16" fillId="8" borderId="15" xfId="22" applyNumberFormat="1" applyFont="1" applyFill="1" applyBorder="1" applyAlignment="1">
      <alignment horizontal="right"/>
    </xf>
    <xf numFmtId="1" fontId="16" fillId="8" borderId="0" xfId="22" applyNumberFormat="1" applyFont="1" applyFill="1" applyBorder="1" applyAlignment="1">
      <alignment horizontal="center"/>
    </xf>
    <xf numFmtId="1" fontId="51" fillId="18" borderId="0" xfId="22" applyNumberFormat="1" applyFont="1" applyFill="1" applyBorder="1" applyAlignment="1">
      <alignment horizontal="right"/>
    </xf>
    <xf numFmtId="1" fontId="16" fillId="18" borderId="16" xfId="22" applyNumberFormat="1" applyFont="1" applyFill="1" applyBorder="1" applyAlignment="1">
      <alignment horizontal="center"/>
    </xf>
    <xf numFmtId="1" fontId="51" fillId="12" borderId="0" xfId="22" applyNumberFormat="1" applyFont="1" applyFill="1" applyBorder="1" applyAlignment="1">
      <alignment horizontal="right"/>
    </xf>
    <xf numFmtId="1" fontId="16" fillId="12" borderId="16" xfId="22" applyNumberFormat="1" applyFont="1" applyFill="1" applyBorder="1" applyAlignment="1">
      <alignment horizontal="center"/>
    </xf>
    <xf numFmtId="1" fontId="51" fillId="14" borderId="0" xfId="22" applyNumberFormat="1" applyFont="1" applyFill="1" applyBorder="1" applyAlignment="1">
      <alignment horizontal="right"/>
    </xf>
    <xf numFmtId="1" fontId="16" fillId="14" borderId="16" xfId="22" applyNumberFormat="1" applyFont="1" applyFill="1" applyBorder="1" applyAlignment="1">
      <alignment horizontal="center"/>
    </xf>
    <xf numFmtId="1" fontId="16" fillId="17" borderId="15" xfId="22" applyNumberFormat="1" applyFont="1" applyFill="1" applyBorder="1" applyAlignment="1">
      <alignment horizontal="right"/>
    </xf>
    <xf numFmtId="1" fontId="51" fillId="17" borderId="0" xfId="22" applyNumberFormat="1" applyFont="1" applyFill="1" applyBorder="1" applyAlignment="1">
      <alignment horizontal="right"/>
    </xf>
    <xf numFmtId="0" fontId="16" fillId="32" borderId="8" xfId="22" applyFont="1" applyFill="1" applyBorder="1" applyAlignment="1"/>
    <xf numFmtId="0" fontId="16" fillId="32" borderId="8" xfId="22" applyFont="1" applyFill="1" applyBorder="1" applyAlignment="1">
      <alignment horizontal="center"/>
    </xf>
    <xf numFmtId="0" fontId="16" fillId="40" borderId="31" xfId="22" applyFont="1" applyFill="1" applyBorder="1" applyAlignment="1"/>
    <xf numFmtId="0" fontId="16" fillId="40" borderId="8" xfId="22" applyFont="1" applyFill="1" applyBorder="1" applyAlignment="1"/>
    <xf numFmtId="0" fontId="16" fillId="40" borderId="7" xfId="22" applyFont="1" applyFill="1" applyBorder="1" applyAlignment="1">
      <alignment horizontal="center"/>
    </xf>
    <xf numFmtId="0" fontId="16" fillId="27" borderId="8" xfId="22" applyFont="1" applyFill="1" applyBorder="1" applyAlignment="1"/>
    <xf numFmtId="0" fontId="16" fillId="27" borderId="8" xfId="22" applyFont="1" applyFill="1" applyBorder="1" applyAlignment="1">
      <alignment horizontal="center"/>
    </xf>
    <xf numFmtId="0" fontId="16" fillId="26" borderId="31" xfId="22" applyFont="1" applyFill="1" applyBorder="1" applyAlignment="1"/>
    <xf numFmtId="0" fontId="16" fillId="26" borderId="8" xfId="22" applyFont="1" applyFill="1" applyBorder="1" applyAlignment="1"/>
    <xf numFmtId="0" fontId="16" fillId="26" borderId="7" xfId="22" applyFont="1" applyFill="1" applyBorder="1" applyAlignment="1">
      <alignment horizontal="center"/>
    </xf>
    <xf numFmtId="0" fontId="16" fillId="51" borderId="31" xfId="22" applyFont="1" applyFill="1" applyBorder="1" applyAlignment="1"/>
    <xf numFmtId="0" fontId="16" fillId="51" borderId="8" xfId="22" applyFont="1" applyFill="1" applyBorder="1" applyAlignment="1"/>
    <xf numFmtId="0" fontId="16" fillId="51" borderId="7" xfId="22" applyFont="1" applyFill="1" applyBorder="1" applyAlignment="1">
      <alignment horizontal="center"/>
    </xf>
    <xf numFmtId="0" fontId="16" fillId="52" borderId="31" xfId="22" applyFont="1" applyFill="1" applyBorder="1" applyAlignment="1"/>
    <xf numFmtId="0" fontId="16" fillId="52" borderId="8" xfId="22" applyFont="1" applyFill="1" applyBorder="1" applyAlignment="1"/>
    <xf numFmtId="0" fontId="16" fillId="52" borderId="7" xfId="22" applyFont="1" applyFill="1" applyBorder="1" applyAlignment="1">
      <alignment horizontal="center"/>
    </xf>
    <xf numFmtId="0" fontId="16" fillId="31" borderId="31" xfId="22" applyFont="1" applyFill="1" applyBorder="1" applyAlignment="1"/>
    <xf numFmtId="0" fontId="16" fillId="31" borderId="8" xfId="22" applyFont="1" applyFill="1" applyBorder="1" applyAlignment="1"/>
    <xf numFmtId="0" fontId="16" fillId="31" borderId="7" xfId="22" applyFont="1" applyFill="1" applyBorder="1" applyAlignment="1">
      <alignment horizontal="center"/>
    </xf>
    <xf numFmtId="0" fontId="16" fillId="30" borderId="31" xfId="22" applyFont="1" applyFill="1" applyBorder="1" applyAlignment="1"/>
    <xf numFmtId="0" fontId="16" fillId="30" borderId="8" xfId="22" applyFont="1" applyFill="1" applyBorder="1" applyAlignment="1"/>
    <xf numFmtId="0" fontId="16" fillId="30" borderId="7" xfId="22" applyFont="1" applyFill="1" applyBorder="1" applyAlignment="1">
      <alignment horizontal="center"/>
    </xf>
    <xf numFmtId="0" fontId="16" fillId="39" borderId="31" xfId="22" applyFont="1" applyFill="1" applyBorder="1" applyAlignment="1"/>
    <xf numFmtId="0" fontId="16" fillId="39" borderId="8" xfId="22" applyFont="1" applyFill="1" applyBorder="1" applyAlignment="1"/>
    <xf numFmtId="0" fontId="16" fillId="39" borderId="7" xfId="22" applyFont="1" applyFill="1" applyBorder="1" applyAlignment="1">
      <alignment horizontal="center"/>
    </xf>
    <xf numFmtId="0" fontId="16" fillId="32" borderId="31" xfId="22" applyFont="1" applyFill="1" applyBorder="1" applyAlignment="1"/>
    <xf numFmtId="0" fontId="16" fillId="32" borderId="7" xfId="22" applyFont="1" applyFill="1" applyBorder="1" applyAlignment="1">
      <alignment horizontal="center"/>
    </xf>
    <xf numFmtId="0" fontId="16" fillId="38" borderId="31" xfId="22" applyFont="1" applyFill="1" applyBorder="1" applyAlignment="1"/>
    <xf numFmtId="0" fontId="16" fillId="38" borderId="8" xfId="22" applyFont="1" applyFill="1" applyBorder="1" applyAlignment="1"/>
    <xf numFmtId="0" fontId="16" fillId="38" borderId="7" xfId="22" applyFont="1" applyFill="1" applyBorder="1" applyAlignment="1">
      <alignment horizontal="center"/>
    </xf>
    <xf numFmtId="0" fontId="16" fillId="29" borderId="31" xfId="22" applyFont="1" applyFill="1" applyBorder="1" applyAlignment="1"/>
    <xf numFmtId="0" fontId="16" fillId="29" borderId="8" xfId="22" applyFont="1" applyFill="1" applyBorder="1" applyAlignment="1"/>
    <xf numFmtId="0" fontId="16" fillId="29" borderId="7" xfId="22" applyFont="1" applyFill="1" applyBorder="1" applyAlignment="1">
      <alignment horizontal="center"/>
    </xf>
    <xf numFmtId="0" fontId="16" fillId="44" borderId="31" xfId="22" applyFont="1" applyFill="1" applyBorder="1" applyAlignment="1"/>
    <xf numFmtId="0" fontId="16" fillId="44" borderId="8" xfId="22" applyFont="1" applyFill="1" applyBorder="1" applyAlignment="1"/>
    <xf numFmtId="0" fontId="16" fillId="44" borderId="7" xfId="22" applyFont="1" applyFill="1" applyBorder="1" applyAlignment="1">
      <alignment horizontal="center"/>
    </xf>
    <xf numFmtId="0" fontId="16" fillId="45" borderId="31" xfId="22" applyFont="1" applyFill="1" applyBorder="1" applyAlignment="1"/>
    <xf numFmtId="0" fontId="16" fillId="45" borderId="8" xfId="22" applyFont="1" applyFill="1" applyBorder="1" applyAlignment="1"/>
    <xf numFmtId="0" fontId="16" fillId="45" borderId="7" xfId="22" applyFont="1" applyFill="1" applyBorder="1" applyAlignment="1">
      <alignment horizontal="center"/>
    </xf>
    <xf numFmtId="0" fontId="16" fillId="46" borderId="31" xfId="22" applyFont="1" applyFill="1" applyBorder="1" applyAlignment="1"/>
    <xf numFmtId="0" fontId="16" fillId="46" borderId="8" xfId="22" applyFont="1" applyFill="1" applyBorder="1" applyAlignment="1"/>
    <xf numFmtId="0" fontId="16" fillId="46" borderId="7" xfId="22" applyFont="1" applyFill="1" applyBorder="1" applyAlignment="1">
      <alignment horizontal="center"/>
    </xf>
    <xf numFmtId="0" fontId="16" fillId="53" borderId="31" xfId="22" applyFont="1" applyFill="1" applyBorder="1" applyAlignment="1"/>
    <xf numFmtId="0" fontId="16" fillId="53" borderId="8" xfId="22" applyFont="1" applyFill="1" applyBorder="1" applyAlignment="1"/>
    <xf numFmtId="0" fontId="16" fillId="53" borderId="7" xfId="22" applyFont="1" applyFill="1" applyBorder="1" applyAlignment="1">
      <alignment horizontal="center"/>
    </xf>
    <xf numFmtId="0" fontId="16" fillId="54" borderId="31" xfId="22" applyFont="1" applyFill="1" applyBorder="1" applyAlignment="1"/>
    <xf numFmtId="0" fontId="16" fillId="54" borderId="8" xfId="22" applyFont="1" applyFill="1" applyBorder="1" applyAlignment="1"/>
    <xf numFmtId="0" fontId="16" fillId="54" borderId="7" xfId="22" applyFont="1" applyFill="1" applyBorder="1" applyAlignment="1">
      <alignment horizontal="center"/>
    </xf>
    <xf numFmtId="0" fontId="16" fillId="35" borderId="31" xfId="22" applyFont="1" applyFill="1" applyBorder="1" applyAlignment="1"/>
    <xf numFmtId="0" fontId="16" fillId="35" borderId="8" xfId="22" applyFont="1" applyFill="1" applyBorder="1" applyAlignment="1"/>
    <xf numFmtId="0" fontId="16" fillId="35" borderId="7" xfId="22" applyFont="1" applyFill="1" applyBorder="1" applyAlignment="1">
      <alignment horizontal="center"/>
    </xf>
    <xf numFmtId="0" fontId="16" fillId="28" borderId="31" xfId="22" applyFont="1" applyFill="1" applyBorder="1" applyAlignment="1"/>
    <xf numFmtId="0" fontId="16" fillId="28" borderId="8" xfId="22" applyFont="1" applyFill="1" applyBorder="1" applyAlignment="1"/>
    <xf numFmtId="0" fontId="16" fillId="28" borderId="7" xfId="22" applyFont="1" applyFill="1" applyBorder="1" applyAlignment="1">
      <alignment horizontal="center"/>
    </xf>
    <xf numFmtId="0" fontId="16" fillId="21" borderId="31" xfId="22" applyFont="1" applyFill="1" applyBorder="1" applyAlignment="1"/>
    <xf numFmtId="0" fontId="16" fillId="21" borderId="8" xfId="22" applyFont="1" applyFill="1" applyBorder="1" applyAlignment="1"/>
    <xf numFmtId="0" fontId="16" fillId="21" borderId="7" xfId="22" applyFont="1" applyFill="1" applyBorder="1" applyAlignment="1">
      <alignment horizontal="center"/>
    </xf>
    <xf numFmtId="0" fontId="7" fillId="37" borderId="31" xfId="22" applyFont="1" applyFill="1" applyBorder="1" applyAlignment="1"/>
    <xf numFmtId="0" fontId="7" fillId="37" borderId="8" xfId="22" applyFont="1" applyFill="1" applyBorder="1" applyAlignment="1"/>
    <xf numFmtId="0" fontId="7" fillId="37" borderId="7" xfId="22" applyFont="1" applyFill="1" applyBorder="1" applyAlignment="1">
      <alignment horizontal="center"/>
    </xf>
    <xf numFmtId="0" fontId="7" fillId="30" borderId="31" xfId="22" applyFont="1" applyFill="1" applyBorder="1" applyAlignment="1"/>
    <xf numFmtId="0" fontId="7" fillId="30" borderId="8" xfId="22" applyFont="1" applyFill="1" applyBorder="1" applyAlignment="1"/>
    <xf numFmtId="0" fontId="7" fillId="30" borderId="7" xfId="22" applyFont="1" applyFill="1" applyBorder="1" applyAlignment="1">
      <alignment horizontal="center"/>
    </xf>
    <xf numFmtId="164" fontId="16" fillId="47" borderId="7" xfId="2" applyNumberFormat="1" applyFont="1" applyFill="1" applyBorder="1" applyAlignment="1">
      <alignment horizontal="center"/>
    </xf>
    <xf numFmtId="164" fontId="21" fillId="27" borderId="31" xfId="2" applyNumberFormat="1" applyFont="1" applyFill="1" applyBorder="1" applyAlignment="1">
      <alignment horizontal="right"/>
    </xf>
    <xf numFmtId="164" fontId="4" fillId="27" borderId="8" xfId="2" applyNumberFormat="1" applyFont="1" applyFill="1" applyBorder="1" applyAlignment="1">
      <alignment horizontal="right"/>
    </xf>
    <xf numFmtId="164" fontId="16" fillId="27" borderId="7" xfId="2" applyNumberFormat="1" applyFont="1" applyFill="1" applyBorder="1" applyAlignment="1">
      <alignment horizontal="center"/>
    </xf>
    <xf numFmtId="164" fontId="16" fillId="25" borderId="31" xfId="2" applyNumberFormat="1" applyFont="1" applyFill="1" applyBorder="1" applyAlignment="1">
      <alignment horizontal="center" wrapText="1"/>
    </xf>
    <xf numFmtId="164" fontId="16" fillId="25" borderId="8" xfId="2" applyNumberFormat="1" applyFont="1" applyFill="1" applyBorder="1" applyAlignment="1">
      <alignment horizontal="center" wrapText="1"/>
    </xf>
    <xf numFmtId="164" fontId="16" fillId="25" borderId="7" xfId="2" applyNumberFormat="1" applyFont="1" applyFill="1" applyBorder="1" applyAlignment="1">
      <alignment horizontal="center" wrapText="1"/>
    </xf>
    <xf numFmtId="0" fontId="7" fillId="20" borderId="31" xfId="22" applyFont="1" applyFill="1" applyBorder="1" applyAlignment="1">
      <alignment horizontal="right"/>
    </xf>
    <xf numFmtId="0" fontId="7" fillId="20" borderId="8" xfId="22" applyFont="1" applyFill="1" applyBorder="1" applyAlignment="1">
      <alignment horizontal="right"/>
    </xf>
    <xf numFmtId="0" fontId="7" fillId="20" borderId="7" xfId="22" applyFont="1" applyFill="1" applyBorder="1" applyAlignment="1">
      <alignment horizontal="center"/>
    </xf>
    <xf numFmtId="0" fontId="7" fillId="12" borderId="31" xfId="22" applyFont="1" applyFill="1" applyBorder="1" applyAlignment="1">
      <alignment horizontal="right"/>
    </xf>
    <xf numFmtId="0" fontId="7" fillId="12" borderId="8" xfId="22" applyFont="1" applyFill="1" applyBorder="1" applyAlignment="1">
      <alignment horizontal="right"/>
    </xf>
    <xf numFmtId="0" fontId="7" fillId="12" borderId="7" xfId="22" applyFont="1" applyFill="1" applyBorder="1" applyAlignment="1">
      <alignment horizontal="center"/>
    </xf>
    <xf numFmtId="0" fontId="7" fillId="18" borderId="31" xfId="22" applyFont="1" applyFill="1" applyBorder="1" applyAlignment="1">
      <alignment horizontal="right"/>
    </xf>
    <xf numFmtId="0" fontId="7" fillId="18" borderId="8" xfId="22" applyFont="1" applyFill="1" applyBorder="1" applyAlignment="1">
      <alignment horizontal="right"/>
    </xf>
    <xf numFmtId="0" fontId="7" fillId="18" borderId="7" xfId="22" applyFont="1" applyFill="1" applyBorder="1" applyAlignment="1">
      <alignment horizontal="center"/>
    </xf>
    <xf numFmtId="0" fontId="16" fillId="18" borderId="15" xfId="22" applyFont="1" applyFill="1" applyBorder="1" applyAlignment="1">
      <alignment horizontal="right"/>
    </xf>
    <xf numFmtId="0" fontId="16" fillId="12" borderId="31" xfId="22" applyFont="1" applyFill="1" applyBorder="1" applyAlignment="1">
      <alignment horizontal="right"/>
    </xf>
    <xf numFmtId="0" fontId="16" fillId="12" borderId="8" xfId="22" applyFont="1" applyFill="1" applyBorder="1" applyAlignment="1">
      <alignment horizontal="right"/>
    </xf>
    <xf numFmtId="0" fontId="16" fillId="12" borderId="7" xfId="22" applyFont="1" applyFill="1" applyBorder="1" applyAlignment="1">
      <alignment horizontal="center"/>
    </xf>
    <xf numFmtId="0" fontId="16" fillId="14" borderId="31" xfId="22" applyFont="1" applyFill="1" applyBorder="1" applyAlignment="1">
      <alignment horizontal="right"/>
    </xf>
    <xf numFmtId="0" fontId="16" fillId="14" borderId="8" xfId="22" applyFont="1" applyFill="1" applyBorder="1" applyAlignment="1">
      <alignment horizontal="right"/>
    </xf>
    <xf numFmtId="0" fontId="16" fillId="14" borderId="7" xfId="22" applyFont="1" applyFill="1" applyBorder="1" applyAlignment="1">
      <alignment horizontal="center"/>
    </xf>
    <xf numFmtId="0" fontId="16" fillId="17" borderId="31" xfId="22" applyFont="1" applyFill="1" applyBorder="1" applyAlignment="1">
      <alignment horizontal="right"/>
    </xf>
    <xf numFmtId="0" fontId="16" fillId="17" borderId="8" xfId="22" applyFont="1" applyFill="1" applyBorder="1" applyAlignment="1">
      <alignment horizontal="right"/>
    </xf>
    <xf numFmtId="0" fontId="4" fillId="0" borderId="31" xfId="22" applyFont="1" applyBorder="1"/>
    <xf numFmtId="0" fontId="4" fillId="0" borderId="7" xfId="22" applyFont="1" applyBorder="1"/>
    <xf numFmtId="0" fontId="4" fillId="0" borderId="40" xfId="22" applyFont="1" applyBorder="1"/>
    <xf numFmtId="0" fontId="16" fillId="0" borderId="31" xfId="22" applyFont="1" applyBorder="1" applyAlignment="1">
      <alignment horizontal="center"/>
    </xf>
    <xf numFmtId="0" fontId="16" fillId="0" borderId="7" xfId="22" applyFont="1" applyFill="1" applyBorder="1"/>
    <xf numFmtId="0" fontId="16" fillId="0" borderId="31" xfId="22" applyFont="1" applyBorder="1" applyAlignment="1">
      <alignment horizontal="left"/>
    </xf>
    <xf numFmtId="0" fontId="60" fillId="0" borderId="0" xfId="22" applyFont="1" applyFill="1" applyBorder="1"/>
    <xf numFmtId="0" fontId="61" fillId="0" borderId="0" xfId="22" applyFont="1" applyBorder="1"/>
    <xf numFmtId="0" fontId="61" fillId="0" borderId="0" xfId="22" applyFont="1" applyBorder="1" applyAlignment="1">
      <alignment horizontal="center"/>
    </xf>
    <xf numFmtId="0" fontId="61" fillId="0" borderId="0" xfId="22" applyFont="1" applyFill="1" applyBorder="1" applyAlignment="1">
      <alignment horizontal="center"/>
    </xf>
    <xf numFmtId="0" fontId="61" fillId="0" borderId="0" xfId="22" applyFont="1" applyFill="1" applyBorder="1"/>
    <xf numFmtId="0" fontId="60" fillId="0" borderId="0" xfId="22" applyFont="1" applyBorder="1"/>
    <xf numFmtId="0" fontId="16" fillId="0" borderId="0" xfId="22" applyFont="1" applyAlignment="1">
      <alignment horizontal="left"/>
    </xf>
    <xf numFmtId="0" fontId="15" fillId="0" borderId="0" xfId="22" applyFont="1" applyAlignment="1">
      <alignment horizontal="left"/>
    </xf>
    <xf numFmtId="0" fontId="6" fillId="0" borderId="0" xfId="22" applyFont="1" applyAlignment="1">
      <alignment horizontal="left"/>
    </xf>
    <xf numFmtId="10" fontId="4" fillId="0" borderId="0" xfId="11" applyNumberFormat="1" applyFont="1"/>
    <xf numFmtId="0" fontId="79" fillId="0" borderId="0" xfId="22" applyFont="1"/>
    <xf numFmtId="0" fontId="52" fillId="0" borderId="0" xfId="22" applyFont="1"/>
    <xf numFmtId="17" fontId="15" fillId="0" borderId="42" xfId="22" applyNumberFormat="1" applyFont="1" applyFill="1" applyBorder="1" applyAlignment="1">
      <alignment wrapText="1" shrinkToFit="1"/>
    </xf>
    <xf numFmtId="43" fontId="16" fillId="0" borderId="34" xfId="2" applyNumberFormat="1" applyFont="1" applyFill="1" applyBorder="1"/>
    <xf numFmtId="164" fontId="16" fillId="30" borderId="34" xfId="2" applyNumberFormat="1" applyFont="1" applyFill="1" applyBorder="1" applyAlignment="1">
      <alignment horizontal="center"/>
    </xf>
    <xf numFmtId="164" fontId="16" fillId="37" borderId="34" xfId="2" applyNumberFormat="1" applyFont="1" applyFill="1" applyBorder="1"/>
    <xf numFmtId="164" fontId="16" fillId="28" borderId="34" xfId="2" applyNumberFormat="1" applyFont="1" applyFill="1" applyBorder="1"/>
    <xf numFmtId="164" fontId="16" fillId="35" borderId="34" xfId="2" applyNumberFormat="1" applyFont="1" applyFill="1" applyBorder="1" applyAlignment="1">
      <alignment horizontal="center"/>
    </xf>
    <xf numFmtId="164" fontId="16" fillId="49" borderId="34" xfId="2" applyNumberFormat="1" applyFont="1" applyFill="1" applyBorder="1" applyAlignment="1">
      <alignment horizontal="center"/>
    </xf>
    <xf numFmtId="164" fontId="16" fillId="48" borderId="34" xfId="2" applyNumberFormat="1" applyFont="1" applyFill="1" applyBorder="1" applyAlignment="1">
      <alignment horizontal="center"/>
    </xf>
    <xf numFmtId="164" fontId="16" fillId="47" borderId="34" xfId="2" applyNumberFormat="1" applyFont="1" applyFill="1" applyBorder="1" applyAlignment="1">
      <alignment horizontal="center"/>
    </xf>
    <xf numFmtId="164" fontId="16" fillId="46" borderId="34" xfId="2" applyNumberFormat="1" applyFont="1" applyFill="1" applyBorder="1" applyAlignment="1">
      <alignment horizontal="center"/>
    </xf>
    <xf numFmtId="164" fontId="16" fillId="45" borderId="34" xfId="2" applyNumberFormat="1" applyFont="1" applyFill="1" applyBorder="1" applyAlignment="1">
      <alignment horizontal="center"/>
    </xf>
    <xf numFmtId="164" fontId="16" fillId="44" borderId="34" xfId="2" applyNumberFormat="1" applyFont="1" applyFill="1" applyBorder="1" applyAlignment="1">
      <alignment horizontal="center"/>
    </xf>
    <xf numFmtId="164" fontId="16" fillId="29" borderId="34" xfId="2" applyNumberFormat="1" applyFont="1" applyFill="1" applyBorder="1" applyAlignment="1">
      <alignment horizontal="center"/>
    </xf>
    <xf numFmtId="164" fontId="16" fillId="43" borderId="34" xfId="2" applyNumberFormat="1" applyFont="1" applyFill="1" applyBorder="1" applyAlignment="1">
      <alignment horizontal="center"/>
    </xf>
    <xf numFmtId="164" fontId="16" fillId="34" borderId="34" xfId="2" applyNumberFormat="1" applyFont="1" applyFill="1" applyBorder="1" applyAlignment="1">
      <alignment horizontal="center"/>
    </xf>
    <xf numFmtId="164" fontId="16" fillId="41" borderId="34" xfId="2" applyNumberFormat="1" applyFont="1" applyFill="1" applyBorder="1" applyAlignment="1">
      <alignment horizontal="center"/>
    </xf>
    <xf numFmtId="164" fontId="16" fillId="38" borderId="34" xfId="2" applyNumberFormat="1" applyFont="1" applyFill="1" applyBorder="1" applyAlignment="1">
      <alignment horizontal="center"/>
    </xf>
    <xf numFmtId="164" fontId="16" fillId="31" borderId="34" xfId="2" applyNumberFormat="1" applyFont="1" applyFill="1" applyBorder="1" applyAlignment="1">
      <alignment horizontal="center"/>
    </xf>
    <xf numFmtId="164" fontId="16" fillId="42" borderId="34" xfId="2" applyNumberFormat="1" applyFont="1" applyFill="1" applyBorder="1" applyAlignment="1">
      <alignment horizontal="center"/>
    </xf>
    <xf numFmtId="164" fontId="16" fillId="40" borderId="34" xfId="2" applyNumberFormat="1" applyFont="1" applyFill="1" applyBorder="1" applyAlignment="1">
      <alignment horizontal="center"/>
    </xf>
    <xf numFmtId="164" fontId="16" fillId="47" borderId="43" xfId="2" applyNumberFormat="1" applyFont="1" applyFill="1" applyBorder="1"/>
    <xf numFmtId="164" fontId="16" fillId="47" borderId="13" xfId="2" applyNumberFormat="1" applyFont="1" applyFill="1" applyBorder="1"/>
    <xf numFmtId="164" fontId="16" fillId="47" borderId="34" xfId="2" applyNumberFormat="1" applyFont="1" applyFill="1" applyBorder="1"/>
    <xf numFmtId="37" fontId="15" fillId="0" borderId="46" xfId="2" applyNumberFormat="1" applyFont="1" applyFill="1" applyBorder="1"/>
    <xf numFmtId="0" fontId="78" fillId="0" borderId="0" xfId="22" applyFont="1" applyFill="1" applyBorder="1"/>
    <xf numFmtId="0" fontId="78" fillId="0" borderId="0" xfId="0" applyFont="1" applyFill="1" applyBorder="1" applyAlignment="1"/>
    <xf numFmtId="0" fontId="78" fillId="0" borderId="0" xfId="0" applyFont="1" applyFill="1" applyBorder="1" applyAlignment="1">
      <alignment wrapText="1"/>
    </xf>
    <xf numFmtId="0" fontId="77" fillId="0" borderId="0" xfId="0" applyFont="1" applyFill="1" applyAlignment="1"/>
    <xf numFmtId="0" fontId="64" fillId="0" borderId="0" xfId="22" applyFont="1" applyFill="1" applyAlignment="1">
      <alignment wrapText="1"/>
    </xf>
    <xf numFmtId="0" fontId="64" fillId="0" borderId="0" xfId="22" applyFont="1" applyFill="1" applyBorder="1" applyAlignment="1">
      <alignment wrapText="1"/>
    </xf>
    <xf numFmtId="0" fontId="64" fillId="0" borderId="0" xfId="22" applyFont="1" applyFill="1" applyBorder="1"/>
    <xf numFmtId="164" fontId="26" fillId="0" borderId="2" xfId="2" applyNumberFormat="1" applyFont="1" applyFill="1" applyBorder="1"/>
    <xf numFmtId="166" fontId="26" fillId="0" borderId="23" xfId="22" applyNumberFormat="1" applyFont="1" applyFill="1" applyBorder="1"/>
    <xf numFmtId="0" fontId="6" fillId="0" borderId="0" xfId="0" applyFont="1" applyFill="1" applyBorder="1" applyAlignment="1">
      <alignment horizontal="center"/>
    </xf>
    <xf numFmtId="0" fontId="6" fillId="0" borderId="0" xfId="0" applyFont="1" applyFill="1" applyBorder="1" applyAlignment="1">
      <alignment wrapText="1"/>
    </xf>
    <xf numFmtId="0" fontId="6" fillId="0" borderId="0" xfId="0" applyFont="1" applyBorder="1" applyAlignment="1">
      <alignment horizontal="center"/>
    </xf>
    <xf numFmtId="0" fontId="7" fillId="8" borderId="21" xfId="37" applyFont="1" applyFill="1" applyBorder="1" applyAlignment="1">
      <alignment wrapText="1"/>
    </xf>
    <xf numFmtId="41" fontId="7" fillId="8" borderId="13" xfId="38" applyFont="1" applyFill="1" applyBorder="1"/>
    <xf numFmtId="0" fontId="7" fillId="8" borderId="32" xfId="37" applyFont="1" applyFill="1" applyBorder="1" applyAlignment="1">
      <alignment wrapText="1"/>
    </xf>
    <xf numFmtId="0" fontId="7" fillId="8" borderId="21" xfId="37" applyFont="1" applyFill="1" applyBorder="1"/>
    <xf numFmtId="0" fontId="15" fillId="0" borderId="0" xfId="22" applyFont="1" applyAlignment="1">
      <alignment horizontal="center"/>
    </xf>
    <xf numFmtId="3" fontId="7" fillId="33" borderId="0" xfId="2" applyNumberFormat="1" applyFont="1" applyFill="1" applyBorder="1"/>
    <xf numFmtId="3" fontId="7" fillId="33" borderId="2" xfId="2" applyNumberFormat="1" applyFont="1" applyFill="1" applyBorder="1"/>
    <xf numFmtId="43" fontId="47" fillId="0" borderId="16" xfId="22" applyNumberFormat="1" applyFont="1" applyFill="1" applyBorder="1" applyAlignment="1">
      <alignment wrapText="1"/>
    </xf>
    <xf numFmtId="43" fontId="16" fillId="0" borderId="6" xfId="22" applyNumberFormat="1" applyFont="1" applyBorder="1" applyAlignment="1">
      <alignment horizontal="center"/>
    </xf>
    <xf numFmtId="2" fontId="16" fillId="0" borderId="6" xfId="22" applyNumberFormat="1" applyFont="1" applyBorder="1" applyAlignment="1">
      <alignment horizontal="center"/>
    </xf>
    <xf numFmtId="43" fontId="16" fillId="0" borderId="23" xfId="22" applyNumberFormat="1" applyFont="1" applyBorder="1" applyAlignment="1">
      <alignment horizontal="center"/>
    </xf>
    <xf numFmtId="43" fontId="15" fillId="0" borderId="23" xfId="2" applyNumberFormat="1" applyFont="1" applyFill="1" applyBorder="1"/>
    <xf numFmtId="0" fontId="15" fillId="0" borderId="8" xfId="0" applyFont="1" applyFill="1" applyBorder="1" applyAlignment="1">
      <alignment horizontal="center" wrapText="1"/>
    </xf>
    <xf numFmtId="164" fontId="15" fillId="0" borderId="8" xfId="2" applyNumberFormat="1" applyFont="1" applyFill="1" applyBorder="1" applyAlignment="1">
      <alignment horizontal="center"/>
    </xf>
    <xf numFmtId="0" fontId="15" fillId="0" borderId="8" xfId="22" applyFont="1" applyFill="1" applyBorder="1" applyAlignment="1">
      <alignment horizontal="center"/>
    </xf>
    <xf numFmtId="164" fontId="15" fillId="0" borderId="31" xfId="2" applyNumberFormat="1" applyFont="1" applyFill="1" applyBorder="1" applyAlignment="1">
      <alignment horizontal="center" wrapText="1"/>
    </xf>
    <xf numFmtId="164" fontId="15" fillId="0" borderId="40" xfId="2" applyNumberFormat="1" applyFont="1" applyFill="1" applyBorder="1" applyAlignment="1">
      <alignment horizontal="center" wrapText="1"/>
    </xf>
    <xf numFmtId="0" fontId="4" fillId="0" borderId="40" xfId="22" applyFont="1" applyFill="1" applyBorder="1"/>
    <xf numFmtId="0" fontId="26" fillId="0" borderId="23" xfId="22" applyFont="1" applyBorder="1"/>
    <xf numFmtId="0" fontId="26" fillId="0" borderId="23" xfId="22" applyFont="1" applyBorder="1" applyAlignment="1">
      <alignment horizontal="center"/>
    </xf>
    <xf numFmtId="164" fontId="26" fillId="0" borderId="23" xfId="2" applyNumberFormat="1" applyFont="1" applyFill="1" applyBorder="1"/>
    <xf numFmtId="164" fontId="7" fillId="33" borderId="0" xfId="2" applyNumberFormat="1" applyFont="1" applyFill="1" applyBorder="1"/>
    <xf numFmtId="4" fontId="16" fillId="12" borderId="16" xfId="2" applyNumberFormat="1" applyFont="1" applyFill="1" applyBorder="1" applyAlignment="1">
      <alignment horizontal="center"/>
    </xf>
    <xf numFmtId="43" fontId="7" fillId="11" borderId="16" xfId="2" applyNumberFormat="1" applyFont="1" applyFill="1" applyBorder="1" applyAlignment="1">
      <alignment horizontal="right"/>
    </xf>
    <xf numFmtId="3" fontId="16" fillId="26" borderId="16" xfId="2" applyNumberFormat="1" applyFont="1" applyFill="1" applyBorder="1" applyAlignment="1">
      <alignment horizontal="center"/>
    </xf>
    <xf numFmtId="4" fontId="16" fillId="26" borderId="16" xfId="2" applyNumberFormat="1" applyFont="1" applyFill="1" applyBorder="1" applyAlignment="1">
      <alignment horizontal="center"/>
    </xf>
    <xf numFmtId="0" fontId="16" fillId="0" borderId="31" xfId="22" applyFont="1" applyFill="1" applyBorder="1" applyAlignment="1">
      <alignment horizontal="left"/>
    </xf>
    <xf numFmtId="0" fontId="4" fillId="0" borderId="6" xfId="22" applyFont="1" applyFill="1" applyBorder="1" applyAlignment="1">
      <alignment horizontal="center"/>
    </xf>
    <xf numFmtId="0" fontId="7" fillId="0" borderId="9" xfId="22" applyFont="1" applyFill="1" applyBorder="1" applyAlignment="1">
      <alignment horizontal="left"/>
    </xf>
    <xf numFmtId="0" fontId="15" fillId="0" borderId="0" xfId="22" applyFont="1" applyAlignment="1">
      <alignment horizontal="center"/>
    </xf>
    <xf numFmtId="0" fontId="15" fillId="0" borderId="0" xfId="1" applyFont="1" applyAlignment="1">
      <alignment horizontal="center"/>
    </xf>
    <xf numFmtId="0" fontId="6" fillId="16" borderId="31" xfId="22" applyFont="1" applyFill="1" applyBorder="1" applyAlignment="1">
      <alignment horizontal="center" wrapText="1"/>
    </xf>
    <xf numFmtId="3" fontId="7" fillId="8" borderId="2" xfId="2" applyNumberFormat="1" applyFont="1" applyFill="1" applyBorder="1"/>
    <xf numFmtId="0" fontId="6" fillId="16" borderId="40" xfId="22" applyFont="1" applyFill="1" applyBorder="1" applyAlignment="1">
      <alignment horizontal="center"/>
    </xf>
    <xf numFmtId="0" fontId="6" fillId="16" borderId="7" xfId="22" applyFont="1" applyFill="1" applyBorder="1" applyAlignment="1">
      <alignment horizontal="center" wrapText="1"/>
    </xf>
    <xf numFmtId="3" fontId="7" fillId="7" borderId="0" xfId="22" applyNumberFormat="1" applyFont="1" applyFill="1" applyBorder="1" applyAlignment="1"/>
    <xf numFmtId="0" fontId="7" fillId="7" borderId="0" xfId="22" applyNumberFormat="1" applyFont="1" applyFill="1" applyBorder="1" applyAlignment="1"/>
    <xf numFmtId="3" fontId="7" fillId="0" borderId="15" xfId="22" applyNumberFormat="1" applyFont="1" applyFill="1" applyBorder="1" applyAlignment="1">
      <alignment horizontal="center"/>
    </xf>
    <xf numFmtId="3" fontId="63" fillId="0" borderId="15" xfId="22" applyNumberFormat="1" applyFont="1" applyFill="1" applyBorder="1" applyAlignment="1">
      <alignment horizontal="center"/>
    </xf>
    <xf numFmtId="3" fontId="7" fillId="0" borderId="15" xfId="22" applyNumberFormat="1" applyFont="1" applyBorder="1"/>
    <xf numFmtId="0" fontId="7" fillId="0" borderId="40" xfId="22" applyFont="1" applyBorder="1"/>
    <xf numFmtId="3" fontId="7" fillId="8" borderId="16" xfId="2" applyNumberFormat="1" applyFont="1" applyFill="1" applyBorder="1"/>
    <xf numFmtId="3" fontId="17" fillId="0" borderId="16" xfId="2" applyNumberFormat="1" applyFont="1" applyFill="1" applyBorder="1" applyAlignment="1"/>
    <xf numFmtId="3" fontId="17" fillId="0" borderId="16" xfId="2" applyNumberFormat="1" applyFont="1" applyFill="1" applyBorder="1"/>
    <xf numFmtId="3" fontId="7" fillId="8" borderId="6" xfId="2" applyNumberFormat="1" applyFont="1" applyFill="1" applyBorder="1"/>
    <xf numFmtId="37" fontId="16" fillId="25" borderId="16" xfId="2" applyNumberFormat="1" applyFont="1" applyFill="1" applyBorder="1" applyAlignment="1">
      <alignment horizontal="center" wrapText="1"/>
    </xf>
    <xf numFmtId="0" fontId="6" fillId="0" borderId="0" xfId="22" applyFont="1" applyFill="1" applyBorder="1" applyAlignment="1">
      <alignment vertical="top"/>
    </xf>
    <xf numFmtId="0" fontId="16" fillId="0" borderId="63" xfId="22" applyFont="1" applyFill="1" applyBorder="1" applyAlignment="1">
      <alignment horizontal="center" wrapText="1"/>
    </xf>
    <xf numFmtId="164" fontId="6" fillId="0" borderId="0" xfId="2" applyNumberFormat="1" applyFont="1" applyAlignment="1">
      <alignment horizontal="center"/>
    </xf>
    <xf numFmtId="164" fontId="15" fillId="0" borderId="45" xfId="4" applyNumberFormat="1" applyFont="1" applyFill="1" applyBorder="1"/>
    <xf numFmtId="164" fontId="15" fillId="17" borderId="46" xfId="2" applyNumberFormat="1" applyFont="1" applyFill="1" applyBorder="1"/>
    <xf numFmtId="164" fontId="15" fillId="14" borderId="46" xfId="2" applyNumberFormat="1" applyFont="1" applyFill="1" applyBorder="1"/>
    <xf numFmtId="164" fontId="15" fillId="12" borderId="46" xfId="2" applyNumberFormat="1" applyFont="1" applyFill="1" applyBorder="1"/>
    <xf numFmtId="164" fontId="15" fillId="18" borderId="46" xfId="2" applyNumberFormat="1" applyFont="1" applyFill="1" applyBorder="1"/>
    <xf numFmtId="164" fontId="15" fillId="8" borderId="46" xfId="2" applyNumberFormat="1" applyFont="1" applyFill="1" applyBorder="1"/>
    <xf numFmtId="164" fontId="15" fillId="13" borderId="46" xfId="2" applyNumberFormat="1" applyFont="1" applyFill="1" applyBorder="1" applyAlignment="1">
      <alignment horizontal="left"/>
    </xf>
    <xf numFmtId="164" fontId="15" fillId="15" borderId="46" xfId="2" applyNumberFormat="1" applyFont="1" applyFill="1" applyBorder="1"/>
    <xf numFmtId="164" fontId="15" fillId="10" borderId="46" xfId="2" applyNumberFormat="1" applyFont="1" applyFill="1" applyBorder="1"/>
    <xf numFmtId="164" fontId="15" fillId="11" borderId="46" xfId="2" applyNumberFormat="1" applyFont="1" applyFill="1" applyBorder="1"/>
    <xf numFmtId="164" fontId="15" fillId="19" borderId="46" xfId="2" applyNumberFormat="1" applyFont="1" applyFill="1" applyBorder="1" applyAlignment="1">
      <alignment horizontal="left"/>
    </xf>
    <xf numFmtId="164" fontId="15" fillId="4" borderId="46" xfId="2" applyNumberFormat="1" applyFont="1" applyFill="1" applyBorder="1"/>
    <xf numFmtId="164" fontId="15" fillId="10" borderId="46" xfId="2" applyNumberFormat="1" applyFont="1" applyFill="1" applyBorder="1" applyAlignment="1">
      <alignment horizontal="left"/>
    </xf>
    <xf numFmtId="164" fontId="15" fillId="15" borderId="46" xfId="2" applyNumberFormat="1" applyFont="1" applyFill="1" applyBorder="1" applyAlignment="1">
      <alignment horizontal="left"/>
    </xf>
    <xf numFmtId="164" fontId="15" fillId="18" borderId="46" xfId="2" applyNumberFormat="1" applyFont="1" applyFill="1" applyBorder="1" applyAlignment="1">
      <alignment horizontal="left"/>
    </xf>
    <xf numFmtId="164" fontId="15" fillId="25" borderId="46" xfId="22" applyNumberFormat="1" applyFont="1" applyFill="1" applyBorder="1"/>
    <xf numFmtId="164" fontId="15" fillId="21" borderId="46" xfId="2" applyNumberFormat="1" applyFont="1" applyFill="1" applyBorder="1"/>
    <xf numFmtId="164" fontId="15" fillId="24" borderId="46" xfId="2" applyNumberFormat="1" applyFont="1" applyFill="1" applyBorder="1"/>
    <xf numFmtId="164" fontId="15" fillId="25" borderId="46" xfId="2" applyNumberFormat="1" applyFont="1" applyFill="1" applyBorder="1" applyAlignment="1">
      <alignment horizontal="center" wrapText="1"/>
    </xf>
    <xf numFmtId="164" fontId="15" fillId="12" borderId="46" xfId="2" applyNumberFormat="1" applyFont="1" applyFill="1" applyBorder="1" applyAlignment="1">
      <alignment horizontal="center"/>
    </xf>
    <xf numFmtId="164" fontId="15" fillId="11" borderId="46" xfId="22" applyNumberFormat="1" applyFont="1" applyFill="1" applyBorder="1" applyAlignment="1">
      <alignment horizontal="center"/>
    </xf>
    <xf numFmtId="164" fontId="15" fillId="47" borderId="46" xfId="2" applyNumberFormat="1" applyFont="1" applyFill="1" applyBorder="1" applyAlignment="1">
      <alignment horizontal="center"/>
    </xf>
    <xf numFmtId="164" fontId="15" fillId="22" borderId="46" xfId="2" applyNumberFormat="1" applyFont="1" applyFill="1" applyBorder="1"/>
    <xf numFmtId="164" fontId="15" fillId="26" borderId="46" xfId="2" applyNumberFormat="1" applyFont="1" applyFill="1" applyBorder="1" applyAlignment="1">
      <alignment horizontal="center"/>
    </xf>
    <xf numFmtId="164" fontId="15" fillId="30" borderId="46" xfId="2" applyNumberFormat="1" applyFont="1" applyFill="1" applyBorder="1" applyAlignment="1">
      <alignment horizontal="center"/>
    </xf>
    <xf numFmtId="164" fontId="15" fillId="37" borderId="46" xfId="2" applyNumberFormat="1" applyFont="1" applyFill="1" applyBorder="1"/>
    <xf numFmtId="164" fontId="15" fillId="13" borderId="46" xfId="2" applyNumberFormat="1" applyFont="1" applyFill="1" applyBorder="1"/>
    <xf numFmtId="164" fontId="15" fillId="6" borderId="46" xfId="2" applyNumberFormat="1" applyFont="1" applyFill="1" applyBorder="1"/>
    <xf numFmtId="164" fontId="15" fillId="28" borderId="46" xfId="2" applyNumberFormat="1" applyFont="1" applyFill="1" applyBorder="1"/>
    <xf numFmtId="164" fontId="15" fillId="29" borderId="46" xfId="2" applyNumberFormat="1" applyFont="1" applyFill="1" applyBorder="1" applyAlignment="1">
      <alignment horizontal="center"/>
    </xf>
    <xf numFmtId="164" fontId="15" fillId="27" borderId="46" xfId="2" applyNumberFormat="1" applyFont="1" applyFill="1" applyBorder="1" applyAlignment="1">
      <alignment horizontal="center"/>
    </xf>
    <xf numFmtId="164" fontId="15" fillId="31" borderId="64" xfId="2" applyNumberFormat="1" applyFont="1" applyFill="1" applyBorder="1" applyAlignment="1">
      <alignment horizontal="center"/>
    </xf>
    <xf numFmtId="164" fontId="15" fillId="34" borderId="46" xfId="2" applyNumberFormat="1" applyFont="1" applyFill="1" applyBorder="1" applyAlignment="1">
      <alignment horizontal="center"/>
    </xf>
    <xf numFmtId="164" fontId="15" fillId="35" borderId="46" xfId="2" applyNumberFormat="1" applyFont="1" applyFill="1" applyBorder="1" applyAlignment="1">
      <alignment horizontal="center"/>
    </xf>
    <xf numFmtId="164" fontId="15" fillId="49" borderId="46" xfId="2" applyNumberFormat="1" applyFont="1" applyFill="1" applyBorder="1" applyAlignment="1">
      <alignment horizontal="center"/>
    </xf>
    <xf numFmtId="164" fontId="15" fillId="48" borderId="46" xfId="2" applyNumberFormat="1" applyFont="1" applyFill="1" applyBorder="1" applyAlignment="1">
      <alignment horizontal="center"/>
    </xf>
    <xf numFmtId="164" fontId="15" fillId="46" borderId="46" xfId="2" applyNumberFormat="1" applyFont="1" applyFill="1" applyBorder="1" applyAlignment="1">
      <alignment horizontal="center"/>
    </xf>
    <xf numFmtId="164" fontId="15" fillId="45" borderId="46" xfId="2" applyNumberFormat="1" applyFont="1" applyFill="1" applyBorder="1" applyAlignment="1">
      <alignment horizontal="center"/>
    </xf>
    <xf numFmtId="164" fontId="15" fillId="44" borderId="46" xfId="2" applyNumberFormat="1" applyFont="1" applyFill="1" applyBorder="1" applyAlignment="1">
      <alignment horizontal="center"/>
    </xf>
    <xf numFmtId="164" fontId="15" fillId="43" borderId="46" xfId="2" applyNumberFormat="1" applyFont="1" applyFill="1" applyBorder="1" applyAlignment="1">
      <alignment horizontal="center"/>
    </xf>
    <xf numFmtId="164" fontId="15" fillId="41" borderId="46" xfId="2" applyNumberFormat="1" applyFont="1" applyFill="1" applyBorder="1" applyAlignment="1">
      <alignment horizontal="center"/>
    </xf>
    <xf numFmtId="164" fontId="15" fillId="38" borderId="46" xfId="2" applyNumberFormat="1" applyFont="1" applyFill="1" applyBorder="1" applyAlignment="1">
      <alignment horizontal="center"/>
    </xf>
    <xf numFmtId="164" fontId="15" fillId="31" borderId="46" xfId="2" applyNumberFormat="1" applyFont="1" applyFill="1" applyBorder="1" applyAlignment="1">
      <alignment horizontal="center"/>
    </xf>
    <xf numFmtId="164" fontId="15" fillId="42" borderId="46" xfId="2" applyNumberFormat="1" applyFont="1" applyFill="1" applyBorder="1" applyAlignment="1">
      <alignment horizontal="center"/>
    </xf>
    <xf numFmtId="164" fontId="15" fillId="40" borderId="46" xfId="2" applyNumberFormat="1" applyFont="1" applyFill="1" applyBorder="1" applyAlignment="1">
      <alignment horizontal="center"/>
    </xf>
    <xf numFmtId="164" fontId="15" fillId="17" borderId="47" xfId="2" applyNumberFormat="1" applyFont="1" applyFill="1" applyBorder="1"/>
    <xf numFmtId="0" fontId="5" fillId="0" borderId="0" xfId="22" applyFont="1" applyFill="1" applyBorder="1"/>
    <xf numFmtId="164" fontId="15" fillId="38" borderId="29" xfId="2" applyNumberFormat="1" applyFont="1" applyFill="1" applyBorder="1" applyAlignment="1">
      <alignment horizontal="center"/>
    </xf>
    <xf numFmtId="0" fontId="15" fillId="0" borderId="0" xfId="22" applyFont="1" applyFill="1" applyBorder="1"/>
    <xf numFmtId="164" fontId="15" fillId="0" borderId="57" xfId="4" applyNumberFormat="1" applyFont="1" applyFill="1" applyBorder="1"/>
    <xf numFmtId="164" fontId="15" fillId="17" borderId="29" xfId="2" applyNumberFormat="1" applyFont="1" applyFill="1" applyBorder="1"/>
    <xf numFmtId="164" fontId="15" fillId="14" borderId="29" xfId="2" applyNumberFormat="1" applyFont="1" applyFill="1" applyBorder="1"/>
    <xf numFmtId="164" fontId="15" fillId="12" borderId="29" xfId="2" applyNumberFormat="1" applyFont="1" applyFill="1" applyBorder="1"/>
    <xf numFmtId="164" fontId="15" fillId="18" borderId="29" xfId="2" applyNumberFormat="1" applyFont="1" applyFill="1" applyBorder="1"/>
    <xf numFmtId="164" fontId="15" fillId="8" borderId="29" xfId="2" applyNumberFormat="1" applyFont="1" applyFill="1" applyBorder="1"/>
    <xf numFmtId="164" fontId="15" fillId="13" borderId="29" xfId="2" applyNumberFormat="1" applyFont="1" applyFill="1" applyBorder="1" applyAlignment="1">
      <alignment horizontal="left"/>
    </xf>
    <xf numFmtId="164" fontId="15" fillId="15" borderId="29" xfId="2" applyNumberFormat="1" applyFont="1" applyFill="1" applyBorder="1"/>
    <xf numFmtId="164" fontId="15" fillId="10" borderId="29" xfId="2" applyNumberFormat="1" applyFont="1" applyFill="1" applyBorder="1"/>
    <xf numFmtId="164" fontId="15" fillId="11" borderId="29" xfId="2" applyNumberFormat="1" applyFont="1" applyFill="1" applyBorder="1"/>
    <xf numFmtId="164" fontId="15" fillId="19" borderId="29" xfId="2" applyNumberFormat="1" applyFont="1" applyFill="1" applyBorder="1" applyAlignment="1">
      <alignment horizontal="left"/>
    </xf>
    <xf numFmtId="164" fontId="15" fillId="4" borderId="29" xfId="2" applyNumberFormat="1" applyFont="1" applyFill="1" applyBorder="1"/>
    <xf numFmtId="164" fontId="15" fillId="10" borderId="29" xfId="2" applyNumberFormat="1" applyFont="1" applyFill="1" applyBorder="1" applyAlignment="1">
      <alignment horizontal="left"/>
    </xf>
    <xf numFmtId="164" fontId="15" fillId="15" borderId="29" xfId="2" applyNumberFormat="1" applyFont="1" applyFill="1" applyBorder="1" applyAlignment="1">
      <alignment horizontal="left"/>
    </xf>
    <xf numFmtId="164" fontId="15" fillId="18" borderId="29" xfId="2" applyNumberFormat="1" applyFont="1" applyFill="1" applyBorder="1" applyAlignment="1">
      <alignment horizontal="left"/>
    </xf>
    <xf numFmtId="164" fontId="15" fillId="25" borderId="29" xfId="22" applyNumberFormat="1" applyFont="1" applyFill="1" applyBorder="1"/>
    <xf numFmtId="164" fontId="15" fillId="21" borderId="29" xfId="2" applyNumberFormat="1" applyFont="1" applyFill="1" applyBorder="1"/>
    <xf numFmtId="164" fontId="15" fillId="24" borderId="29" xfId="2" applyNumberFormat="1" applyFont="1" applyFill="1" applyBorder="1"/>
    <xf numFmtId="164" fontId="15" fillId="25" borderId="29" xfId="2" applyNumberFormat="1" applyFont="1" applyFill="1" applyBorder="1" applyAlignment="1">
      <alignment horizontal="center" wrapText="1"/>
    </xf>
    <xf numFmtId="164" fontId="15" fillId="12" borderId="29" xfId="2" applyNumberFormat="1" applyFont="1" applyFill="1" applyBorder="1" applyAlignment="1">
      <alignment horizontal="center"/>
    </xf>
    <xf numFmtId="164" fontId="15" fillId="11" borderId="29" xfId="22" applyNumberFormat="1" applyFont="1" applyFill="1" applyBorder="1" applyAlignment="1">
      <alignment horizontal="center"/>
    </xf>
    <xf numFmtId="164" fontId="15" fillId="47" borderId="29" xfId="2" applyNumberFormat="1" applyFont="1" applyFill="1" applyBorder="1" applyAlignment="1">
      <alignment horizontal="center"/>
    </xf>
    <xf numFmtId="164" fontId="15" fillId="22" borderId="29" xfId="2" applyNumberFormat="1" applyFont="1" applyFill="1" applyBorder="1"/>
    <xf numFmtId="164" fontId="15" fillId="26" borderId="29" xfId="2" applyNumberFormat="1" applyFont="1" applyFill="1" applyBorder="1" applyAlignment="1">
      <alignment horizontal="center"/>
    </xf>
    <xf numFmtId="164" fontId="15" fillId="30" borderId="29" xfId="2" applyNumberFormat="1" applyFont="1" applyFill="1" applyBorder="1" applyAlignment="1">
      <alignment horizontal="center"/>
    </xf>
    <xf numFmtId="164" fontId="15" fillId="37" borderId="29" xfId="2" applyNumberFormat="1" applyFont="1" applyFill="1" applyBorder="1"/>
    <xf numFmtId="164" fontId="15" fillId="13" borderId="29" xfId="2" applyNumberFormat="1" applyFont="1" applyFill="1" applyBorder="1"/>
    <xf numFmtId="164" fontId="15" fillId="6" borderId="29" xfId="2" applyNumberFormat="1" applyFont="1" applyFill="1" applyBorder="1"/>
    <xf numFmtId="164" fontId="15" fillId="28" borderId="29" xfId="2" applyNumberFormat="1" applyFont="1" applyFill="1" applyBorder="1"/>
    <xf numFmtId="164" fontId="15" fillId="29" borderId="29" xfId="2" applyNumberFormat="1" applyFont="1" applyFill="1" applyBorder="1" applyAlignment="1">
      <alignment horizontal="center"/>
    </xf>
    <xf numFmtId="164" fontId="15" fillId="27" borderId="29" xfId="2" applyNumberFormat="1" applyFont="1" applyFill="1" applyBorder="1" applyAlignment="1">
      <alignment horizontal="center"/>
    </xf>
    <xf numFmtId="164" fontId="15" fillId="31" borderId="65" xfId="2" applyNumberFormat="1" applyFont="1" applyFill="1" applyBorder="1" applyAlignment="1">
      <alignment horizontal="center"/>
    </xf>
    <xf numFmtId="164" fontId="15" fillId="34" borderId="29" xfId="2" applyNumberFormat="1" applyFont="1" applyFill="1" applyBorder="1" applyAlignment="1">
      <alignment horizontal="center"/>
    </xf>
    <xf numFmtId="164" fontId="15" fillId="35" borderId="29" xfId="2" applyNumberFormat="1" applyFont="1" applyFill="1" applyBorder="1" applyAlignment="1">
      <alignment horizontal="center"/>
    </xf>
    <xf numFmtId="164" fontId="15" fillId="49" borderId="29" xfId="2" applyNumberFormat="1" applyFont="1" applyFill="1" applyBorder="1" applyAlignment="1">
      <alignment horizontal="center"/>
    </xf>
    <xf numFmtId="164" fontId="15" fillId="48" borderId="29" xfId="2" applyNumberFormat="1" applyFont="1" applyFill="1" applyBorder="1" applyAlignment="1">
      <alignment horizontal="center"/>
    </xf>
    <xf numFmtId="164" fontId="15" fillId="46" borderId="29" xfId="2" applyNumberFormat="1" applyFont="1" applyFill="1" applyBorder="1" applyAlignment="1">
      <alignment horizontal="center"/>
    </xf>
    <xf numFmtId="164" fontId="15" fillId="45" borderId="29" xfId="2" applyNumberFormat="1" applyFont="1" applyFill="1" applyBorder="1" applyAlignment="1">
      <alignment horizontal="center"/>
    </xf>
    <xf numFmtId="164" fontId="15" fillId="44" borderId="29" xfId="2" applyNumberFormat="1" applyFont="1" applyFill="1" applyBorder="1" applyAlignment="1">
      <alignment horizontal="center"/>
    </xf>
    <xf numFmtId="164" fontId="15" fillId="43" borderId="29" xfId="2" applyNumberFormat="1" applyFont="1" applyFill="1" applyBorder="1" applyAlignment="1">
      <alignment horizontal="center"/>
    </xf>
    <xf numFmtId="164" fontId="15" fillId="41" borderId="29" xfId="2" applyNumberFormat="1" applyFont="1" applyFill="1" applyBorder="1" applyAlignment="1">
      <alignment horizontal="center"/>
    </xf>
    <xf numFmtId="164" fontId="15" fillId="31" borderId="29" xfId="2" applyNumberFormat="1" applyFont="1" applyFill="1" applyBorder="1" applyAlignment="1">
      <alignment horizontal="center"/>
    </xf>
    <xf numFmtId="164" fontId="15" fillId="42" borderId="29" xfId="2" applyNumberFormat="1" applyFont="1" applyFill="1" applyBorder="1" applyAlignment="1">
      <alignment horizontal="center"/>
    </xf>
    <xf numFmtId="164" fontId="15" fillId="40" borderId="29" xfId="2" applyNumberFormat="1" applyFont="1" applyFill="1" applyBorder="1" applyAlignment="1">
      <alignment horizontal="center"/>
    </xf>
    <xf numFmtId="164" fontId="15" fillId="17" borderId="26" xfId="2" applyNumberFormat="1" applyFont="1" applyFill="1" applyBorder="1"/>
    <xf numFmtId="179" fontId="7" fillId="8" borderId="0" xfId="2" applyNumberFormat="1" applyFont="1" applyFill="1" applyBorder="1"/>
    <xf numFmtId="164" fontId="4" fillId="0" borderId="0" xfId="40" applyNumberFormat="1" applyFont="1" applyFill="1" applyBorder="1" applyAlignment="1">
      <alignment wrapText="1"/>
    </xf>
    <xf numFmtId="3" fontId="70" fillId="0" borderId="0" xfId="40" applyNumberFormat="1" applyFont="1"/>
    <xf numFmtId="0" fontId="15" fillId="35" borderId="11" xfId="22" applyFont="1" applyFill="1" applyBorder="1" applyAlignment="1">
      <alignment horizontal="center"/>
    </xf>
    <xf numFmtId="0" fontId="15" fillId="35" borderId="12" xfId="22" applyFont="1" applyFill="1" applyBorder="1" applyAlignment="1">
      <alignment horizontal="center"/>
    </xf>
    <xf numFmtId="3" fontId="26" fillId="0" borderId="0" xfId="1" applyNumberFormat="1" applyFont="1"/>
    <xf numFmtId="0" fontId="6" fillId="0" borderId="0" xfId="0" applyFont="1" applyFill="1" applyAlignment="1">
      <alignment horizontal="right"/>
    </xf>
    <xf numFmtId="0" fontId="6" fillId="0" borderId="19" xfId="22" applyFont="1" applyFill="1" applyBorder="1"/>
    <xf numFmtId="41" fontId="6" fillId="0" borderId="43" xfId="22" applyNumberFormat="1" applyFont="1" applyFill="1" applyBorder="1"/>
    <xf numFmtId="37" fontId="6" fillId="0" borderId="43" xfId="22" applyNumberFormat="1" applyFont="1" applyFill="1" applyBorder="1"/>
    <xf numFmtId="164" fontId="7" fillId="8" borderId="33" xfId="3" applyNumberFormat="1" applyFont="1" applyFill="1" applyBorder="1"/>
    <xf numFmtId="41" fontId="7" fillId="8" borderId="66" xfId="22" applyNumberFormat="1" applyFont="1" applyFill="1" applyBorder="1"/>
    <xf numFmtId="41" fontId="17" fillId="8" borderId="37" xfId="3" applyFont="1" applyFill="1" applyBorder="1"/>
    <xf numFmtId="0" fontId="7" fillId="8" borderId="35" xfId="37" applyFont="1" applyFill="1" applyBorder="1" applyAlignment="1">
      <alignment wrapText="1"/>
    </xf>
    <xf numFmtId="41" fontId="7" fillId="8" borderId="33" xfId="38" applyFont="1" applyFill="1" applyBorder="1"/>
    <xf numFmtId="0" fontId="7" fillId="8" borderId="36" xfId="37" applyFont="1" applyFill="1" applyBorder="1" applyAlignment="1">
      <alignment wrapText="1"/>
    </xf>
    <xf numFmtId="0" fontId="7" fillId="8" borderId="39" xfId="37" applyFont="1" applyFill="1" applyBorder="1" applyAlignment="1">
      <alignment wrapText="1"/>
    </xf>
    <xf numFmtId="41" fontId="7" fillId="8" borderId="37" xfId="38" applyFont="1" applyFill="1" applyBorder="1"/>
    <xf numFmtId="0" fontId="7" fillId="8" borderId="38" xfId="37" applyFont="1" applyFill="1" applyBorder="1" applyAlignment="1">
      <alignment wrapText="1"/>
    </xf>
    <xf numFmtId="0" fontId="26" fillId="0" borderId="0" xfId="1" applyFont="1" applyFill="1" applyBorder="1" applyAlignment="1">
      <alignment horizontal="center"/>
    </xf>
    <xf numFmtId="0" fontId="26" fillId="6" borderId="8" xfId="1" applyFont="1" applyFill="1" applyBorder="1" applyAlignment="1">
      <alignment horizontal="center"/>
    </xf>
    <xf numFmtId="0" fontId="26" fillId="6" borderId="31" xfId="1" applyFont="1" applyFill="1" applyBorder="1" applyAlignment="1">
      <alignment horizontal="center"/>
    </xf>
    <xf numFmtId="0" fontId="15" fillId="0" borderId="0" xfId="22" applyFont="1" applyAlignment="1">
      <alignment horizontal="center"/>
    </xf>
    <xf numFmtId="0" fontId="16" fillId="0" borderId="0" xfId="22" applyFont="1" applyAlignment="1"/>
    <xf numFmtId="0" fontId="15" fillId="0" borderId="0" xfId="22" applyFont="1" applyFill="1" applyBorder="1" applyAlignment="1">
      <alignment horizontal="center"/>
    </xf>
    <xf numFmtId="0" fontId="15" fillId="0" borderId="0" xfId="0" applyFont="1" applyFill="1" applyBorder="1" applyAlignment="1">
      <alignment horizontal="center"/>
    </xf>
    <xf numFmtId="0" fontId="15" fillId="0" borderId="0" xfId="0" applyFont="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wrapText="1"/>
    </xf>
    <xf numFmtId="0" fontId="6" fillId="0" borderId="0" xfId="0" applyFont="1" applyBorder="1" applyAlignment="1">
      <alignment wrapText="1"/>
    </xf>
    <xf numFmtId="0" fontId="6" fillId="0" borderId="0" xfId="0" applyFont="1" applyBorder="1" applyAlignment="1">
      <alignment horizontal="center"/>
    </xf>
    <xf numFmtId="0" fontId="16" fillId="0" borderId="0" xfId="0" applyFont="1" applyBorder="1" applyAlignment="1"/>
    <xf numFmtId="0" fontId="7" fillId="0" borderId="0" xfId="0" applyFont="1" applyBorder="1" applyAlignment="1">
      <alignment wrapText="1"/>
    </xf>
    <xf numFmtId="0" fontId="15" fillId="0" borderId="0" xfId="1" applyFont="1" applyAlignment="1">
      <alignment horizontal="center"/>
    </xf>
    <xf numFmtId="0" fontId="15" fillId="0" borderId="0" xfId="1" applyFont="1" applyAlignment="1"/>
    <xf numFmtId="0" fontId="7" fillId="0" borderId="0" xfId="1" applyFont="1" applyFill="1" applyAlignment="1">
      <alignment vertical="top" wrapText="1"/>
    </xf>
    <xf numFmtId="0" fontId="7" fillId="0" borderId="0" xfId="1" applyFont="1" applyFill="1" applyAlignment="1">
      <alignment vertical="center" wrapText="1"/>
    </xf>
    <xf numFmtId="0" fontId="0" fillId="0" borderId="0" xfId="0"/>
    <xf numFmtId="0" fontId="16" fillId="0" borderId="0" xfId="1" applyFont="1" applyAlignment="1"/>
    <xf numFmtId="0" fontId="6" fillId="0" borderId="0" xfId="22" applyFont="1" applyFill="1" applyBorder="1" applyAlignment="1">
      <alignment horizontal="center" wrapText="1"/>
    </xf>
    <xf numFmtId="0" fontId="6" fillId="0" borderId="15" xfId="22" applyFont="1" applyFill="1" applyBorder="1" applyAlignment="1">
      <alignment horizontal="center" wrapText="1"/>
    </xf>
    <xf numFmtId="0" fontId="6" fillId="0" borderId="0" xfId="22" applyNumberFormat="1" applyFont="1" applyFill="1" applyBorder="1" applyAlignment="1">
      <alignment horizontal="center"/>
    </xf>
    <xf numFmtId="37" fontId="6" fillId="0" borderId="12" xfId="22" applyNumberFormat="1" applyFont="1" applyBorder="1" applyAlignment="1">
      <alignment horizontal="center"/>
    </xf>
    <xf numFmtId="37" fontId="6" fillId="0" borderId="14" xfId="22" applyNumberFormat="1" applyFont="1" applyBorder="1" applyAlignment="1">
      <alignment horizontal="center"/>
    </xf>
    <xf numFmtId="37" fontId="6" fillId="0" borderId="0" xfId="22" applyNumberFormat="1" applyFont="1" applyBorder="1" applyAlignment="1">
      <alignment horizontal="center"/>
    </xf>
    <xf numFmtId="0" fontId="6" fillId="0" borderId="2" xfId="22" applyFont="1" applyFill="1" applyBorder="1" applyAlignment="1">
      <alignment horizontal="center" wrapText="1"/>
    </xf>
    <xf numFmtId="0" fontId="6" fillId="0" borderId="9" xfId="22" applyFont="1" applyFill="1" applyBorder="1" applyAlignment="1">
      <alignment horizontal="center" wrapText="1"/>
    </xf>
    <xf numFmtId="0" fontId="6" fillId="16" borderId="12" xfId="22" applyFont="1" applyFill="1" applyBorder="1" applyAlignment="1">
      <alignment horizontal="center" wrapText="1"/>
    </xf>
    <xf numFmtId="0" fontId="6" fillId="16" borderId="14" xfId="22" applyFont="1" applyFill="1" applyBorder="1" applyAlignment="1">
      <alignment horizontal="center" wrapText="1"/>
    </xf>
    <xf numFmtId="0" fontId="6" fillId="16" borderId="8" xfId="22" applyFont="1" applyFill="1" applyBorder="1" applyAlignment="1">
      <alignment horizontal="center" wrapText="1"/>
    </xf>
    <xf numFmtId="0" fontId="6" fillId="16" borderId="31" xfId="22" applyFont="1" applyFill="1" applyBorder="1" applyAlignment="1">
      <alignment horizontal="center" wrapText="1"/>
    </xf>
    <xf numFmtId="0" fontId="15" fillId="35" borderId="11" xfId="22" applyFont="1" applyFill="1" applyBorder="1" applyAlignment="1">
      <alignment vertical="top"/>
    </xf>
    <xf numFmtId="0" fontId="0" fillId="0" borderId="12" xfId="0" applyBorder="1" applyAlignment="1">
      <alignment vertical="top"/>
    </xf>
    <xf numFmtId="0" fontId="6" fillId="35" borderId="12" xfId="22" applyFont="1" applyFill="1" applyBorder="1" applyAlignment="1">
      <alignment vertical="top"/>
    </xf>
    <xf numFmtId="0" fontId="15" fillId="26" borderId="12" xfId="22" applyFont="1" applyFill="1" applyBorder="1" applyAlignment="1">
      <alignment horizontal="center"/>
    </xf>
    <xf numFmtId="0" fontId="0" fillId="0" borderId="12" xfId="0" applyBorder="1" applyAlignment="1"/>
    <xf numFmtId="0" fontId="0" fillId="0" borderId="14" xfId="0" applyBorder="1" applyAlignment="1"/>
    <xf numFmtId="0" fontId="15" fillId="26" borderId="11" xfId="22" applyFont="1" applyFill="1" applyBorder="1" applyAlignment="1"/>
    <xf numFmtId="0" fontId="15" fillId="26" borderId="12" xfId="22" applyFont="1" applyFill="1" applyBorder="1" applyAlignment="1"/>
    <xf numFmtId="0" fontId="15" fillId="26" borderId="14" xfId="22" applyFont="1" applyFill="1" applyBorder="1" applyAlignment="1"/>
    <xf numFmtId="0" fontId="15" fillId="26" borderId="11" xfId="22" applyFont="1" applyFill="1" applyBorder="1" applyAlignment="1">
      <alignment horizontal="center"/>
    </xf>
    <xf numFmtId="0" fontId="0" fillId="0" borderId="12" xfId="0" applyBorder="1" applyAlignment="1">
      <alignment horizontal="center"/>
    </xf>
    <xf numFmtId="0" fontId="15" fillId="35" borderId="11" xfId="22" applyFont="1" applyFill="1" applyBorder="1" applyAlignment="1">
      <alignment horizontal="center"/>
    </xf>
    <xf numFmtId="0" fontId="15" fillId="35" borderId="12" xfId="22" applyFont="1" applyFill="1" applyBorder="1" applyAlignment="1">
      <alignment horizontal="center"/>
    </xf>
    <xf numFmtId="0" fontId="15" fillId="35" borderId="14" xfId="22" applyFont="1" applyFill="1" applyBorder="1" applyAlignment="1">
      <alignment horizontal="center"/>
    </xf>
    <xf numFmtId="0" fontId="4" fillId="0" borderId="12" xfId="0" applyFont="1" applyBorder="1" applyAlignment="1">
      <alignment horizontal="center"/>
    </xf>
    <xf numFmtId="164" fontId="6" fillId="25" borderId="11" xfId="2" applyNumberFormat="1" applyFont="1" applyFill="1" applyBorder="1" applyAlignment="1">
      <alignment horizontal="center" wrapText="1"/>
    </xf>
    <xf numFmtId="164" fontId="6" fillId="25" borderId="12" xfId="2" applyNumberFormat="1" applyFont="1" applyFill="1" applyBorder="1" applyAlignment="1">
      <alignment horizontal="center" wrapText="1"/>
    </xf>
    <xf numFmtId="164" fontId="6" fillId="25" borderId="14" xfId="2" applyNumberFormat="1" applyFont="1" applyFill="1" applyBorder="1" applyAlignment="1">
      <alignment horizontal="center" wrapText="1"/>
    </xf>
    <xf numFmtId="164" fontId="15" fillId="25" borderId="11" xfId="2" applyNumberFormat="1" applyFont="1" applyFill="1" applyBorder="1" applyAlignment="1">
      <alignment horizontal="center" wrapText="1"/>
    </xf>
    <xf numFmtId="164" fontId="15" fillId="25" borderId="12" xfId="2" applyNumberFormat="1" applyFont="1" applyFill="1" applyBorder="1" applyAlignment="1">
      <alignment horizontal="center" wrapText="1"/>
    </xf>
    <xf numFmtId="164" fontId="15" fillId="25" borderId="14" xfId="2" applyNumberFormat="1" applyFont="1" applyFill="1" applyBorder="1" applyAlignment="1">
      <alignment horizontal="center" wrapText="1"/>
    </xf>
    <xf numFmtId="0" fontId="15" fillId="15" borderId="11" xfId="22" applyFont="1" applyFill="1" applyBorder="1" applyAlignment="1">
      <alignment horizontal="center" wrapText="1"/>
    </xf>
    <xf numFmtId="0" fontId="15" fillId="15" borderId="12" xfId="22" applyFont="1" applyFill="1" applyBorder="1" applyAlignment="1">
      <alignment horizontal="center" wrapText="1"/>
    </xf>
    <xf numFmtId="0" fontId="15" fillId="15" borderId="14" xfId="22" applyFont="1" applyFill="1" applyBorder="1" applyAlignment="1">
      <alignment horizontal="center" wrapText="1"/>
    </xf>
    <xf numFmtId="0" fontId="6" fillId="23" borderId="11" xfId="22" applyFont="1" applyFill="1" applyBorder="1" applyAlignment="1">
      <alignment horizontal="center" wrapText="1"/>
    </xf>
    <xf numFmtId="0" fontId="6" fillId="23" borderId="12" xfId="22" applyFont="1" applyFill="1" applyBorder="1" applyAlignment="1">
      <alignment horizontal="center" wrapText="1"/>
    </xf>
    <xf numFmtId="0" fontId="6" fillId="23" borderId="14" xfId="22" applyFont="1" applyFill="1" applyBorder="1" applyAlignment="1">
      <alignment horizontal="center" wrapText="1"/>
    </xf>
    <xf numFmtId="0" fontId="6" fillId="20" borderId="11" xfId="22" applyFont="1" applyFill="1" applyBorder="1" applyAlignment="1">
      <alignment horizontal="center" wrapText="1"/>
    </xf>
    <xf numFmtId="0" fontId="6" fillId="20" borderId="12" xfId="22" applyFont="1" applyFill="1" applyBorder="1" applyAlignment="1">
      <alignment horizontal="center" wrapText="1"/>
    </xf>
    <xf numFmtId="0" fontId="6" fillId="20" borderId="14" xfId="22" applyFont="1" applyFill="1" applyBorder="1" applyAlignment="1">
      <alignment horizontal="center" wrapText="1"/>
    </xf>
    <xf numFmtId="0" fontId="6" fillId="12" borderId="11" xfId="22" applyFont="1" applyFill="1" applyBorder="1" applyAlignment="1">
      <alignment horizontal="center" wrapText="1"/>
    </xf>
    <xf numFmtId="0" fontId="6" fillId="12" borderId="12" xfId="22" applyFont="1" applyFill="1" applyBorder="1" applyAlignment="1">
      <alignment horizontal="center" wrapText="1"/>
    </xf>
    <xf numFmtId="0" fontId="6" fillId="12" borderId="14" xfId="22" applyFont="1" applyFill="1" applyBorder="1" applyAlignment="1">
      <alignment horizontal="center" wrapText="1"/>
    </xf>
    <xf numFmtId="164" fontId="15" fillId="11" borderId="27" xfId="2" applyNumberFormat="1" applyFont="1" applyFill="1" applyBorder="1" applyAlignment="1">
      <alignment horizontal="center" wrapText="1"/>
    </xf>
    <xf numFmtId="164" fontId="15" fillId="11" borderId="56" xfId="2" applyNumberFormat="1" applyFont="1" applyFill="1" applyBorder="1" applyAlignment="1">
      <alignment horizontal="center" wrapText="1"/>
    </xf>
    <xf numFmtId="164" fontId="15" fillId="11" borderId="55" xfId="2" applyNumberFormat="1" applyFont="1" applyFill="1" applyBorder="1" applyAlignment="1">
      <alignment horizontal="center" wrapText="1"/>
    </xf>
    <xf numFmtId="0" fontId="6" fillId="25" borderId="11" xfId="22" applyFont="1" applyFill="1" applyBorder="1" applyAlignment="1">
      <alignment horizontal="center" wrapText="1"/>
    </xf>
    <xf numFmtId="0" fontId="6" fillId="25" borderId="12" xfId="22" applyFont="1" applyFill="1" applyBorder="1" applyAlignment="1">
      <alignment horizontal="center" wrapText="1"/>
    </xf>
    <xf numFmtId="0" fontId="6" fillId="25" borderId="14" xfId="22" applyFont="1" applyFill="1" applyBorder="1" applyAlignment="1">
      <alignment horizontal="center" wrapText="1"/>
    </xf>
    <xf numFmtId="164" fontId="6" fillId="29" borderId="11" xfId="2" applyNumberFormat="1" applyFont="1" applyFill="1" applyBorder="1" applyAlignment="1">
      <alignment horizontal="center" wrapText="1"/>
    </xf>
    <xf numFmtId="164" fontId="6" fillId="29" borderId="12" xfId="2" applyNumberFormat="1" applyFont="1" applyFill="1" applyBorder="1" applyAlignment="1">
      <alignment horizontal="center" wrapText="1"/>
    </xf>
    <xf numFmtId="164" fontId="6" fillId="29" borderId="14" xfId="2" applyNumberFormat="1" applyFont="1" applyFill="1" applyBorder="1" applyAlignment="1">
      <alignment horizontal="center" wrapText="1"/>
    </xf>
    <xf numFmtId="0" fontId="15" fillId="13" borderId="11" xfId="22" applyFont="1" applyFill="1" applyBorder="1" applyAlignment="1">
      <alignment horizontal="center" wrapText="1"/>
    </xf>
    <xf numFmtId="0" fontId="15" fillId="13" borderId="12" xfId="22" applyFont="1" applyFill="1" applyBorder="1" applyAlignment="1">
      <alignment horizontal="center" wrapText="1"/>
    </xf>
    <xf numFmtId="0" fontId="15" fillId="13" borderId="14" xfId="22" applyFont="1" applyFill="1" applyBorder="1" applyAlignment="1">
      <alignment horizontal="center" wrapText="1"/>
    </xf>
    <xf numFmtId="0" fontId="15" fillId="11" borderId="11" xfId="22" applyFont="1" applyFill="1" applyBorder="1" applyAlignment="1">
      <alignment horizontal="center" wrapText="1"/>
    </xf>
    <xf numFmtId="0" fontId="15" fillId="11" borderId="12" xfId="22" applyFont="1" applyFill="1" applyBorder="1" applyAlignment="1">
      <alignment horizontal="center" wrapText="1"/>
    </xf>
    <xf numFmtId="0" fontId="15" fillId="11" borderId="14" xfId="22" applyFont="1" applyFill="1" applyBorder="1" applyAlignment="1">
      <alignment horizontal="center" wrapText="1"/>
    </xf>
    <xf numFmtId="0" fontId="6" fillId="11" borderId="11" xfId="22" applyFont="1" applyFill="1" applyBorder="1" applyAlignment="1">
      <alignment horizontal="center" wrapText="1"/>
    </xf>
    <xf numFmtId="0" fontId="6" fillId="11" borderId="12" xfId="22" applyFont="1" applyFill="1" applyBorder="1" applyAlignment="1">
      <alignment horizontal="center" wrapText="1"/>
    </xf>
    <xf numFmtId="0" fontId="6" fillId="11" borderId="14" xfId="22" applyFont="1" applyFill="1" applyBorder="1" applyAlignment="1">
      <alignment horizontal="center" wrapText="1"/>
    </xf>
    <xf numFmtId="0" fontId="60" fillId="0" borderId="0" xfId="0" applyFont="1" applyAlignment="1">
      <alignment vertical="center"/>
    </xf>
    <xf numFmtId="0" fontId="15" fillId="19" borderId="11" xfId="22" applyFont="1" applyFill="1" applyBorder="1" applyAlignment="1">
      <alignment horizontal="center" wrapText="1"/>
    </xf>
    <xf numFmtId="0" fontId="15" fillId="19" borderId="12" xfId="22" applyFont="1" applyFill="1" applyBorder="1" applyAlignment="1">
      <alignment horizontal="center" wrapText="1"/>
    </xf>
    <xf numFmtId="0" fontId="15" fillId="19" borderId="14" xfId="22" applyFont="1" applyFill="1" applyBorder="1" applyAlignment="1">
      <alignment horizontal="center" wrapText="1"/>
    </xf>
    <xf numFmtId="0" fontId="6" fillId="18" borderId="11" xfId="22" applyFont="1" applyFill="1" applyBorder="1" applyAlignment="1">
      <alignment horizontal="center" wrapText="1" shrinkToFit="1"/>
    </xf>
    <xf numFmtId="0" fontId="6" fillId="18" borderId="12" xfId="22" applyFont="1" applyFill="1" applyBorder="1" applyAlignment="1">
      <alignment horizontal="center" wrapText="1" shrinkToFit="1"/>
    </xf>
    <xf numFmtId="0" fontId="6" fillId="18" borderId="14" xfId="22" applyFont="1" applyFill="1" applyBorder="1" applyAlignment="1">
      <alignment horizontal="center" wrapText="1" shrinkToFit="1"/>
    </xf>
    <xf numFmtId="0" fontId="15" fillId="17" borderId="11" xfId="22" applyFont="1" applyFill="1" applyBorder="1" applyAlignment="1">
      <alignment horizontal="center"/>
    </xf>
    <xf numFmtId="0" fontId="15" fillId="17" borderId="12" xfId="22" applyFont="1" applyFill="1" applyBorder="1" applyAlignment="1">
      <alignment horizontal="center"/>
    </xf>
    <xf numFmtId="0" fontId="15" fillId="17" borderId="14" xfId="22" applyFont="1" applyFill="1" applyBorder="1" applyAlignment="1">
      <alignment horizontal="center"/>
    </xf>
    <xf numFmtId="0" fontId="15" fillId="12" borderId="11" xfId="22" applyFont="1" applyFill="1" applyBorder="1" applyAlignment="1">
      <alignment horizontal="center"/>
    </xf>
    <xf numFmtId="0" fontId="15" fillId="12" borderId="12" xfId="22" applyFont="1" applyFill="1" applyBorder="1" applyAlignment="1">
      <alignment horizontal="center"/>
    </xf>
    <xf numFmtId="0" fontId="15" fillId="12" borderId="14" xfId="22" applyFont="1" applyFill="1" applyBorder="1" applyAlignment="1">
      <alignment horizontal="center"/>
    </xf>
    <xf numFmtId="0" fontId="15" fillId="18" borderId="11" xfId="22" applyFont="1" applyFill="1" applyBorder="1" applyAlignment="1">
      <alignment horizontal="center"/>
    </xf>
    <xf numFmtId="0" fontId="15" fillId="18" borderId="12" xfId="22" applyFont="1" applyFill="1" applyBorder="1" applyAlignment="1">
      <alignment horizontal="center"/>
    </xf>
    <xf numFmtId="0" fontId="15" fillId="18" borderId="14" xfId="22" applyFont="1" applyFill="1" applyBorder="1" applyAlignment="1">
      <alignment horizontal="center"/>
    </xf>
    <xf numFmtId="0" fontId="15" fillId="8" borderId="11" xfId="22" applyFont="1" applyFill="1" applyBorder="1" applyAlignment="1">
      <alignment horizontal="center"/>
    </xf>
    <xf numFmtId="0" fontId="15" fillId="8" borderId="12" xfId="22" applyFont="1" applyFill="1" applyBorder="1" applyAlignment="1">
      <alignment horizontal="center"/>
    </xf>
    <xf numFmtId="0" fontId="15" fillId="8" borderId="14" xfId="22" applyFont="1" applyFill="1" applyBorder="1" applyAlignment="1">
      <alignment horizontal="center"/>
    </xf>
    <xf numFmtId="0" fontId="15" fillId="14" borderId="11" xfId="22" applyFont="1" applyFill="1" applyBorder="1" applyAlignment="1">
      <alignment horizontal="center"/>
    </xf>
    <xf numFmtId="0" fontId="15" fillId="14" borderId="12" xfId="22" applyFont="1" applyFill="1" applyBorder="1" applyAlignment="1">
      <alignment horizontal="center"/>
    </xf>
    <xf numFmtId="0" fontId="15" fillId="14" borderId="14" xfId="22" applyFont="1" applyFill="1" applyBorder="1" applyAlignment="1">
      <alignment horizontal="center"/>
    </xf>
    <xf numFmtId="0" fontId="15" fillId="10" borderId="11" xfId="22" applyFont="1" applyFill="1" applyBorder="1" applyAlignment="1">
      <alignment horizontal="center" wrapText="1"/>
    </xf>
    <xf numFmtId="0" fontId="15" fillId="10" borderId="12" xfId="22" applyFont="1" applyFill="1" applyBorder="1" applyAlignment="1">
      <alignment horizontal="center" wrapText="1"/>
    </xf>
    <xf numFmtId="0" fontId="15" fillId="10" borderId="14" xfId="22" applyFont="1" applyFill="1" applyBorder="1" applyAlignment="1">
      <alignment horizontal="center" wrapText="1"/>
    </xf>
    <xf numFmtId="0" fontId="6" fillId="4" borderId="11" xfId="22" applyFont="1" applyFill="1" applyBorder="1" applyAlignment="1">
      <alignment horizontal="center" wrapText="1"/>
    </xf>
    <xf numFmtId="0" fontId="6" fillId="4" borderId="12" xfId="22" applyFont="1" applyFill="1" applyBorder="1" applyAlignment="1">
      <alignment horizontal="center" wrapText="1"/>
    </xf>
    <xf numFmtId="0" fontId="6" fillId="4" borderId="14" xfId="22" applyFont="1" applyFill="1" applyBorder="1" applyAlignment="1">
      <alignment horizontal="center" wrapText="1"/>
    </xf>
    <xf numFmtId="0" fontId="6" fillId="10" borderId="11" xfId="22" applyFont="1" applyFill="1" applyBorder="1" applyAlignment="1">
      <alignment horizontal="center" wrapText="1"/>
    </xf>
    <xf numFmtId="0" fontId="6" fillId="10" borderId="12" xfId="22" applyFont="1" applyFill="1" applyBorder="1" applyAlignment="1">
      <alignment horizontal="center" wrapText="1"/>
    </xf>
    <xf numFmtId="0" fontId="6" fillId="10" borderId="14" xfId="22" applyFont="1" applyFill="1" applyBorder="1" applyAlignment="1">
      <alignment horizontal="center" wrapText="1"/>
    </xf>
    <xf numFmtId="0" fontId="6" fillId="29" borderId="11" xfId="22" applyFont="1" applyFill="1" applyBorder="1" applyAlignment="1">
      <alignment horizontal="center" wrapText="1"/>
    </xf>
    <xf numFmtId="0" fontId="6" fillId="29" borderId="12" xfId="22" applyFont="1" applyFill="1" applyBorder="1" applyAlignment="1">
      <alignment horizontal="center" wrapText="1"/>
    </xf>
    <xf numFmtId="0" fontId="6" fillId="29" borderId="14" xfId="22" applyFont="1" applyFill="1" applyBorder="1" applyAlignment="1">
      <alignment horizontal="center" wrapText="1"/>
    </xf>
    <xf numFmtId="164" fontId="15" fillId="47" borderId="11" xfId="2" applyNumberFormat="1" applyFont="1" applyFill="1" applyBorder="1" applyAlignment="1">
      <alignment horizontal="center" wrapText="1"/>
    </xf>
    <xf numFmtId="164" fontId="15" fillId="47" borderId="12" xfId="2" applyNumberFormat="1" applyFont="1" applyFill="1" applyBorder="1" applyAlignment="1">
      <alignment horizontal="center" wrapText="1"/>
    </xf>
    <xf numFmtId="164" fontId="15" fillId="47" borderId="14" xfId="2" applyNumberFormat="1" applyFont="1" applyFill="1" applyBorder="1" applyAlignment="1">
      <alignment horizontal="center" wrapText="1"/>
    </xf>
    <xf numFmtId="164" fontId="6" fillId="50" borderId="11" xfId="2" applyNumberFormat="1" applyFont="1" applyFill="1" applyBorder="1" applyAlignment="1">
      <alignment horizontal="center" wrapText="1"/>
    </xf>
    <xf numFmtId="164" fontId="6" fillId="50" borderId="12" xfId="2" applyNumberFormat="1" applyFont="1" applyFill="1" applyBorder="1" applyAlignment="1">
      <alignment horizontal="center" wrapText="1"/>
    </xf>
    <xf numFmtId="164" fontId="6" fillId="50" borderId="14" xfId="2" applyNumberFormat="1" applyFont="1" applyFill="1" applyBorder="1" applyAlignment="1">
      <alignment horizontal="center" wrapText="1"/>
    </xf>
    <xf numFmtId="164" fontId="15" fillId="27" borderId="11" xfId="2" applyNumberFormat="1" applyFont="1" applyFill="1" applyBorder="1" applyAlignment="1">
      <alignment horizontal="center" wrapText="1"/>
    </xf>
    <xf numFmtId="164" fontId="15" fillId="27" borderId="12" xfId="2" applyNumberFormat="1" applyFont="1" applyFill="1" applyBorder="1" applyAlignment="1">
      <alignment horizontal="center" wrapText="1"/>
    </xf>
    <xf numFmtId="164" fontId="15" fillId="27" borderId="14" xfId="2" applyNumberFormat="1" applyFont="1" applyFill="1" applyBorder="1" applyAlignment="1">
      <alignment horizontal="center" wrapText="1"/>
    </xf>
    <xf numFmtId="0" fontId="6" fillId="28" borderId="11" xfId="22" applyFont="1" applyFill="1" applyBorder="1" applyAlignment="1">
      <alignment horizontal="center" wrapText="1"/>
    </xf>
    <xf numFmtId="0" fontId="6" fillId="28" borderId="12" xfId="22" applyFont="1" applyFill="1" applyBorder="1" applyAlignment="1">
      <alignment horizontal="center" wrapText="1"/>
    </xf>
    <xf numFmtId="0" fontId="6" fillId="28" borderId="14" xfId="22" applyFont="1" applyFill="1" applyBorder="1" applyAlignment="1">
      <alignment horizontal="center" wrapText="1"/>
    </xf>
    <xf numFmtId="164" fontId="15" fillId="37" borderId="11" xfId="2" applyNumberFormat="1" applyFont="1" applyFill="1" applyBorder="1" applyAlignment="1">
      <alignment horizontal="center" wrapText="1"/>
    </xf>
    <xf numFmtId="164" fontId="15" fillId="37" borderId="12" xfId="2" applyNumberFormat="1" applyFont="1" applyFill="1" applyBorder="1" applyAlignment="1">
      <alignment horizontal="center" wrapText="1"/>
    </xf>
    <xf numFmtId="164" fontId="15" fillId="37" borderId="14" xfId="2" applyNumberFormat="1" applyFont="1" applyFill="1" applyBorder="1" applyAlignment="1">
      <alignment horizontal="center" wrapText="1"/>
    </xf>
    <xf numFmtId="164" fontId="15" fillId="30" borderId="11" xfId="2" applyNumberFormat="1" applyFont="1" applyFill="1" applyBorder="1" applyAlignment="1">
      <alignment horizontal="center" wrapText="1"/>
    </xf>
    <xf numFmtId="164" fontId="15" fillId="30" borderId="12" xfId="2" applyNumberFormat="1" applyFont="1" applyFill="1" applyBorder="1" applyAlignment="1">
      <alignment horizontal="center" wrapText="1"/>
    </xf>
    <xf numFmtId="164" fontId="15" fillId="30" borderId="14" xfId="2" applyNumberFormat="1" applyFont="1" applyFill="1" applyBorder="1" applyAlignment="1">
      <alignment horizontal="center" wrapText="1"/>
    </xf>
    <xf numFmtId="164" fontId="15" fillId="29" borderId="11" xfId="2" applyNumberFormat="1" applyFont="1" applyFill="1" applyBorder="1" applyAlignment="1">
      <alignment horizontal="center" wrapText="1"/>
    </xf>
    <xf numFmtId="164" fontId="15" fillId="29" borderId="12" xfId="2" applyNumberFormat="1" applyFont="1" applyFill="1" applyBorder="1" applyAlignment="1">
      <alignment horizontal="center" wrapText="1"/>
    </xf>
    <xf numFmtId="164" fontId="15" fillId="29" borderId="14" xfId="2" applyNumberFormat="1" applyFont="1" applyFill="1" applyBorder="1" applyAlignment="1">
      <alignment horizontal="center" wrapText="1"/>
    </xf>
    <xf numFmtId="164" fontId="15" fillId="55" borderId="11" xfId="2" applyNumberFormat="1" applyFont="1" applyFill="1" applyBorder="1" applyAlignment="1">
      <alignment horizontal="center" wrapText="1"/>
    </xf>
    <xf numFmtId="164" fontId="15" fillId="55" borderId="12" xfId="2" applyNumberFormat="1" applyFont="1" applyFill="1" applyBorder="1" applyAlignment="1">
      <alignment horizontal="center" wrapText="1"/>
    </xf>
    <xf numFmtId="164" fontId="15" fillId="55" borderId="14" xfId="2" applyNumberFormat="1" applyFont="1" applyFill="1" applyBorder="1" applyAlignment="1">
      <alignment horizontal="center" wrapText="1"/>
    </xf>
    <xf numFmtId="164" fontId="15" fillId="12" borderId="11" xfId="2" applyNumberFormat="1" applyFont="1" applyFill="1" applyBorder="1" applyAlignment="1">
      <alignment horizontal="center" wrapText="1"/>
    </xf>
    <xf numFmtId="164" fontId="15" fillId="12" borderId="12" xfId="2" applyNumberFormat="1" applyFont="1" applyFill="1" applyBorder="1" applyAlignment="1">
      <alignment horizontal="center" wrapText="1"/>
    </xf>
    <xf numFmtId="164" fontId="15" fillId="12" borderId="14" xfId="2" applyNumberFormat="1" applyFont="1" applyFill="1" applyBorder="1" applyAlignment="1">
      <alignment horizontal="center" wrapText="1"/>
    </xf>
    <xf numFmtId="0" fontId="6" fillId="21" borderId="11" xfId="22" applyFont="1" applyFill="1" applyBorder="1" applyAlignment="1">
      <alignment horizontal="center" wrapText="1"/>
    </xf>
    <xf numFmtId="0" fontId="6" fillId="21" borderId="12" xfId="22" applyFont="1" applyFill="1" applyBorder="1" applyAlignment="1">
      <alignment horizontal="center" wrapText="1"/>
    </xf>
    <xf numFmtId="0" fontId="6" fillId="21" borderId="14" xfId="22" applyFont="1" applyFill="1" applyBorder="1" applyAlignment="1">
      <alignment horizontal="center" wrapText="1"/>
    </xf>
    <xf numFmtId="164" fontId="15" fillId="26" borderId="11" xfId="2" applyNumberFormat="1" applyFont="1" applyFill="1" applyBorder="1" applyAlignment="1">
      <alignment horizontal="center" wrapText="1"/>
    </xf>
    <xf numFmtId="164" fontId="15" fillId="26" borderId="12" xfId="2" applyNumberFormat="1" applyFont="1" applyFill="1" applyBorder="1" applyAlignment="1">
      <alignment horizontal="center" wrapText="1"/>
    </xf>
    <xf numFmtId="164" fontId="15" fillId="26" borderId="14" xfId="2" applyNumberFormat="1" applyFont="1" applyFill="1" applyBorder="1" applyAlignment="1">
      <alignment horizontal="center" wrapText="1"/>
    </xf>
    <xf numFmtId="0" fontId="6" fillId="17" borderId="11" xfId="22" applyFont="1" applyFill="1" applyBorder="1" applyAlignment="1">
      <alignment horizontal="center" wrapText="1"/>
    </xf>
    <xf numFmtId="0" fontId="6" fillId="17" borderId="12" xfId="22" applyFont="1" applyFill="1" applyBorder="1" applyAlignment="1">
      <alignment horizontal="center" wrapText="1"/>
    </xf>
    <xf numFmtId="0" fontId="6" fillId="17" borderId="14" xfId="22" applyFont="1" applyFill="1" applyBorder="1" applyAlignment="1">
      <alignment horizontal="center" wrapText="1"/>
    </xf>
    <xf numFmtId="0" fontId="6" fillId="27" borderId="11" xfId="22" applyFont="1" applyFill="1" applyBorder="1" applyAlignment="1">
      <alignment horizontal="center" wrapText="1"/>
    </xf>
    <xf numFmtId="0" fontId="6" fillId="27" borderId="12" xfId="22" applyFont="1" applyFill="1" applyBorder="1" applyAlignment="1">
      <alignment horizontal="center" wrapText="1"/>
    </xf>
    <xf numFmtId="0" fontId="6" fillId="27" borderId="14" xfId="22" applyFont="1" applyFill="1" applyBorder="1" applyAlignment="1">
      <alignment horizontal="center" wrapText="1"/>
    </xf>
    <xf numFmtId="0" fontId="15" fillId="31" borderId="11" xfId="22" applyFont="1" applyFill="1" applyBorder="1" applyAlignment="1">
      <alignment horizontal="center" wrapText="1"/>
    </xf>
    <xf numFmtId="0" fontId="15" fillId="31" borderId="12" xfId="22" applyFont="1" applyFill="1" applyBorder="1" applyAlignment="1">
      <alignment horizontal="center" wrapText="1"/>
    </xf>
    <xf numFmtId="0" fontId="15" fillId="31" borderId="14" xfId="22" applyFont="1" applyFill="1" applyBorder="1" applyAlignment="1">
      <alignment horizontal="center" wrapText="1"/>
    </xf>
    <xf numFmtId="0" fontId="15" fillId="30" borderId="11" xfId="22" applyFont="1" applyFill="1" applyBorder="1" applyAlignment="1">
      <alignment horizontal="center" wrapText="1"/>
    </xf>
    <xf numFmtId="0" fontId="15" fillId="30" borderId="12" xfId="22" applyFont="1" applyFill="1" applyBorder="1" applyAlignment="1">
      <alignment horizontal="center" wrapText="1"/>
    </xf>
    <xf numFmtId="0" fontId="15" fillId="30" borderId="14" xfId="22" applyFont="1" applyFill="1" applyBorder="1" applyAlignment="1">
      <alignment horizontal="center" wrapText="1"/>
    </xf>
    <xf numFmtId="0" fontId="15" fillId="35" borderId="11" xfId="22" applyFont="1" applyFill="1" applyBorder="1" applyAlignment="1">
      <alignment horizontal="center" wrapText="1"/>
    </xf>
    <xf numFmtId="0" fontId="15" fillId="35" borderId="12" xfId="22" applyFont="1" applyFill="1" applyBorder="1" applyAlignment="1">
      <alignment horizontal="center" wrapText="1"/>
    </xf>
    <xf numFmtId="0" fontId="15" fillId="35" borderId="14" xfId="22" applyFont="1" applyFill="1" applyBorder="1" applyAlignment="1">
      <alignment horizontal="center" wrapText="1"/>
    </xf>
    <xf numFmtId="0" fontId="15" fillId="32" borderId="11" xfId="22" applyFont="1" applyFill="1" applyBorder="1" applyAlignment="1">
      <alignment horizontal="center" wrapText="1"/>
    </xf>
    <xf numFmtId="0" fontId="15" fillId="32" borderId="12" xfId="22" applyFont="1" applyFill="1" applyBorder="1" applyAlignment="1">
      <alignment horizontal="center" wrapText="1"/>
    </xf>
    <xf numFmtId="0" fontId="15" fillId="32" borderId="14" xfId="22" applyFont="1" applyFill="1" applyBorder="1" applyAlignment="1">
      <alignment horizontal="center" wrapText="1"/>
    </xf>
    <xf numFmtId="0" fontId="15" fillId="54" borderId="11" xfId="22" applyFont="1" applyFill="1" applyBorder="1" applyAlignment="1">
      <alignment horizontal="center" wrapText="1"/>
    </xf>
    <xf numFmtId="0" fontId="15" fillId="54" borderId="12" xfId="22" applyFont="1" applyFill="1" applyBorder="1" applyAlignment="1">
      <alignment horizontal="center" wrapText="1"/>
    </xf>
    <xf numFmtId="0" fontId="15" fillId="54" borderId="14" xfId="22" applyFont="1" applyFill="1" applyBorder="1" applyAlignment="1">
      <alignment horizontal="center" wrapText="1"/>
    </xf>
    <xf numFmtId="0" fontId="15" fillId="53" borderId="11" xfId="22" applyFont="1" applyFill="1" applyBorder="1" applyAlignment="1">
      <alignment horizontal="center" wrapText="1"/>
    </xf>
    <xf numFmtId="0" fontId="15" fillId="53" borderId="12" xfId="22" applyFont="1" applyFill="1" applyBorder="1" applyAlignment="1">
      <alignment horizontal="center" wrapText="1"/>
    </xf>
    <xf numFmtId="0" fontId="15" fillId="53" borderId="14" xfId="22" applyFont="1" applyFill="1" applyBorder="1" applyAlignment="1">
      <alignment horizontal="center" wrapText="1"/>
    </xf>
    <xf numFmtId="0" fontId="15" fillId="46" borderId="11" xfId="22" applyFont="1" applyFill="1" applyBorder="1" applyAlignment="1">
      <alignment horizontal="center" wrapText="1"/>
    </xf>
    <xf numFmtId="0" fontId="15" fillId="46" borderId="12" xfId="22" applyFont="1" applyFill="1" applyBorder="1" applyAlignment="1">
      <alignment horizontal="center" wrapText="1"/>
    </xf>
    <xf numFmtId="0" fontId="15" fillId="46" borderId="14" xfId="22" applyFont="1" applyFill="1" applyBorder="1" applyAlignment="1">
      <alignment horizontal="center" wrapText="1"/>
    </xf>
    <xf numFmtId="0" fontId="15" fillId="45" borderId="11" xfId="22" applyFont="1" applyFill="1" applyBorder="1" applyAlignment="1">
      <alignment horizontal="center" wrapText="1"/>
    </xf>
    <xf numFmtId="0" fontId="15" fillId="45" borderId="12" xfId="22" applyFont="1" applyFill="1" applyBorder="1" applyAlignment="1">
      <alignment horizontal="center" wrapText="1"/>
    </xf>
    <xf numFmtId="0" fontId="15" fillId="45" borderId="14" xfId="22" applyFont="1" applyFill="1" applyBorder="1" applyAlignment="1">
      <alignment horizontal="center" wrapText="1"/>
    </xf>
    <xf numFmtId="0" fontId="15" fillId="44" borderId="11" xfId="22" applyFont="1" applyFill="1" applyBorder="1" applyAlignment="1">
      <alignment horizontal="center" wrapText="1"/>
    </xf>
    <xf numFmtId="0" fontId="15" fillId="44" borderId="12" xfId="22" applyFont="1" applyFill="1" applyBorder="1" applyAlignment="1">
      <alignment horizontal="center" wrapText="1"/>
    </xf>
    <xf numFmtId="0" fontId="15" fillId="44" borderId="14" xfId="22" applyFont="1" applyFill="1" applyBorder="1" applyAlignment="1">
      <alignment horizontal="center" wrapText="1"/>
    </xf>
    <xf numFmtId="0" fontId="15" fillId="29" borderId="11" xfId="22" applyFont="1" applyFill="1" applyBorder="1" applyAlignment="1">
      <alignment horizontal="center" wrapText="1"/>
    </xf>
    <xf numFmtId="0" fontId="15" fillId="29" borderId="12" xfId="22" applyFont="1" applyFill="1" applyBorder="1" applyAlignment="1">
      <alignment horizontal="center" wrapText="1"/>
    </xf>
    <xf numFmtId="0" fontId="15" fillId="29" borderId="14" xfId="22" applyFont="1" applyFill="1" applyBorder="1" applyAlignment="1">
      <alignment horizontal="center" wrapText="1"/>
    </xf>
    <xf numFmtId="0" fontId="15" fillId="51" borderId="11" xfId="22" applyFont="1" applyFill="1" applyBorder="1" applyAlignment="1">
      <alignment horizontal="center" wrapText="1"/>
    </xf>
    <xf numFmtId="0" fontId="15" fillId="51" borderId="12" xfId="22" applyFont="1" applyFill="1" applyBorder="1" applyAlignment="1">
      <alignment horizontal="center" wrapText="1"/>
    </xf>
    <xf numFmtId="0" fontId="15" fillId="51" borderId="14" xfId="22" applyFont="1" applyFill="1" applyBorder="1" applyAlignment="1">
      <alignment horizontal="center" wrapText="1"/>
    </xf>
    <xf numFmtId="0" fontId="15" fillId="38" borderId="11" xfId="22" applyFont="1" applyFill="1" applyBorder="1" applyAlignment="1">
      <alignment horizontal="center" wrapText="1"/>
    </xf>
    <xf numFmtId="0" fontId="15" fillId="38" borderId="12" xfId="22" applyFont="1" applyFill="1" applyBorder="1" applyAlignment="1">
      <alignment horizontal="center" wrapText="1"/>
    </xf>
    <xf numFmtId="0" fontId="15" fillId="38" borderId="14" xfId="22" applyFont="1" applyFill="1" applyBorder="1" applyAlignment="1">
      <alignment horizontal="center" wrapText="1"/>
    </xf>
    <xf numFmtId="0" fontId="15" fillId="39" borderId="11" xfId="22" applyFont="1" applyFill="1" applyBorder="1" applyAlignment="1">
      <alignment horizontal="center" wrapText="1"/>
    </xf>
    <xf numFmtId="0" fontId="15" fillId="39" borderId="12" xfId="22" applyFont="1" applyFill="1" applyBorder="1" applyAlignment="1">
      <alignment horizontal="center" wrapText="1"/>
    </xf>
    <xf numFmtId="0" fontId="15" fillId="39" borderId="14" xfId="22" applyFont="1" applyFill="1" applyBorder="1" applyAlignment="1">
      <alignment horizontal="center" wrapText="1"/>
    </xf>
    <xf numFmtId="0" fontId="15" fillId="27" borderId="11" xfId="22" applyFont="1" applyFill="1" applyBorder="1" applyAlignment="1">
      <alignment horizontal="center" wrapText="1"/>
    </xf>
    <xf numFmtId="0" fontId="15" fillId="27" borderId="12" xfId="22" applyFont="1" applyFill="1" applyBorder="1" applyAlignment="1">
      <alignment horizontal="center" wrapText="1"/>
    </xf>
    <xf numFmtId="0" fontId="15" fillId="27" borderId="14" xfId="22" applyFont="1" applyFill="1" applyBorder="1" applyAlignment="1">
      <alignment horizontal="center" wrapText="1"/>
    </xf>
    <xf numFmtId="0" fontId="15" fillId="40" borderId="11" xfId="22" applyFont="1" applyFill="1" applyBorder="1" applyAlignment="1">
      <alignment horizontal="center" wrapText="1"/>
    </xf>
    <xf numFmtId="0" fontId="15" fillId="40" borderId="12" xfId="22" applyFont="1" applyFill="1" applyBorder="1" applyAlignment="1">
      <alignment horizontal="center" wrapText="1"/>
    </xf>
    <xf numFmtId="0" fontId="15" fillId="40" borderId="14" xfId="22" applyFont="1" applyFill="1" applyBorder="1" applyAlignment="1">
      <alignment horizontal="center" wrapText="1"/>
    </xf>
    <xf numFmtId="0" fontId="15" fillId="52" borderId="11" xfId="22" applyFont="1" applyFill="1" applyBorder="1" applyAlignment="1">
      <alignment horizontal="center" wrapText="1"/>
    </xf>
    <xf numFmtId="0" fontId="15" fillId="52" borderId="12" xfId="22" applyFont="1" applyFill="1" applyBorder="1" applyAlignment="1">
      <alignment horizontal="center" wrapText="1"/>
    </xf>
    <xf numFmtId="0" fontId="15" fillId="52" borderId="14" xfId="22" applyFont="1" applyFill="1" applyBorder="1" applyAlignment="1">
      <alignment horizontal="center" wrapText="1"/>
    </xf>
    <xf numFmtId="0" fontId="15" fillId="26" borderId="11" xfId="22" applyFont="1" applyFill="1" applyBorder="1" applyAlignment="1">
      <alignment horizontal="center" wrapText="1"/>
    </xf>
    <xf numFmtId="0" fontId="15" fillId="26" borderId="12" xfId="22" applyFont="1" applyFill="1" applyBorder="1" applyAlignment="1">
      <alignment horizontal="center" wrapText="1"/>
    </xf>
    <xf numFmtId="0" fontId="15" fillId="26" borderId="14" xfId="22" applyFont="1" applyFill="1" applyBorder="1" applyAlignment="1">
      <alignment horizontal="center" wrapText="1"/>
    </xf>
  </cellXfs>
  <cellStyles count="43">
    <cellStyle name="_x0013_" xfId="26"/>
    <cellStyle name="A3 297 x 420 mm" xfId="1"/>
    <cellStyle name="A3 297 x 420 mm 2" xfId="22"/>
    <cellStyle name="A3 297 x 420 mm 2 2" xfId="37"/>
    <cellStyle name="Comma" xfId="2" builtinId="3"/>
    <cellStyle name="Comma [0]" xfId="3" builtinId="6"/>
    <cellStyle name="Comma [0] 2" xfId="38"/>
    <cellStyle name="Comma 10 2" xfId="31"/>
    <cellStyle name="Comma 11" xfId="39"/>
    <cellStyle name="Comma 2" xfId="4"/>
    <cellStyle name="Comma 2 3" xfId="28"/>
    <cellStyle name="Comma 2 3 2" xfId="27"/>
    <cellStyle name="Comma 3" xfId="23"/>
    <cellStyle name="Comma 3 3" xfId="29"/>
    <cellStyle name="Comma 4" xfId="25"/>
    <cellStyle name="Comma 5" xfId="34"/>
    <cellStyle name="Comma 6" xfId="36"/>
    <cellStyle name="Config Data" xfId="5"/>
    <cellStyle name="Currency" xfId="6" builtinId="4"/>
    <cellStyle name="Currency 2" xfId="21"/>
    <cellStyle name="Currency 3" xfId="7"/>
    <cellStyle name="Currency 4" xfId="30"/>
    <cellStyle name="Euro" xfId="8"/>
    <cellStyle name="Normal" xfId="0" builtinId="0"/>
    <cellStyle name="Normal 10" xfId="42"/>
    <cellStyle name="Normal 2" xfId="24"/>
    <cellStyle name="Normal 3" xfId="35"/>
    <cellStyle name="Normal 4" xfId="40"/>
    <cellStyle name="Normal 40" xfId="32"/>
    <cellStyle name="Normal 68" xfId="41"/>
    <cellStyle name="Normal_AR workpaper --2002 Def Tax Exp by Account 8-14-02" xfId="9"/>
    <cellStyle name="Normal_FN1 Ratebase Draft SPP template (6-11-04) v2" xfId="10"/>
    <cellStyle name="Percent" xfId="11" builtinId="5"/>
    <cellStyle name="Percent 2" xfId="33"/>
    <cellStyle name="Percent 4" xfId="12"/>
    <cellStyle name="PSChar" xfId="13"/>
    <cellStyle name="PSDate" xfId="14"/>
    <cellStyle name="PSDec" xfId="15"/>
    <cellStyle name="PSHeading" xfId="16"/>
    <cellStyle name="PSInt" xfId="17"/>
    <cellStyle name="PSSpacer" xfId="18"/>
    <cellStyle name="SECTION" xfId="19"/>
    <cellStyle name="System Defined" xfId="20"/>
  </cellStyles>
  <dxfs count="3">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3756</xdr:colOff>
      <xdr:row>70</xdr:row>
      <xdr:rowOff>111125</xdr:rowOff>
    </xdr:from>
    <xdr:to>
      <xdr:col>35</xdr:col>
      <xdr:colOff>3756</xdr:colOff>
      <xdr:row>71</xdr:row>
      <xdr:rowOff>0</xdr:rowOff>
    </xdr:to>
    <xdr:sp macro="" textlink="">
      <xdr:nvSpPr>
        <xdr:cNvPr id="34" name="WordArt 5"/>
        <xdr:cNvSpPr>
          <a:spLocks noChangeArrowheads="1" noChangeShapeType="1" noTextEdit="1"/>
        </xdr:cNvSpPr>
      </xdr:nvSpPr>
      <xdr:spPr bwMode="auto">
        <a:xfrm>
          <a:off x="3411686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68</xdr:row>
      <xdr:rowOff>123825</xdr:rowOff>
    </xdr:from>
    <xdr:to>
      <xdr:col>36</xdr:col>
      <xdr:colOff>3756</xdr:colOff>
      <xdr:row>69</xdr:row>
      <xdr:rowOff>98623</xdr:rowOff>
    </xdr:to>
    <xdr:sp macro="" textlink="">
      <xdr:nvSpPr>
        <xdr:cNvPr id="35" name="WordArt 6"/>
        <xdr:cNvSpPr>
          <a:spLocks noChangeArrowheads="1" noChangeShapeType="1" noTextEdit="1"/>
        </xdr:cNvSpPr>
      </xdr:nvSpPr>
      <xdr:spPr bwMode="auto">
        <a:xfrm>
          <a:off x="3411686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70</xdr:row>
      <xdr:rowOff>111125</xdr:rowOff>
    </xdr:from>
    <xdr:to>
      <xdr:col>34</xdr:col>
      <xdr:colOff>1012243</xdr:colOff>
      <xdr:row>71</xdr:row>
      <xdr:rowOff>0</xdr:rowOff>
    </xdr:to>
    <xdr:sp macro="" textlink="">
      <xdr:nvSpPr>
        <xdr:cNvPr id="36" name="WordArt 5"/>
        <xdr:cNvSpPr>
          <a:spLocks noChangeArrowheads="1" noChangeShapeType="1" noTextEdit="1"/>
        </xdr:cNvSpPr>
      </xdr:nvSpPr>
      <xdr:spPr bwMode="auto">
        <a:xfrm>
          <a:off x="3377824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68</xdr:row>
      <xdr:rowOff>123825</xdr:rowOff>
    </xdr:from>
    <xdr:to>
      <xdr:col>35</xdr:col>
      <xdr:colOff>1012243</xdr:colOff>
      <xdr:row>69</xdr:row>
      <xdr:rowOff>98623</xdr:rowOff>
    </xdr:to>
    <xdr:sp macro="" textlink="">
      <xdr:nvSpPr>
        <xdr:cNvPr id="37" name="WordArt 6"/>
        <xdr:cNvSpPr>
          <a:spLocks noChangeArrowheads="1" noChangeShapeType="1" noTextEdit="1"/>
        </xdr:cNvSpPr>
      </xdr:nvSpPr>
      <xdr:spPr bwMode="auto">
        <a:xfrm>
          <a:off x="3377824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70</xdr:row>
      <xdr:rowOff>111125</xdr:rowOff>
    </xdr:from>
    <xdr:to>
      <xdr:col>34</xdr:col>
      <xdr:colOff>1012243</xdr:colOff>
      <xdr:row>71</xdr:row>
      <xdr:rowOff>0</xdr:rowOff>
    </xdr:to>
    <xdr:sp macro="" textlink="">
      <xdr:nvSpPr>
        <xdr:cNvPr id="38" name="WordArt 5"/>
        <xdr:cNvSpPr>
          <a:spLocks noChangeArrowheads="1" noChangeShapeType="1" noTextEdit="1"/>
        </xdr:cNvSpPr>
      </xdr:nvSpPr>
      <xdr:spPr bwMode="auto">
        <a:xfrm>
          <a:off x="3377824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68</xdr:row>
      <xdr:rowOff>123825</xdr:rowOff>
    </xdr:from>
    <xdr:to>
      <xdr:col>35</xdr:col>
      <xdr:colOff>1012243</xdr:colOff>
      <xdr:row>69</xdr:row>
      <xdr:rowOff>98623</xdr:rowOff>
    </xdr:to>
    <xdr:sp macro="" textlink="">
      <xdr:nvSpPr>
        <xdr:cNvPr id="39" name="WordArt 6"/>
        <xdr:cNvSpPr>
          <a:spLocks noChangeArrowheads="1" noChangeShapeType="1" noTextEdit="1"/>
        </xdr:cNvSpPr>
      </xdr:nvSpPr>
      <xdr:spPr bwMode="auto">
        <a:xfrm>
          <a:off x="3377824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68</xdr:row>
      <xdr:rowOff>109246</xdr:rowOff>
    </xdr:from>
    <xdr:to>
      <xdr:col>36</xdr:col>
      <xdr:colOff>3756</xdr:colOff>
      <xdr:row>69</xdr:row>
      <xdr:rowOff>90857</xdr:rowOff>
    </xdr:to>
    <xdr:sp macro="" textlink="">
      <xdr:nvSpPr>
        <xdr:cNvPr id="40" name="WordArt 5"/>
        <xdr:cNvSpPr>
          <a:spLocks noChangeArrowheads="1" noChangeShapeType="1" noTextEdit="1"/>
        </xdr:cNvSpPr>
      </xdr:nvSpPr>
      <xdr:spPr bwMode="auto">
        <a:xfrm>
          <a:off x="3411686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66</xdr:row>
      <xdr:rowOff>121947</xdr:rowOff>
    </xdr:from>
    <xdr:to>
      <xdr:col>36</xdr:col>
      <xdr:colOff>3756</xdr:colOff>
      <xdr:row>67</xdr:row>
      <xdr:rowOff>96744</xdr:rowOff>
    </xdr:to>
    <xdr:sp macro="" textlink="">
      <xdr:nvSpPr>
        <xdr:cNvPr id="41" name="WordArt 6"/>
        <xdr:cNvSpPr>
          <a:spLocks noChangeArrowheads="1" noChangeShapeType="1" noTextEdit="1"/>
        </xdr:cNvSpPr>
      </xdr:nvSpPr>
      <xdr:spPr bwMode="auto">
        <a:xfrm>
          <a:off x="3411686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68</xdr:row>
      <xdr:rowOff>109246</xdr:rowOff>
    </xdr:from>
    <xdr:to>
      <xdr:col>35</xdr:col>
      <xdr:colOff>1012243</xdr:colOff>
      <xdr:row>69</xdr:row>
      <xdr:rowOff>90857</xdr:rowOff>
    </xdr:to>
    <xdr:sp macro="" textlink="">
      <xdr:nvSpPr>
        <xdr:cNvPr id="42" name="WordArt 5"/>
        <xdr:cNvSpPr>
          <a:spLocks noChangeArrowheads="1" noChangeShapeType="1" noTextEdit="1"/>
        </xdr:cNvSpPr>
      </xdr:nvSpPr>
      <xdr:spPr bwMode="auto">
        <a:xfrm>
          <a:off x="3377824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66</xdr:row>
      <xdr:rowOff>121947</xdr:rowOff>
    </xdr:from>
    <xdr:to>
      <xdr:col>35</xdr:col>
      <xdr:colOff>1012243</xdr:colOff>
      <xdr:row>67</xdr:row>
      <xdr:rowOff>96744</xdr:rowOff>
    </xdr:to>
    <xdr:sp macro="" textlink="">
      <xdr:nvSpPr>
        <xdr:cNvPr id="43" name="WordArt 6"/>
        <xdr:cNvSpPr>
          <a:spLocks noChangeArrowheads="1" noChangeShapeType="1" noTextEdit="1"/>
        </xdr:cNvSpPr>
      </xdr:nvSpPr>
      <xdr:spPr bwMode="auto">
        <a:xfrm>
          <a:off x="3377824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68</xdr:row>
      <xdr:rowOff>109246</xdr:rowOff>
    </xdr:from>
    <xdr:to>
      <xdr:col>35</xdr:col>
      <xdr:colOff>1012243</xdr:colOff>
      <xdr:row>69</xdr:row>
      <xdr:rowOff>90857</xdr:rowOff>
    </xdr:to>
    <xdr:sp macro="" textlink="">
      <xdr:nvSpPr>
        <xdr:cNvPr id="44" name="WordArt 5"/>
        <xdr:cNvSpPr>
          <a:spLocks noChangeArrowheads="1" noChangeShapeType="1" noTextEdit="1"/>
        </xdr:cNvSpPr>
      </xdr:nvSpPr>
      <xdr:spPr bwMode="auto">
        <a:xfrm>
          <a:off x="3377824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66</xdr:row>
      <xdr:rowOff>121947</xdr:rowOff>
    </xdr:from>
    <xdr:to>
      <xdr:col>35</xdr:col>
      <xdr:colOff>1012243</xdr:colOff>
      <xdr:row>67</xdr:row>
      <xdr:rowOff>96744</xdr:rowOff>
    </xdr:to>
    <xdr:sp macro="" textlink="">
      <xdr:nvSpPr>
        <xdr:cNvPr id="45" name="WordArt 6"/>
        <xdr:cNvSpPr>
          <a:spLocks noChangeArrowheads="1" noChangeShapeType="1" noTextEdit="1"/>
        </xdr:cNvSpPr>
      </xdr:nvSpPr>
      <xdr:spPr bwMode="auto">
        <a:xfrm>
          <a:off x="3377824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69</xdr:row>
      <xdr:rowOff>110186</xdr:rowOff>
    </xdr:from>
    <xdr:to>
      <xdr:col>36</xdr:col>
      <xdr:colOff>3756</xdr:colOff>
      <xdr:row>70</xdr:row>
      <xdr:rowOff>91796</xdr:rowOff>
    </xdr:to>
    <xdr:sp macro="" textlink="">
      <xdr:nvSpPr>
        <xdr:cNvPr id="46" name="WordArt 5"/>
        <xdr:cNvSpPr>
          <a:spLocks noChangeArrowheads="1" noChangeShapeType="1" noTextEdit="1"/>
        </xdr:cNvSpPr>
      </xdr:nvSpPr>
      <xdr:spPr bwMode="auto">
        <a:xfrm>
          <a:off x="3411686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67</xdr:row>
      <xdr:rowOff>122886</xdr:rowOff>
    </xdr:from>
    <xdr:to>
      <xdr:col>36</xdr:col>
      <xdr:colOff>3756</xdr:colOff>
      <xdr:row>68</xdr:row>
      <xdr:rowOff>97683</xdr:rowOff>
    </xdr:to>
    <xdr:sp macro="" textlink="">
      <xdr:nvSpPr>
        <xdr:cNvPr id="47" name="WordArt 6"/>
        <xdr:cNvSpPr>
          <a:spLocks noChangeArrowheads="1" noChangeShapeType="1" noTextEdit="1"/>
        </xdr:cNvSpPr>
      </xdr:nvSpPr>
      <xdr:spPr bwMode="auto">
        <a:xfrm>
          <a:off x="34116863" y="4735707"/>
          <a:ext cx="0" cy="13808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69</xdr:row>
      <xdr:rowOff>110186</xdr:rowOff>
    </xdr:from>
    <xdr:to>
      <xdr:col>35</xdr:col>
      <xdr:colOff>1012243</xdr:colOff>
      <xdr:row>70</xdr:row>
      <xdr:rowOff>91796</xdr:rowOff>
    </xdr:to>
    <xdr:sp macro="" textlink="">
      <xdr:nvSpPr>
        <xdr:cNvPr id="48" name="WordArt 5"/>
        <xdr:cNvSpPr>
          <a:spLocks noChangeArrowheads="1" noChangeShapeType="1" noTextEdit="1"/>
        </xdr:cNvSpPr>
      </xdr:nvSpPr>
      <xdr:spPr bwMode="auto">
        <a:xfrm>
          <a:off x="3377824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69</xdr:row>
      <xdr:rowOff>110186</xdr:rowOff>
    </xdr:from>
    <xdr:to>
      <xdr:col>35</xdr:col>
      <xdr:colOff>1012243</xdr:colOff>
      <xdr:row>70</xdr:row>
      <xdr:rowOff>91796</xdr:rowOff>
    </xdr:to>
    <xdr:sp macro="" textlink="">
      <xdr:nvSpPr>
        <xdr:cNvPr id="49" name="WordArt 5"/>
        <xdr:cNvSpPr>
          <a:spLocks noChangeArrowheads="1" noChangeShapeType="1" noTextEdit="1"/>
        </xdr:cNvSpPr>
      </xdr:nvSpPr>
      <xdr:spPr bwMode="auto">
        <a:xfrm>
          <a:off x="3377824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70</xdr:row>
      <xdr:rowOff>111125</xdr:rowOff>
    </xdr:from>
    <xdr:to>
      <xdr:col>36</xdr:col>
      <xdr:colOff>3756</xdr:colOff>
      <xdr:row>71</xdr:row>
      <xdr:rowOff>0</xdr:rowOff>
    </xdr:to>
    <xdr:sp macro="" textlink="">
      <xdr:nvSpPr>
        <xdr:cNvPr id="50" name="WordArt 5"/>
        <xdr:cNvSpPr>
          <a:spLocks noChangeArrowheads="1" noChangeShapeType="1" noTextEdit="1"/>
        </xdr:cNvSpPr>
      </xdr:nvSpPr>
      <xdr:spPr bwMode="auto">
        <a:xfrm>
          <a:off x="3527347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68</xdr:row>
      <xdr:rowOff>123825</xdr:rowOff>
    </xdr:from>
    <xdr:to>
      <xdr:col>37</xdr:col>
      <xdr:colOff>3756</xdr:colOff>
      <xdr:row>69</xdr:row>
      <xdr:rowOff>98623</xdr:rowOff>
    </xdr:to>
    <xdr:sp macro="" textlink="">
      <xdr:nvSpPr>
        <xdr:cNvPr id="51" name="WordArt 6"/>
        <xdr:cNvSpPr>
          <a:spLocks noChangeArrowheads="1" noChangeShapeType="1" noTextEdit="1"/>
        </xdr:cNvSpPr>
      </xdr:nvSpPr>
      <xdr:spPr bwMode="auto">
        <a:xfrm>
          <a:off x="3527347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70</xdr:row>
      <xdr:rowOff>111125</xdr:rowOff>
    </xdr:from>
    <xdr:to>
      <xdr:col>35</xdr:col>
      <xdr:colOff>1012243</xdr:colOff>
      <xdr:row>71</xdr:row>
      <xdr:rowOff>0</xdr:rowOff>
    </xdr:to>
    <xdr:sp macro="" textlink="">
      <xdr:nvSpPr>
        <xdr:cNvPr id="52" name="WordArt 5"/>
        <xdr:cNvSpPr>
          <a:spLocks noChangeArrowheads="1" noChangeShapeType="1" noTextEdit="1"/>
        </xdr:cNvSpPr>
      </xdr:nvSpPr>
      <xdr:spPr bwMode="auto">
        <a:xfrm>
          <a:off x="3512535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68</xdr:row>
      <xdr:rowOff>123825</xdr:rowOff>
    </xdr:from>
    <xdr:to>
      <xdr:col>36</xdr:col>
      <xdr:colOff>1012243</xdr:colOff>
      <xdr:row>69</xdr:row>
      <xdr:rowOff>98623</xdr:rowOff>
    </xdr:to>
    <xdr:sp macro="" textlink="">
      <xdr:nvSpPr>
        <xdr:cNvPr id="53"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70</xdr:row>
      <xdr:rowOff>111125</xdr:rowOff>
    </xdr:from>
    <xdr:to>
      <xdr:col>35</xdr:col>
      <xdr:colOff>1012243</xdr:colOff>
      <xdr:row>71</xdr:row>
      <xdr:rowOff>0</xdr:rowOff>
    </xdr:to>
    <xdr:sp macro="" textlink="">
      <xdr:nvSpPr>
        <xdr:cNvPr id="54" name="WordArt 5"/>
        <xdr:cNvSpPr>
          <a:spLocks noChangeArrowheads="1" noChangeShapeType="1" noTextEdit="1"/>
        </xdr:cNvSpPr>
      </xdr:nvSpPr>
      <xdr:spPr bwMode="auto">
        <a:xfrm>
          <a:off x="3512535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68</xdr:row>
      <xdr:rowOff>123825</xdr:rowOff>
    </xdr:from>
    <xdr:to>
      <xdr:col>36</xdr:col>
      <xdr:colOff>1012243</xdr:colOff>
      <xdr:row>69</xdr:row>
      <xdr:rowOff>98623</xdr:rowOff>
    </xdr:to>
    <xdr:sp macro="" textlink="">
      <xdr:nvSpPr>
        <xdr:cNvPr id="55"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68</xdr:row>
      <xdr:rowOff>109246</xdr:rowOff>
    </xdr:from>
    <xdr:to>
      <xdr:col>37</xdr:col>
      <xdr:colOff>3756</xdr:colOff>
      <xdr:row>69</xdr:row>
      <xdr:rowOff>90857</xdr:rowOff>
    </xdr:to>
    <xdr:sp macro="" textlink="">
      <xdr:nvSpPr>
        <xdr:cNvPr id="56" name="WordArt 5"/>
        <xdr:cNvSpPr>
          <a:spLocks noChangeArrowheads="1" noChangeShapeType="1" noTextEdit="1"/>
        </xdr:cNvSpPr>
      </xdr:nvSpPr>
      <xdr:spPr bwMode="auto">
        <a:xfrm>
          <a:off x="3527347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66</xdr:row>
      <xdr:rowOff>121947</xdr:rowOff>
    </xdr:from>
    <xdr:to>
      <xdr:col>37</xdr:col>
      <xdr:colOff>3756</xdr:colOff>
      <xdr:row>67</xdr:row>
      <xdr:rowOff>96744</xdr:rowOff>
    </xdr:to>
    <xdr:sp macro="" textlink="">
      <xdr:nvSpPr>
        <xdr:cNvPr id="57" name="WordArt 6"/>
        <xdr:cNvSpPr>
          <a:spLocks noChangeArrowheads="1" noChangeShapeType="1" noTextEdit="1"/>
        </xdr:cNvSpPr>
      </xdr:nvSpPr>
      <xdr:spPr bwMode="auto">
        <a:xfrm>
          <a:off x="3527347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68</xdr:row>
      <xdr:rowOff>109246</xdr:rowOff>
    </xdr:from>
    <xdr:to>
      <xdr:col>36</xdr:col>
      <xdr:colOff>1012243</xdr:colOff>
      <xdr:row>69</xdr:row>
      <xdr:rowOff>90857</xdr:rowOff>
    </xdr:to>
    <xdr:sp macro="" textlink="">
      <xdr:nvSpPr>
        <xdr:cNvPr id="58"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66</xdr:row>
      <xdr:rowOff>121947</xdr:rowOff>
    </xdr:from>
    <xdr:to>
      <xdr:col>36</xdr:col>
      <xdr:colOff>1012243</xdr:colOff>
      <xdr:row>67</xdr:row>
      <xdr:rowOff>96744</xdr:rowOff>
    </xdr:to>
    <xdr:sp macro="" textlink="">
      <xdr:nvSpPr>
        <xdr:cNvPr id="59" name="WordArt 6"/>
        <xdr:cNvSpPr>
          <a:spLocks noChangeArrowheads="1" noChangeShapeType="1" noTextEdit="1"/>
        </xdr:cNvSpPr>
      </xdr:nvSpPr>
      <xdr:spPr bwMode="auto">
        <a:xfrm>
          <a:off x="3512535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68</xdr:row>
      <xdr:rowOff>109246</xdr:rowOff>
    </xdr:from>
    <xdr:to>
      <xdr:col>36</xdr:col>
      <xdr:colOff>1012243</xdr:colOff>
      <xdr:row>69</xdr:row>
      <xdr:rowOff>90857</xdr:rowOff>
    </xdr:to>
    <xdr:sp macro="" textlink="">
      <xdr:nvSpPr>
        <xdr:cNvPr id="60"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66</xdr:row>
      <xdr:rowOff>121947</xdr:rowOff>
    </xdr:from>
    <xdr:to>
      <xdr:col>36</xdr:col>
      <xdr:colOff>1012243</xdr:colOff>
      <xdr:row>67</xdr:row>
      <xdr:rowOff>96744</xdr:rowOff>
    </xdr:to>
    <xdr:sp macro="" textlink="">
      <xdr:nvSpPr>
        <xdr:cNvPr id="61" name="WordArt 6"/>
        <xdr:cNvSpPr>
          <a:spLocks noChangeArrowheads="1" noChangeShapeType="1" noTextEdit="1"/>
        </xdr:cNvSpPr>
      </xdr:nvSpPr>
      <xdr:spPr bwMode="auto">
        <a:xfrm>
          <a:off x="3512535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69</xdr:row>
      <xdr:rowOff>110186</xdr:rowOff>
    </xdr:from>
    <xdr:to>
      <xdr:col>37</xdr:col>
      <xdr:colOff>3756</xdr:colOff>
      <xdr:row>70</xdr:row>
      <xdr:rowOff>91796</xdr:rowOff>
    </xdr:to>
    <xdr:sp macro="" textlink="">
      <xdr:nvSpPr>
        <xdr:cNvPr id="62" name="WordArt 5"/>
        <xdr:cNvSpPr>
          <a:spLocks noChangeArrowheads="1" noChangeShapeType="1" noTextEdit="1"/>
        </xdr:cNvSpPr>
      </xdr:nvSpPr>
      <xdr:spPr bwMode="auto">
        <a:xfrm>
          <a:off x="3527347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67</xdr:row>
      <xdr:rowOff>122886</xdr:rowOff>
    </xdr:from>
    <xdr:to>
      <xdr:col>37</xdr:col>
      <xdr:colOff>3756</xdr:colOff>
      <xdr:row>68</xdr:row>
      <xdr:rowOff>97683</xdr:rowOff>
    </xdr:to>
    <xdr:sp macro="" textlink="">
      <xdr:nvSpPr>
        <xdr:cNvPr id="63" name="WordArt 6"/>
        <xdr:cNvSpPr>
          <a:spLocks noChangeArrowheads="1" noChangeShapeType="1" noTextEdit="1"/>
        </xdr:cNvSpPr>
      </xdr:nvSpPr>
      <xdr:spPr bwMode="auto">
        <a:xfrm>
          <a:off x="35273470" y="4735707"/>
          <a:ext cx="0" cy="13808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69</xdr:row>
      <xdr:rowOff>110186</xdr:rowOff>
    </xdr:from>
    <xdr:to>
      <xdr:col>36</xdr:col>
      <xdr:colOff>1012243</xdr:colOff>
      <xdr:row>70</xdr:row>
      <xdr:rowOff>91796</xdr:rowOff>
    </xdr:to>
    <xdr:sp macro="" textlink="">
      <xdr:nvSpPr>
        <xdr:cNvPr id="64" name="WordArt 5"/>
        <xdr:cNvSpPr>
          <a:spLocks noChangeArrowheads="1" noChangeShapeType="1" noTextEdit="1"/>
        </xdr:cNvSpPr>
      </xdr:nvSpPr>
      <xdr:spPr bwMode="auto">
        <a:xfrm>
          <a:off x="3512535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1012243</xdr:colOff>
      <xdr:row>69</xdr:row>
      <xdr:rowOff>110186</xdr:rowOff>
    </xdr:from>
    <xdr:to>
      <xdr:col>36</xdr:col>
      <xdr:colOff>1012243</xdr:colOff>
      <xdr:row>70</xdr:row>
      <xdr:rowOff>91796</xdr:rowOff>
    </xdr:to>
    <xdr:sp macro="" textlink="">
      <xdr:nvSpPr>
        <xdr:cNvPr id="65" name="WordArt 5"/>
        <xdr:cNvSpPr>
          <a:spLocks noChangeArrowheads="1" noChangeShapeType="1" noTextEdit="1"/>
        </xdr:cNvSpPr>
      </xdr:nvSpPr>
      <xdr:spPr bwMode="auto">
        <a:xfrm>
          <a:off x="3512535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45</xdr:row>
      <xdr:rowOff>111125</xdr:rowOff>
    </xdr:from>
    <xdr:to>
      <xdr:col>34</xdr:col>
      <xdr:colOff>3756</xdr:colOff>
      <xdr:row>46</xdr:row>
      <xdr:rowOff>82550</xdr:rowOff>
    </xdr:to>
    <xdr:sp macro="" textlink="">
      <xdr:nvSpPr>
        <xdr:cNvPr id="258" name="WordArt 5"/>
        <xdr:cNvSpPr>
          <a:spLocks noChangeArrowheads="1" noChangeShapeType="1" noTextEdit="1"/>
        </xdr:cNvSpPr>
      </xdr:nvSpPr>
      <xdr:spPr bwMode="auto">
        <a:xfrm>
          <a:off x="45795194" y="6135688"/>
          <a:ext cx="0" cy="1976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43</xdr:row>
      <xdr:rowOff>123825</xdr:rowOff>
    </xdr:from>
    <xdr:to>
      <xdr:col>34</xdr:col>
      <xdr:colOff>3756</xdr:colOff>
      <xdr:row>44</xdr:row>
      <xdr:rowOff>98623</xdr:rowOff>
    </xdr:to>
    <xdr:sp macro="" textlink="">
      <xdr:nvSpPr>
        <xdr:cNvPr id="259" name="WordArt 6"/>
        <xdr:cNvSpPr>
          <a:spLocks noChangeArrowheads="1" noChangeShapeType="1" noTextEdit="1"/>
        </xdr:cNvSpPr>
      </xdr:nvSpPr>
      <xdr:spPr bwMode="auto">
        <a:xfrm>
          <a:off x="45795194" y="5695950"/>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45</xdr:row>
      <xdr:rowOff>111125</xdr:rowOff>
    </xdr:from>
    <xdr:to>
      <xdr:col>33</xdr:col>
      <xdr:colOff>1012243</xdr:colOff>
      <xdr:row>46</xdr:row>
      <xdr:rowOff>82550</xdr:rowOff>
    </xdr:to>
    <xdr:sp macro="" textlink="">
      <xdr:nvSpPr>
        <xdr:cNvPr id="260" name="WordArt 5"/>
        <xdr:cNvSpPr>
          <a:spLocks noChangeArrowheads="1" noChangeShapeType="1" noTextEdit="1"/>
        </xdr:cNvSpPr>
      </xdr:nvSpPr>
      <xdr:spPr bwMode="auto">
        <a:xfrm>
          <a:off x="45232056" y="6135688"/>
          <a:ext cx="0" cy="1976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43</xdr:row>
      <xdr:rowOff>123825</xdr:rowOff>
    </xdr:from>
    <xdr:to>
      <xdr:col>33</xdr:col>
      <xdr:colOff>1012243</xdr:colOff>
      <xdr:row>44</xdr:row>
      <xdr:rowOff>98623</xdr:rowOff>
    </xdr:to>
    <xdr:sp macro="" textlink="">
      <xdr:nvSpPr>
        <xdr:cNvPr id="261" name="WordArt 6"/>
        <xdr:cNvSpPr>
          <a:spLocks noChangeArrowheads="1" noChangeShapeType="1" noTextEdit="1"/>
        </xdr:cNvSpPr>
      </xdr:nvSpPr>
      <xdr:spPr bwMode="auto">
        <a:xfrm>
          <a:off x="45232056" y="5695950"/>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45</xdr:row>
      <xdr:rowOff>111125</xdr:rowOff>
    </xdr:from>
    <xdr:to>
      <xdr:col>33</xdr:col>
      <xdr:colOff>1012243</xdr:colOff>
      <xdr:row>46</xdr:row>
      <xdr:rowOff>82550</xdr:rowOff>
    </xdr:to>
    <xdr:sp macro="" textlink="">
      <xdr:nvSpPr>
        <xdr:cNvPr id="262" name="WordArt 5"/>
        <xdr:cNvSpPr>
          <a:spLocks noChangeArrowheads="1" noChangeShapeType="1" noTextEdit="1"/>
        </xdr:cNvSpPr>
      </xdr:nvSpPr>
      <xdr:spPr bwMode="auto">
        <a:xfrm>
          <a:off x="45232056" y="6135688"/>
          <a:ext cx="0" cy="1976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43</xdr:row>
      <xdr:rowOff>123825</xdr:rowOff>
    </xdr:from>
    <xdr:to>
      <xdr:col>33</xdr:col>
      <xdr:colOff>1012243</xdr:colOff>
      <xdr:row>44</xdr:row>
      <xdr:rowOff>98623</xdr:rowOff>
    </xdr:to>
    <xdr:sp macro="" textlink="">
      <xdr:nvSpPr>
        <xdr:cNvPr id="263" name="WordArt 6"/>
        <xdr:cNvSpPr>
          <a:spLocks noChangeArrowheads="1" noChangeShapeType="1" noTextEdit="1"/>
        </xdr:cNvSpPr>
      </xdr:nvSpPr>
      <xdr:spPr bwMode="auto">
        <a:xfrm>
          <a:off x="45232056" y="5695950"/>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43</xdr:row>
      <xdr:rowOff>109246</xdr:rowOff>
    </xdr:from>
    <xdr:to>
      <xdr:col>34</xdr:col>
      <xdr:colOff>3756</xdr:colOff>
      <xdr:row>44</xdr:row>
      <xdr:rowOff>90857</xdr:rowOff>
    </xdr:to>
    <xdr:sp macro="" textlink="">
      <xdr:nvSpPr>
        <xdr:cNvPr id="264" name="WordArt 5"/>
        <xdr:cNvSpPr>
          <a:spLocks noChangeArrowheads="1" noChangeShapeType="1" noTextEdit="1"/>
        </xdr:cNvSpPr>
      </xdr:nvSpPr>
      <xdr:spPr bwMode="auto">
        <a:xfrm>
          <a:off x="45795194" y="5681371"/>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41</xdr:row>
      <xdr:rowOff>121947</xdr:rowOff>
    </xdr:from>
    <xdr:to>
      <xdr:col>34</xdr:col>
      <xdr:colOff>3756</xdr:colOff>
      <xdr:row>42</xdr:row>
      <xdr:rowOff>96744</xdr:rowOff>
    </xdr:to>
    <xdr:sp macro="" textlink="">
      <xdr:nvSpPr>
        <xdr:cNvPr id="265" name="WordArt 6"/>
        <xdr:cNvSpPr>
          <a:spLocks noChangeArrowheads="1" noChangeShapeType="1" noTextEdit="1"/>
        </xdr:cNvSpPr>
      </xdr:nvSpPr>
      <xdr:spPr bwMode="auto">
        <a:xfrm>
          <a:off x="45795194" y="5241635"/>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43</xdr:row>
      <xdr:rowOff>109246</xdr:rowOff>
    </xdr:from>
    <xdr:to>
      <xdr:col>33</xdr:col>
      <xdr:colOff>1012243</xdr:colOff>
      <xdr:row>44</xdr:row>
      <xdr:rowOff>90857</xdr:rowOff>
    </xdr:to>
    <xdr:sp macro="" textlink="">
      <xdr:nvSpPr>
        <xdr:cNvPr id="266" name="WordArt 5"/>
        <xdr:cNvSpPr>
          <a:spLocks noChangeArrowheads="1" noChangeShapeType="1" noTextEdit="1"/>
        </xdr:cNvSpPr>
      </xdr:nvSpPr>
      <xdr:spPr bwMode="auto">
        <a:xfrm>
          <a:off x="45232056" y="5681371"/>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41</xdr:row>
      <xdr:rowOff>121947</xdr:rowOff>
    </xdr:from>
    <xdr:to>
      <xdr:col>33</xdr:col>
      <xdr:colOff>1012243</xdr:colOff>
      <xdr:row>42</xdr:row>
      <xdr:rowOff>96744</xdr:rowOff>
    </xdr:to>
    <xdr:sp macro="" textlink="">
      <xdr:nvSpPr>
        <xdr:cNvPr id="267" name="WordArt 6"/>
        <xdr:cNvSpPr>
          <a:spLocks noChangeArrowheads="1" noChangeShapeType="1" noTextEdit="1"/>
        </xdr:cNvSpPr>
      </xdr:nvSpPr>
      <xdr:spPr bwMode="auto">
        <a:xfrm>
          <a:off x="45232056" y="5241635"/>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43</xdr:row>
      <xdr:rowOff>109246</xdr:rowOff>
    </xdr:from>
    <xdr:to>
      <xdr:col>33</xdr:col>
      <xdr:colOff>1012243</xdr:colOff>
      <xdr:row>44</xdr:row>
      <xdr:rowOff>90857</xdr:rowOff>
    </xdr:to>
    <xdr:sp macro="" textlink="">
      <xdr:nvSpPr>
        <xdr:cNvPr id="268" name="WordArt 5"/>
        <xdr:cNvSpPr>
          <a:spLocks noChangeArrowheads="1" noChangeShapeType="1" noTextEdit="1"/>
        </xdr:cNvSpPr>
      </xdr:nvSpPr>
      <xdr:spPr bwMode="auto">
        <a:xfrm>
          <a:off x="45232056" y="5681371"/>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41</xdr:row>
      <xdr:rowOff>121947</xdr:rowOff>
    </xdr:from>
    <xdr:to>
      <xdr:col>33</xdr:col>
      <xdr:colOff>1012243</xdr:colOff>
      <xdr:row>42</xdr:row>
      <xdr:rowOff>96744</xdr:rowOff>
    </xdr:to>
    <xdr:sp macro="" textlink="">
      <xdr:nvSpPr>
        <xdr:cNvPr id="269" name="WordArt 6"/>
        <xdr:cNvSpPr>
          <a:spLocks noChangeArrowheads="1" noChangeShapeType="1" noTextEdit="1"/>
        </xdr:cNvSpPr>
      </xdr:nvSpPr>
      <xdr:spPr bwMode="auto">
        <a:xfrm>
          <a:off x="45232056" y="5241635"/>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44</xdr:row>
      <xdr:rowOff>110186</xdr:rowOff>
    </xdr:from>
    <xdr:to>
      <xdr:col>34</xdr:col>
      <xdr:colOff>3756</xdr:colOff>
      <xdr:row>45</xdr:row>
      <xdr:rowOff>91796</xdr:rowOff>
    </xdr:to>
    <xdr:sp macro="" textlink="">
      <xdr:nvSpPr>
        <xdr:cNvPr id="270" name="WordArt 5"/>
        <xdr:cNvSpPr>
          <a:spLocks noChangeArrowheads="1" noChangeShapeType="1" noTextEdit="1"/>
        </xdr:cNvSpPr>
      </xdr:nvSpPr>
      <xdr:spPr bwMode="auto">
        <a:xfrm>
          <a:off x="45795194" y="5908530"/>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42</xdr:row>
      <xdr:rowOff>122886</xdr:rowOff>
    </xdr:from>
    <xdr:to>
      <xdr:col>34</xdr:col>
      <xdr:colOff>3756</xdr:colOff>
      <xdr:row>43</xdr:row>
      <xdr:rowOff>97683</xdr:rowOff>
    </xdr:to>
    <xdr:sp macro="" textlink="">
      <xdr:nvSpPr>
        <xdr:cNvPr id="271" name="WordArt 6"/>
        <xdr:cNvSpPr>
          <a:spLocks noChangeArrowheads="1" noChangeShapeType="1" noTextEdit="1"/>
        </xdr:cNvSpPr>
      </xdr:nvSpPr>
      <xdr:spPr bwMode="auto">
        <a:xfrm>
          <a:off x="45795194" y="5468792"/>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44</xdr:row>
      <xdr:rowOff>110186</xdr:rowOff>
    </xdr:from>
    <xdr:to>
      <xdr:col>33</xdr:col>
      <xdr:colOff>1012243</xdr:colOff>
      <xdr:row>45</xdr:row>
      <xdr:rowOff>91796</xdr:rowOff>
    </xdr:to>
    <xdr:sp macro="" textlink="">
      <xdr:nvSpPr>
        <xdr:cNvPr id="272" name="WordArt 5"/>
        <xdr:cNvSpPr>
          <a:spLocks noChangeArrowheads="1" noChangeShapeType="1" noTextEdit="1"/>
        </xdr:cNvSpPr>
      </xdr:nvSpPr>
      <xdr:spPr bwMode="auto">
        <a:xfrm>
          <a:off x="45232056" y="5908530"/>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44</xdr:row>
      <xdr:rowOff>110186</xdr:rowOff>
    </xdr:from>
    <xdr:to>
      <xdr:col>33</xdr:col>
      <xdr:colOff>1012243</xdr:colOff>
      <xdr:row>45</xdr:row>
      <xdr:rowOff>91796</xdr:rowOff>
    </xdr:to>
    <xdr:sp macro="" textlink="">
      <xdr:nvSpPr>
        <xdr:cNvPr id="273" name="WordArt 5"/>
        <xdr:cNvSpPr>
          <a:spLocks noChangeArrowheads="1" noChangeShapeType="1" noTextEdit="1"/>
        </xdr:cNvSpPr>
      </xdr:nvSpPr>
      <xdr:spPr bwMode="auto">
        <a:xfrm>
          <a:off x="45232056" y="5908530"/>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45</xdr:row>
      <xdr:rowOff>111125</xdr:rowOff>
    </xdr:from>
    <xdr:to>
      <xdr:col>36</xdr:col>
      <xdr:colOff>3756</xdr:colOff>
      <xdr:row>46</xdr:row>
      <xdr:rowOff>82550</xdr:rowOff>
    </xdr:to>
    <xdr:sp macro="" textlink="">
      <xdr:nvSpPr>
        <xdr:cNvPr id="274" name="WordArt 5"/>
        <xdr:cNvSpPr>
          <a:spLocks noChangeArrowheads="1" noChangeShapeType="1" noTextEdit="1"/>
        </xdr:cNvSpPr>
      </xdr:nvSpPr>
      <xdr:spPr bwMode="auto">
        <a:xfrm>
          <a:off x="48831287" y="6135688"/>
          <a:ext cx="0" cy="1976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43</xdr:row>
      <xdr:rowOff>123825</xdr:rowOff>
    </xdr:from>
    <xdr:to>
      <xdr:col>36</xdr:col>
      <xdr:colOff>3756</xdr:colOff>
      <xdr:row>44</xdr:row>
      <xdr:rowOff>98623</xdr:rowOff>
    </xdr:to>
    <xdr:sp macro="" textlink="">
      <xdr:nvSpPr>
        <xdr:cNvPr id="275" name="WordArt 6"/>
        <xdr:cNvSpPr>
          <a:spLocks noChangeArrowheads="1" noChangeShapeType="1" noTextEdit="1"/>
        </xdr:cNvSpPr>
      </xdr:nvSpPr>
      <xdr:spPr bwMode="auto">
        <a:xfrm>
          <a:off x="48831287" y="5695950"/>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45</xdr:row>
      <xdr:rowOff>111125</xdr:rowOff>
    </xdr:from>
    <xdr:to>
      <xdr:col>34</xdr:col>
      <xdr:colOff>1012243</xdr:colOff>
      <xdr:row>46</xdr:row>
      <xdr:rowOff>82550</xdr:rowOff>
    </xdr:to>
    <xdr:sp macro="" textlink="">
      <xdr:nvSpPr>
        <xdr:cNvPr id="276" name="WordArt 5"/>
        <xdr:cNvSpPr>
          <a:spLocks noChangeArrowheads="1" noChangeShapeType="1" noTextEdit="1"/>
        </xdr:cNvSpPr>
      </xdr:nvSpPr>
      <xdr:spPr bwMode="auto">
        <a:xfrm>
          <a:off x="46803681" y="6135688"/>
          <a:ext cx="0" cy="1976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43</xdr:row>
      <xdr:rowOff>123825</xdr:rowOff>
    </xdr:from>
    <xdr:to>
      <xdr:col>34</xdr:col>
      <xdr:colOff>1012243</xdr:colOff>
      <xdr:row>44</xdr:row>
      <xdr:rowOff>98623</xdr:rowOff>
    </xdr:to>
    <xdr:sp macro="" textlink="">
      <xdr:nvSpPr>
        <xdr:cNvPr id="277" name="WordArt 6"/>
        <xdr:cNvSpPr>
          <a:spLocks noChangeArrowheads="1" noChangeShapeType="1" noTextEdit="1"/>
        </xdr:cNvSpPr>
      </xdr:nvSpPr>
      <xdr:spPr bwMode="auto">
        <a:xfrm>
          <a:off x="46803681" y="5695950"/>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45</xdr:row>
      <xdr:rowOff>111125</xdr:rowOff>
    </xdr:from>
    <xdr:to>
      <xdr:col>34</xdr:col>
      <xdr:colOff>1012243</xdr:colOff>
      <xdr:row>46</xdr:row>
      <xdr:rowOff>82550</xdr:rowOff>
    </xdr:to>
    <xdr:sp macro="" textlink="">
      <xdr:nvSpPr>
        <xdr:cNvPr id="278" name="WordArt 5"/>
        <xdr:cNvSpPr>
          <a:spLocks noChangeArrowheads="1" noChangeShapeType="1" noTextEdit="1"/>
        </xdr:cNvSpPr>
      </xdr:nvSpPr>
      <xdr:spPr bwMode="auto">
        <a:xfrm>
          <a:off x="46803681" y="6135688"/>
          <a:ext cx="0" cy="1976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43</xdr:row>
      <xdr:rowOff>123825</xdr:rowOff>
    </xdr:from>
    <xdr:to>
      <xdr:col>34</xdr:col>
      <xdr:colOff>1012243</xdr:colOff>
      <xdr:row>44</xdr:row>
      <xdr:rowOff>98623</xdr:rowOff>
    </xdr:to>
    <xdr:sp macro="" textlink="">
      <xdr:nvSpPr>
        <xdr:cNvPr id="279" name="WordArt 6"/>
        <xdr:cNvSpPr>
          <a:spLocks noChangeArrowheads="1" noChangeShapeType="1" noTextEdit="1"/>
        </xdr:cNvSpPr>
      </xdr:nvSpPr>
      <xdr:spPr bwMode="auto">
        <a:xfrm>
          <a:off x="46803681" y="5695950"/>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43</xdr:row>
      <xdr:rowOff>109246</xdr:rowOff>
    </xdr:from>
    <xdr:to>
      <xdr:col>36</xdr:col>
      <xdr:colOff>3756</xdr:colOff>
      <xdr:row>44</xdr:row>
      <xdr:rowOff>90857</xdr:rowOff>
    </xdr:to>
    <xdr:sp macro="" textlink="">
      <xdr:nvSpPr>
        <xdr:cNvPr id="280" name="WordArt 5"/>
        <xdr:cNvSpPr>
          <a:spLocks noChangeArrowheads="1" noChangeShapeType="1" noTextEdit="1"/>
        </xdr:cNvSpPr>
      </xdr:nvSpPr>
      <xdr:spPr bwMode="auto">
        <a:xfrm>
          <a:off x="48831287" y="5681371"/>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45</xdr:row>
      <xdr:rowOff>67518</xdr:rowOff>
    </xdr:from>
    <xdr:to>
      <xdr:col>36</xdr:col>
      <xdr:colOff>3756</xdr:colOff>
      <xdr:row>46</xdr:row>
      <xdr:rowOff>42315</xdr:rowOff>
    </xdr:to>
    <xdr:sp macro="" textlink="">
      <xdr:nvSpPr>
        <xdr:cNvPr id="281" name="WordArt 6"/>
        <xdr:cNvSpPr>
          <a:spLocks noChangeArrowheads="1" noChangeShapeType="1" noTextEdit="1"/>
        </xdr:cNvSpPr>
      </xdr:nvSpPr>
      <xdr:spPr bwMode="auto">
        <a:xfrm>
          <a:off x="48831287" y="6092081"/>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43</xdr:row>
      <xdr:rowOff>109246</xdr:rowOff>
    </xdr:from>
    <xdr:to>
      <xdr:col>34</xdr:col>
      <xdr:colOff>1012243</xdr:colOff>
      <xdr:row>44</xdr:row>
      <xdr:rowOff>90857</xdr:rowOff>
    </xdr:to>
    <xdr:sp macro="" textlink="">
      <xdr:nvSpPr>
        <xdr:cNvPr id="282" name="WordArt 5"/>
        <xdr:cNvSpPr>
          <a:spLocks noChangeArrowheads="1" noChangeShapeType="1" noTextEdit="1"/>
        </xdr:cNvSpPr>
      </xdr:nvSpPr>
      <xdr:spPr bwMode="auto">
        <a:xfrm>
          <a:off x="46803681" y="5681371"/>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41</xdr:row>
      <xdr:rowOff>121947</xdr:rowOff>
    </xdr:from>
    <xdr:to>
      <xdr:col>34</xdr:col>
      <xdr:colOff>1012243</xdr:colOff>
      <xdr:row>42</xdr:row>
      <xdr:rowOff>96744</xdr:rowOff>
    </xdr:to>
    <xdr:sp macro="" textlink="">
      <xdr:nvSpPr>
        <xdr:cNvPr id="283" name="WordArt 6"/>
        <xdr:cNvSpPr>
          <a:spLocks noChangeArrowheads="1" noChangeShapeType="1" noTextEdit="1"/>
        </xdr:cNvSpPr>
      </xdr:nvSpPr>
      <xdr:spPr bwMode="auto">
        <a:xfrm>
          <a:off x="46803681" y="5241635"/>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43</xdr:row>
      <xdr:rowOff>109246</xdr:rowOff>
    </xdr:from>
    <xdr:to>
      <xdr:col>34</xdr:col>
      <xdr:colOff>1012243</xdr:colOff>
      <xdr:row>44</xdr:row>
      <xdr:rowOff>90857</xdr:rowOff>
    </xdr:to>
    <xdr:sp macro="" textlink="">
      <xdr:nvSpPr>
        <xdr:cNvPr id="284" name="WordArt 5"/>
        <xdr:cNvSpPr>
          <a:spLocks noChangeArrowheads="1" noChangeShapeType="1" noTextEdit="1"/>
        </xdr:cNvSpPr>
      </xdr:nvSpPr>
      <xdr:spPr bwMode="auto">
        <a:xfrm>
          <a:off x="46803681" y="5681371"/>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41</xdr:row>
      <xdr:rowOff>121947</xdr:rowOff>
    </xdr:from>
    <xdr:to>
      <xdr:col>34</xdr:col>
      <xdr:colOff>1012243</xdr:colOff>
      <xdr:row>42</xdr:row>
      <xdr:rowOff>96744</xdr:rowOff>
    </xdr:to>
    <xdr:sp macro="" textlink="">
      <xdr:nvSpPr>
        <xdr:cNvPr id="285" name="WordArt 6"/>
        <xdr:cNvSpPr>
          <a:spLocks noChangeArrowheads="1" noChangeShapeType="1" noTextEdit="1"/>
        </xdr:cNvSpPr>
      </xdr:nvSpPr>
      <xdr:spPr bwMode="auto">
        <a:xfrm>
          <a:off x="46803681" y="5241635"/>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44</xdr:row>
      <xdr:rowOff>110186</xdr:rowOff>
    </xdr:from>
    <xdr:to>
      <xdr:col>36</xdr:col>
      <xdr:colOff>3756</xdr:colOff>
      <xdr:row>45</xdr:row>
      <xdr:rowOff>91796</xdr:rowOff>
    </xdr:to>
    <xdr:sp macro="" textlink="">
      <xdr:nvSpPr>
        <xdr:cNvPr id="286" name="WordArt 5"/>
        <xdr:cNvSpPr>
          <a:spLocks noChangeArrowheads="1" noChangeShapeType="1" noTextEdit="1"/>
        </xdr:cNvSpPr>
      </xdr:nvSpPr>
      <xdr:spPr bwMode="auto">
        <a:xfrm>
          <a:off x="48831287" y="5908530"/>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42</xdr:row>
      <xdr:rowOff>122886</xdr:rowOff>
    </xdr:from>
    <xdr:to>
      <xdr:col>36</xdr:col>
      <xdr:colOff>3756</xdr:colOff>
      <xdr:row>43</xdr:row>
      <xdr:rowOff>97683</xdr:rowOff>
    </xdr:to>
    <xdr:sp macro="" textlink="">
      <xdr:nvSpPr>
        <xdr:cNvPr id="287" name="WordArt 6"/>
        <xdr:cNvSpPr>
          <a:spLocks noChangeArrowheads="1" noChangeShapeType="1" noTextEdit="1"/>
        </xdr:cNvSpPr>
      </xdr:nvSpPr>
      <xdr:spPr bwMode="auto">
        <a:xfrm>
          <a:off x="48831287" y="5468792"/>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44</xdr:row>
      <xdr:rowOff>110186</xdr:rowOff>
    </xdr:from>
    <xdr:to>
      <xdr:col>34</xdr:col>
      <xdr:colOff>1012243</xdr:colOff>
      <xdr:row>45</xdr:row>
      <xdr:rowOff>91796</xdr:rowOff>
    </xdr:to>
    <xdr:sp macro="" textlink="">
      <xdr:nvSpPr>
        <xdr:cNvPr id="288" name="WordArt 5"/>
        <xdr:cNvSpPr>
          <a:spLocks noChangeArrowheads="1" noChangeShapeType="1" noTextEdit="1"/>
        </xdr:cNvSpPr>
      </xdr:nvSpPr>
      <xdr:spPr bwMode="auto">
        <a:xfrm>
          <a:off x="46803681" y="5908530"/>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44</xdr:row>
      <xdr:rowOff>110186</xdr:rowOff>
    </xdr:from>
    <xdr:to>
      <xdr:col>34</xdr:col>
      <xdr:colOff>1012243</xdr:colOff>
      <xdr:row>45</xdr:row>
      <xdr:rowOff>91796</xdr:rowOff>
    </xdr:to>
    <xdr:sp macro="" textlink="">
      <xdr:nvSpPr>
        <xdr:cNvPr id="289" name="WordArt 5"/>
        <xdr:cNvSpPr>
          <a:spLocks noChangeArrowheads="1" noChangeShapeType="1" noTextEdit="1"/>
        </xdr:cNvSpPr>
      </xdr:nvSpPr>
      <xdr:spPr bwMode="auto">
        <a:xfrm>
          <a:off x="46803681" y="5908530"/>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45</xdr:row>
      <xdr:rowOff>111125</xdr:rowOff>
    </xdr:from>
    <xdr:to>
      <xdr:col>35</xdr:col>
      <xdr:colOff>3756</xdr:colOff>
      <xdr:row>46</xdr:row>
      <xdr:rowOff>82550</xdr:rowOff>
    </xdr:to>
    <xdr:sp macro="" textlink="">
      <xdr:nvSpPr>
        <xdr:cNvPr id="290" name="WordArt 5"/>
        <xdr:cNvSpPr>
          <a:spLocks noChangeArrowheads="1" noChangeShapeType="1" noTextEdit="1"/>
        </xdr:cNvSpPr>
      </xdr:nvSpPr>
      <xdr:spPr bwMode="auto">
        <a:xfrm>
          <a:off x="47426350" y="6135688"/>
          <a:ext cx="0" cy="1976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43</xdr:row>
      <xdr:rowOff>123825</xdr:rowOff>
    </xdr:from>
    <xdr:to>
      <xdr:col>35</xdr:col>
      <xdr:colOff>3756</xdr:colOff>
      <xdr:row>44</xdr:row>
      <xdr:rowOff>98623</xdr:rowOff>
    </xdr:to>
    <xdr:sp macro="" textlink="">
      <xdr:nvSpPr>
        <xdr:cNvPr id="291" name="WordArt 6"/>
        <xdr:cNvSpPr>
          <a:spLocks noChangeArrowheads="1" noChangeShapeType="1" noTextEdit="1"/>
        </xdr:cNvSpPr>
      </xdr:nvSpPr>
      <xdr:spPr bwMode="auto">
        <a:xfrm>
          <a:off x="47426350" y="5695950"/>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43</xdr:row>
      <xdr:rowOff>109246</xdr:rowOff>
    </xdr:from>
    <xdr:to>
      <xdr:col>35</xdr:col>
      <xdr:colOff>3756</xdr:colOff>
      <xdr:row>44</xdr:row>
      <xdr:rowOff>90857</xdr:rowOff>
    </xdr:to>
    <xdr:sp macro="" textlink="">
      <xdr:nvSpPr>
        <xdr:cNvPr id="292" name="WordArt 5"/>
        <xdr:cNvSpPr>
          <a:spLocks noChangeArrowheads="1" noChangeShapeType="1" noTextEdit="1"/>
        </xdr:cNvSpPr>
      </xdr:nvSpPr>
      <xdr:spPr bwMode="auto">
        <a:xfrm>
          <a:off x="47426350" y="5681371"/>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41</xdr:row>
      <xdr:rowOff>121947</xdr:rowOff>
    </xdr:from>
    <xdr:to>
      <xdr:col>35</xdr:col>
      <xdr:colOff>3756</xdr:colOff>
      <xdr:row>42</xdr:row>
      <xdr:rowOff>96744</xdr:rowOff>
    </xdr:to>
    <xdr:sp macro="" textlink="">
      <xdr:nvSpPr>
        <xdr:cNvPr id="293" name="WordArt 6"/>
        <xdr:cNvSpPr>
          <a:spLocks noChangeArrowheads="1" noChangeShapeType="1" noTextEdit="1"/>
        </xdr:cNvSpPr>
      </xdr:nvSpPr>
      <xdr:spPr bwMode="auto">
        <a:xfrm>
          <a:off x="47426350" y="5241635"/>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44</xdr:row>
      <xdr:rowOff>110186</xdr:rowOff>
    </xdr:from>
    <xdr:to>
      <xdr:col>35</xdr:col>
      <xdr:colOff>3756</xdr:colOff>
      <xdr:row>45</xdr:row>
      <xdr:rowOff>91796</xdr:rowOff>
    </xdr:to>
    <xdr:sp macro="" textlink="">
      <xdr:nvSpPr>
        <xdr:cNvPr id="294" name="WordArt 5"/>
        <xdr:cNvSpPr>
          <a:spLocks noChangeArrowheads="1" noChangeShapeType="1" noTextEdit="1"/>
        </xdr:cNvSpPr>
      </xdr:nvSpPr>
      <xdr:spPr bwMode="auto">
        <a:xfrm>
          <a:off x="47426350" y="5908530"/>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42</xdr:row>
      <xdr:rowOff>122886</xdr:rowOff>
    </xdr:from>
    <xdr:to>
      <xdr:col>35</xdr:col>
      <xdr:colOff>3756</xdr:colOff>
      <xdr:row>43</xdr:row>
      <xdr:rowOff>97683</xdr:rowOff>
    </xdr:to>
    <xdr:sp macro="" textlink="">
      <xdr:nvSpPr>
        <xdr:cNvPr id="295" name="WordArt 6"/>
        <xdr:cNvSpPr>
          <a:spLocks noChangeArrowheads="1" noChangeShapeType="1" noTextEdit="1"/>
        </xdr:cNvSpPr>
      </xdr:nvSpPr>
      <xdr:spPr bwMode="auto">
        <a:xfrm>
          <a:off x="47426350" y="5468792"/>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45</xdr:row>
      <xdr:rowOff>111125</xdr:rowOff>
    </xdr:from>
    <xdr:to>
      <xdr:col>35</xdr:col>
      <xdr:colOff>1012243</xdr:colOff>
      <xdr:row>46</xdr:row>
      <xdr:rowOff>82550</xdr:rowOff>
    </xdr:to>
    <xdr:sp macro="" textlink="">
      <xdr:nvSpPr>
        <xdr:cNvPr id="296" name="WordArt 5"/>
        <xdr:cNvSpPr>
          <a:spLocks noChangeArrowheads="1" noChangeShapeType="1" noTextEdit="1"/>
        </xdr:cNvSpPr>
      </xdr:nvSpPr>
      <xdr:spPr bwMode="auto">
        <a:xfrm>
          <a:off x="48434837" y="6135688"/>
          <a:ext cx="0" cy="1976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43</xdr:row>
      <xdr:rowOff>123825</xdr:rowOff>
    </xdr:from>
    <xdr:to>
      <xdr:col>35</xdr:col>
      <xdr:colOff>1012243</xdr:colOff>
      <xdr:row>44</xdr:row>
      <xdr:rowOff>98623</xdr:rowOff>
    </xdr:to>
    <xdr:sp macro="" textlink="">
      <xdr:nvSpPr>
        <xdr:cNvPr id="297" name="WordArt 6"/>
        <xdr:cNvSpPr>
          <a:spLocks noChangeArrowheads="1" noChangeShapeType="1" noTextEdit="1"/>
        </xdr:cNvSpPr>
      </xdr:nvSpPr>
      <xdr:spPr bwMode="auto">
        <a:xfrm>
          <a:off x="48434837" y="5695950"/>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45</xdr:row>
      <xdr:rowOff>111125</xdr:rowOff>
    </xdr:from>
    <xdr:to>
      <xdr:col>35</xdr:col>
      <xdr:colOff>1012243</xdr:colOff>
      <xdr:row>46</xdr:row>
      <xdr:rowOff>82550</xdr:rowOff>
    </xdr:to>
    <xdr:sp macro="" textlink="">
      <xdr:nvSpPr>
        <xdr:cNvPr id="298" name="WordArt 5"/>
        <xdr:cNvSpPr>
          <a:spLocks noChangeArrowheads="1" noChangeShapeType="1" noTextEdit="1"/>
        </xdr:cNvSpPr>
      </xdr:nvSpPr>
      <xdr:spPr bwMode="auto">
        <a:xfrm>
          <a:off x="48434837" y="6135688"/>
          <a:ext cx="0" cy="19764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43</xdr:row>
      <xdr:rowOff>123825</xdr:rowOff>
    </xdr:from>
    <xdr:to>
      <xdr:col>35</xdr:col>
      <xdr:colOff>1012243</xdr:colOff>
      <xdr:row>44</xdr:row>
      <xdr:rowOff>98623</xdr:rowOff>
    </xdr:to>
    <xdr:sp macro="" textlink="">
      <xdr:nvSpPr>
        <xdr:cNvPr id="299" name="WordArt 6"/>
        <xdr:cNvSpPr>
          <a:spLocks noChangeArrowheads="1" noChangeShapeType="1" noTextEdit="1"/>
        </xdr:cNvSpPr>
      </xdr:nvSpPr>
      <xdr:spPr bwMode="auto">
        <a:xfrm>
          <a:off x="48434837" y="5695950"/>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43</xdr:row>
      <xdr:rowOff>109246</xdr:rowOff>
    </xdr:from>
    <xdr:to>
      <xdr:col>35</xdr:col>
      <xdr:colOff>1012243</xdr:colOff>
      <xdr:row>44</xdr:row>
      <xdr:rowOff>90857</xdr:rowOff>
    </xdr:to>
    <xdr:sp macro="" textlink="">
      <xdr:nvSpPr>
        <xdr:cNvPr id="300" name="WordArt 5"/>
        <xdr:cNvSpPr>
          <a:spLocks noChangeArrowheads="1" noChangeShapeType="1" noTextEdit="1"/>
        </xdr:cNvSpPr>
      </xdr:nvSpPr>
      <xdr:spPr bwMode="auto">
        <a:xfrm>
          <a:off x="48434837" y="5681371"/>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41</xdr:row>
      <xdr:rowOff>121947</xdr:rowOff>
    </xdr:from>
    <xdr:to>
      <xdr:col>35</xdr:col>
      <xdr:colOff>1012243</xdr:colOff>
      <xdr:row>42</xdr:row>
      <xdr:rowOff>96744</xdr:rowOff>
    </xdr:to>
    <xdr:sp macro="" textlink="">
      <xdr:nvSpPr>
        <xdr:cNvPr id="301" name="WordArt 6"/>
        <xdr:cNvSpPr>
          <a:spLocks noChangeArrowheads="1" noChangeShapeType="1" noTextEdit="1"/>
        </xdr:cNvSpPr>
      </xdr:nvSpPr>
      <xdr:spPr bwMode="auto">
        <a:xfrm>
          <a:off x="48434837" y="5241635"/>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43</xdr:row>
      <xdr:rowOff>109246</xdr:rowOff>
    </xdr:from>
    <xdr:to>
      <xdr:col>35</xdr:col>
      <xdr:colOff>1012243</xdr:colOff>
      <xdr:row>44</xdr:row>
      <xdr:rowOff>90857</xdr:rowOff>
    </xdr:to>
    <xdr:sp macro="" textlink="">
      <xdr:nvSpPr>
        <xdr:cNvPr id="302" name="WordArt 5"/>
        <xdr:cNvSpPr>
          <a:spLocks noChangeArrowheads="1" noChangeShapeType="1" noTextEdit="1"/>
        </xdr:cNvSpPr>
      </xdr:nvSpPr>
      <xdr:spPr bwMode="auto">
        <a:xfrm>
          <a:off x="48434837" y="5681371"/>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41</xdr:row>
      <xdr:rowOff>121947</xdr:rowOff>
    </xdr:from>
    <xdr:to>
      <xdr:col>35</xdr:col>
      <xdr:colOff>1012243</xdr:colOff>
      <xdr:row>42</xdr:row>
      <xdr:rowOff>96744</xdr:rowOff>
    </xdr:to>
    <xdr:sp macro="" textlink="">
      <xdr:nvSpPr>
        <xdr:cNvPr id="303" name="WordArt 6"/>
        <xdr:cNvSpPr>
          <a:spLocks noChangeArrowheads="1" noChangeShapeType="1" noTextEdit="1"/>
        </xdr:cNvSpPr>
      </xdr:nvSpPr>
      <xdr:spPr bwMode="auto">
        <a:xfrm>
          <a:off x="48434837" y="5241635"/>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44</xdr:row>
      <xdr:rowOff>110186</xdr:rowOff>
    </xdr:from>
    <xdr:to>
      <xdr:col>35</xdr:col>
      <xdr:colOff>1012243</xdr:colOff>
      <xdr:row>45</xdr:row>
      <xdr:rowOff>91796</xdr:rowOff>
    </xdr:to>
    <xdr:sp macro="" textlink="">
      <xdr:nvSpPr>
        <xdr:cNvPr id="304" name="WordArt 5"/>
        <xdr:cNvSpPr>
          <a:spLocks noChangeArrowheads="1" noChangeShapeType="1" noTextEdit="1"/>
        </xdr:cNvSpPr>
      </xdr:nvSpPr>
      <xdr:spPr bwMode="auto">
        <a:xfrm>
          <a:off x="48434837" y="5908530"/>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44</xdr:row>
      <xdr:rowOff>110186</xdr:rowOff>
    </xdr:from>
    <xdr:to>
      <xdr:col>35</xdr:col>
      <xdr:colOff>1012243</xdr:colOff>
      <xdr:row>45</xdr:row>
      <xdr:rowOff>91796</xdr:rowOff>
    </xdr:to>
    <xdr:sp macro="" textlink="">
      <xdr:nvSpPr>
        <xdr:cNvPr id="305" name="WordArt 5"/>
        <xdr:cNvSpPr>
          <a:spLocks noChangeArrowheads="1" noChangeShapeType="1" noTextEdit="1"/>
        </xdr:cNvSpPr>
      </xdr:nvSpPr>
      <xdr:spPr bwMode="auto">
        <a:xfrm>
          <a:off x="48434837" y="5908530"/>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17</xdr:row>
      <xdr:rowOff>111125</xdr:rowOff>
    </xdr:from>
    <xdr:to>
      <xdr:col>36</xdr:col>
      <xdr:colOff>3756</xdr:colOff>
      <xdr:row>18</xdr:row>
      <xdr:rowOff>82550</xdr:rowOff>
    </xdr:to>
    <xdr:sp macro="" textlink="">
      <xdr:nvSpPr>
        <xdr:cNvPr id="322" name="WordArt 5"/>
        <xdr:cNvSpPr>
          <a:spLocks noChangeArrowheads="1" noChangeShapeType="1" noTextEdit="1"/>
        </xdr:cNvSpPr>
      </xdr:nvSpPr>
      <xdr:spPr bwMode="auto">
        <a:xfrm>
          <a:off x="33569856" y="5673725"/>
          <a:ext cx="0" cy="1714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15</xdr:row>
      <xdr:rowOff>123825</xdr:rowOff>
    </xdr:from>
    <xdr:to>
      <xdr:col>36</xdr:col>
      <xdr:colOff>3756</xdr:colOff>
      <xdr:row>16</xdr:row>
      <xdr:rowOff>98623</xdr:rowOff>
    </xdr:to>
    <xdr:sp macro="" textlink="">
      <xdr:nvSpPr>
        <xdr:cNvPr id="323" name="WordArt 6"/>
        <xdr:cNvSpPr>
          <a:spLocks noChangeArrowheads="1" noChangeShapeType="1" noTextEdit="1"/>
        </xdr:cNvSpPr>
      </xdr:nvSpPr>
      <xdr:spPr bwMode="auto">
        <a:xfrm>
          <a:off x="33569856" y="5286375"/>
          <a:ext cx="0" cy="1748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24" name="WordArt 5"/>
        <xdr:cNvSpPr>
          <a:spLocks noChangeArrowheads="1" noChangeShapeType="1" noTextEdit="1"/>
        </xdr:cNvSpPr>
      </xdr:nvSpPr>
      <xdr:spPr bwMode="auto">
        <a:xfrm>
          <a:off x="33406768" y="5673725"/>
          <a:ext cx="0" cy="1714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25" name="WordArt 6"/>
        <xdr:cNvSpPr>
          <a:spLocks noChangeArrowheads="1" noChangeShapeType="1" noTextEdit="1"/>
        </xdr:cNvSpPr>
      </xdr:nvSpPr>
      <xdr:spPr bwMode="auto">
        <a:xfrm>
          <a:off x="33406768" y="5286375"/>
          <a:ext cx="0" cy="1748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17</xdr:row>
      <xdr:rowOff>111125</xdr:rowOff>
    </xdr:from>
    <xdr:to>
      <xdr:col>35</xdr:col>
      <xdr:colOff>1012243</xdr:colOff>
      <xdr:row>18</xdr:row>
      <xdr:rowOff>82550</xdr:rowOff>
    </xdr:to>
    <xdr:sp macro="" textlink="">
      <xdr:nvSpPr>
        <xdr:cNvPr id="326" name="WordArt 5"/>
        <xdr:cNvSpPr>
          <a:spLocks noChangeArrowheads="1" noChangeShapeType="1" noTextEdit="1"/>
        </xdr:cNvSpPr>
      </xdr:nvSpPr>
      <xdr:spPr bwMode="auto">
        <a:xfrm>
          <a:off x="33406768" y="5673725"/>
          <a:ext cx="0" cy="1714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123825</xdr:rowOff>
    </xdr:from>
    <xdr:to>
      <xdr:col>35</xdr:col>
      <xdr:colOff>1012243</xdr:colOff>
      <xdr:row>16</xdr:row>
      <xdr:rowOff>98623</xdr:rowOff>
    </xdr:to>
    <xdr:sp macro="" textlink="">
      <xdr:nvSpPr>
        <xdr:cNvPr id="327" name="WordArt 6"/>
        <xdr:cNvSpPr>
          <a:spLocks noChangeArrowheads="1" noChangeShapeType="1" noTextEdit="1"/>
        </xdr:cNvSpPr>
      </xdr:nvSpPr>
      <xdr:spPr bwMode="auto">
        <a:xfrm>
          <a:off x="33406768" y="5286375"/>
          <a:ext cx="0" cy="1748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109246</xdr:rowOff>
    </xdr:from>
    <xdr:to>
      <xdr:col>36</xdr:col>
      <xdr:colOff>3756</xdr:colOff>
      <xdr:row>16</xdr:row>
      <xdr:rowOff>90857</xdr:rowOff>
    </xdr:to>
    <xdr:sp macro="" textlink="">
      <xdr:nvSpPr>
        <xdr:cNvPr id="328" name="WordArt 5"/>
        <xdr:cNvSpPr>
          <a:spLocks noChangeArrowheads="1" noChangeShapeType="1" noTextEdit="1"/>
        </xdr:cNvSpPr>
      </xdr:nvSpPr>
      <xdr:spPr bwMode="auto">
        <a:xfrm>
          <a:off x="33569856" y="5271796"/>
          <a:ext cx="0" cy="1816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121947</xdr:rowOff>
    </xdr:from>
    <xdr:to>
      <xdr:col>36</xdr:col>
      <xdr:colOff>3756</xdr:colOff>
      <xdr:row>14</xdr:row>
      <xdr:rowOff>96744</xdr:rowOff>
    </xdr:to>
    <xdr:sp macro="" textlink="">
      <xdr:nvSpPr>
        <xdr:cNvPr id="329" name="WordArt 6"/>
        <xdr:cNvSpPr>
          <a:spLocks noChangeArrowheads="1" noChangeShapeType="1" noTextEdit="1"/>
        </xdr:cNvSpPr>
      </xdr:nvSpPr>
      <xdr:spPr bwMode="auto">
        <a:xfrm>
          <a:off x="33569856" y="4884447"/>
          <a:ext cx="0" cy="1748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0" name="WordArt 5"/>
        <xdr:cNvSpPr>
          <a:spLocks noChangeArrowheads="1" noChangeShapeType="1" noTextEdit="1"/>
        </xdr:cNvSpPr>
      </xdr:nvSpPr>
      <xdr:spPr bwMode="auto">
        <a:xfrm>
          <a:off x="33406768" y="5271796"/>
          <a:ext cx="0" cy="1816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1" name="WordArt 6"/>
        <xdr:cNvSpPr>
          <a:spLocks noChangeArrowheads="1" noChangeShapeType="1" noTextEdit="1"/>
        </xdr:cNvSpPr>
      </xdr:nvSpPr>
      <xdr:spPr bwMode="auto">
        <a:xfrm>
          <a:off x="33406768" y="4884447"/>
          <a:ext cx="0" cy="1748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109246</xdr:rowOff>
    </xdr:from>
    <xdr:to>
      <xdr:col>35</xdr:col>
      <xdr:colOff>1012243</xdr:colOff>
      <xdr:row>16</xdr:row>
      <xdr:rowOff>90857</xdr:rowOff>
    </xdr:to>
    <xdr:sp macro="" textlink="">
      <xdr:nvSpPr>
        <xdr:cNvPr id="332" name="WordArt 5"/>
        <xdr:cNvSpPr>
          <a:spLocks noChangeArrowheads="1" noChangeShapeType="1" noTextEdit="1"/>
        </xdr:cNvSpPr>
      </xdr:nvSpPr>
      <xdr:spPr bwMode="auto">
        <a:xfrm>
          <a:off x="33406768" y="5271796"/>
          <a:ext cx="0" cy="1816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13</xdr:row>
      <xdr:rowOff>121947</xdr:rowOff>
    </xdr:from>
    <xdr:to>
      <xdr:col>35</xdr:col>
      <xdr:colOff>1012243</xdr:colOff>
      <xdr:row>14</xdr:row>
      <xdr:rowOff>96744</xdr:rowOff>
    </xdr:to>
    <xdr:sp macro="" textlink="">
      <xdr:nvSpPr>
        <xdr:cNvPr id="333" name="WordArt 6"/>
        <xdr:cNvSpPr>
          <a:spLocks noChangeArrowheads="1" noChangeShapeType="1" noTextEdit="1"/>
        </xdr:cNvSpPr>
      </xdr:nvSpPr>
      <xdr:spPr bwMode="auto">
        <a:xfrm>
          <a:off x="33406768" y="4884447"/>
          <a:ext cx="0" cy="1748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16</xdr:row>
      <xdr:rowOff>110186</xdr:rowOff>
    </xdr:from>
    <xdr:to>
      <xdr:col>36</xdr:col>
      <xdr:colOff>3756</xdr:colOff>
      <xdr:row>17</xdr:row>
      <xdr:rowOff>91796</xdr:rowOff>
    </xdr:to>
    <xdr:sp macro="" textlink="">
      <xdr:nvSpPr>
        <xdr:cNvPr id="334" name="WordArt 5"/>
        <xdr:cNvSpPr>
          <a:spLocks noChangeArrowheads="1" noChangeShapeType="1" noTextEdit="1"/>
        </xdr:cNvSpPr>
      </xdr:nvSpPr>
      <xdr:spPr bwMode="auto">
        <a:xfrm>
          <a:off x="33569856" y="5472761"/>
          <a:ext cx="0" cy="1816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122886</xdr:rowOff>
    </xdr:from>
    <xdr:to>
      <xdr:col>36</xdr:col>
      <xdr:colOff>3756</xdr:colOff>
      <xdr:row>15</xdr:row>
      <xdr:rowOff>97683</xdr:rowOff>
    </xdr:to>
    <xdr:sp macro="" textlink="">
      <xdr:nvSpPr>
        <xdr:cNvPr id="335" name="WordArt 6"/>
        <xdr:cNvSpPr>
          <a:spLocks noChangeArrowheads="1" noChangeShapeType="1" noTextEdit="1"/>
        </xdr:cNvSpPr>
      </xdr:nvSpPr>
      <xdr:spPr bwMode="auto">
        <a:xfrm>
          <a:off x="33569856" y="5085411"/>
          <a:ext cx="0" cy="1748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6" name="WordArt 5"/>
        <xdr:cNvSpPr>
          <a:spLocks noChangeArrowheads="1" noChangeShapeType="1" noTextEdit="1"/>
        </xdr:cNvSpPr>
      </xdr:nvSpPr>
      <xdr:spPr bwMode="auto">
        <a:xfrm>
          <a:off x="33406768" y="5472761"/>
          <a:ext cx="0" cy="1816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16</xdr:row>
      <xdr:rowOff>110186</xdr:rowOff>
    </xdr:from>
    <xdr:to>
      <xdr:col>35</xdr:col>
      <xdr:colOff>1012243</xdr:colOff>
      <xdr:row>17</xdr:row>
      <xdr:rowOff>91796</xdr:rowOff>
    </xdr:to>
    <xdr:sp macro="" textlink="">
      <xdr:nvSpPr>
        <xdr:cNvPr id="337" name="WordArt 5"/>
        <xdr:cNvSpPr>
          <a:spLocks noChangeArrowheads="1" noChangeShapeType="1" noTextEdit="1"/>
        </xdr:cNvSpPr>
      </xdr:nvSpPr>
      <xdr:spPr bwMode="auto">
        <a:xfrm>
          <a:off x="33406768" y="5472761"/>
          <a:ext cx="0" cy="1816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45</xdr:row>
      <xdr:rowOff>111125</xdr:rowOff>
    </xdr:from>
    <xdr:to>
      <xdr:col>37</xdr:col>
      <xdr:colOff>3756</xdr:colOff>
      <xdr:row>46</xdr:row>
      <xdr:rowOff>82550</xdr:rowOff>
    </xdr:to>
    <xdr:sp macro="" textlink="">
      <xdr:nvSpPr>
        <xdr:cNvPr id="98" name="WordArt 5"/>
        <xdr:cNvSpPr>
          <a:spLocks noChangeArrowheads="1" noChangeShapeType="1" noTextEdit="1"/>
        </xdr:cNvSpPr>
      </xdr:nvSpPr>
      <xdr:spPr bwMode="auto">
        <a:xfrm>
          <a:off x="48831287" y="15339219"/>
          <a:ext cx="0" cy="1976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43</xdr:row>
      <xdr:rowOff>123825</xdr:rowOff>
    </xdr:from>
    <xdr:to>
      <xdr:col>37</xdr:col>
      <xdr:colOff>3756</xdr:colOff>
      <xdr:row>44</xdr:row>
      <xdr:rowOff>98623</xdr:rowOff>
    </xdr:to>
    <xdr:sp macro="" textlink="">
      <xdr:nvSpPr>
        <xdr:cNvPr id="99" name="WordArt 6"/>
        <xdr:cNvSpPr>
          <a:spLocks noChangeArrowheads="1" noChangeShapeType="1" noTextEdit="1"/>
        </xdr:cNvSpPr>
      </xdr:nvSpPr>
      <xdr:spPr bwMode="auto">
        <a:xfrm>
          <a:off x="48831287" y="14899481"/>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43</xdr:row>
      <xdr:rowOff>109246</xdr:rowOff>
    </xdr:from>
    <xdr:to>
      <xdr:col>37</xdr:col>
      <xdr:colOff>3756</xdr:colOff>
      <xdr:row>44</xdr:row>
      <xdr:rowOff>90857</xdr:rowOff>
    </xdr:to>
    <xdr:sp macro="" textlink="">
      <xdr:nvSpPr>
        <xdr:cNvPr id="100" name="WordArt 5"/>
        <xdr:cNvSpPr>
          <a:spLocks noChangeArrowheads="1" noChangeShapeType="1" noTextEdit="1"/>
        </xdr:cNvSpPr>
      </xdr:nvSpPr>
      <xdr:spPr bwMode="auto">
        <a:xfrm>
          <a:off x="48831287" y="14884902"/>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45</xdr:row>
      <xdr:rowOff>67518</xdr:rowOff>
    </xdr:from>
    <xdr:to>
      <xdr:col>37</xdr:col>
      <xdr:colOff>3756</xdr:colOff>
      <xdr:row>46</xdr:row>
      <xdr:rowOff>42315</xdr:rowOff>
    </xdr:to>
    <xdr:sp macro="" textlink="">
      <xdr:nvSpPr>
        <xdr:cNvPr id="101" name="WordArt 6"/>
        <xdr:cNvSpPr>
          <a:spLocks noChangeArrowheads="1" noChangeShapeType="1" noTextEdit="1"/>
        </xdr:cNvSpPr>
      </xdr:nvSpPr>
      <xdr:spPr bwMode="auto">
        <a:xfrm>
          <a:off x="48831287" y="15295612"/>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44</xdr:row>
      <xdr:rowOff>110186</xdr:rowOff>
    </xdr:from>
    <xdr:to>
      <xdr:col>37</xdr:col>
      <xdr:colOff>3756</xdr:colOff>
      <xdr:row>45</xdr:row>
      <xdr:rowOff>91796</xdr:rowOff>
    </xdr:to>
    <xdr:sp macro="" textlink="">
      <xdr:nvSpPr>
        <xdr:cNvPr id="102" name="WordArt 5"/>
        <xdr:cNvSpPr>
          <a:spLocks noChangeArrowheads="1" noChangeShapeType="1" noTextEdit="1"/>
        </xdr:cNvSpPr>
      </xdr:nvSpPr>
      <xdr:spPr bwMode="auto">
        <a:xfrm>
          <a:off x="48831287" y="15112061"/>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37</xdr:col>
      <xdr:colOff>3756</xdr:colOff>
      <xdr:row>42</xdr:row>
      <xdr:rowOff>122886</xdr:rowOff>
    </xdr:from>
    <xdr:to>
      <xdr:col>37</xdr:col>
      <xdr:colOff>3756</xdr:colOff>
      <xdr:row>43</xdr:row>
      <xdr:rowOff>97683</xdr:rowOff>
    </xdr:to>
    <xdr:sp macro="" textlink="">
      <xdr:nvSpPr>
        <xdr:cNvPr id="103" name="WordArt 6"/>
        <xdr:cNvSpPr>
          <a:spLocks noChangeArrowheads="1" noChangeShapeType="1" noTextEdit="1"/>
        </xdr:cNvSpPr>
      </xdr:nvSpPr>
      <xdr:spPr bwMode="auto">
        <a:xfrm>
          <a:off x="48831287" y="14672324"/>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45</xdr:row>
      <xdr:rowOff>111125</xdr:rowOff>
    </xdr:from>
    <xdr:to>
      <xdr:col>38</xdr:col>
      <xdr:colOff>3756</xdr:colOff>
      <xdr:row>46</xdr:row>
      <xdr:rowOff>82550</xdr:rowOff>
    </xdr:to>
    <xdr:sp macro="" textlink="">
      <xdr:nvSpPr>
        <xdr:cNvPr id="104" name="WordArt 5"/>
        <xdr:cNvSpPr>
          <a:spLocks noChangeArrowheads="1" noChangeShapeType="1" noTextEdit="1"/>
        </xdr:cNvSpPr>
      </xdr:nvSpPr>
      <xdr:spPr bwMode="auto">
        <a:xfrm>
          <a:off x="48831287" y="15339219"/>
          <a:ext cx="0" cy="1976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43</xdr:row>
      <xdr:rowOff>123825</xdr:rowOff>
    </xdr:from>
    <xdr:to>
      <xdr:col>38</xdr:col>
      <xdr:colOff>3756</xdr:colOff>
      <xdr:row>44</xdr:row>
      <xdr:rowOff>98623</xdr:rowOff>
    </xdr:to>
    <xdr:sp macro="" textlink="">
      <xdr:nvSpPr>
        <xdr:cNvPr id="105" name="WordArt 6"/>
        <xdr:cNvSpPr>
          <a:spLocks noChangeArrowheads="1" noChangeShapeType="1" noTextEdit="1"/>
        </xdr:cNvSpPr>
      </xdr:nvSpPr>
      <xdr:spPr bwMode="auto">
        <a:xfrm>
          <a:off x="48831287" y="14899481"/>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43</xdr:row>
      <xdr:rowOff>109246</xdr:rowOff>
    </xdr:from>
    <xdr:to>
      <xdr:col>38</xdr:col>
      <xdr:colOff>3756</xdr:colOff>
      <xdr:row>44</xdr:row>
      <xdr:rowOff>90857</xdr:rowOff>
    </xdr:to>
    <xdr:sp macro="" textlink="">
      <xdr:nvSpPr>
        <xdr:cNvPr id="106" name="WordArt 5"/>
        <xdr:cNvSpPr>
          <a:spLocks noChangeArrowheads="1" noChangeShapeType="1" noTextEdit="1"/>
        </xdr:cNvSpPr>
      </xdr:nvSpPr>
      <xdr:spPr bwMode="auto">
        <a:xfrm>
          <a:off x="48831287" y="14884902"/>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45</xdr:row>
      <xdr:rowOff>67518</xdr:rowOff>
    </xdr:from>
    <xdr:to>
      <xdr:col>38</xdr:col>
      <xdr:colOff>3756</xdr:colOff>
      <xdr:row>46</xdr:row>
      <xdr:rowOff>42315</xdr:rowOff>
    </xdr:to>
    <xdr:sp macro="" textlink="">
      <xdr:nvSpPr>
        <xdr:cNvPr id="107" name="WordArt 6"/>
        <xdr:cNvSpPr>
          <a:spLocks noChangeArrowheads="1" noChangeShapeType="1" noTextEdit="1"/>
        </xdr:cNvSpPr>
      </xdr:nvSpPr>
      <xdr:spPr bwMode="auto">
        <a:xfrm>
          <a:off x="48831287" y="15295612"/>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38</xdr:col>
      <xdr:colOff>3756</xdr:colOff>
      <xdr:row>44</xdr:row>
      <xdr:rowOff>110186</xdr:rowOff>
    </xdr:from>
    <xdr:to>
      <xdr:col>38</xdr:col>
      <xdr:colOff>3756</xdr:colOff>
      <xdr:row>45</xdr:row>
      <xdr:rowOff>91796</xdr:rowOff>
    </xdr:to>
    <xdr:sp macro="" textlink="">
      <xdr:nvSpPr>
        <xdr:cNvPr id="108" name="WordArt 5"/>
        <xdr:cNvSpPr>
          <a:spLocks noChangeArrowheads="1" noChangeShapeType="1" noTextEdit="1"/>
        </xdr:cNvSpPr>
      </xdr:nvSpPr>
      <xdr:spPr bwMode="auto">
        <a:xfrm>
          <a:off x="48831287" y="15112061"/>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38</xdr:col>
      <xdr:colOff>3756</xdr:colOff>
      <xdr:row>42</xdr:row>
      <xdr:rowOff>122886</xdr:rowOff>
    </xdr:from>
    <xdr:to>
      <xdr:col>38</xdr:col>
      <xdr:colOff>3756</xdr:colOff>
      <xdr:row>43</xdr:row>
      <xdr:rowOff>97683</xdr:rowOff>
    </xdr:to>
    <xdr:sp macro="" textlink="">
      <xdr:nvSpPr>
        <xdr:cNvPr id="109" name="WordArt 6"/>
        <xdr:cNvSpPr>
          <a:spLocks noChangeArrowheads="1" noChangeShapeType="1" noTextEdit="1"/>
        </xdr:cNvSpPr>
      </xdr:nvSpPr>
      <xdr:spPr bwMode="auto">
        <a:xfrm>
          <a:off x="48831287" y="14672324"/>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45</xdr:row>
      <xdr:rowOff>111125</xdr:rowOff>
    </xdr:from>
    <xdr:to>
      <xdr:col>39</xdr:col>
      <xdr:colOff>3756</xdr:colOff>
      <xdr:row>46</xdr:row>
      <xdr:rowOff>82550</xdr:rowOff>
    </xdr:to>
    <xdr:sp macro="" textlink="">
      <xdr:nvSpPr>
        <xdr:cNvPr id="110" name="WordArt 5"/>
        <xdr:cNvSpPr>
          <a:spLocks noChangeArrowheads="1" noChangeShapeType="1" noTextEdit="1"/>
        </xdr:cNvSpPr>
      </xdr:nvSpPr>
      <xdr:spPr bwMode="auto">
        <a:xfrm>
          <a:off x="48831287" y="15339219"/>
          <a:ext cx="0" cy="1976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43</xdr:row>
      <xdr:rowOff>123825</xdr:rowOff>
    </xdr:from>
    <xdr:to>
      <xdr:col>39</xdr:col>
      <xdr:colOff>3756</xdr:colOff>
      <xdr:row>44</xdr:row>
      <xdr:rowOff>98623</xdr:rowOff>
    </xdr:to>
    <xdr:sp macro="" textlink="">
      <xdr:nvSpPr>
        <xdr:cNvPr id="111" name="WordArt 6"/>
        <xdr:cNvSpPr>
          <a:spLocks noChangeArrowheads="1" noChangeShapeType="1" noTextEdit="1"/>
        </xdr:cNvSpPr>
      </xdr:nvSpPr>
      <xdr:spPr bwMode="auto">
        <a:xfrm>
          <a:off x="48831287" y="14899481"/>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43</xdr:row>
      <xdr:rowOff>109246</xdr:rowOff>
    </xdr:from>
    <xdr:to>
      <xdr:col>39</xdr:col>
      <xdr:colOff>3756</xdr:colOff>
      <xdr:row>44</xdr:row>
      <xdr:rowOff>90857</xdr:rowOff>
    </xdr:to>
    <xdr:sp macro="" textlink="">
      <xdr:nvSpPr>
        <xdr:cNvPr id="112" name="WordArt 5"/>
        <xdr:cNvSpPr>
          <a:spLocks noChangeArrowheads="1" noChangeShapeType="1" noTextEdit="1"/>
        </xdr:cNvSpPr>
      </xdr:nvSpPr>
      <xdr:spPr bwMode="auto">
        <a:xfrm>
          <a:off x="48831287" y="14884902"/>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45</xdr:row>
      <xdr:rowOff>67518</xdr:rowOff>
    </xdr:from>
    <xdr:to>
      <xdr:col>39</xdr:col>
      <xdr:colOff>3756</xdr:colOff>
      <xdr:row>46</xdr:row>
      <xdr:rowOff>42315</xdr:rowOff>
    </xdr:to>
    <xdr:sp macro="" textlink="">
      <xdr:nvSpPr>
        <xdr:cNvPr id="113" name="WordArt 6"/>
        <xdr:cNvSpPr>
          <a:spLocks noChangeArrowheads="1" noChangeShapeType="1" noTextEdit="1"/>
        </xdr:cNvSpPr>
      </xdr:nvSpPr>
      <xdr:spPr bwMode="auto">
        <a:xfrm>
          <a:off x="48831287" y="15295612"/>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44</xdr:row>
      <xdr:rowOff>110186</xdr:rowOff>
    </xdr:from>
    <xdr:to>
      <xdr:col>39</xdr:col>
      <xdr:colOff>3756</xdr:colOff>
      <xdr:row>45</xdr:row>
      <xdr:rowOff>91796</xdr:rowOff>
    </xdr:to>
    <xdr:sp macro="" textlink="">
      <xdr:nvSpPr>
        <xdr:cNvPr id="114" name="WordArt 5"/>
        <xdr:cNvSpPr>
          <a:spLocks noChangeArrowheads="1" noChangeShapeType="1" noTextEdit="1"/>
        </xdr:cNvSpPr>
      </xdr:nvSpPr>
      <xdr:spPr bwMode="auto">
        <a:xfrm>
          <a:off x="48831287" y="15112061"/>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39</xdr:col>
      <xdr:colOff>3756</xdr:colOff>
      <xdr:row>42</xdr:row>
      <xdr:rowOff>122886</xdr:rowOff>
    </xdr:from>
    <xdr:to>
      <xdr:col>39</xdr:col>
      <xdr:colOff>3756</xdr:colOff>
      <xdr:row>43</xdr:row>
      <xdr:rowOff>97683</xdr:rowOff>
    </xdr:to>
    <xdr:sp macro="" textlink="">
      <xdr:nvSpPr>
        <xdr:cNvPr id="115" name="WordArt 6"/>
        <xdr:cNvSpPr>
          <a:spLocks noChangeArrowheads="1" noChangeShapeType="1" noTextEdit="1"/>
        </xdr:cNvSpPr>
      </xdr:nvSpPr>
      <xdr:spPr bwMode="auto">
        <a:xfrm>
          <a:off x="48831287" y="14672324"/>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45</xdr:row>
      <xdr:rowOff>111125</xdr:rowOff>
    </xdr:from>
    <xdr:to>
      <xdr:col>40</xdr:col>
      <xdr:colOff>3756</xdr:colOff>
      <xdr:row>46</xdr:row>
      <xdr:rowOff>82550</xdr:rowOff>
    </xdr:to>
    <xdr:sp macro="" textlink="">
      <xdr:nvSpPr>
        <xdr:cNvPr id="116" name="WordArt 5"/>
        <xdr:cNvSpPr>
          <a:spLocks noChangeArrowheads="1" noChangeShapeType="1" noTextEdit="1"/>
        </xdr:cNvSpPr>
      </xdr:nvSpPr>
      <xdr:spPr bwMode="auto">
        <a:xfrm>
          <a:off x="48831287" y="15339219"/>
          <a:ext cx="0" cy="1976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43</xdr:row>
      <xdr:rowOff>123825</xdr:rowOff>
    </xdr:from>
    <xdr:to>
      <xdr:col>40</xdr:col>
      <xdr:colOff>3756</xdr:colOff>
      <xdr:row>44</xdr:row>
      <xdr:rowOff>98623</xdr:rowOff>
    </xdr:to>
    <xdr:sp macro="" textlink="">
      <xdr:nvSpPr>
        <xdr:cNvPr id="117" name="WordArt 6"/>
        <xdr:cNvSpPr>
          <a:spLocks noChangeArrowheads="1" noChangeShapeType="1" noTextEdit="1"/>
        </xdr:cNvSpPr>
      </xdr:nvSpPr>
      <xdr:spPr bwMode="auto">
        <a:xfrm>
          <a:off x="48831287" y="14899481"/>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43</xdr:row>
      <xdr:rowOff>109246</xdr:rowOff>
    </xdr:from>
    <xdr:to>
      <xdr:col>40</xdr:col>
      <xdr:colOff>3756</xdr:colOff>
      <xdr:row>44</xdr:row>
      <xdr:rowOff>90857</xdr:rowOff>
    </xdr:to>
    <xdr:sp macro="" textlink="">
      <xdr:nvSpPr>
        <xdr:cNvPr id="118" name="WordArt 5"/>
        <xdr:cNvSpPr>
          <a:spLocks noChangeArrowheads="1" noChangeShapeType="1" noTextEdit="1"/>
        </xdr:cNvSpPr>
      </xdr:nvSpPr>
      <xdr:spPr bwMode="auto">
        <a:xfrm>
          <a:off x="48831287" y="14884902"/>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45</xdr:row>
      <xdr:rowOff>67518</xdr:rowOff>
    </xdr:from>
    <xdr:to>
      <xdr:col>40</xdr:col>
      <xdr:colOff>3756</xdr:colOff>
      <xdr:row>46</xdr:row>
      <xdr:rowOff>42315</xdr:rowOff>
    </xdr:to>
    <xdr:sp macro="" textlink="">
      <xdr:nvSpPr>
        <xdr:cNvPr id="119" name="WordArt 6"/>
        <xdr:cNvSpPr>
          <a:spLocks noChangeArrowheads="1" noChangeShapeType="1" noTextEdit="1"/>
        </xdr:cNvSpPr>
      </xdr:nvSpPr>
      <xdr:spPr bwMode="auto">
        <a:xfrm>
          <a:off x="48831287" y="15295612"/>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44</xdr:row>
      <xdr:rowOff>110186</xdr:rowOff>
    </xdr:from>
    <xdr:to>
      <xdr:col>40</xdr:col>
      <xdr:colOff>3756</xdr:colOff>
      <xdr:row>45</xdr:row>
      <xdr:rowOff>91796</xdr:rowOff>
    </xdr:to>
    <xdr:sp macro="" textlink="">
      <xdr:nvSpPr>
        <xdr:cNvPr id="120" name="WordArt 5"/>
        <xdr:cNvSpPr>
          <a:spLocks noChangeArrowheads="1" noChangeShapeType="1" noTextEdit="1"/>
        </xdr:cNvSpPr>
      </xdr:nvSpPr>
      <xdr:spPr bwMode="auto">
        <a:xfrm>
          <a:off x="48831287" y="15112061"/>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40</xdr:col>
      <xdr:colOff>3756</xdr:colOff>
      <xdr:row>42</xdr:row>
      <xdr:rowOff>122886</xdr:rowOff>
    </xdr:from>
    <xdr:to>
      <xdr:col>40</xdr:col>
      <xdr:colOff>3756</xdr:colOff>
      <xdr:row>43</xdr:row>
      <xdr:rowOff>97683</xdr:rowOff>
    </xdr:to>
    <xdr:sp macro="" textlink="">
      <xdr:nvSpPr>
        <xdr:cNvPr id="121" name="WordArt 6"/>
        <xdr:cNvSpPr>
          <a:spLocks noChangeArrowheads="1" noChangeShapeType="1" noTextEdit="1"/>
        </xdr:cNvSpPr>
      </xdr:nvSpPr>
      <xdr:spPr bwMode="auto">
        <a:xfrm>
          <a:off x="48831287" y="14672324"/>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45</xdr:row>
      <xdr:rowOff>111125</xdr:rowOff>
    </xdr:from>
    <xdr:to>
      <xdr:col>41</xdr:col>
      <xdr:colOff>3756</xdr:colOff>
      <xdr:row>46</xdr:row>
      <xdr:rowOff>82550</xdr:rowOff>
    </xdr:to>
    <xdr:sp macro="" textlink="">
      <xdr:nvSpPr>
        <xdr:cNvPr id="122" name="WordArt 5"/>
        <xdr:cNvSpPr>
          <a:spLocks noChangeArrowheads="1" noChangeShapeType="1" noTextEdit="1"/>
        </xdr:cNvSpPr>
      </xdr:nvSpPr>
      <xdr:spPr bwMode="auto">
        <a:xfrm>
          <a:off x="48831287" y="15339219"/>
          <a:ext cx="0" cy="1976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43</xdr:row>
      <xdr:rowOff>123825</xdr:rowOff>
    </xdr:from>
    <xdr:to>
      <xdr:col>41</xdr:col>
      <xdr:colOff>3756</xdr:colOff>
      <xdr:row>44</xdr:row>
      <xdr:rowOff>98623</xdr:rowOff>
    </xdr:to>
    <xdr:sp macro="" textlink="">
      <xdr:nvSpPr>
        <xdr:cNvPr id="123" name="WordArt 6"/>
        <xdr:cNvSpPr>
          <a:spLocks noChangeArrowheads="1" noChangeShapeType="1" noTextEdit="1"/>
        </xdr:cNvSpPr>
      </xdr:nvSpPr>
      <xdr:spPr bwMode="auto">
        <a:xfrm>
          <a:off x="48831287" y="14899481"/>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43</xdr:row>
      <xdr:rowOff>109246</xdr:rowOff>
    </xdr:from>
    <xdr:to>
      <xdr:col>41</xdr:col>
      <xdr:colOff>3756</xdr:colOff>
      <xdr:row>44</xdr:row>
      <xdr:rowOff>90857</xdr:rowOff>
    </xdr:to>
    <xdr:sp macro="" textlink="">
      <xdr:nvSpPr>
        <xdr:cNvPr id="124" name="WordArt 5"/>
        <xdr:cNvSpPr>
          <a:spLocks noChangeArrowheads="1" noChangeShapeType="1" noTextEdit="1"/>
        </xdr:cNvSpPr>
      </xdr:nvSpPr>
      <xdr:spPr bwMode="auto">
        <a:xfrm>
          <a:off x="48831287" y="14884902"/>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45</xdr:row>
      <xdr:rowOff>67518</xdr:rowOff>
    </xdr:from>
    <xdr:to>
      <xdr:col>41</xdr:col>
      <xdr:colOff>3756</xdr:colOff>
      <xdr:row>46</xdr:row>
      <xdr:rowOff>42315</xdr:rowOff>
    </xdr:to>
    <xdr:sp macro="" textlink="">
      <xdr:nvSpPr>
        <xdr:cNvPr id="125" name="WordArt 6"/>
        <xdr:cNvSpPr>
          <a:spLocks noChangeArrowheads="1" noChangeShapeType="1" noTextEdit="1"/>
        </xdr:cNvSpPr>
      </xdr:nvSpPr>
      <xdr:spPr bwMode="auto">
        <a:xfrm>
          <a:off x="48831287" y="15295612"/>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44</xdr:row>
      <xdr:rowOff>110186</xdr:rowOff>
    </xdr:from>
    <xdr:to>
      <xdr:col>41</xdr:col>
      <xdr:colOff>3756</xdr:colOff>
      <xdr:row>45</xdr:row>
      <xdr:rowOff>91796</xdr:rowOff>
    </xdr:to>
    <xdr:sp macro="" textlink="">
      <xdr:nvSpPr>
        <xdr:cNvPr id="126" name="WordArt 5"/>
        <xdr:cNvSpPr>
          <a:spLocks noChangeArrowheads="1" noChangeShapeType="1" noTextEdit="1"/>
        </xdr:cNvSpPr>
      </xdr:nvSpPr>
      <xdr:spPr bwMode="auto">
        <a:xfrm>
          <a:off x="48831287" y="15112061"/>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3756</xdr:colOff>
      <xdr:row>42</xdr:row>
      <xdr:rowOff>122886</xdr:rowOff>
    </xdr:from>
    <xdr:to>
      <xdr:col>41</xdr:col>
      <xdr:colOff>3756</xdr:colOff>
      <xdr:row>43</xdr:row>
      <xdr:rowOff>97683</xdr:rowOff>
    </xdr:to>
    <xdr:sp macro="" textlink="">
      <xdr:nvSpPr>
        <xdr:cNvPr id="127" name="WordArt 6"/>
        <xdr:cNvSpPr>
          <a:spLocks noChangeArrowheads="1" noChangeShapeType="1" noTextEdit="1"/>
        </xdr:cNvSpPr>
      </xdr:nvSpPr>
      <xdr:spPr bwMode="auto">
        <a:xfrm>
          <a:off x="48831287" y="14672324"/>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45</xdr:row>
      <xdr:rowOff>111125</xdr:rowOff>
    </xdr:from>
    <xdr:to>
      <xdr:col>42</xdr:col>
      <xdr:colOff>3756</xdr:colOff>
      <xdr:row>46</xdr:row>
      <xdr:rowOff>82550</xdr:rowOff>
    </xdr:to>
    <xdr:sp macro="" textlink="">
      <xdr:nvSpPr>
        <xdr:cNvPr id="128" name="WordArt 5"/>
        <xdr:cNvSpPr>
          <a:spLocks noChangeArrowheads="1" noChangeShapeType="1" noTextEdit="1"/>
        </xdr:cNvSpPr>
      </xdr:nvSpPr>
      <xdr:spPr bwMode="auto">
        <a:xfrm>
          <a:off x="48831287" y="15339219"/>
          <a:ext cx="0" cy="1976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43</xdr:row>
      <xdr:rowOff>123825</xdr:rowOff>
    </xdr:from>
    <xdr:to>
      <xdr:col>42</xdr:col>
      <xdr:colOff>3756</xdr:colOff>
      <xdr:row>44</xdr:row>
      <xdr:rowOff>98623</xdr:rowOff>
    </xdr:to>
    <xdr:sp macro="" textlink="">
      <xdr:nvSpPr>
        <xdr:cNvPr id="129" name="WordArt 6"/>
        <xdr:cNvSpPr>
          <a:spLocks noChangeArrowheads="1" noChangeShapeType="1" noTextEdit="1"/>
        </xdr:cNvSpPr>
      </xdr:nvSpPr>
      <xdr:spPr bwMode="auto">
        <a:xfrm>
          <a:off x="48831287" y="14899481"/>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43</xdr:row>
      <xdr:rowOff>109246</xdr:rowOff>
    </xdr:from>
    <xdr:to>
      <xdr:col>42</xdr:col>
      <xdr:colOff>3756</xdr:colOff>
      <xdr:row>44</xdr:row>
      <xdr:rowOff>90857</xdr:rowOff>
    </xdr:to>
    <xdr:sp macro="" textlink="">
      <xdr:nvSpPr>
        <xdr:cNvPr id="130" name="WordArt 5"/>
        <xdr:cNvSpPr>
          <a:spLocks noChangeArrowheads="1" noChangeShapeType="1" noTextEdit="1"/>
        </xdr:cNvSpPr>
      </xdr:nvSpPr>
      <xdr:spPr bwMode="auto">
        <a:xfrm>
          <a:off x="48831287" y="14884902"/>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45</xdr:row>
      <xdr:rowOff>67518</xdr:rowOff>
    </xdr:from>
    <xdr:to>
      <xdr:col>42</xdr:col>
      <xdr:colOff>3756</xdr:colOff>
      <xdr:row>46</xdr:row>
      <xdr:rowOff>42315</xdr:rowOff>
    </xdr:to>
    <xdr:sp macro="" textlink="">
      <xdr:nvSpPr>
        <xdr:cNvPr id="131" name="WordArt 6"/>
        <xdr:cNvSpPr>
          <a:spLocks noChangeArrowheads="1" noChangeShapeType="1" noTextEdit="1"/>
        </xdr:cNvSpPr>
      </xdr:nvSpPr>
      <xdr:spPr bwMode="auto">
        <a:xfrm>
          <a:off x="48831287" y="15295612"/>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44</xdr:row>
      <xdr:rowOff>110186</xdr:rowOff>
    </xdr:from>
    <xdr:to>
      <xdr:col>42</xdr:col>
      <xdr:colOff>3756</xdr:colOff>
      <xdr:row>45</xdr:row>
      <xdr:rowOff>91796</xdr:rowOff>
    </xdr:to>
    <xdr:sp macro="" textlink="">
      <xdr:nvSpPr>
        <xdr:cNvPr id="132" name="WordArt 5"/>
        <xdr:cNvSpPr>
          <a:spLocks noChangeArrowheads="1" noChangeShapeType="1" noTextEdit="1"/>
        </xdr:cNvSpPr>
      </xdr:nvSpPr>
      <xdr:spPr bwMode="auto">
        <a:xfrm>
          <a:off x="48831287" y="15112061"/>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42</xdr:row>
      <xdr:rowOff>122886</xdr:rowOff>
    </xdr:from>
    <xdr:to>
      <xdr:col>42</xdr:col>
      <xdr:colOff>3756</xdr:colOff>
      <xdr:row>43</xdr:row>
      <xdr:rowOff>97683</xdr:rowOff>
    </xdr:to>
    <xdr:sp macro="" textlink="">
      <xdr:nvSpPr>
        <xdr:cNvPr id="133" name="WordArt 6"/>
        <xdr:cNvSpPr>
          <a:spLocks noChangeArrowheads="1" noChangeShapeType="1" noTextEdit="1"/>
        </xdr:cNvSpPr>
      </xdr:nvSpPr>
      <xdr:spPr bwMode="auto">
        <a:xfrm>
          <a:off x="48831287" y="14672324"/>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45</xdr:row>
      <xdr:rowOff>111125</xdr:rowOff>
    </xdr:from>
    <xdr:to>
      <xdr:col>43</xdr:col>
      <xdr:colOff>3756</xdr:colOff>
      <xdr:row>46</xdr:row>
      <xdr:rowOff>82550</xdr:rowOff>
    </xdr:to>
    <xdr:sp macro="" textlink="">
      <xdr:nvSpPr>
        <xdr:cNvPr id="134" name="WordArt 5"/>
        <xdr:cNvSpPr>
          <a:spLocks noChangeArrowheads="1" noChangeShapeType="1" noTextEdit="1"/>
        </xdr:cNvSpPr>
      </xdr:nvSpPr>
      <xdr:spPr bwMode="auto">
        <a:xfrm>
          <a:off x="48831287" y="15339219"/>
          <a:ext cx="0" cy="1976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43</xdr:row>
      <xdr:rowOff>123825</xdr:rowOff>
    </xdr:from>
    <xdr:to>
      <xdr:col>43</xdr:col>
      <xdr:colOff>3756</xdr:colOff>
      <xdr:row>44</xdr:row>
      <xdr:rowOff>98623</xdr:rowOff>
    </xdr:to>
    <xdr:sp macro="" textlink="">
      <xdr:nvSpPr>
        <xdr:cNvPr id="135" name="WordArt 6"/>
        <xdr:cNvSpPr>
          <a:spLocks noChangeArrowheads="1" noChangeShapeType="1" noTextEdit="1"/>
        </xdr:cNvSpPr>
      </xdr:nvSpPr>
      <xdr:spPr bwMode="auto">
        <a:xfrm>
          <a:off x="48831287" y="14899481"/>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43</xdr:row>
      <xdr:rowOff>109246</xdr:rowOff>
    </xdr:from>
    <xdr:to>
      <xdr:col>43</xdr:col>
      <xdr:colOff>3756</xdr:colOff>
      <xdr:row>44</xdr:row>
      <xdr:rowOff>90857</xdr:rowOff>
    </xdr:to>
    <xdr:sp macro="" textlink="">
      <xdr:nvSpPr>
        <xdr:cNvPr id="136" name="WordArt 5"/>
        <xdr:cNvSpPr>
          <a:spLocks noChangeArrowheads="1" noChangeShapeType="1" noTextEdit="1"/>
        </xdr:cNvSpPr>
      </xdr:nvSpPr>
      <xdr:spPr bwMode="auto">
        <a:xfrm>
          <a:off x="48831287" y="14884902"/>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45</xdr:row>
      <xdr:rowOff>67518</xdr:rowOff>
    </xdr:from>
    <xdr:to>
      <xdr:col>43</xdr:col>
      <xdr:colOff>3756</xdr:colOff>
      <xdr:row>46</xdr:row>
      <xdr:rowOff>42315</xdr:rowOff>
    </xdr:to>
    <xdr:sp macro="" textlink="">
      <xdr:nvSpPr>
        <xdr:cNvPr id="137" name="WordArt 6"/>
        <xdr:cNvSpPr>
          <a:spLocks noChangeArrowheads="1" noChangeShapeType="1" noTextEdit="1"/>
        </xdr:cNvSpPr>
      </xdr:nvSpPr>
      <xdr:spPr bwMode="auto">
        <a:xfrm>
          <a:off x="48831287" y="15295612"/>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44</xdr:row>
      <xdr:rowOff>110186</xdr:rowOff>
    </xdr:from>
    <xdr:to>
      <xdr:col>43</xdr:col>
      <xdr:colOff>3756</xdr:colOff>
      <xdr:row>45</xdr:row>
      <xdr:rowOff>91796</xdr:rowOff>
    </xdr:to>
    <xdr:sp macro="" textlink="">
      <xdr:nvSpPr>
        <xdr:cNvPr id="138" name="WordArt 5"/>
        <xdr:cNvSpPr>
          <a:spLocks noChangeArrowheads="1" noChangeShapeType="1" noTextEdit="1"/>
        </xdr:cNvSpPr>
      </xdr:nvSpPr>
      <xdr:spPr bwMode="auto">
        <a:xfrm>
          <a:off x="48831287" y="15112061"/>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42</xdr:row>
      <xdr:rowOff>122886</xdr:rowOff>
    </xdr:from>
    <xdr:to>
      <xdr:col>43</xdr:col>
      <xdr:colOff>3756</xdr:colOff>
      <xdr:row>43</xdr:row>
      <xdr:rowOff>97683</xdr:rowOff>
    </xdr:to>
    <xdr:sp macro="" textlink="">
      <xdr:nvSpPr>
        <xdr:cNvPr id="139" name="WordArt 6"/>
        <xdr:cNvSpPr>
          <a:spLocks noChangeArrowheads="1" noChangeShapeType="1" noTextEdit="1"/>
        </xdr:cNvSpPr>
      </xdr:nvSpPr>
      <xdr:spPr bwMode="auto">
        <a:xfrm>
          <a:off x="48831287" y="14672324"/>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45</xdr:row>
      <xdr:rowOff>111125</xdr:rowOff>
    </xdr:from>
    <xdr:to>
      <xdr:col>45</xdr:col>
      <xdr:colOff>3756</xdr:colOff>
      <xdr:row>46</xdr:row>
      <xdr:rowOff>82550</xdr:rowOff>
    </xdr:to>
    <xdr:sp macro="" textlink="">
      <xdr:nvSpPr>
        <xdr:cNvPr id="140" name="WordArt 5"/>
        <xdr:cNvSpPr>
          <a:spLocks noChangeArrowheads="1" noChangeShapeType="1" noTextEdit="1"/>
        </xdr:cNvSpPr>
      </xdr:nvSpPr>
      <xdr:spPr bwMode="auto">
        <a:xfrm>
          <a:off x="48831287" y="15339219"/>
          <a:ext cx="0" cy="1976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43</xdr:row>
      <xdr:rowOff>123825</xdr:rowOff>
    </xdr:from>
    <xdr:to>
      <xdr:col>45</xdr:col>
      <xdr:colOff>3756</xdr:colOff>
      <xdr:row>44</xdr:row>
      <xdr:rowOff>98623</xdr:rowOff>
    </xdr:to>
    <xdr:sp macro="" textlink="">
      <xdr:nvSpPr>
        <xdr:cNvPr id="141" name="WordArt 6"/>
        <xdr:cNvSpPr>
          <a:spLocks noChangeArrowheads="1" noChangeShapeType="1" noTextEdit="1"/>
        </xdr:cNvSpPr>
      </xdr:nvSpPr>
      <xdr:spPr bwMode="auto">
        <a:xfrm>
          <a:off x="48831287" y="14899481"/>
          <a:ext cx="0" cy="20101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43</xdr:row>
      <xdr:rowOff>109246</xdr:rowOff>
    </xdr:from>
    <xdr:to>
      <xdr:col>45</xdr:col>
      <xdr:colOff>3756</xdr:colOff>
      <xdr:row>44</xdr:row>
      <xdr:rowOff>90857</xdr:rowOff>
    </xdr:to>
    <xdr:sp macro="" textlink="">
      <xdr:nvSpPr>
        <xdr:cNvPr id="142" name="WordArt 5"/>
        <xdr:cNvSpPr>
          <a:spLocks noChangeArrowheads="1" noChangeShapeType="1" noTextEdit="1"/>
        </xdr:cNvSpPr>
      </xdr:nvSpPr>
      <xdr:spPr bwMode="auto">
        <a:xfrm>
          <a:off x="48831287" y="14884902"/>
          <a:ext cx="0" cy="20783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45</xdr:row>
      <xdr:rowOff>67518</xdr:rowOff>
    </xdr:from>
    <xdr:to>
      <xdr:col>45</xdr:col>
      <xdr:colOff>3756</xdr:colOff>
      <xdr:row>46</xdr:row>
      <xdr:rowOff>42315</xdr:rowOff>
    </xdr:to>
    <xdr:sp macro="" textlink="">
      <xdr:nvSpPr>
        <xdr:cNvPr id="143" name="WordArt 6"/>
        <xdr:cNvSpPr>
          <a:spLocks noChangeArrowheads="1" noChangeShapeType="1" noTextEdit="1"/>
        </xdr:cNvSpPr>
      </xdr:nvSpPr>
      <xdr:spPr bwMode="auto">
        <a:xfrm>
          <a:off x="48831287" y="15295612"/>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44</xdr:row>
      <xdr:rowOff>110186</xdr:rowOff>
    </xdr:from>
    <xdr:to>
      <xdr:col>45</xdr:col>
      <xdr:colOff>3756</xdr:colOff>
      <xdr:row>45</xdr:row>
      <xdr:rowOff>91796</xdr:rowOff>
    </xdr:to>
    <xdr:sp macro="" textlink="">
      <xdr:nvSpPr>
        <xdr:cNvPr id="144" name="WordArt 5"/>
        <xdr:cNvSpPr>
          <a:spLocks noChangeArrowheads="1" noChangeShapeType="1" noTextEdit="1"/>
        </xdr:cNvSpPr>
      </xdr:nvSpPr>
      <xdr:spPr bwMode="auto">
        <a:xfrm>
          <a:off x="48831287" y="15112061"/>
          <a:ext cx="0" cy="207829"/>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42</xdr:row>
      <xdr:rowOff>122886</xdr:rowOff>
    </xdr:from>
    <xdr:to>
      <xdr:col>45</xdr:col>
      <xdr:colOff>3756</xdr:colOff>
      <xdr:row>43</xdr:row>
      <xdr:rowOff>97683</xdr:rowOff>
    </xdr:to>
    <xdr:sp macro="" textlink="">
      <xdr:nvSpPr>
        <xdr:cNvPr id="145" name="WordArt 6"/>
        <xdr:cNvSpPr>
          <a:spLocks noChangeArrowheads="1" noChangeShapeType="1" noTextEdit="1"/>
        </xdr:cNvSpPr>
      </xdr:nvSpPr>
      <xdr:spPr bwMode="auto">
        <a:xfrm>
          <a:off x="48831287" y="14672324"/>
          <a:ext cx="0" cy="20101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16</xdr:row>
      <xdr:rowOff>111125</xdr:rowOff>
    </xdr:from>
    <xdr:to>
      <xdr:col>34</xdr:col>
      <xdr:colOff>3756</xdr:colOff>
      <xdr:row>17</xdr:row>
      <xdr:rowOff>82550</xdr:rowOff>
    </xdr:to>
    <xdr:sp macro="" textlink="">
      <xdr:nvSpPr>
        <xdr:cNvPr id="146" name="WordArt 5"/>
        <xdr:cNvSpPr>
          <a:spLocks noChangeArrowheads="1" noChangeShapeType="1" noTextEdit="1"/>
        </xdr:cNvSpPr>
      </xdr:nvSpPr>
      <xdr:spPr bwMode="auto">
        <a:xfrm>
          <a:off x="47438256"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14</xdr:row>
      <xdr:rowOff>123825</xdr:rowOff>
    </xdr:from>
    <xdr:to>
      <xdr:col>34</xdr:col>
      <xdr:colOff>3756</xdr:colOff>
      <xdr:row>15</xdr:row>
      <xdr:rowOff>98623</xdr:rowOff>
    </xdr:to>
    <xdr:sp macro="" textlink="">
      <xdr:nvSpPr>
        <xdr:cNvPr id="147" name="WordArt 6"/>
        <xdr:cNvSpPr>
          <a:spLocks noChangeArrowheads="1" noChangeShapeType="1" noTextEdit="1"/>
        </xdr:cNvSpPr>
      </xdr:nvSpPr>
      <xdr:spPr bwMode="auto">
        <a:xfrm>
          <a:off x="47438256"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148" name="WordArt 5"/>
        <xdr:cNvSpPr>
          <a:spLocks noChangeArrowheads="1" noChangeShapeType="1" noTextEdit="1"/>
        </xdr:cNvSpPr>
      </xdr:nvSpPr>
      <xdr:spPr bwMode="auto">
        <a:xfrm>
          <a:off x="46798918"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149" name="WordArt 6"/>
        <xdr:cNvSpPr>
          <a:spLocks noChangeArrowheads="1" noChangeShapeType="1" noTextEdit="1"/>
        </xdr:cNvSpPr>
      </xdr:nvSpPr>
      <xdr:spPr bwMode="auto">
        <a:xfrm>
          <a:off x="46798918"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16</xdr:row>
      <xdr:rowOff>111125</xdr:rowOff>
    </xdr:from>
    <xdr:to>
      <xdr:col>33</xdr:col>
      <xdr:colOff>1012243</xdr:colOff>
      <xdr:row>17</xdr:row>
      <xdr:rowOff>82550</xdr:rowOff>
    </xdr:to>
    <xdr:sp macro="" textlink="">
      <xdr:nvSpPr>
        <xdr:cNvPr id="150" name="WordArt 5"/>
        <xdr:cNvSpPr>
          <a:spLocks noChangeArrowheads="1" noChangeShapeType="1" noTextEdit="1"/>
        </xdr:cNvSpPr>
      </xdr:nvSpPr>
      <xdr:spPr bwMode="auto">
        <a:xfrm>
          <a:off x="46798918"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14</xdr:row>
      <xdr:rowOff>123825</xdr:rowOff>
    </xdr:from>
    <xdr:to>
      <xdr:col>33</xdr:col>
      <xdr:colOff>1012243</xdr:colOff>
      <xdr:row>15</xdr:row>
      <xdr:rowOff>98623</xdr:rowOff>
    </xdr:to>
    <xdr:sp macro="" textlink="">
      <xdr:nvSpPr>
        <xdr:cNvPr id="151" name="WordArt 6"/>
        <xdr:cNvSpPr>
          <a:spLocks noChangeArrowheads="1" noChangeShapeType="1" noTextEdit="1"/>
        </xdr:cNvSpPr>
      </xdr:nvSpPr>
      <xdr:spPr bwMode="auto">
        <a:xfrm>
          <a:off x="46798918"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14</xdr:row>
      <xdr:rowOff>109246</xdr:rowOff>
    </xdr:from>
    <xdr:to>
      <xdr:col>34</xdr:col>
      <xdr:colOff>3756</xdr:colOff>
      <xdr:row>15</xdr:row>
      <xdr:rowOff>90857</xdr:rowOff>
    </xdr:to>
    <xdr:sp macro="" textlink="">
      <xdr:nvSpPr>
        <xdr:cNvPr id="152" name="WordArt 5"/>
        <xdr:cNvSpPr>
          <a:spLocks noChangeArrowheads="1" noChangeShapeType="1" noTextEdit="1"/>
        </xdr:cNvSpPr>
      </xdr:nvSpPr>
      <xdr:spPr bwMode="auto">
        <a:xfrm>
          <a:off x="47438256"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12</xdr:row>
      <xdr:rowOff>121947</xdr:rowOff>
    </xdr:from>
    <xdr:to>
      <xdr:col>34</xdr:col>
      <xdr:colOff>3756</xdr:colOff>
      <xdr:row>13</xdr:row>
      <xdr:rowOff>96744</xdr:rowOff>
    </xdr:to>
    <xdr:sp macro="" textlink="">
      <xdr:nvSpPr>
        <xdr:cNvPr id="153" name="WordArt 6"/>
        <xdr:cNvSpPr>
          <a:spLocks noChangeArrowheads="1" noChangeShapeType="1" noTextEdit="1"/>
        </xdr:cNvSpPr>
      </xdr:nvSpPr>
      <xdr:spPr bwMode="auto">
        <a:xfrm>
          <a:off x="47438256"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154" name="WordArt 5"/>
        <xdr:cNvSpPr>
          <a:spLocks noChangeArrowheads="1" noChangeShapeType="1" noTextEdit="1"/>
        </xdr:cNvSpPr>
      </xdr:nvSpPr>
      <xdr:spPr bwMode="auto">
        <a:xfrm>
          <a:off x="46798918"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155" name="WordArt 6"/>
        <xdr:cNvSpPr>
          <a:spLocks noChangeArrowheads="1" noChangeShapeType="1" noTextEdit="1"/>
        </xdr:cNvSpPr>
      </xdr:nvSpPr>
      <xdr:spPr bwMode="auto">
        <a:xfrm>
          <a:off x="46798918"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14</xdr:row>
      <xdr:rowOff>109246</xdr:rowOff>
    </xdr:from>
    <xdr:to>
      <xdr:col>33</xdr:col>
      <xdr:colOff>1012243</xdr:colOff>
      <xdr:row>15</xdr:row>
      <xdr:rowOff>90857</xdr:rowOff>
    </xdr:to>
    <xdr:sp macro="" textlink="">
      <xdr:nvSpPr>
        <xdr:cNvPr id="156" name="WordArt 5"/>
        <xdr:cNvSpPr>
          <a:spLocks noChangeArrowheads="1" noChangeShapeType="1" noTextEdit="1"/>
        </xdr:cNvSpPr>
      </xdr:nvSpPr>
      <xdr:spPr bwMode="auto">
        <a:xfrm>
          <a:off x="46798918"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12</xdr:row>
      <xdr:rowOff>121947</xdr:rowOff>
    </xdr:from>
    <xdr:to>
      <xdr:col>33</xdr:col>
      <xdr:colOff>1012243</xdr:colOff>
      <xdr:row>13</xdr:row>
      <xdr:rowOff>96744</xdr:rowOff>
    </xdr:to>
    <xdr:sp macro="" textlink="">
      <xdr:nvSpPr>
        <xdr:cNvPr id="157" name="WordArt 6"/>
        <xdr:cNvSpPr>
          <a:spLocks noChangeArrowheads="1" noChangeShapeType="1" noTextEdit="1"/>
        </xdr:cNvSpPr>
      </xdr:nvSpPr>
      <xdr:spPr bwMode="auto">
        <a:xfrm>
          <a:off x="46798918"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15</xdr:row>
      <xdr:rowOff>110186</xdr:rowOff>
    </xdr:from>
    <xdr:to>
      <xdr:col>34</xdr:col>
      <xdr:colOff>3756</xdr:colOff>
      <xdr:row>16</xdr:row>
      <xdr:rowOff>91796</xdr:rowOff>
    </xdr:to>
    <xdr:sp macro="" textlink="">
      <xdr:nvSpPr>
        <xdr:cNvPr id="158" name="WordArt 5"/>
        <xdr:cNvSpPr>
          <a:spLocks noChangeArrowheads="1" noChangeShapeType="1" noTextEdit="1"/>
        </xdr:cNvSpPr>
      </xdr:nvSpPr>
      <xdr:spPr bwMode="auto">
        <a:xfrm>
          <a:off x="47438256"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13</xdr:row>
      <xdr:rowOff>122886</xdr:rowOff>
    </xdr:from>
    <xdr:to>
      <xdr:col>34</xdr:col>
      <xdr:colOff>3756</xdr:colOff>
      <xdr:row>14</xdr:row>
      <xdr:rowOff>97683</xdr:rowOff>
    </xdr:to>
    <xdr:sp macro="" textlink="">
      <xdr:nvSpPr>
        <xdr:cNvPr id="159" name="WordArt 6"/>
        <xdr:cNvSpPr>
          <a:spLocks noChangeArrowheads="1" noChangeShapeType="1" noTextEdit="1"/>
        </xdr:cNvSpPr>
      </xdr:nvSpPr>
      <xdr:spPr bwMode="auto">
        <a:xfrm>
          <a:off x="47438256" y="51997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160" name="WordArt 5"/>
        <xdr:cNvSpPr>
          <a:spLocks noChangeArrowheads="1" noChangeShapeType="1" noTextEdit="1"/>
        </xdr:cNvSpPr>
      </xdr:nvSpPr>
      <xdr:spPr bwMode="auto">
        <a:xfrm>
          <a:off x="46798918"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15</xdr:row>
      <xdr:rowOff>110186</xdr:rowOff>
    </xdr:from>
    <xdr:to>
      <xdr:col>33</xdr:col>
      <xdr:colOff>1012243</xdr:colOff>
      <xdr:row>16</xdr:row>
      <xdr:rowOff>91796</xdr:rowOff>
    </xdr:to>
    <xdr:sp macro="" textlink="">
      <xdr:nvSpPr>
        <xdr:cNvPr id="161" name="WordArt 5"/>
        <xdr:cNvSpPr>
          <a:spLocks noChangeArrowheads="1" noChangeShapeType="1" noTextEdit="1"/>
        </xdr:cNvSpPr>
      </xdr:nvSpPr>
      <xdr:spPr bwMode="auto">
        <a:xfrm>
          <a:off x="46798918"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111125</xdr:rowOff>
    </xdr:from>
    <xdr:to>
      <xdr:col>36</xdr:col>
      <xdr:colOff>3756</xdr:colOff>
      <xdr:row>17</xdr:row>
      <xdr:rowOff>82550</xdr:rowOff>
    </xdr:to>
    <xdr:sp macro="" textlink="">
      <xdr:nvSpPr>
        <xdr:cNvPr id="162" name="WordArt 5"/>
        <xdr:cNvSpPr>
          <a:spLocks noChangeArrowheads="1" noChangeShapeType="1" noTextEdit="1"/>
        </xdr:cNvSpPr>
      </xdr:nvSpPr>
      <xdr:spPr bwMode="auto">
        <a:xfrm>
          <a:off x="50514831"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14</xdr:row>
      <xdr:rowOff>123825</xdr:rowOff>
    </xdr:from>
    <xdr:to>
      <xdr:col>36</xdr:col>
      <xdr:colOff>3756</xdr:colOff>
      <xdr:row>15</xdr:row>
      <xdr:rowOff>98623</xdr:rowOff>
    </xdr:to>
    <xdr:sp macro="" textlink="">
      <xdr:nvSpPr>
        <xdr:cNvPr id="163" name="WordArt 6"/>
        <xdr:cNvSpPr>
          <a:spLocks noChangeArrowheads="1" noChangeShapeType="1" noTextEdit="1"/>
        </xdr:cNvSpPr>
      </xdr:nvSpPr>
      <xdr:spPr bwMode="auto">
        <a:xfrm>
          <a:off x="50514831"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64" name="WordArt 5"/>
        <xdr:cNvSpPr>
          <a:spLocks noChangeArrowheads="1" noChangeShapeType="1" noTextEdit="1"/>
        </xdr:cNvSpPr>
      </xdr:nvSpPr>
      <xdr:spPr bwMode="auto">
        <a:xfrm>
          <a:off x="48446743"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65" name="WordArt 6"/>
        <xdr:cNvSpPr>
          <a:spLocks noChangeArrowheads="1" noChangeShapeType="1" noTextEdit="1"/>
        </xdr:cNvSpPr>
      </xdr:nvSpPr>
      <xdr:spPr bwMode="auto">
        <a:xfrm>
          <a:off x="48446743"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16</xdr:row>
      <xdr:rowOff>111125</xdr:rowOff>
    </xdr:from>
    <xdr:to>
      <xdr:col>34</xdr:col>
      <xdr:colOff>1012243</xdr:colOff>
      <xdr:row>17</xdr:row>
      <xdr:rowOff>82550</xdr:rowOff>
    </xdr:to>
    <xdr:sp macro="" textlink="">
      <xdr:nvSpPr>
        <xdr:cNvPr id="166" name="WordArt 5"/>
        <xdr:cNvSpPr>
          <a:spLocks noChangeArrowheads="1" noChangeShapeType="1" noTextEdit="1"/>
        </xdr:cNvSpPr>
      </xdr:nvSpPr>
      <xdr:spPr bwMode="auto">
        <a:xfrm>
          <a:off x="48446743"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14</xdr:row>
      <xdr:rowOff>123825</xdr:rowOff>
    </xdr:from>
    <xdr:to>
      <xdr:col>34</xdr:col>
      <xdr:colOff>1012243</xdr:colOff>
      <xdr:row>15</xdr:row>
      <xdr:rowOff>98623</xdr:rowOff>
    </xdr:to>
    <xdr:sp macro="" textlink="">
      <xdr:nvSpPr>
        <xdr:cNvPr id="167" name="WordArt 6"/>
        <xdr:cNvSpPr>
          <a:spLocks noChangeArrowheads="1" noChangeShapeType="1" noTextEdit="1"/>
        </xdr:cNvSpPr>
      </xdr:nvSpPr>
      <xdr:spPr bwMode="auto">
        <a:xfrm>
          <a:off x="48446743"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14</xdr:row>
      <xdr:rowOff>109246</xdr:rowOff>
    </xdr:from>
    <xdr:to>
      <xdr:col>36</xdr:col>
      <xdr:colOff>3756</xdr:colOff>
      <xdr:row>15</xdr:row>
      <xdr:rowOff>90857</xdr:rowOff>
    </xdr:to>
    <xdr:sp macro="" textlink="">
      <xdr:nvSpPr>
        <xdr:cNvPr id="168" name="WordArt 5"/>
        <xdr:cNvSpPr>
          <a:spLocks noChangeArrowheads="1" noChangeShapeType="1" noTextEdit="1"/>
        </xdr:cNvSpPr>
      </xdr:nvSpPr>
      <xdr:spPr bwMode="auto">
        <a:xfrm>
          <a:off x="50514831"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16</xdr:row>
      <xdr:rowOff>67518</xdr:rowOff>
    </xdr:from>
    <xdr:to>
      <xdr:col>36</xdr:col>
      <xdr:colOff>3756</xdr:colOff>
      <xdr:row>17</xdr:row>
      <xdr:rowOff>42315</xdr:rowOff>
    </xdr:to>
    <xdr:sp macro="" textlink="">
      <xdr:nvSpPr>
        <xdr:cNvPr id="169" name="WordArt 6"/>
        <xdr:cNvSpPr>
          <a:spLocks noChangeArrowheads="1" noChangeShapeType="1" noTextEdit="1"/>
        </xdr:cNvSpPr>
      </xdr:nvSpPr>
      <xdr:spPr bwMode="auto">
        <a:xfrm>
          <a:off x="50514831" y="5830143"/>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70" name="WordArt 5"/>
        <xdr:cNvSpPr>
          <a:spLocks noChangeArrowheads="1" noChangeShapeType="1" noTextEdit="1"/>
        </xdr:cNvSpPr>
      </xdr:nvSpPr>
      <xdr:spPr bwMode="auto">
        <a:xfrm>
          <a:off x="48446743"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71" name="WordArt 6"/>
        <xdr:cNvSpPr>
          <a:spLocks noChangeArrowheads="1" noChangeShapeType="1" noTextEdit="1"/>
        </xdr:cNvSpPr>
      </xdr:nvSpPr>
      <xdr:spPr bwMode="auto">
        <a:xfrm>
          <a:off x="48446743"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14</xdr:row>
      <xdr:rowOff>109246</xdr:rowOff>
    </xdr:from>
    <xdr:to>
      <xdr:col>34</xdr:col>
      <xdr:colOff>1012243</xdr:colOff>
      <xdr:row>15</xdr:row>
      <xdr:rowOff>90857</xdr:rowOff>
    </xdr:to>
    <xdr:sp macro="" textlink="">
      <xdr:nvSpPr>
        <xdr:cNvPr id="172" name="WordArt 5"/>
        <xdr:cNvSpPr>
          <a:spLocks noChangeArrowheads="1" noChangeShapeType="1" noTextEdit="1"/>
        </xdr:cNvSpPr>
      </xdr:nvSpPr>
      <xdr:spPr bwMode="auto">
        <a:xfrm>
          <a:off x="48446743"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12</xdr:row>
      <xdr:rowOff>121947</xdr:rowOff>
    </xdr:from>
    <xdr:to>
      <xdr:col>34</xdr:col>
      <xdr:colOff>1012243</xdr:colOff>
      <xdr:row>13</xdr:row>
      <xdr:rowOff>96744</xdr:rowOff>
    </xdr:to>
    <xdr:sp macro="" textlink="">
      <xdr:nvSpPr>
        <xdr:cNvPr id="173" name="WordArt 6"/>
        <xdr:cNvSpPr>
          <a:spLocks noChangeArrowheads="1" noChangeShapeType="1" noTextEdit="1"/>
        </xdr:cNvSpPr>
      </xdr:nvSpPr>
      <xdr:spPr bwMode="auto">
        <a:xfrm>
          <a:off x="48446743"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15</xdr:row>
      <xdr:rowOff>110186</xdr:rowOff>
    </xdr:from>
    <xdr:to>
      <xdr:col>36</xdr:col>
      <xdr:colOff>3756</xdr:colOff>
      <xdr:row>16</xdr:row>
      <xdr:rowOff>91796</xdr:rowOff>
    </xdr:to>
    <xdr:sp macro="" textlink="">
      <xdr:nvSpPr>
        <xdr:cNvPr id="174" name="WordArt 5"/>
        <xdr:cNvSpPr>
          <a:spLocks noChangeArrowheads="1" noChangeShapeType="1" noTextEdit="1"/>
        </xdr:cNvSpPr>
      </xdr:nvSpPr>
      <xdr:spPr bwMode="auto">
        <a:xfrm>
          <a:off x="50514831"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13</xdr:row>
      <xdr:rowOff>122886</xdr:rowOff>
    </xdr:from>
    <xdr:to>
      <xdr:col>36</xdr:col>
      <xdr:colOff>3756</xdr:colOff>
      <xdr:row>14</xdr:row>
      <xdr:rowOff>97683</xdr:rowOff>
    </xdr:to>
    <xdr:sp macro="" textlink="">
      <xdr:nvSpPr>
        <xdr:cNvPr id="175" name="WordArt 6"/>
        <xdr:cNvSpPr>
          <a:spLocks noChangeArrowheads="1" noChangeShapeType="1" noTextEdit="1"/>
        </xdr:cNvSpPr>
      </xdr:nvSpPr>
      <xdr:spPr bwMode="auto">
        <a:xfrm>
          <a:off x="50514831" y="51997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76" name="WordArt 5"/>
        <xdr:cNvSpPr>
          <a:spLocks noChangeArrowheads="1" noChangeShapeType="1" noTextEdit="1"/>
        </xdr:cNvSpPr>
      </xdr:nvSpPr>
      <xdr:spPr bwMode="auto">
        <a:xfrm>
          <a:off x="48446743"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15</xdr:row>
      <xdr:rowOff>110186</xdr:rowOff>
    </xdr:from>
    <xdr:to>
      <xdr:col>34</xdr:col>
      <xdr:colOff>1012243</xdr:colOff>
      <xdr:row>16</xdr:row>
      <xdr:rowOff>91796</xdr:rowOff>
    </xdr:to>
    <xdr:sp macro="" textlink="">
      <xdr:nvSpPr>
        <xdr:cNvPr id="177" name="WordArt 5"/>
        <xdr:cNvSpPr>
          <a:spLocks noChangeArrowheads="1" noChangeShapeType="1" noTextEdit="1"/>
        </xdr:cNvSpPr>
      </xdr:nvSpPr>
      <xdr:spPr bwMode="auto">
        <a:xfrm>
          <a:off x="48446743"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16</xdr:row>
      <xdr:rowOff>111125</xdr:rowOff>
    </xdr:from>
    <xdr:to>
      <xdr:col>35</xdr:col>
      <xdr:colOff>3756</xdr:colOff>
      <xdr:row>17</xdr:row>
      <xdr:rowOff>82550</xdr:rowOff>
    </xdr:to>
    <xdr:sp macro="" textlink="">
      <xdr:nvSpPr>
        <xdr:cNvPr id="178" name="WordArt 5"/>
        <xdr:cNvSpPr>
          <a:spLocks noChangeArrowheads="1" noChangeShapeType="1" noTextEdit="1"/>
        </xdr:cNvSpPr>
      </xdr:nvSpPr>
      <xdr:spPr bwMode="auto">
        <a:xfrm>
          <a:off x="49067031"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14</xdr:row>
      <xdr:rowOff>123825</xdr:rowOff>
    </xdr:from>
    <xdr:to>
      <xdr:col>35</xdr:col>
      <xdr:colOff>3756</xdr:colOff>
      <xdr:row>15</xdr:row>
      <xdr:rowOff>98623</xdr:rowOff>
    </xdr:to>
    <xdr:sp macro="" textlink="">
      <xdr:nvSpPr>
        <xdr:cNvPr id="179" name="WordArt 6"/>
        <xdr:cNvSpPr>
          <a:spLocks noChangeArrowheads="1" noChangeShapeType="1" noTextEdit="1"/>
        </xdr:cNvSpPr>
      </xdr:nvSpPr>
      <xdr:spPr bwMode="auto">
        <a:xfrm>
          <a:off x="49067031"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14</xdr:row>
      <xdr:rowOff>109246</xdr:rowOff>
    </xdr:from>
    <xdr:to>
      <xdr:col>35</xdr:col>
      <xdr:colOff>3756</xdr:colOff>
      <xdr:row>15</xdr:row>
      <xdr:rowOff>90857</xdr:rowOff>
    </xdr:to>
    <xdr:sp macro="" textlink="">
      <xdr:nvSpPr>
        <xdr:cNvPr id="180" name="WordArt 5"/>
        <xdr:cNvSpPr>
          <a:spLocks noChangeArrowheads="1" noChangeShapeType="1" noTextEdit="1"/>
        </xdr:cNvSpPr>
      </xdr:nvSpPr>
      <xdr:spPr bwMode="auto">
        <a:xfrm>
          <a:off x="49067031"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12</xdr:row>
      <xdr:rowOff>121947</xdr:rowOff>
    </xdr:from>
    <xdr:to>
      <xdr:col>35</xdr:col>
      <xdr:colOff>3756</xdr:colOff>
      <xdr:row>13</xdr:row>
      <xdr:rowOff>96744</xdr:rowOff>
    </xdr:to>
    <xdr:sp macro="" textlink="">
      <xdr:nvSpPr>
        <xdr:cNvPr id="181" name="WordArt 6"/>
        <xdr:cNvSpPr>
          <a:spLocks noChangeArrowheads="1" noChangeShapeType="1" noTextEdit="1"/>
        </xdr:cNvSpPr>
      </xdr:nvSpPr>
      <xdr:spPr bwMode="auto">
        <a:xfrm>
          <a:off x="49067031"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15</xdr:row>
      <xdr:rowOff>110186</xdr:rowOff>
    </xdr:from>
    <xdr:to>
      <xdr:col>35</xdr:col>
      <xdr:colOff>3756</xdr:colOff>
      <xdr:row>16</xdr:row>
      <xdr:rowOff>91796</xdr:rowOff>
    </xdr:to>
    <xdr:sp macro="" textlink="">
      <xdr:nvSpPr>
        <xdr:cNvPr id="182" name="WordArt 5"/>
        <xdr:cNvSpPr>
          <a:spLocks noChangeArrowheads="1" noChangeShapeType="1" noTextEdit="1"/>
        </xdr:cNvSpPr>
      </xdr:nvSpPr>
      <xdr:spPr bwMode="auto">
        <a:xfrm>
          <a:off x="49067031"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13</xdr:row>
      <xdr:rowOff>122886</xdr:rowOff>
    </xdr:from>
    <xdr:to>
      <xdr:col>35</xdr:col>
      <xdr:colOff>3756</xdr:colOff>
      <xdr:row>14</xdr:row>
      <xdr:rowOff>97683</xdr:rowOff>
    </xdr:to>
    <xdr:sp macro="" textlink="">
      <xdr:nvSpPr>
        <xdr:cNvPr id="183" name="WordArt 6"/>
        <xdr:cNvSpPr>
          <a:spLocks noChangeArrowheads="1" noChangeShapeType="1" noTextEdit="1"/>
        </xdr:cNvSpPr>
      </xdr:nvSpPr>
      <xdr:spPr bwMode="auto">
        <a:xfrm>
          <a:off x="49067031" y="51997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84" name="WordArt 5"/>
        <xdr:cNvSpPr>
          <a:spLocks noChangeArrowheads="1" noChangeShapeType="1" noTextEdit="1"/>
        </xdr:cNvSpPr>
      </xdr:nvSpPr>
      <xdr:spPr bwMode="auto">
        <a:xfrm>
          <a:off x="50075518"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85" name="WordArt 6"/>
        <xdr:cNvSpPr>
          <a:spLocks noChangeArrowheads="1" noChangeShapeType="1" noTextEdit="1"/>
        </xdr:cNvSpPr>
      </xdr:nvSpPr>
      <xdr:spPr bwMode="auto">
        <a:xfrm>
          <a:off x="50075518"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16</xdr:row>
      <xdr:rowOff>111125</xdr:rowOff>
    </xdr:from>
    <xdr:to>
      <xdr:col>35</xdr:col>
      <xdr:colOff>1012243</xdr:colOff>
      <xdr:row>17</xdr:row>
      <xdr:rowOff>82550</xdr:rowOff>
    </xdr:to>
    <xdr:sp macro="" textlink="">
      <xdr:nvSpPr>
        <xdr:cNvPr id="186" name="WordArt 5"/>
        <xdr:cNvSpPr>
          <a:spLocks noChangeArrowheads="1" noChangeShapeType="1" noTextEdit="1"/>
        </xdr:cNvSpPr>
      </xdr:nvSpPr>
      <xdr:spPr bwMode="auto">
        <a:xfrm>
          <a:off x="50075518" y="58737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14</xdr:row>
      <xdr:rowOff>123825</xdr:rowOff>
    </xdr:from>
    <xdr:to>
      <xdr:col>35</xdr:col>
      <xdr:colOff>1012243</xdr:colOff>
      <xdr:row>15</xdr:row>
      <xdr:rowOff>98623</xdr:rowOff>
    </xdr:to>
    <xdr:sp macro="" textlink="">
      <xdr:nvSpPr>
        <xdr:cNvPr id="187" name="WordArt 6"/>
        <xdr:cNvSpPr>
          <a:spLocks noChangeArrowheads="1" noChangeShapeType="1" noTextEdit="1"/>
        </xdr:cNvSpPr>
      </xdr:nvSpPr>
      <xdr:spPr bwMode="auto">
        <a:xfrm>
          <a:off x="50075518" y="54292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88" name="WordArt 5"/>
        <xdr:cNvSpPr>
          <a:spLocks noChangeArrowheads="1" noChangeShapeType="1" noTextEdit="1"/>
        </xdr:cNvSpPr>
      </xdr:nvSpPr>
      <xdr:spPr bwMode="auto">
        <a:xfrm>
          <a:off x="50075518"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89" name="WordArt 6"/>
        <xdr:cNvSpPr>
          <a:spLocks noChangeArrowheads="1" noChangeShapeType="1" noTextEdit="1"/>
        </xdr:cNvSpPr>
      </xdr:nvSpPr>
      <xdr:spPr bwMode="auto">
        <a:xfrm>
          <a:off x="50075518"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14</xdr:row>
      <xdr:rowOff>109246</xdr:rowOff>
    </xdr:from>
    <xdr:to>
      <xdr:col>35</xdr:col>
      <xdr:colOff>1012243</xdr:colOff>
      <xdr:row>15</xdr:row>
      <xdr:rowOff>90857</xdr:rowOff>
    </xdr:to>
    <xdr:sp macro="" textlink="">
      <xdr:nvSpPr>
        <xdr:cNvPr id="190" name="WordArt 5"/>
        <xdr:cNvSpPr>
          <a:spLocks noChangeArrowheads="1" noChangeShapeType="1" noTextEdit="1"/>
        </xdr:cNvSpPr>
      </xdr:nvSpPr>
      <xdr:spPr bwMode="auto">
        <a:xfrm>
          <a:off x="50075518" y="54146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12</xdr:row>
      <xdr:rowOff>121947</xdr:rowOff>
    </xdr:from>
    <xdr:to>
      <xdr:col>35</xdr:col>
      <xdr:colOff>1012243</xdr:colOff>
      <xdr:row>13</xdr:row>
      <xdr:rowOff>96744</xdr:rowOff>
    </xdr:to>
    <xdr:sp macro="" textlink="">
      <xdr:nvSpPr>
        <xdr:cNvPr id="191" name="WordArt 6"/>
        <xdr:cNvSpPr>
          <a:spLocks noChangeArrowheads="1" noChangeShapeType="1" noTextEdit="1"/>
        </xdr:cNvSpPr>
      </xdr:nvSpPr>
      <xdr:spPr bwMode="auto">
        <a:xfrm>
          <a:off x="50075518" y="49701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92" name="WordArt 5"/>
        <xdr:cNvSpPr>
          <a:spLocks noChangeArrowheads="1" noChangeShapeType="1" noTextEdit="1"/>
        </xdr:cNvSpPr>
      </xdr:nvSpPr>
      <xdr:spPr bwMode="auto">
        <a:xfrm>
          <a:off x="50075518"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1012243</xdr:colOff>
      <xdr:row>15</xdr:row>
      <xdr:rowOff>110186</xdr:rowOff>
    </xdr:from>
    <xdr:to>
      <xdr:col>35</xdr:col>
      <xdr:colOff>1012243</xdr:colOff>
      <xdr:row>16</xdr:row>
      <xdr:rowOff>91796</xdr:rowOff>
    </xdr:to>
    <xdr:sp macro="" textlink="">
      <xdr:nvSpPr>
        <xdr:cNvPr id="193" name="WordArt 5"/>
        <xdr:cNvSpPr>
          <a:spLocks noChangeArrowheads="1" noChangeShapeType="1" noTextEdit="1"/>
        </xdr:cNvSpPr>
      </xdr:nvSpPr>
      <xdr:spPr bwMode="auto">
        <a:xfrm>
          <a:off x="50075518" y="56442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36</xdr:col>
      <xdr:colOff>3756</xdr:colOff>
      <xdr:row>70</xdr:row>
      <xdr:rowOff>121947</xdr:rowOff>
    </xdr:from>
    <xdr:to>
      <xdr:col>36</xdr:col>
      <xdr:colOff>3756</xdr:colOff>
      <xdr:row>71</xdr:row>
      <xdr:rowOff>0</xdr:rowOff>
    </xdr:to>
    <xdr:sp macro="" textlink="">
      <xdr:nvSpPr>
        <xdr:cNvPr id="201" name="WordArt 6"/>
        <xdr:cNvSpPr>
          <a:spLocks noChangeArrowheads="1" noChangeShapeType="1" noTextEdit="1"/>
        </xdr:cNvSpPr>
      </xdr:nvSpPr>
      <xdr:spPr bwMode="auto">
        <a:xfrm>
          <a:off x="50514831"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70</xdr:row>
      <xdr:rowOff>121947</xdr:rowOff>
    </xdr:from>
    <xdr:to>
      <xdr:col>35</xdr:col>
      <xdr:colOff>1012243</xdr:colOff>
      <xdr:row>71</xdr:row>
      <xdr:rowOff>0</xdr:rowOff>
    </xdr:to>
    <xdr:sp macro="" textlink="">
      <xdr:nvSpPr>
        <xdr:cNvPr id="203" name="WordArt 6"/>
        <xdr:cNvSpPr>
          <a:spLocks noChangeArrowheads="1" noChangeShapeType="1" noTextEdit="1"/>
        </xdr:cNvSpPr>
      </xdr:nvSpPr>
      <xdr:spPr bwMode="auto">
        <a:xfrm>
          <a:off x="500755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70</xdr:row>
      <xdr:rowOff>121947</xdr:rowOff>
    </xdr:from>
    <xdr:to>
      <xdr:col>35</xdr:col>
      <xdr:colOff>1012243</xdr:colOff>
      <xdr:row>71</xdr:row>
      <xdr:rowOff>0</xdr:rowOff>
    </xdr:to>
    <xdr:sp macro="" textlink="">
      <xdr:nvSpPr>
        <xdr:cNvPr id="205" name="WordArt 6"/>
        <xdr:cNvSpPr>
          <a:spLocks noChangeArrowheads="1" noChangeShapeType="1" noTextEdit="1"/>
        </xdr:cNvSpPr>
      </xdr:nvSpPr>
      <xdr:spPr bwMode="auto">
        <a:xfrm>
          <a:off x="500755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3756</xdr:colOff>
      <xdr:row>70</xdr:row>
      <xdr:rowOff>121947</xdr:rowOff>
    </xdr:from>
    <xdr:to>
      <xdr:col>37</xdr:col>
      <xdr:colOff>3756</xdr:colOff>
      <xdr:row>71</xdr:row>
      <xdr:rowOff>0</xdr:rowOff>
    </xdr:to>
    <xdr:sp macro="" textlink="">
      <xdr:nvSpPr>
        <xdr:cNvPr id="217" name="WordArt 6"/>
        <xdr:cNvSpPr>
          <a:spLocks noChangeArrowheads="1" noChangeShapeType="1" noTextEdit="1"/>
        </xdr:cNvSpPr>
      </xdr:nvSpPr>
      <xdr:spPr bwMode="auto">
        <a:xfrm>
          <a:off x="51905481"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70</xdr:row>
      <xdr:rowOff>121947</xdr:rowOff>
    </xdr:from>
    <xdr:to>
      <xdr:col>36</xdr:col>
      <xdr:colOff>1012243</xdr:colOff>
      <xdr:row>71</xdr:row>
      <xdr:rowOff>0</xdr:rowOff>
    </xdr:to>
    <xdr:sp macro="" textlink="">
      <xdr:nvSpPr>
        <xdr:cNvPr id="219" name="WordArt 6"/>
        <xdr:cNvSpPr>
          <a:spLocks noChangeArrowheads="1" noChangeShapeType="1" noTextEdit="1"/>
        </xdr:cNvSpPr>
      </xdr:nvSpPr>
      <xdr:spPr bwMode="auto">
        <a:xfrm>
          <a:off x="515233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70</xdr:row>
      <xdr:rowOff>121947</xdr:rowOff>
    </xdr:from>
    <xdr:to>
      <xdr:col>36</xdr:col>
      <xdr:colOff>1012243</xdr:colOff>
      <xdr:row>71</xdr:row>
      <xdr:rowOff>0</xdr:rowOff>
    </xdr:to>
    <xdr:sp macro="" textlink="">
      <xdr:nvSpPr>
        <xdr:cNvPr id="221" name="WordArt 6"/>
        <xdr:cNvSpPr>
          <a:spLocks noChangeArrowheads="1" noChangeShapeType="1" noTextEdit="1"/>
        </xdr:cNvSpPr>
      </xdr:nvSpPr>
      <xdr:spPr bwMode="auto">
        <a:xfrm>
          <a:off x="515233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45</xdr:row>
      <xdr:rowOff>111125</xdr:rowOff>
    </xdr:from>
    <xdr:to>
      <xdr:col>43</xdr:col>
      <xdr:colOff>3756</xdr:colOff>
      <xdr:row>46</xdr:row>
      <xdr:rowOff>82550</xdr:rowOff>
    </xdr:to>
    <xdr:sp macro="" textlink="">
      <xdr:nvSpPr>
        <xdr:cNvPr id="226" name="WordArt 5"/>
        <xdr:cNvSpPr>
          <a:spLocks noChangeArrowheads="1" noChangeShapeType="1" noTextEdit="1"/>
        </xdr:cNvSpPr>
      </xdr:nvSpPr>
      <xdr:spPr bwMode="auto">
        <a:xfrm>
          <a:off x="60449406"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43</xdr:row>
      <xdr:rowOff>123825</xdr:rowOff>
    </xdr:from>
    <xdr:to>
      <xdr:col>43</xdr:col>
      <xdr:colOff>3756</xdr:colOff>
      <xdr:row>44</xdr:row>
      <xdr:rowOff>98623</xdr:rowOff>
    </xdr:to>
    <xdr:sp macro="" textlink="">
      <xdr:nvSpPr>
        <xdr:cNvPr id="227" name="WordArt 6"/>
        <xdr:cNvSpPr>
          <a:spLocks noChangeArrowheads="1" noChangeShapeType="1" noTextEdit="1"/>
        </xdr:cNvSpPr>
      </xdr:nvSpPr>
      <xdr:spPr bwMode="auto">
        <a:xfrm>
          <a:off x="60449406"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111125</xdr:rowOff>
    </xdr:from>
    <xdr:to>
      <xdr:col>42</xdr:col>
      <xdr:colOff>1012243</xdr:colOff>
      <xdr:row>46</xdr:row>
      <xdr:rowOff>82550</xdr:rowOff>
    </xdr:to>
    <xdr:sp macro="" textlink="">
      <xdr:nvSpPr>
        <xdr:cNvPr id="228" name="WordArt 5"/>
        <xdr:cNvSpPr>
          <a:spLocks noChangeArrowheads="1" noChangeShapeType="1" noTextEdit="1"/>
        </xdr:cNvSpPr>
      </xdr:nvSpPr>
      <xdr:spPr bwMode="auto">
        <a:xfrm>
          <a:off x="60238693"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43</xdr:row>
      <xdr:rowOff>123825</xdr:rowOff>
    </xdr:from>
    <xdr:to>
      <xdr:col>42</xdr:col>
      <xdr:colOff>1012243</xdr:colOff>
      <xdr:row>44</xdr:row>
      <xdr:rowOff>98623</xdr:rowOff>
    </xdr:to>
    <xdr:sp macro="" textlink="">
      <xdr:nvSpPr>
        <xdr:cNvPr id="229" name="WordArt 6"/>
        <xdr:cNvSpPr>
          <a:spLocks noChangeArrowheads="1" noChangeShapeType="1" noTextEdit="1"/>
        </xdr:cNvSpPr>
      </xdr:nvSpPr>
      <xdr:spPr bwMode="auto">
        <a:xfrm>
          <a:off x="60238693"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111125</xdr:rowOff>
    </xdr:from>
    <xdr:to>
      <xdr:col>42</xdr:col>
      <xdr:colOff>1012243</xdr:colOff>
      <xdr:row>46</xdr:row>
      <xdr:rowOff>82550</xdr:rowOff>
    </xdr:to>
    <xdr:sp macro="" textlink="">
      <xdr:nvSpPr>
        <xdr:cNvPr id="230" name="WordArt 5"/>
        <xdr:cNvSpPr>
          <a:spLocks noChangeArrowheads="1" noChangeShapeType="1" noTextEdit="1"/>
        </xdr:cNvSpPr>
      </xdr:nvSpPr>
      <xdr:spPr bwMode="auto">
        <a:xfrm>
          <a:off x="60238693"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43</xdr:row>
      <xdr:rowOff>123825</xdr:rowOff>
    </xdr:from>
    <xdr:to>
      <xdr:col>42</xdr:col>
      <xdr:colOff>1012243</xdr:colOff>
      <xdr:row>44</xdr:row>
      <xdr:rowOff>98623</xdr:rowOff>
    </xdr:to>
    <xdr:sp macro="" textlink="">
      <xdr:nvSpPr>
        <xdr:cNvPr id="231" name="WordArt 6"/>
        <xdr:cNvSpPr>
          <a:spLocks noChangeArrowheads="1" noChangeShapeType="1" noTextEdit="1"/>
        </xdr:cNvSpPr>
      </xdr:nvSpPr>
      <xdr:spPr bwMode="auto">
        <a:xfrm>
          <a:off x="60238693"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43</xdr:row>
      <xdr:rowOff>109246</xdr:rowOff>
    </xdr:from>
    <xdr:to>
      <xdr:col>43</xdr:col>
      <xdr:colOff>3756</xdr:colOff>
      <xdr:row>44</xdr:row>
      <xdr:rowOff>90857</xdr:rowOff>
    </xdr:to>
    <xdr:sp macro="" textlink="">
      <xdr:nvSpPr>
        <xdr:cNvPr id="232" name="WordArt 5"/>
        <xdr:cNvSpPr>
          <a:spLocks noChangeArrowheads="1" noChangeShapeType="1" noTextEdit="1"/>
        </xdr:cNvSpPr>
      </xdr:nvSpPr>
      <xdr:spPr bwMode="auto">
        <a:xfrm>
          <a:off x="60449406"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41</xdr:row>
      <xdr:rowOff>121947</xdr:rowOff>
    </xdr:from>
    <xdr:to>
      <xdr:col>43</xdr:col>
      <xdr:colOff>3756</xdr:colOff>
      <xdr:row>42</xdr:row>
      <xdr:rowOff>96744</xdr:rowOff>
    </xdr:to>
    <xdr:sp macro="" textlink="">
      <xdr:nvSpPr>
        <xdr:cNvPr id="233" name="WordArt 6"/>
        <xdr:cNvSpPr>
          <a:spLocks noChangeArrowheads="1" noChangeShapeType="1" noTextEdit="1"/>
        </xdr:cNvSpPr>
      </xdr:nvSpPr>
      <xdr:spPr bwMode="auto">
        <a:xfrm>
          <a:off x="60449406"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43</xdr:row>
      <xdr:rowOff>109246</xdr:rowOff>
    </xdr:from>
    <xdr:to>
      <xdr:col>42</xdr:col>
      <xdr:colOff>1012243</xdr:colOff>
      <xdr:row>44</xdr:row>
      <xdr:rowOff>90857</xdr:rowOff>
    </xdr:to>
    <xdr:sp macro="" textlink="">
      <xdr:nvSpPr>
        <xdr:cNvPr id="234" name="WordArt 5"/>
        <xdr:cNvSpPr>
          <a:spLocks noChangeArrowheads="1" noChangeShapeType="1" noTextEdit="1"/>
        </xdr:cNvSpPr>
      </xdr:nvSpPr>
      <xdr:spPr bwMode="auto">
        <a:xfrm>
          <a:off x="60238693"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41</xdr:row>
      <xdr:rowOff>121947</xdr:rowOff>
    </xdr:from>
    <xdr:to>
      <xdr:col>42</xdr:col>
      <xdr:colOff>1012243</xdr:colOff>
      <xdr:row>42</xdr:row>
      <xdr:rowOff>96744</xdr:rowOff>
    </xdr:to>
    <xdr:sp macro="" textlink="">
      <xdr:nvSpPr>
        <xdr:cNvPr id="235" name="WordArt 6"/>
        <xdr:cNvSpPr>
          <a:spLocks noChangeArrowheads="1" noChangeShapeType="1" noTextEdit="1"/>
        </xdr:cNvSpPr>
      </xdr:nvSpPr>
      <xdr:spPr bwMode="auto">
        <a:xfrm>
          <a:off x="60238693"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43</xdr:row>
      <xdr:rowOff>109246</xdr:rowOff>
    </xdr:from>
    <xdr:to>
      <xdr:col>42</xdr:col>
      <xdr:colOff>1012243</xdr:colOff>
      <xdr:row>44</xdr:row>
      <xdr:rowOff>90857</xdr:rowOff>
    </xdr:to>
    <xdr:sp macro="" textlink="">
      <xdr:nvSpPr>
        <xdr:cNvPr id="236" name="WordArt 5"/>
        <xdr:cNvSpPr>
          <a:spLocks noChangeArrowheads="1" noChangeShapeType="1" noTextEdit="1"/>
        </xdr:cNvSpPr>
      </xdr:nvSpPr>
      <xdr:spPr bwMode="auto">
        <a:xfrm>
          <a:off x="60238693"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41</xdr:row>
      <xdr:rowOff>121947</xdr:rowOff>
    </xdr:from>
    <xdr:to>
      <xdr:col>42</xdr:col>
      <xdr:colOff>1012243</xdr:colOff>
      <xdr:row>42</xdr:row>
      <xdr:rowOff>96744</xdr:rowOff>
    </xdr:to>
    <xdr:sp macro="" textlink="">
      <xdr:nvSpPr>
        <xdr:cNvPr id="237" name="WordArt 6"/>
        <xdr:cNvSpPr>
          <a:spLocks noChangeArrowheads="1" noChangeShapeType="1" noTextEdit="1"/>
        </xdr:cNvSpPr>
      </xdr:nvSpPr>
      <xdr:spPr bwMode="auto">
        <a:xfrm>
          <a:off x="60238693"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44</xdr:row>
      <xdr:rowOff>110186</xdr:rowOff>
    </xdr:from>
    <xdr:to>
      <xdr:col>43</xdr:col>
      <xdr:colOff>3756</xdr:colOff>
      <xdr:row>45</xdr:row>
      <xdr:rowOff>91796</xdr:rowOff>
    </xdr:to>
    <xdr:sp macro="" textlink="">
      <xdr:nvSpPr>
        <xdr:cNvPr id="238" name="WordArt 5"/>
        <xdr:cNvSpPr>
          <a:spLocks noChangeArrowheads="1" noChangeShapeType="1" noTextEdit="1"/>
        </xdr:cNvSpPr>
      </xdr:nvSpPr>
      <xdr:spPr bwMode="auto">
        <a:xfrm>
          <a:off x="60449406"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42</xdr:row>
      <xdr:rowOff>122886</xdr:rowOff>
    </xdr:from>
    <xdr:to>
      <xdr:col>43</xdr:col>
      <xdr:colOff>3756</xdr:colOff>
      <xdr:row>43</xdr:row>
      <xdr:rowOff>97683</xdr:rowOff>
    </xdr:to>
    <xdr:sp macro="" textlink="">
      <xdr:nvSpPr>
        <xdr:cNvPr id="239" name="WordArt 6"/>
        <xdr:cNvSpPr>
          <a:spLocks noChangeArrowheads="1" noChangeShapeType="1" noTextEdit="1"/>
        </xdr:cNvSpPr>
      </xdr:nvSpPr>
      <xdr:spPr bwMode="auto">
        <a:xfrm>
          <a:off x="60449406"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110186</xdr:rowOff>
    </xdr:from>
    <xdr:to>
      <xdr:col>42</xdr:col>
      <xdr:colOff>1012243</xdr:colOff>
      <xdr:row>45</xdr:row>
      <xdr:rowOff>91796</xdr:rowOff>
    </xdr:to>
    <xdr:sp macro="" textlink="">
      <xdr:nvSpPr>
        <xdr:cNvPr id="240" name="WordArt 5"/>
        <xdr:cNvSpPr>
          <a:spLocks noChangeArrowheads="1" noChangeShapeType="1" noTextEdit="1"/>
        </xdr:cNvSpPr>
      </xdr:nvSpPr>
      <xdr:spPr bwMode="auto">
        <a:xfrm>
          <a:off x="60238693"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44</xdr:row>
      <xdr:rowOff>110186</xdr:rowOff>
    </xdr:from>
    <xdr:to>
      <xdr:col>42</xdr:col>
      <xdr:colOff>1012243</xdr:colOff>
      <xdr:row>45</xdr:row>
      <xdr:rowOff>91796</xdr:rowOff>
    </xdr:to>
    <xdr:sp macro="" textlink="">
      <xdr:nvSpPr>
        <xdr:cNvPr id="241" name="WordArt 5"/>
        <xdr:cNvSpPr>
          <a:spLocks noChangeArrowheads="1" noChangeShapeType="1" noTextEdit="1"/>
        </xdr:cNvSpPr>
      </xdr:nvSpPr>
      <xdr:spPr bwMode="auto">
        <a:xfrm>
          <a:off x="60238693"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45</xdr:row>
      <xdr:rowOff>111125</xdr:rowOff>
    </xdr:from>
    <xdr:to>
      <xdr:col>46</xdr:col>
      <xdr:colOff>3756</xdr:colOff>
      <xdr:row>46</xdr:row>
      <xdr:rowOff>82550</xdr:rowOff>
    </xdr:to>
    <xdr:sp macro="" textlink="">
      <xdr:nvSpPr>
        <xdr:cNvPr id="242" name="WordArt 5"/>
        <xdr:cNvSpPr>
          <a:spLocks noChangeArrowheads="1" noChangeShapeType="1" noTextEdit="1"/>
        </xdr:cNvSpPr>
      </xdr:nvSpPr>
      <xdr:spPr bwMode="auto">
        <a:xfrm>
          <a:off x="63097356"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43</xdr:row>
      <xdr:rowOff>123825</xdr:rowOff>
    </xdr:from>
    <xdr:to>
      <xdr:col>46</xdr:col>
      <xdr:colOff>3756</xdr:colOff>
      <xdr:row>44</xdr:row>
      <xdr:rowOff>98623</xdr:rowOff>
    </xdr:to>
    <xdr:sp macro="" textlink="">
      <xdr:nvSpPr>
        <xdr:cNvPr id="243" name="WordArt 6"/>
        <xdr:cNvSpPr>
          <a:spLocks noChangeArrowheads="1" noChangeShapeType="1" noTextEdit="1"/>
        </xdr:cNvSpPr>
      </xdr:nvSpPr>
      <xdr:spPr bwMode="auto">
        <a:xfrm>
          <a:off x="63097356"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111125</xdr:rowOff>
    </xdr:from>
    <xdr:to>
      <xdr:col>43</xdr:col>
      <xdr:colOff>1012243</xdr:colOff>
      <xdr:row>46</xdr:row>
      <xdr:rowOff>82550</xdr:rowOff>
    </xdr:to>
    <xdr:sp macro="" textlink="">
      <xdr:nvSpPr>
        <xdr:cNvPr id="244" name="WordArt 5"/>
        <xdr:cNvSpPr>
          <a:spLocks noChangeArrowheads="1" noChangeShapeType="1" noTextEdit="1"/>
        </xdr:cNvSpPr>
      </xdr:nvSpPr>
      <xdr:spPr bwMode="auto">
        <a:xfrm>
          <a:off x="61457893"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43</xdr:row>
      <xdr:rowOff>123825</xdr:rowOff>
    </xdr:from>
    <xdr:to>
      <xdr:col>43</xdr:col>
      <xdr:colOff>1012243</xdr:colOff>
      <xdr:row>44</xdr:row>
      <xdr:rowOff>98623</xdr:rowOff>
    </xdr:to>
    <xdr:sp macro="" textlink="">
      <xdr:nvSpPr>
        <xdr:cNvPr id="245" name="WordArt 6"/>
        <xdr:cNvSpPr>
          <a:spLocks noChangeArrowheads="1" noChangeShapeType="1" noTextEdit="1"/>
        </xdr:cNvSpPr>
      </xdr:nvSpPr>
      <xdr:spPr bwMode="auto">
        <a:xfrm>
          <a:off x="61457893"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111125</xdr:rowOff>
    </xdr:from>
    <xdr:to>
      <xdr:col>43</xdr:col>
      <xdr:colOff>1012243</xdr:colOff>
      <xdr:row>46</xdr:row>
      <xdr:rowOff>82550</xdr:rowOff>
    </xdr:to>
    <xdr:sp macro="" textlink="">
      <xdr:nvSpPr>
        <xdr:cNvPr id="246" name="WordArt 5"/>
        <xdr:cNvSpPr>
          <a:spLocks noChangeArrowheads="1" noChangeShapeType="1" noTextEdit="1"/>
        </xdr:cNvSpPr>
      </xdr:nvSpPr>
      <xdr:spPr bwMode="auto">
        <a:xfrm>
          <a:off x="61457893"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43</xdr:row>
      <xdr:rowOff>123825</xdr:rowOff>
    </xdr:from>
    <xdr:to>
      <xdr:col>43</xdr:col>
      <xdr:colOff>1012243</xdr:colOff>
      <xdr:row>44</xdr:row>
      <xdr:rowOff>98623</xdr:rowOff>
    </xdr:to>
    <xdr:sp macro="" textlink="">
      <xdr:nvSpPr>
        <xdr:cNvPr id="247" name="WordArt 6"/>
        <xdr:cNvSpPr>
          <a:spLocks noChangeArrowheads="1" noChangeShapeType="1" noTextEdit="1"/>
        </xdr:cNvSpPr>
      </xdr:nvSpPr>
      <xdr:spPr bwMode="auto">
        <a:xfrm>
          <a:off x="61457893"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43</xdr:row>
      <xdr:rowOff>109246</xdr:rowOff>
    </xdr:from>
    <xdr:to>
      <xdr:col>46</xdr:col>
      <xdr:colOff>3756</xdr:colOff>
      <xdr:row>44</xdr:row>
      <xdr:rowOff>90857</xdr:rowOff>
    </xdr:to>
    <xdr:sp macro="" textlink="">
      <xdr:nvSpPr>
        <xdr:cNvPr id="248" name="WordArt 5"/>
        <xdr:cNvSpPr>
          <a:spLocks noChangeArrowheads="1" noChangeShapeType="1" noTextEdit="1"/>
        </xdr:cNvSpPr>
      </xdr:nvSpPr>
      <xdr:spPr bwMode="auto">
        <a:xfrm>
          <a:off x="63097356"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45</xdr:row>
      <xdr:rowOff>67518</xdr:rowOff>
    </xdr:from>
    <xdr:to>
      <xdr:col>46</xdr:col>
      <xdr:colOff>3756</xdr:colOff>
      <xdr:row>46</xdr:row>
      <xdr:rowOff>42315</xdr:rowOff>
    </xdr:to>
    <xdr:sp macro="" textlink="">
      <xdr:nvSpPr>
        <xdr:cNvPr id="249" name="WordArt 6"/>
        <xdr:cNvSpPr>
          <a:spLocks noChangeArrowheads="1" noChangeShapeType="1" noTextEdit="1"/>
        </xdr:cNvSpPr>
      </xdr:nvSpPr>
      <xdr:spPr bwMode="auto">
        <a:xfrm>
          <a:off x="63097356" y="215368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43</xdr:row>
      <xdr:rowOff>109246</xdr:rowOff>
    </xdr:from>
    <xdr:to>
      <xdr:col>43</xdr:col>
      <xdr:colOff>1012243</xdr:colOff>
      <xdr:row>44</xdr:row>
      <xdr:rowOff>90857</xdr:rowOff>
    </xdr:to>
    <xdr:sp macro="" textlink="">
      <xdr:nvSpPr>
        <xdr:cNvPr id="250" name="WordArt 5"/>
        <xdr:cNvSpPr>
          <a:spLocks noChangeArrowheads="1" noChangeShapeType="1" noTextEdit="1"/>
        </xdr:cNvSpPr>
      </xdr:nvSpPr>
      <xdr:spPr bwMode="auto">
        <a:xfrm>
          <a:off x="61457893"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41</xdr:row>
      <xdr:rowOff>121947</xdr:rowOff>
    </xdr:from>
    <xdr:to>
      <xdr:col>43</xdr:col>
      <xdr:colOff>1012243</xdr:colOff>
      <xdr:row>42</xdr:row>
      <xdr:rowOff>96744</xdr:rowOff>
    </xdr:to>
    <xdr:sp macro="" textlink="">
      <xdr:nvSpPr>
        <xdr:cNvPr id="251" name="WordArt 6"/>
        <xdr:cNvSpPr>
          <a:spLocks noChangeArrowheads="1" noChangeShapeType="1" noTextEdit="1"/>
        </xdr:cNvSpPr>
      </xdr:nvSpPr>
      <xdr:spPr bwMode="auto">
        <a:xfrm>
          <a:off x="61457893"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43</xdr:row>
      <xdr:rowOff>109246</xdr:rowOff>
    </xdr:from>
    <xdr:to>
      <xdr:col>43</xdr:col>
      <xdr:colOff>1012243</xdr:colOff>
      <xdr:row>44</xdr:row>
      <xdr:rowOff>90857</xdr:rowOff>
    </xdr:to>
    <xdr:sp macro="" textlink="">
      <xdr:nvSpPr>
        <xdr:cNvPr id="252" name="WordArt 5"/>
        <xdr:cNvSpPr>
          <a:spLocks noChangeArrowheads="1" noChangeShapeType="1" noTextEdit="1"/>
        </xdr:cNvSpPr>
      </xdr:nvSpPr>
      <xdr:spPr bwMode="auto">
        <a:xfrm>
          <a:off x="61457893"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41</xdr:row>
      <xdr:rowOff>121947</xdr:rowOff>
    </xdr:from>
    <xdr:to>
      <xdr:col>43</xdr:col>
      <xdr:colOff>1012243</xdr:colOff>
      <xdr:row>42</xdr:row>
      <xdr:rowOff>96744</xdr:rowOff>
    </xdr:to>
    <xdr:sp macro="" textlink="">
      <xdr:nvSpPr>
        <xdr:cNvPr id="253" name="WordArt 6"/>
        <xdr:cNvSpPr>
          <a:spLocks noChangeArrowheads="1" noChangeShapeType="1" noTextEdit="1"/>
        </xdr:cNvSpPr>
      </xdr:nvSpPr>
      <xdr:spPr bwMode="auto">
        <a:xfrm>
          <a:off x="61457893"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44</xdr:row>
      <xdr:rowOff>110186</xdr:rowOff>
    </xdr:from>
    <xdr:to>
      <xdr:col>46</xdr:col>
      <xdr:colOff>3756</xdr:colOff>
      <xdr:row>45</xdr:row>
      <xdr:rowOff>91796</xdr:rowOff>
    </xdr:to>
    <xdr:sp macro="" textlink="">
      <xdr:nvSpPr>
        <xdr:cNvPr id="254" name="WordArt 5"/>
        <xdr:cNvSpPr>
          <a:spLocks noChangeArrowheads="1" noChangeShapeType="1" noTextEdit="1"/>
        </xdr:cNvSpPr>
      </xdr:nvSpPr>
      <xdr:spPr bwMode="auto">
        <a:xfrm>
          <a:off x="63097356"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42</xdr:row>
      <xdr:rowOff>122886</xdr:rowOff>
    </xdr:from>
    <xdr:to>
      <xdr:col>46</xdr:col>
      <xdr:colOff>3756</xdr:colOff>
      <xdr:row>43</xdr:row>
      <xdr:rowOff>97683</xdr:rowOff>
    </xdr:to>
    <xdr:sp macro="" textlink="">
      <xdr:nvSpPr>
        <xdr:cNvPr id="255" name="WordArt 6"/>
        <xdr:cNvSpPr>
          <a:spLocks noChangeArrowheads="1" noChangeShapeType="1" noTextEdit="1"/>
        </xdr:cNvSpPr>
      </xdr:nvSpPr>
      <xdr:spPr bwMode="auto">
        <a:xfrm>
          <a:off x="63097356"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110186</xdr:rowOff>
    </xdr:from>
    <xdr:to>
      <xdr:col>43</xdr:col>
      <xdr:colOff>1012243</xdr:colOff>
      <xdr:row>45</xdr:row>
      <xdr:rowOff>91796</xdr:rowOff>
    </xdr:to>
    <xdr:sp macro="" textlink="">
      <xdr:nvSpPr>
        <xdr:cNvPr id="256" name="WordArt 5"/>
        <xdr:cNvSpPr>
          <a:spLocks noChangeArrowheads="1" noChangeShapeType="1" noTextEdit="1"/>
        </xdr:cNvSpPr>
      </xdr:nvSpPr>
      <xdr:spPr bwMode="auto">
        <a:xfrm>
          <a:off x="61457893"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44</xdr:row>
      <xdr:rowOff>110186</xdr:rowOff>
    </xdr:from>
    <xdr:to>
      <xdr:col>43</xdr:col>
      <xdr:colOff>1012243</xdr:colOff>
      <xdr:row>45</xdr:row>
      <xdr:rowOff>91796</xdr:rowOff>
    </xdr:to>
    <xdr:sp macro="" textlink="">
      <xdr:nvSpPr>
        <xdr:cNvPr id="257" name="WordArt 5"/>
        <xdr:cNvSpPr>
          <a:spLocks noChangeArrowheads="1" noChangeShapeType="1" noTextEdit="1"/>
        </xdr:cNvSpPr>
      </xdr:nvSpPr>
      <xdr:spPr bwMode="auto">
        <a:xfrm>
          <a:off x="61457893"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45</xdr:row>
      <xdr:rowOff>111125</xdr:rowOff>
    </xdr:from>
    <xdr:to>
      <xdr:col>45</xdr:col>
      <xdr:colOff>3756</xdr:colOff>
      <xdr:row>46</xdr:row>
      <xdr:rowOff>82550</xdr:rowOff>
    </xdr:to>
    <xdr:sp macro="" textlink="">
      <xdr:nvSpPr>
        <xdr:cNvPr id="306" name="WordArt 5"/>
        <xdr:cNvSpPr>
          <a:spLocks noChangeArrowheads="1" noChangeShapeType="1" noTextEdit="1"/>
        </xdr:cNvSpPr>
      </xdr:nvSpPr>
      <xdr:spPr bwMode="auto">
        <a:xfrm>
          <a:off x="61878156"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43</xdr:row>
      <xdr:rowOff>123825</xdr:rowOff>
    </xdr:from>
    <xdr:to>
      <xdr:col>45</xdr:col>
      <xdr:colOff>3756</xdr:colOff>
      <xdr:row>44</xdr:row>
      <xdr:rowOff>98623</xdr:rowOff>
    </xdr:to>
    <xdr:sp macro="" textlink="">
      <xdr:nvSpPr>
        <xdr:cNvPr id="307" name="WordArt 6"/>
        <xdr:cNvSpPr>
          <a:spLocks noChangeArrowheads="1" noChangeShapeType="1" noTextEdit="1"/>
        </xdr:cNvSpPr>
      </xdr:nvSpPr>
      <xdr:spPr bwMode="auto">
        <a:xfrm>
          <a:off x="61878156"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43</xdr:row>
      <xdr:rowOff>109246</xdr:rowOff>
    </xdr:from>
    <xdr:to>
      <xdr:col>45</xdr:col>
      <xdr:colOff>3756</xdr:colOff>
      <xdr:row>44</xdr:row>
      <xdr:rowOff>90857</xdr:rowOff>
    </xdr:to>
    <xdr:sp macro="" textlink="">
      <xdr:nvSpPr>
        <xdr:cNvPr id="308" name="WordArt 5"/>
        <xdr:cNvSpPr>
          <a:spLocks noChangeArrowheads="1" noChangeShapeType="1" noTextEdit="1"/>
        </xdr:cNvSpPr>
      </xdr:nvSpPr>
      <xdr:spPr bwMode="auto">
        <a:xfrm>
          <a:off x="61878156"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41</xdr:row>
      <xdr:rowOff>121947</xdr:rowOff>
    </xdr:from>
    <xdr:to>
      <xdr:col>45</xdr:col>
      <xdr:colOff>3756</xdr:colOff>
      <xdr:row>42</xdr:row>
      <xdr:rowOff>96744</xdr:rowOff>
    </xdr:to>
    <xdr:sp macro="" textlink="">
      <xdr:nvSpPr>
        <xdr:cNvPr id="309" name="WordArt 6"/>
        <xdr:cNvSpPr>
          <a:spLocks noChangeArrowheads="1" noChangeShapeType="1" noTextEdit="1"/>
        </xdr:cNvSpPr>
      </xdr:nvSpPr>
      <xdr:spPr bwMode="auto">
        <a:xfrm>
          <a:off x="61878156"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44</xdr:row>
      <xdr:rowOff>110186</xdr:rowOff>
    </xdr:from>
    <xdr:to>
      <xdr:col>45</xdr:col>
      <xdr:colOff>3756</xdr:colOff>
      <xdr:row>45</xdr:row>
      <xdr:rowOff>91796</xdr:rowOff>
    </xdr:to>
    <xdr:sp macro="" textlink="">
      <xdr:nvSpPr>
        <xdr:cNvPr id="310" name="WordArt 5"/>
        <xdr:cNvSpPr>
          <a:spLocks noChangeArrowheads="1" noChangeShapeType="1" noTextEdit="1"/>
        </xdr:cNvSpPr>
      </xdr:nvSpPr>
      <xdr:spPr bwMode="auto">
        <a:xfrm>
          <a:off x="61878156"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3756</xdr:colOff>
      <xdr:row>42</xdr:row>
      <xdr:rowOff>122886</xdr:rowOff>
    </xdr:from>
    <xdr:to>
      <xdr:col>45</xdr:col>
      <xdr:colOff>3756</xdr:colOff>
      <xdr:row>43</xdr:row>
      <xdr:rowOff>97683</xdr:rowOff>
    </xdr:to>
    <xdr:sp macro="" textlink="">
      <xdr:nvSpPr>
        <xdr:cNvPr id="311" name="WordArt 6"/>
        <xdr:cNvSpPr>
          <a:spLocks noChangeArrowheads="1" noChangeShapeType="1" noTextEdit="1"/>
        </xdr:cNvSpPr>
      </xdr:nvSpPr>
      <xdr:spPr bwMode="auto">
        <a:xfrm>
          <a:off x="61878156"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45</xdr:row>
      <xdr:rowOff>111125</xdr:rowOff>
    </xdr:from>
    <xdr:to>
      <xdr:col>45</xdr:col>
      <xdr:colOff>1012243</xdr:colOff>
      <xdr:row>46</xdr:row>
      <xdr:rowOff>82550</xdr:rowOff>
    </xdr:to>
    <xdr:sp macro="" textlink="">
      <xdr:nvSpPr>
        <xdr:cNvPr id="312" name="WordArt 5"/>
        <xdr:cNvSpPr>
          <a:spLocks noChangeArrowheads="1" noChangeShapeType="1" noTextEdit="1"/>
        </xdr:cNvSpPr>
      </xdr:nvSpPr>
      <xdr:spPr bwMode="auto">
        <a:xfrm>
          <a:off x="62886643"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43</xdr:row>
      <xdr:rowOff>123825</xdr:rowOff>
    </xdr:from>
    <xdr:to>
      <xdr:col>45</xdr:col>
      <xdr:colOff>1012243</xdr:colOff>
      <xdr:row>44</xdr:row>
      <xdr:rowOff>98623</xdr:rowOff>
    </xdr:to>
    <xdr:sp macro="" textlink="">
      <xdr:nvSpPr>
        <xdr:cNvPr id="313" name="WordArt 6"/>
        <xdr:cNvSpPr>
          <a:spLocks noChangeArrowheads="1" noChangeShapeType="1" noTextEdit="1"/>
        </xdr:cNvSpPr>
      </xdr:nvSpPr>
      <xdr:spPr bwMode="auto">
        <a:xfrm>
          <a:off x="62886643"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45</xdr:row>
      <xdr:rowOff>111125</xdr:rowOff>
    </xdr:from>
    <xdr:to>
      <xdr:col>45</xdr:col>
      <xdr:colOff>1012243</xdr:colOff>
      <xdr:row>46</xdr:row>
      <xdr:rowOff>82550</xdr:rowOff>
    </xdr:to>
    <xdr:sp macro="" textlink="">
      <xdr:nvSpPr>
        <xdr:cNvPr id="314" name="WordArt 5"/>
        <xdr:cNvSpPr>
          <a:spLocks noChangeArrowheads="1" noChangeShapeType="1" noTextEdit="1"/>
        </xdr:cNvSpPr>
      </xdr:nvSpPr>
      <xdr:spPr bwMode="auto">
        <a:xfrm>
          <a:off x="62886643"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43</xdr:row>
      <xdr:rowOff>123825</xdr:rowOff>
    </xdr:from>
    <xdr:to>
      <xdr:col>45</xdr:col>
      <xdr:colOff>1012243</xdr:colOff>
      <xdr:row>44</xdr:row>
      <xdr:rowOff>98623</xdr:rowOff>
    </xdr:to>
    <xdr:sp macro="" textlink="">
      <xdr:nvSpPr>
        <xdr:cNvPr id="315" name="WordArt 6"/>
        <xdr:cNvSpPr>
          <a:spLocks noChangeArrowheads="1" noChangeShapeType="1" noTextEdit="1"/>
        </xdr:cNvSpPr>
      </xdr:nvSpPr>
      <xdr:spPr bwMode="auto">
        <a:xfrm>
          <a:off x="62886643"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43</xdr:row>
      <xdr:rowOff>109246</xdr:rowOff>
    </xdr:from>
    <xdr:to>
      <xdr:col>45</xdr:col>
      <xdr:colOff>1012243</xdr:colOff>
      <xdr:row>44</xdr:row>
      <xdr:rowOff>90857</xdr:rowOff>
    </xdr:to>
    <xdr:sp macro="" textlink="">
      <xdr:nvSpPr>
        <xdr:cNvPr id="316" name="WordArt 5"/>
        <xdr:cNvSpPr>
          <a:spLocks noChangeArrowheads="1" noChangeShapeType="1" noTextEdit="1"/>
        </xdr:cNvSpPr>
      </xdr:nvSpPr>
      <xdr:spPr bwMode="auto">
        <a:xfrm>
          <a:off x="62886643"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41</xdr:row>
      <xdr:rowOff>121947</xdr:rowOff>
    </xdr:from>
    <xdr:to>
      <xdr:col>45</xdr:col>
      <xdr:colOff>1012243</xdr:colOff>
      <xdr:row>42</xdr:row>
      <xdr:rowOff>96744</xdr:rowOff>
    </xdr:to>
    <xdr:sp macro="" textlink="">
      <xdr:nvSpPr>
        <xdr:cNvPr id="317" name="WordArt 6"/>
        <xdr:cNvSpPr>
          <a:spLocks noChangeArrowheads="1" noChangeShapeType="1" noTextEdit="1"/>
        </xdr:cNvSpPr>
      </xdr:nvSpPr>
      <xdr:spPr bwMode="auto">
        <a:xfrm>
          <a:off x="62886643"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43</xdr:row>
      <xdr:rowOff>109246</xdr:rowOff>
    </xdr:from>
    <xdr:to>
      <xdr:col>45</xdr:col>
      <xdr:colOff>1012243</xdr:colOff>
      <xdr:row>44</xdr:row>
      <xdr:rowOff>90857</xdr:rowOff>
    </xdr:to>
    <xdr:sp macro="" textlink="">
      <xdr:nvSpPr>
        <xdr:cNvPr id="318" name="WordArt 5"/>
        <xdr:cNvSpPr>
          <a:spLocks noChangeArrowheads="1" noChangeShapeType="1" noTextEdit="1"/>
        </xdr:cNvSpPr>
      </xdr:nvSpPr>
      <xdr:spPr bwMode="auto">
        <a:xfrm>
          <a:off x="62886643"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41</xdr:row>
      <xdr:rowOff>121947</xdr:rowOff>
    </xdr:from>
    <xdr:to>
      <xdr:col>45</xdr:col>
      <xdr:colOff>1012243</xdr:colOff>
      <xdr:row>42</xdr:row>
      <xdr:rowOff>96744</xdr:rowOff>
    </xdr:to>
    <xdr:sp macro="" textlink="">
      <xdr:nvSpPr>
        <xdr:cNvPr id="319" name="WordArt 6"/>
        <xdr:cNvSpPr>
          <a:spLocks noChangeArrowheads="1" noChangeShapeType="1" noTextEdit="1"/>
        </xdr:cNvSpPr>
      </xdr:nvSpPr>
      <xdr:spPr bwMode="auto">
        <a:xfrm>
          <a:off x="62886643"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44</xdr:row>
      <xdr:rowOff>110186</xdr:rowOff>
    </xdr:from>
    <xdr:to>
      <xdr:col>45</xdr:col>
      <xdr:colOff>1012243</xdr:colOff>
      <xdr:row>45</xdr:row>
      <xdr:rowOff>91796</xdr:rowOff>
    </xdr:to>
    <xdr:sp macro="" textlink="">
      <xdr:nvSpPr>
        <xdr:cNvPr id="320" name="WordArt 5"/>
        <xdr:cNvSpPr>
          <a:spLocks noChangeArrowheads="1" noChangeShapeType="1" noTextEdit="1"/>
        </xdr:cNvSpPr>
      </xdr:nvSpPr>
      <xdr:spPr bwMode="auto">
        <a:xfrm>
          <a:off x="62886643"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44</xdr:row>
      <xdr:rowOff>110186</xdr:rowOff>
    </xdr:from>
    <xdr:to>
      <xdr:col>45</xdr:col>
      <xdr:colOff>1012243</xdr:colOff>
      <xdr:row>45</xdr:row>
      <xdr:rowOff>91796</xdr:rowOff>
    </xdr:to>
    <xdr:sp macro="" textlink="">
      <xdr:nvSpPr>
        <xdr:cNvPr id="321" name="WordArt 5"/>
        <xdr:cNvSpPr>
          <a:spLocks noChangeArrowheads="1" noChangeShapeType="1" noTextEdit="1"/>
        </xdr:cNvSpPr>
      </xdr:nvSpPr>
      <xdr:spPr bwMode="auto">
        <a:xfrm>
          <a:off x="62886643"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45</xdr:row>
      <xdr:rowOff>111125</xdr:rowOff>
    </xdr:from>
    <xdr:to>
      <xdr:col>47</xdr:col>
      <xdr:colOff>3756</xdr:colOff>
      <xdr:row>46</xdr:row>
      <xdr:rowOff>82550</xdr:rowOff>
    </xdr:to>
    <xdr:sp macro="" textlink="">
      <xdr:nvSpPr>
        <xdr:cNvPr id="338" name="WordArt 5"/>
        <xdr:cNvSpPr>
          <a:spLocks noChangeArrowheads="1" noChangeShapeType="1" noTextEdit="1"/>
        </xdr:cNvSpPr>
      </xdr:nvSpPr>
      <xdr:spPr bwMode="auto">
        <a:xfrm>
          <a:off x="64345131"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43</xdr:row>
      <xdr:rowOff>123825</xdr:rowOff>
    </xdr:from>
    <xdr:to>
      <xdr:col>47</xdr:col>
      <xdr:colOff>3756</xdr:colOff>
      <xdr:row>44</xdr:row>
      <xdr:rowOff>98623</xdr:rowOff>
    </xdr:to>
    <xdr:sp macro="" textlink="">
      <xdr:nvSpPr>
        <xdr:cNvPr id="339" name="WordArt 6"/>
        <xdr:cNvSpPr>
          <a:spLocks noChangeArrowheads="1" noChangeShapeType="1" noTextEdit="1"/>
        </xdr:cNvSpPr>
      </xdr:nvSpPr>
      <xdr:spPr bwMode="auto">
        <a:xfrm>
          <a:off x="64345131"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43</xdr:row>
      <xdr:rowOff>109246</xdr:rowOff>
    </xdr:from>
    <xdr:to>
      <xdr:col>47</xdr:col>
      <xdr:colOff>3756</xdr:colOff>
      <xdr:row>44</xdr:row>
      <xdr:rowOff>90857</xdr:rowOff>
    </xdr:to>
    <xdr:sp macro="" textlink="">
      <xdr:nvSpPr>
        <xdr:cNvPr id="340" name="WordArt 5"/>
        <xdr:cNvSpPr>
          <a:spLocks noChangeArrowheads="1" noChangeShapeType="1" noTextEdit="1"/>
        </xdr:cNvSpPr>
      </xdr:nvSpPr>
      <xdr:spPr bwMode="auto">
        <a:xfrm>
          <a:off x="64345131"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45</xdr:row>
      <xdr:rowOff>67518</xdr:rowOff>
    </xdr:from>
    <xdr:to>
      <xdr:col>47</xdr:col>
      <xdr:colOff>3756</xdr:colOff>
      <xdr:row>46</xdr:row>
      <xdr:rowOff>42315</xdr:rowOff>
    </xdr:to>
    <xdr:sp macro="" textlink="">
      <xdr:nvSpPr>
        <xdr:cNvPr id="341" name="WordArt 6"/>
        <xdr:cNvSpPr>
          <a:spLocks noChangeArrowheads="1" noChangeShapeType="1" noTextEdit="1"/>
        </xdr:cNvSpPr>
      </xdr:nvSpPr>
      <xdr:spPr bwMode="auto">
        <a:xfrm>
          <a:off x="64345131" y="215368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44</xdr:row>
      <xdr:rowOff>110186</xdr:rowOff>
    </xdr:from>
    <xdr:to>
      <xdr:col>47</xdr:col>
      <xdr:colOff>3756</xdr:colOff>
      <xdr:row>45</xdr:row>
      <xdr:rowOff>91796</xdr:rowOff>
    </xdr:to>
    <xdr:sp macro="" textlink="">
      <xdr:nvSpPr>
        <xdr:cNvPr id="342" name="WordArt 5"/>
        <xdr:cNvSpPr>
          <a:spLocks noChangeArrowheads="1" noChangeShapeType="1" noTextEdit="1"/>
        </xdr:cNvSpPr>
      </xdr:nvSpPr>
      <xdr:spPr bwMode="auto">
        <a:xfrm>
          <a:off x="64345131"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42</xdr:row>
      <xdr:rowOff>122886</xdr:rowOff>
    </xdr:from>
    <xdr:to>
      <xdr:col>47</xdr:col>
      <xdr:colOff>3756</xdr:colOff>
      <xdr:row>43</xdr:row>
      <xdr:rowOff>97683</xdr:rowOff>
    </xdr:to>
    <xdr:sp macro="" textlink="">
      <xdr:nvSpPr>
        <xdr:cNvPr id="343" name="WordArt 6"/>
        <xdr:cNvSpPr>
          <a:spLocks noChangeArrowheads="1" noChangeShapeType="1" noTextEdit="1"/>
        </xdr:cNvSpPr>
      </xdr:nvSpPr>
      <xdr:spPr bwMode="auto">
        <a:xfrm>
          <a:off x="64345131"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45</xdr:row>
      <xdr:rowOff>111125</xdr:rowOff>
    </xdr:from>
    <xdr:to>
      <xdr:col>48</xdr:col>
      <xdr:colOff>3756</xdr:colOff>
      <xdr:row>46</xdr:row>
      <xdr:rowOff>82550</xdr:rowOff>
    </xdr:to>
    <xdr:sp macro="" textlink="">
      <xdr:nvSpPr>
        <xdr:cNvPr id="344" name="WordArt 5"/>
        <xdr:cNvSpPr>
          <a:spLocks noChangeArrowheads="1" noChangeShapeType="1" noTextEdit="1"/>
        </xdr:cNvSpPr>
      </xdr:nvSpPr>
      <xdr:spPr bwMode="auto">
        <a:xfrm>
          <a:off x="65583381"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43</xdr:row>
      <xdr:rowOff>123825</xdr:rowOff>
    </xdr:from>
    <xdr:to>
      <xdr:col>48</xdr:col>
      <xdr:colOff>3756</xdr:colOff>
      <xdr:row>44</xdr:row>
      <xdr:rowOff>98623</xdr:rowOff>
    </xdr:to>
    <xdr:sp macro="" textlink="">
      <xdr:nvSpPr>
        <xdr:cNvPr id="345" name="WordArt 6"/>
        <xdr:cNvSpPr>
          <a:spLocks noChangeArrowheads="1" noChangeShapeType="1" noTextEdit="1"/>
        </xdr:cNvSpPr>
      </xdr:nvSpPr>
      <xdr:spPr bwMode="auto">
        <a:xfrm>
          <a:off x="65583381"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43</xdr:row>
      <xdr:rowOff>109246</xdr:rowOff>
    </xdr:from>
    <xdr:to>
      <xdr:col>48</xdr:col>
      <xdr:colOff>3756</xdr:colOff>
      <xdr:row>44</xdr:row>
      <xdr:rowOff>90857</xdr:rowOff>
    </xdr:to>
    <xdr:sp macro="" textlink="">
      <xdr:nvSpPr>
        <xdr:cNvPr id="346" name="WordArt 5"/>
        <xdr:cNvSpPr>
          <a:spLocks noChangeArrowheads="1" noChangeShapeType="1" noTextEdit="1"/>
        </xdr:cNvSpPr>
      </xdr:nvSpPr>
      <xdr:spPr bwMode="auto">
        <a:xfrm>
          <a:off x="65583381"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45</xdr:row>
      <xdr:rowOff>67518</xdr:rowOff>
    </xdr:from>
    <xdr:to>
      <xdr:col>48</xdr:col>
      <xdr:colOff>3756</xdr:colOff>
      <xdr:row>46</xdr:row>
      <xdr:rowOff>42315</xdr:rowOff>
    </xdr:to>
    <xdr:sp macro="" textlink="">
      <xdr:nvSpPr>
        <xdr:cNvPr id="347" name="WordArt 6"/>
        <xdr:cNvSpPr>
          <a:spLocks noChangeArrowheads="1" noChangeShapeType="1" noTextEdit="1"/>
        </xdr:cNvSpPr>
      </xdr:nvSpPr>
      <xdr:spPr bwMode="auto">
        <a:xfrm>
          <a:off x="65583381" y="215368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44</xdr:row>
      <xdr:rowOff>110186</xdr:rowOff>
    </xdr:from>
    <xdr:to>
      <xdr:col>48</xdr:col>
      <xdr:colOff>3756</xdr:colOff>
      <xdr:row>45</xdr:row>
      <xdr:rowOff>91796</xdr:rowOff>
    </xdr:to>
    <xdr:sp macro="" textlink="">
      <xdr:nvSpPr>
        <xdr:cNvPr id="348" name="WordArt 5"/>
        <xdr:cNvSpPr>
          <a:spLocks noChangeArrowheads="1" noChangeShapeType="1" noTextEdit="1"/>
        </xdr:cNvSpPr>
      </xdr:nvSpPr>
      <xdr:spPr bwMode="auto">
        <a:xfrm>
          <a:off x="65583381"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42</xdr:row>
      <xdr:rowOff>122886</xdr:rowOff>
    </xdr:from>
    <xdr:to>
      <xdr:col>48</xdr:col>
      <xdr:colOff>3756</xdr:colOff>
      <xdr:row>43</xdr:row>
      <xdr:rowOff>97683</xdr:rowOff>
    </xdr:to>
    <xdr:sp macro="" textlink="">
      <xdr:nvSpPr>
        <xdr:cNvPr id="349" name="WordArt 6"/>
        <xdr:cNvSpPr>
          <a:spLocks noChangeArrowheads="1" noChangeShapeType="1" noTextEdit="1"/>
        </xdr:cNvSpPr>
      </xdr:nvSpPr>
      <xdr:spPr bwMode="auto">
        <a:xfrm>
          <a:off x="65583381"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111125</xdr:rowOff>
    </xdr:from>
    <xdr:to>
      <xdr:col>49</xdr:col>
      <xdr:colOff>3756</xdr:colOff>
      <xdr:row>46</xdr:row>
      <xdr:rowOff>82550</xdr:rowOff>
    </xdr:to>
    <xdr:sp macro="" textlink="">
      <xdr:nvSpPr>
        <xdr:cNvPr id="350" name="WordArt 5"/>
        <xdr:cNvSpPr>
          <a:spLocks noChangeArrowheads="1" noChangeShapeType="1" noTextEdit="1"/>
        </xdr:cNvSpPr>
      </xdr:nvSpPr>
      <xdr:spPr bwMode="auto">
        <a:xfrm>
          <a:off x="66869256"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3756</xdr:colOff>
      <xdr:row>43</xdr:row>
      <xdr:rowOff>123825</xdr:rowOff>
    </xdr:from>
    <xdr:to>
      <xdr:col>49</xdr:col>
      <xdr:colOff>3756</xdr:colOff>
      <xdr:row>44</xdr:row>
      <xdr:rowOff>98623</xdr:rowOff>
    </xdr:to>
    <xdr:sp macro="" textlink="">
      <xdr:nvSpPr>
        <xdr:cNvPr id="351" name="WordArt 6"/>
        <xdr:cNvSpPr>
          <a:spLocks noChangeArrowheads="1" noChangeShapeType="1" noTextEdit="1"/>
        </xdr:cNvSpPr>
      </xdr:nvSpPr>
      <xdr:spPr bwMode="auto">
        <a:xfrm>
          <a:off x="66869256"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43</xdr:row>
      <xdr:rowOff>109246</xdr:rowOff>
    </xdr:from>
    <xdr:to>
      <xdr:col>49</xdr:col>
      <xdr:colOff>3756</xdr:colOff>
      <xdr:row>44</xdr:row>
      <xdr:rowOff>90857</xdr:rowOff>
    </xdr:to>
    <xdr:sp macro="" textlink="">
      <xdr:nvSpPr>
        <xdr:cNvPr id="352" name="WordArt 5"/>
        <xdr:cNvSpPr>
          <a:spLocks noChangeArrowheads="1" noChangeShapeType="1" noTextEdit="1"/>
        </xdr:cNvSpPr>
      </xdr:nvSpPr>
      <xdr:spPr bwMode="auto">
        <a:xfrm>
          <a:off x="66869256"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3756</xdr:colOff>
      <xdr:row>45</xdr:row>
      <xdr:rowOff>67518</xdr:rowOff>
    </xdr:from>
    <xdr:to>
      <xdr:col>49</xdr:col>
      <xdr:colOff>3756</xdr:colOff>
      <xdr:row>46</xdr:row>
      <xdr:rowOff>42315</xdr:rowOff>
    </xdr:to>
    <xdr:sp macro="" textlink="">
      <xdr:nvSpPr>
        <xdr:cNvPr id="353" name="WordArt 6"/>
        <xdr:cNvSpPr>
          <a:spLocks noChangeArrowheads="1" noChangeShapeType="1" noTextEdit="1"/>
        </xdr:cNvSpPr>
      </xdr:nvSpPr>
      <xdr:spPr bwMode="auto">
        <a:xfrm>
          <a:off x="66869256" y="215368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110186</xdr:rowOff>
    </xdr:from>
    <xdr:to>
      <xdr:col>49</xdr:col>
      <xdr:colOff>3756</xdr:colOff>
      <xdr:row>45</xdr:row>
      <xdr:rowOff>91796</xdr:rowOff>
    </xdr:to>
    <xdr:sp macro="" textlink="">
      <xdr:nvSpPr>
        <xdr:cNvPr id="354" name="WordArt 5"/>
        <xdr:cNvSpPr>
          <a:spLocks noChangeArrowheads="1" noChangeShapeType="1" noTextEdit="1"/>
        </xdr:cNvSpPr>
      </xdr:nvSpPr>
      <xdr:spPr bwMode="auto">
        <a:xfrm>
          <a:off x="66869256"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3756</xdr:colOff>
      <xdr:row>42</xdr:row>
      <xdr:rowOff>122886</xdr:rowOff>
    </xdr:from>
    <xdr:to>
      <xdr:col>49</xdr:col>
      <xdr:colOff>3756</xdr:colOff>
      <xdr:row>43</xdr:row>
      <xdr:rowOff>97683</xdr:rowOff>
    </xdr:to>
    <xdr:sp macro="" textlink="">
      <xdr:nvSpPr>
        <xdr:cNvPr id="355" name="WordArt 6"/>
        <xdr:cNvSpPr>
          <a:spLocks noChangeArrowheads="1" noChangeShapeType="1" noTextEdit="1"/>
        </xdr:cNvSpPr>
      </xdr:nvSpPr>
      <xdr:spPr bwMode="auto">
        <a:xfrm>
          <a:off x="66869256"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45</xdr:row>
      <xdr:rowOff>111125</xdr:rowOff>
    </xdr:from>
    <xdr:to>
      <xdr:col>50</xdr:col>
      <xdr:colOff>3756</xdr:colOff>
      <xdr:row>46</xdr:row>
      <xdr:rowOff>82550</xdr:rowOff>
    </xdr:to>
    <xdr:sp macro="" textlink="">
      <xdr:nvSpPr>
        <xdr:cNvPr id="356" name="WordArt 5"/>
        <xdr:cNvSpPr>
          <a:spLocks noChangeArrowheads="1" noChangeShapeType="1" noTextEdit="1"/>
        </xdr:cNvSpPr>
      </xdr:nvSpPr>
      <xdr:spPr bwMode="auto">
        <a:xfrm>
          <a:off x="68155131"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43</xdr:row>
      <xdr:rowOff>123825</xdr:rowOff>
    </xdr:from>
    <xdr:to>
      <xdr:col>50</xdr:col>
      <xdr:colOff>3756</xdr:colOff>
      <xdr:row>44</xdr:row>
      <xdr:rowOff>98623</xdr:rowOff>
    </xdr:to>
    <xdr:sp macro="" textlink="">
      <xdr:nvSpPr>
        <xdr:cNvPr id="357" name="WordArt 6"/>
        <xdr:cNvSpPr>
          <a:spLocks noChangeArrowheads="1" noChangeShapeType="1" noTextEdit="1"/>
        </xdr:cNvSpPr>
      </xdr:nvSpPr>
      <xdr:spPr bwMode="auto">
        <a:xfrm>
          <a:off x="68155131"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43</xdr:row>
      <xdr:rowOff>109246</xdr:rowOff>
    </xdr:from>
    <xdr:to>
      <xdr:col>50</xdr:col>
      <xdr:colOff>3756</xdr:colOff>
      <xdr:row>44</xdr:row>
      <xdr:rowOff>90857</xdr:rowOff>
    </xdr:to>
    <xdr:sp macro="" textlink="">
      <xdr:nvSpPr>
        <xdr:cNvPr id="358" name="WordArt 5"/>
        <xdr:cNvSpPr>
          <a:spLocks noChangeArrowheads="1" noChangeShapeType="1" noTextEdit="1"/>
        </xdr:cNvSpPr>
      </xdr:nvSpPr>
      <xdr:spPr bwMode="auto">
        <a:xfrm>
          <a:off x="68155131"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45</xdr:row>
      <xdr:rowOff>67518</xdr:rowOff>
    </xdr:from>
    <xdr:to>
      <xdr:col>50</xdr:col>
      <xdr:colOff>3756</xdr:colOff>
      <xdr:row>46</xdr:row>
      <xdr:rowOff>42315</xdr:rowOff>
    </xdr:to>
    <xdr:sp macro="" textlink="">
      <xdr:nvSpPr>
        <xdr:cNvPr id="359" name="WordArt 6"/>
        <xdr:cNvSpPr>
          <a:spLocks noChangeArrowheads="1" noChangeShapeType="1" noTextEdit="1"/>
        </xdr:cNvSpPr>
      </xdr:nvSpPr>
      <xdr:spPr bwMode="auto">
        <a:xfrm>
          <a:off x="68155131" y="215368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44</xdr:row>
      <xdr:rowOff>110186</xdr:rowOff>
    </xdr:from>
    <xdr:to>
      <xdr:col>50</xdr:col>
      <xdr:colOff>3756</xdr:colOff>
      <xdr:row>45</xdr:row>
      <xdr:rowOff>91796</xdr:rowOff>
    </xdr:to>
    <xdr:sp macro="" textlink="">
      <xdr:nvSpPr>
        <xdr:cNvPr id="360" name="WordArt 5"/>
        <xdr:cNvSpPr>
          <a:spLocks noChangeArrowheads="1" noChangeShapeType="1" noTextEdit="1"/>
        </xdr:cNvSpPr>
      </xdr:nvSpPr>
      <xdr:spPr bwMode="auto">
        <a:xfrm>
          <a:off x="68155131"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42</xdr:row>
      <xdr:rowOff>122886</xdr:rowOff>
    </xdr:from>
    <xdr:to>
      <xdr:col>50</xdr:col>
      <xdr:colOff>3756</xdr:colOff>
      <xdr:row>43</xdr:row>
      <xdr:rowOff>97683</xdr:rowOff>
    </xdr:to>
    <xdr:sp macro="" textlink="">
      <xdr:nvSpPr>
        <xdr:cNvPr id="361" name="WordArt 6"/>
        <xdr:cNvSpPr>
          <a:spLocks noChangeArrowheads="1" noChangeShapeType="1" noTextEdit="1"/>
        </xdr:cNvSpPr>
      </xdr:nvSpPr>
      <xdr:spPr bwMode="auto">
        <a:xfrm>
          <a:off x="68155131"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45</xdr:row>
      <xdr:rowOff>111125</xdr:rowOff>
    </xdr:from>
    <xdr:to>
      <xdr:col>51</xdr:col>
      <xdr:colOff>3756</xdr:colOff>
      <xdr:row>46</xdr:row>
      <xdr:rowOff>82550</xdr:rowOff>
    </xdr:to>
    <xdr:sp macro="" textlink="">
      <xdr:nvSpPr>
        <xdr:cNvPr id="362" name="WordArt 5"/>
        <xdr:cNvSpPr>
          <a:spLocks noChangeArrowheads="1" noChangeShapeType="1" noTextEdit="1"/>
        </xdr:cNvSpPr>
      </xdr:nvSpPr>
      <xdr:spPr bwMode="auto">
        <a:xfrm>
          <a:off x="69412431"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3756</xdr:colOff>
      <xdr:row>43</xdr:row>
      <xdr:rowOff>123825</xdr:rowOff>
    </xdr:from>
    <xdr:to>
      <xdr:col>51</xdr:col>
      <xdr:colOff>3756</xdr:colOff>
      <xdr:row>44</xdr:row>
      <xdr:rowOff>98623</xdr:rowOff>
    </xdr:to>
    <xdr:sp macro="" textlink="">
      <xdr:nvSpPr>
        <xdr:cNvPr id="363" name="WordArt 6"/>
        <xdr:cNvSpPr>
          <a:spLocks noChangeArrowheads="1" noChangeShapeType="1" noTextEdit="1"/>
        </xdr:cNvSpPr>
      </xdr:nvSpPr>
      <xdr:spPr bwMode="auto">
        <a:xfrm>
          <a:off x="69412431"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43</xdr:row>
      <xdr:rowOff>109246</xdr:rowOff>
    </xdr:from>
    <xdr:to>
      <xdr:col>51</xdr:col>
      <xdr:colOff>3756</xdr:colOff>
      <xdr:row>44</xdr:row>
      <xdr:rowOff>90857</xdr:rowOff>
    </xdr:to>
    <xdr:sp macro="" textlink="">
      <xdr:nvSpPr>
        <xdr:cNvPr id="364" name="WordArt 5"/>
        <xdr:cNvSpPr>
          <a:spLocks noChangeArrowheads="1" noChangeShapeType="1" noTextEdit="1"/>
        </xdr:cNvSpPr>
      </xdr:nvSpPr>
      <xdr:spPr bwMode="auto">
        <a:xfrm>
          <a:off x="69412431"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3756</xdr:colOff>
      <xdr:row>45</xdr:row>
      <xdr:rowOff>67518</xdr:rowOff>
    </xdr:from>
    <xdr:to>
      <xdr:col>51</xdr:col>
      <xdr:colOff>3756</xdr:colOff>
      <xdr:row>46</xdr:row>
      <xdr:rowOff>42315</xdr:rowOff>
    </xdr:to>
    <xdr:sp macro="" textlink="">
      <xdr:nvSpPr>
        <xdr:cNvPr id="365" name="WordArt 6"/>
        <xdr:cNvSpPr>
          <a:spLocks noChangeArrowheads="1" noChangeShapeType="1" noTextEdit="1"/>
        </xdr:cNvSpPr>
      </xdr:nvSpPr>
      <xdr:spPr bwMode="auto">
        <a:xfrm>
          <a:off x="69412431" y="215368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44</xdr:row>
      <xdr:rowOff>110186</xdr:rowOff>
    </xdr:from>
    <xdr:to>
      <xdr:col>51</xdr:col>
      <xdr:colOff>3756</xdr:colOff>
      <xdr:row>45</xdr:row>
      <xdr:rowOff>91796</xdr:rowOff>
    </xdr:to>
    <xdr:sp macro="" textlink="">
      <xdr:nvSpPr>
        <xdr:cNvPr id="366" name="WordArt 5"/>
        <xdr:cNvSpPr>
          <a:spLocks noChangeArrowheads="1" noChangeShapeType="1" noTextEdit="1"/>
        </xdr:cNvSpPr>
      </xdr:nvSpPr>
      <xdr:spPr bwMode="auto">
        <a:xfrm>
          <a:off x="69412431"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1384882</xdr:colOff>
      <xdr:row>42</xdr:row>
      <xdr:rowOff>122886</xdr:rowOff>
    </xdr:from>
    <xdr:to>
      <xdr:col>50</xdr:col>
      <xdr:colOff>1384882</xdr:colOff>
      <xdr:row>43</xdr:row>
      <xdr:rowOff>97683</xdr:rowOff>
    </xdr:to>
    <xdr:sp macro="" textlink="">
      <xdr:nvSpPr>
        <xdr:cNvPr id="367" name="WordArt 6"/>
        <xdr:cNvSpPr>
          <a:spLocks noChangeArrowheads="1" noChangeShapeType="1" noTextEdit="1"/>
        </xdr:cNvSpPr>
      </xdr:nvSpPr>
      <xdr:spPr bwMode="auto">
        <a:xfrm>
          <a:off x="69412432"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45</xdr:row>
      <xdr:rowOff>111125</xdr:rowOff>
    </xdr:from>
    <xdr:to>
      <xdr:col>52</xdr:col>
      <xdr:colOff>3756</xdr:colOff>
      <xdr:row>46</xdr:row>
      <xdr:rowOff>82550</xdr:rowOff>
    </xdr:to>
    <xdr:sp macro="" textlink="">
      <xdr:nvSpPr>
        <xdr:cNvPr id="368" name="WordArt 5"/>
        <xdr:cNvSpPr>
          <a:spLocks noChangeArrowheads="1" noChangeShapeType="1" noTextEdit="1"/>
        </xdr:cNvSpPr>
      </xdr:nvSpPr>
      <xdr:spPr bwMode="auto">
        <a:xfrm>
          <a:off x="70822131"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43</xdr:row>
      <xdr:rowOff>123825</xdr:rowOff>
    </xdr:from>
    <xdr:to>
      <xdr:col>52</xdr:col>
      <xdr:colOff>3756</xdr:colOff>
      <xdr:row>44</xdr:row>
      <xdr:rowOff>98623</xdr:rowOff>
    </xdr:to>
    <xdr:sp macro="" textlink="">
      <xdr:nvSpPr>
        <xdr:cNvPr id="369" name="WordArt 6"/>
        <xdr:cNvSpPr>
          <a:spLocks noChangeArrowheads="1" noChangeShapeType="1" noTextEdit="1"/>
        </xdr:cNvSpPr>
      </xdr:nvSpPr>
      <xdr:spPr bwMode="auto">
        <a:xfrm>
          <a:off x="70822131"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43</xdr:row>
      <xdr:rowOff>109246</xdr:rowOff>
    </xdr:from>
    <xdr:to>
      <xdr:col>52</xdr:col>
      <xdr:colOff>3756</xdr:colOff>
      <xdr:row>44</xdr:row>
      <xdr:rowOff>90857</xdr:rowOff>
    </xdr:to>
    <xdr:sp macro="" textlink="">
      <xdr:nvSpPr>
        <xdr:cNvPr id="370" name="WordArt 5"/>
        <xdr:cNvSpPr>
          <a:spLocks noChangeArrowheads="1" noChangeShapeType="1" noTextEdit="1"/>
        </xdr:cNvSpPr>
      </xdr:nvSpPr>
      <xdr:spPr bwMode="auto">
        <a:xfrm>
          <a:off x="70822131"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45</xdr:row>
      <xdr:rowOff>67518</xdr:rowOff>
    </xdr:from>
    <xdr:to>
      <xdr:col>52</xdr:col>
      <xdr:colOff>3756</xdr:colOff>
      <xdr:row>46</xdr:row>
      <xdr:rowOff>42315</xdr:rowOff>
    </xdr:to>
    <xdr:sp macro="" textlink="">
      <xdr:nvSpPr>
        <xdr:cNvPr id="371" name="WordArt 6"/>
        <xdr:cNvSpPr>
          <a:spLocks noChangeArrowheads="1" noChangeShapeType="1" noTextEdit="1"/>
        </xdr:cNvSpPr>
      </xdr:nvSpPr>
      <xdr:spPr bwMode="auto">
        <a:xfrm>
          <a:off x="70822131" y="215368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1134852</xdr:colOff>
      <xdr:row>44</xdr:row>
      <xdr:rowOff>110186</xdr:rowOff>
    </xdr:from>
    <xdr:to>
      <xdr:col>51</xdr:col>
      <xdr:colOff>1134852</xdr:colOff>
      <xdr:row>45</xdr:row>
      <xdr:rowOff>91796</xdr:rowOff>
    </xdr:to>
    <xdr:sp macro="" textlink="">
      <xdr:nvSpPr>
        <xdr:cNvPr id="372" name="WordArt 5"/>
        <xdr:cNvSpPr>
          <a:spLocks noChangeArrowheads="1" noChangeShapeType="1" noTextEdit="1"/>
        </xdr:cNvSpPr>
      </xdr:nvSpPr>
      <xdr:spPr bwMode="auto">
        <a:xfrm>
          <a:off x="70543527"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42</xdr:row>
      <xdr:rowOff>122886</xdr:rowOff>
    </xdr:from>
    <xdr:to>
      <xdr:col>52</xdr:col>
      <xdr:colOff>3756</xdr:colOff>
      <xdr:row>43</xdr:row>
      <xdr:rowOff>97683</xdr:rowOff>
    </xdr:to>
    <xdr:sp macro="" textlink="">
      <xdr:nvSpPr>
        <xdr:cNvPr id="373" name="WordArt 6"/>
        <xdr:cNvSpPr>
          <a:spLocks noChangeArrowheads="1" noChangeShapeType="1" noTextEdit="1"/>
        </xdr:cNvSpPr>
      </xdr:nvSpPr>
      <xdr:spPr bwMode="auto">
        <a:xfrm>
          <a:off x="70822131"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45</xdr:row>
      <xdr:rowOff>111125</xdr:rowOff>
    </xdr:from>
    <xdr:to>
      <xdr:col>50</xdr:col>
      <xdr:colOff>3756</xdr:colOff>
      <xdr:row>46</xdr:row>
      <xdr:rowOff>82550</xdr:rowOff>
    </xdr:to>
    <xdr:sp macro="" textlink="">
      <xdr:nvSpPr>
        <xdr:cNvPr id="374" name="WordArt 5"/>
        <xdr:cNvSpPr>
          <a:spLocks noChangeArrowheads="1" noChangeShapeType="1" noTextEdit="1"/>
        </xdr:cNvSpPr>
      </xdr:nvSpPr>
      <xdr:spPr bwMode="auto">
        <a:xfrm>
          <a:off x="68155131"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43</xdr:row>
      <xdr:rowOff>123825</xdr:rowOff>
    </xdr:from>
    <xdr:to>
      <xdr:col>50</xdr:col>
      <xdr:colOff>3756</xdr:colOff>
      <xdr:row>44</xdr:row>
      <xdr:rowOff>98623</xdr:rowOff>
    </xdr:to>
    <xdr:sp macro="" textlink="">
      <xdr:nvSpPr>
        <xdr:cNvPr id="375" name="WordArt 6"/>
        <xdr:cNvSpPr>
          <a:spLocks noChangeArrowheads="1" noChangeShapeType="1" noTextEdit="1"/>
        </xdr:cNvSpPr>
      </xdr:nvSpPr>
      <xdr:spPr bwMode="auto">
        <a:xfrm>
          <a:off x="68155131"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43</xdr:row>
      <xdr:rowOff>109246</xdr:rowOff>
    </xdr:from>
    <xdr:to>
      <xdr:col>50</xdr:col>
      <xdr:colOff>3756</xdr:colOff>
      <xdr:row>44</xdr:row>
      <xdr:rowOff>90857</xdr:rowOff>
    </xdr:to>
    <xdr:sp macro="" textlink="">
      <xdr:nvSpPr>
        <xdr:cNvPr id="376" name="WordArt 5"/>
        <xdr:cNvSpPr>
          <a:spLocks noChangeArrowheads="1" noChangeShapeType="1" noTextEdit="1"/>
        </xdr:cNvSpPr>
      </xdr:nvSpPr>
      <xdr:spPr bwMode="auto">
        <a:xfrm>
          <a:off x="68155131"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45</xdr:row>
      <xdr:rowOff>67518</xdr:rowOff>
    </xdr:from>
    <xdr:to>
      <xdr:col>50</xdr:col>
      <xdr:colOff>3756</xdr:colOff>
      <xdr:row>46</xdr:row>
      <xdr:rowOff>42315</xdr:rowOff>
    </xdr:to>
    <xdr:sp macro="" textlink="">
      <xdr:nvSpPr>
        <xdr:cNvPr id="377" name="WordArt 6"/>
        <xdr:cNvSpPr>
          <a:spLocks noChangeArrowheads="1" noChangeShapeType="1" noTextEdit="1"/>
        </xdr:cNvSpPr>
      </xdr:nvSpPr>
      <xdr:spPr bwMode="auto">
        <a:xfrm>
          <a:off x="68155131" y="215368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44</xdr:row>
      <xdr:rowOff>110186</xdr:rowOff>
    </xdr:from>
    <xdr:to>
      <xdr:col>50</xdr:col>
      <xdr:colOff>3756</xdr:colOff>
      <xdr:row>45</xdr:row>
      <xdr:rowOff>91796</xdr:rowOff>
    </xdr:to>
    <xdr:sp macro="" textlink="">
      <xdr:nvSpPr>
        <xdr:cNvPr id="378" name="WordArt 5"/>
        <xdr:cNvSpPr>
          <a:spLocks noChangeArrowheads="1" noChangeShapeType="1" noTextEdit="1"/>
        </xdr:cNvSpPr>
      </xdr:nvSpPr>
      <xdr:spPr bwMode="auto">
        <a:xfrm>
          <a:off x="68155131"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42</xdr:row>
      <xdr:rowOff>122886</xdr:rowOff>
    </xdr:from>
    <xdr:to>
      <xdr:col>50</xdr:col>
      <xdr:colOff>3756</xdr:colOff>
      <xdr:row>43</xdr:row>
      <xdr:rowOff>97683</xdr:rowOff>
    </xdr:to>
    <xdr:sp macro="" textlink="">
      <xdr:nvSpPr>
        <xdr:cNvPr id="379" name="WordArt 6"/>
        <xdr:cNvSpPr>
          <a:spLocks noChangeArrowheads="1" noChangeShapeType="1" noTextEdit="1"/>
        </xdr:cNvSpPr>
      </xdr:nvSpPr>
      <xdr:spPr bwMode="auto">
        <a:xfrm>
          <a:off x="68155131"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45</xdr:row>
      <xdr:rowOff>111125</xdr:rowOff>
    </xdr:from>
    <xdr:to>
      <xdr:col>51</xdr:col>
      <xdr:colOff>3756</xdr:colOff>
      <xdr:row>46</xdr:row>
      <xdr:rowOff>82550</xdr:rowOff>
    </xdr:to>
    <xdr:sp macro="" textlink="">
      <xdr:nvSpPr>
        <xdr:cNvPr id="380" name="WordArt 5"/>
        <xdr:cNvSpPr>
          <a:spLocks noChangeArrowheads="1" noChangeShapeType="1" noTextEdit="1"/>
        </xdr:cNvSpPr>
      </xdr:nvSpPr>
      <xdr:spPr bwMode="auto">
        <a:xfrm>
          <a:off x="69412431"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3756</xdr:colOff>
      <xdr:row>43</xdr:row>
      <xdr:rowOff>123825</xdr:rowOff>
    </xdr:from>
    <xdr:to>
      <xdr:col>51</xdr:col>
      <xdr:colOff>3756</xdr:colOff>
      <xdr:row>44</xdr:row>
      <xdr:rowOff>98623</xdr:rowOff>
    </xdr:to>
    <xdr:sp macro="" textlink="">
      <xdr:nvSpPr>
        <xdr:cNvPr id="381" name="WordArt 6"/>
        <xdr:cNvSpPr>
          <a:spLocks noChangeArrowheads="1" noChangeShapeType="1" noTextEdit="1"/>
        </xdr:cNvSpPr>
      </xdr:nvSpPr>
      <xdr:spPr bwMode="auto">
        <a:xfrm>
          <a:off x="69412431"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43</xdr:row>
      <xdr:rowOff>109246</xdr:rowOff>
    </xdr:from>
    <xdr:to>
      <xdr:col>51</xdr:col>
      <xdr:colOff>3756</xdr:colOff>
      <xdr:row>44</xdr:row>
      <xdr:rowOff>90857</xdr:rowOff>
    </xdr:to>
    <xdr:sp macro="" textlink="">
      <xdr:nvSpPr>
        <xdr:cNvPr id="382" name="WordArt 5"/>
        <xdr:cNvSpPr>
          <a:spLocks noChangeArrowheads="1" noChangeShapeType="1" noTextEdit="1"/>
        </xdr:cNvSpPr>
      </xdr:nvSpPr>
      <xdr:spPr bwMode="auto">
        <a:xfrm>
          <a:off x="69412431"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3756</xdr:colOff>
      <xdr:row>45</xdr:row>
      <xdr:rowOff>67518</xdr:rowOff>
    </xdr:from>
    <xdr:to>
      <xdr:col>51</xdr:col>
      <xdr:colOff>3756</xdr:colOff>
      <xdr:row>46</xdr:row>
      <xdr:rowOff>42315</xdr:rowOff>
    </xdr:to>
    <xdr:sp macro="" textlink="">
      <xdr:nvSpPr>
        <xdr:cNvPr id="383" name="WordArt 6"/>
        <xdr:cNvSpPr>
          <a:spLocks noChangeArrowheads="1" noChangeShapeType="1" noTextEdit="1"/>
        </xdr:cNvSpPr>
      </xdr:nvSpPr>
      <xdr:spPr bwMode="auto">
        <a:xfrm>
          <a:off x="69412431" y="215368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44</xdr:row>
      <xdr:rowOff>110186</xdr:rowOff>
    </xdr:from>
    <xdr:to>
      <xdr:col>51</xdr:col>
      <xdr:colOff>3756</xdr:colOff>
      <xdr:row>45</xdr:row>
      <xdr:rowOff>91796</xdr:rowOff>
    </xdr:to>
    <xdr:sp macro="" textlink="">
      <xdr:nvSpPr>
        <xdr:cNvPr id="384" name="WordArt 5"/>
        <xdr:cNvSpPr>
          <a:spLocks noChangeArrowheads="1" noChangeShapeType="1" noTextEdit="1"/>
        </xdr:cNvSpPr>
      </xdr:nvSpPr>
      <xdr:spPr bwMode="auto">
        <a:xfrm>
          <a:off x="69412431"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3756</xdr:colOff>
      <xdr:row>42</xdr:row>
      <xdr:rowOff>122886</xdr:rowOff>
    </xdr:from>
    <xdr:to>
      <xdr:col>51</xdr:col>
      <xdr:colOff>3756</xdr:colOff>
      <xdr:row>43</xdr:row>
      <xdr:rowOff>97683</xdr:rowOff>
    </xdr:to>
    <xdr:sp macro="" textlink="">
      <xdr:nvSpPr>
        <xdr:cNvPr id="385" name="WordArt 6"/>
        <xdr:cNvSpPr>
          <a:spLocks noChangeArrowheads="1" noChangeShapeType="1" noTextEdit="1"/>
        </xdr:cNvSpPr>
      </xdr:nvSpPr>
      <xdr:spPr bwMode="auto">
        <a:xfrm>
          <a:off x="69412431"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45</xdr:row>
      <xdr:rowOff>111125</xdr:rowOff>
    </xdr:from>
    <xdr:to>
      <xdr:col>57</xdr:col>
      <xdr:colOff>3756</xdr:colOff>
      <xdr:row>46</xdr:row>
      <xdr:rowOff>82550</xdr:rowOff>
    </xdr:to>
    <xdr:sp macro="" textlink="">
      <xdr:nvSpPr>
        <xdr:cNvPr id="386" name="WordArt 5"/>
        <xdr:cNvSpPr>
          <a:spLocks noChangeArrowheads="1" noChangeShapeType="1" noTextEdit="1"/>
        </xdr:cNvSpPr>
      </xdr:nvSpPr>
      <xdr:spPr bwMode="auto">
        <a:xfrm>
          <a:off x="77861106"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43</xdr:row>
      <xdr:rowOff>123825</xdr:rowOff>
    </xdr:from>
    <xdr:to>
      <xdr:col>57</xdr:col>
      <xdr:colOff>3756</xdr:colOff>
      <xdr:row>44</xdr:row>
      <xdr:rowOff>98623</xdr:rowOff>
    </xdr:to>
    <xdr:sp macro="" textlink="">
      <xdr:nvSpPr>
        <xdr:cNvPr id="387" name="WordArt 6"/>
        <xdr:cNvSpPr>
          <a:spLocks noChangeArrowheads="1" noChangeShapeType="1" noTextEdit="1"/>
        </xdr:cNvSpPr>
      </xdr:nvSpPr>
      <xdr:spPr bwMode="auto">
        <a:xfrm>
          <a:off x="77861106"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111125</xdr:rowOff>
    </xdr:from>
    <xdr:to>
      <xdr:col>55</xdr:col>
      <xdr:colOff>1012243</xdr:colOff>
      <xdr:row>46</xdr:row>
      <xdr:rowOff>82550</xdr:rowOff>
    </xdr:to>
    <xdr:sp macro="" textlink="">
      <xdr:nvSpPr>
        <xdr:cNvPr id="388" name="WordArt 5"/>
        <xdr:cNvSpPr>
          <a:spLocks noChangeArrowheads="1" noChangeShapeType="1" noTextEdit="1"/>
        </xdr:cNvSpPr>
      </xdr:nvSpPr>
      <xdr:spPr bwMode="auto">
        <a:xfrm>
          <a:off x="76078768"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43</xdr:row>
      <xdr:rowOff>123825</xdr:rowOff>
    </xdr:from>
    <xdr:to>
      <xdr:col>55</xdr:col>
      <xdr:colOff>1012243</xdr:colOff>
      <xdr:row>44</xdr:row>
      <xdr:rowOff>98623</xdr:rowOff>
    </xdr:to>
    <xdr:sp macro="" textlink="">
      <xdr:nvSpPr>
        <xdr:cNvPr id="389" name="WordArt 6"/>
        <xdr:cNvSpPr>
          <a:spLocks noChangeArrowheads="1" noChangeShapeType="1" noTextEdit="1"/>
        </xdr:cNvSpPr>
      </xdr:nvSpPr>
      <xdr:spPr bwMode="auto">
        <a:xfrm>
          <a:off x="76078768"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111125</xdr:rowOff>
    </xdr:from>
    <xdr:to>
      <xdr:col>55</xdr:col>
      <xdr:colOff>1012243</xdr:colOff>
      <xdr:row>46</xdr:row>
      <xdr:rowOff>82550</xdr:rowOff>
    </xdr:to>
    <xdr:sp macro="" textlink="">
      <xdr:nvSpPr>
        <xdr:cNvPr id="390" name="WordArt 5"/>
        <xdr:cNvSpPr>
          <a:spLocks noChangeArrowheads="1" noChangeShapeType="1" noTextEdit="1"/>
        </xdr:cNvSpPr>
      </xdr:nvSpPr>
      <xdr:spPr bwMode="auto">
        <a:xfrm>
          <a:off x="76078768"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43</xdr:row>
      <xdr:rowOff>123825</xdr:rowOff>
    </xdr:from>
    <xdr:to>
      <xdr:col>55</xdr:col>
      <xdr:colOff>1012243</xdr:colOff>
      <xdr:row>44</xdr:row>
      <xdr:rowOff>98623</xdr:rowOff>
    </xdr:to>
    <xdr:sp macro="" textlink="">
      <xdr:nvSpPr>
        <xdr:cNvPr id="391" name="WordArt 6"/>
        <xdr:cNvSpPr>
          <a:spLocks noChangeArrowheads="1" noChangeShapeType="1" noTextEdit="1"/>
        </xdr:cNvSpPr>
      </xdr:nvSpPr>
      <xdr:spPr bwMode="auto">
        <a:xfrm>
          <a:off x="76078768"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43</xdr:row>
      <xdr:rowOff>109246</xdr:rowOff>
    </xdr:from>
    <xdr:to>
      <xdr:col>57</xdr:col>
      <xdr:colOff>3756</xdr:colOff>
      <xdr:row>44</xdr:row>
      <xdr:rowOff>90857</xdr:rowOff>
    </xdr:to>
    <xdr:sp macro="" textlink="">
      <xdr:nvSpPr>
        <xdr:cNvPr id="392" name="WordArt 5"/>
        <xdr:cNvSpPr>
          <a:spLocks noChangeArrowheads="1" noChangeShapeType="1" noTextEdit="1"/>
        </xdr:cNvSpPr>
      </xdr:nvSpPr>
      <xdr:spPr bwMode="auto">
        <a:xfrm>
          <a:off x="77861106"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41</xdr:row>
      <xdr:rowOff>121947</xdr:rowOff>
    </xdr:from>
    <xdr:to>
      <xdr:col>57</xdr:col>
      <xdr:colOff>3756</xdr:colOff>
      <xdr:row>42</xdr:row>
      <xdr:rowOff>96744</xdr:rowOff>
    </xdr:to>
    <xdr:sp macro="" textlink="">
      <xdr:nvSpPr>
        <xdr:cNvPr id="393" name="WordArt 6"/>
        <xdr:cNvSpPr>
          <a:spLocks noChangeArrowheads="1" noChangeShapeType="1" noTextEdit="1"/>
        </xdr:cNvSpPr>
      </xdr:nvSpPr>
      <xdr:spPr bwMode="auto">
        <a:xfrm>
          <a:off x="77861106"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43</xdr:row>
      <xdr:rowOff>109246</xdr:rowOff>
    </xdr:from>
    <xdr:to>
      <xdr:col>55</xdr:col>
      <xdr:colOff>1012243</xdr:colOff>
      <xdr:row>44</xdr:row>
      <xdr:rowOff>90857</xdr:rowOff>
    </xdr:to>
    <xdr:sp macro="" textlink="">
      <xdr:nvSpPr>
        <xdr:cNvPr id="394" name="WordArt 5"/>
        <xdr:cNvSpPr>
          <a:spLocks noChangeArrowheads="1" noChangeShapeType="1" noTextEdit="1"/>
        </xdr:cNvSpPr>
      </xdr:nvSpPr>
      <xdr:spPr bwMode="auto">
        <a:xfrm>
          <a:off x="76078768"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41</xdr:row>
      <xdr:rowOff>121947</xdr:rowOff>
    </xdr:from>
    <xdr:to>
      <xdr:col>55</xdr:col>
      <xdr:colOff>1012243</xdr:colOff>
      <xdr:row>42</xdr:row>
      <xdr:rowOff>96744</xdr:rowOff>
    </xdr:to>
    <xdr:sp macro="" textlink="">
      <xdr:nvSpPr>
        <xdr:cNvPr id="395" name="WordArt 6"/>
        <xdr:cNvSpPr>
          <a:spLocks noChangeArrowheads="1" noChangeShapeType="1" noTextEdit="1"/>
        </xdr:cNvSpPr>
      </xdr:nvSpPr>
      <xdr:spPr bwMode="auto">
        <a:xfrm>
          <a:off x="76078768"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43</xdr:row>
      <xdr:rowOff>109246</xdr:rowOff>
    </xdr:from>
    <xdr:to>
      <xdr:col>55</xdr:col>
      <xdr:colOff>1012243</xdr:colOff>
      <xdr:row>44</xdr:row>
      <xdr:rowOff>90857</xdr:rowOff>
    </xdr:to>
    <xdr:sp macro="" textlink="">
      <xdr:nvSpPr>
        <xdr:cNvPr id="396" name="WordArt 5"/>
        <xdr:cNvSpPr>
          <a:spLocks noChangeArrowheads="1" noChangeShapeType="1" noTextEdit="1"/>
        </xdr:cNvSpPr>
      </xdr:nvSpPr>
      <xdr:spPr bwMode="auto">
        <a:xfrm>
          <a:off x="76078768"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41</xdr:row>
      <xdr:rowOff>121947</xdr:rowOff>
    </xdr:from>
    <xdr:to>
      <xdr:col>55</xdr:col>
      <xdr:colOff>1012243</xdr:colOff>
      <xdr:row>42</xdr:row>
      <xdr:rowOff>96744</xdr:rowOff>
    </xdr:to>
    <xdr:sp macro="" textlink="">
      <xdr:nvSpPr>
        <xdr:cNvPr id="397" name="WordArt 6"/>
        <xdr:cNvSpPr>
          <a:spLocks noChangeArrowheads="1" noChangeShapeType="1" noTextEdit="1"/>
        </xdr:cNvSpPr>
      </xdr:nvSpPr>
      <xdr:spPr bwMode="auto">
        <a:xfrm>
          <a:off x="76078768"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44</xdr:row>
      <xdr:rowOff>110186</xdr:rowOff>
    </xdr:from>
    <xdr:to>
      <xdr:col>57</xdr:col>
      <xdr:colOff>3756</xdr:colOff>
      <xdr:row>45</xdr:row>
      <xdr:rowOff>91796</xdr:rowOff>
    </xdr:to>
    <xdr:sp macro="" textlink="">
      <xdr:nvSpPr>
        <xdr:cNvPr id="398" name="WordArt 5"/>
        <xdr:cNvSpPr>
          <a:spLocks noChangeArrowheads="1" noChangeShapeType="1" noTextEdit="1"/>
        </xdr:cNvSpPr>
      </xdr:nvSpPr>
      <xdr:spPr bwMode="auto">
        <a:xfrm>
          <a:off x="77861106"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42</xdr:row>
      <xdr:rowOff>122886</xdr:rowOff>
    </xdr:from>
    <xdr:to>
      <xdr:col>57</xdr:col>
      <xdr:colOff>3756</xdr:colOff>
      <xdr:row>43</xdr:row>
      <xdr:rowOff>97683</xdr:rowOff>
    </xdr:to>
    <xdr:sp macro="" textlink="">
      <xdr:nvSpPr>
        <xdr:cNvPr id="399" name="WordArt 6"/>
        <xdr:cNvSpPr>
          <a:spLocks noChangeArrowheads="1" noChangeShapeType="1" noTextEdit="1"/>
        </xdr:cNvSpPr>
      </xdr:nvSpPr>
      <xdr:spPr bwMode="auto">
        <a:xfrm>
          <a:off x="77861106"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110186</xdr:rowOff>
    </xdr:from>
    <xdr:to>
      <xdr:col>55</xdr:col>
      <xdr:colOff>1012243</xdr:colOff>
      <xdr:row>45</xdr:row>
      <xdr:rowOff>91796</xdr:rowOff>
    </xdr:to>
    <xdr:sp macro="" textlink="">
      <xdr:nvSpPr>
        <xdr:cNvPr id="400" name="WordArt 5"/>
        <xdr:cNvSpPr>
          <a:spLocks noChangeArrowheads="1" noChangeShapeType="1" noTextEdit="1"/>
        </xdr:cNvSpPr>
      </xdr:nvSpPr>
      <xdr:spPr bwMode="auto">
        <a:xfrm>
          <a:off x="76078768"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44</xdr:row>
      <xdr:rowOff>110186</xdr:rowOff>
    </xdr:from>
    <xdr:to>
      <xdr:col>55</xdr:col>
      <xdr:colOff>1012243</xdr:colOff>
      <xdr:row>45</xdr:row>
      <xdr:rowOff>91796</xdr:rowOff>
    </xdr:to>
    <xdr:sp macro="" textlink="">
      <xdr:nvSpPr>
        <xdr:cNvPr id="401" name="WordArt 5"/>
        <xdr:cNvSpPr>
          <a:spLocks noChangeArrowheads="1" noChangeShapeType="1" noTextEdit="1"/>
        </xdr:cNvSpPr>
      </xdr:nvSpPr>
      <xdr:spPr bwMode="auto">
        <a:xfrm>
          <a:off x="76078768"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45</xdr:row>
      <xdr:rowOff>111125</xdr:rowOff>
    </xdr:from>
    <xdr:to>
      <xdr:col>56</xdr:col>
      <xdr:colOff>3756</xdr:colOff>
      <xdr:row>46</xdr:row>
      <xdr:rowOff>82550</xdr:rowOff>
    </xdr:to>
    <xdr:sp macro="" textlink="">
      <xdr:nvSpPr>
        <xdr:cNvPr id="402" name="WordArt 5"/>
        <xdr:cNvSpPr>
          <a:spLocks noChangeArrowheads="1" noChangeShapeType="1" noTextEdit="1"/>
        </xdr:cNvSpPr>
      </xdr:nvSpPr>
      <xdr:spPr bwMode="auto">
        <a:xfrm>
          <a:off x="76479981"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43</xdr:row>
      <xdr:rowOff>123825</xdr:rowOff>
    </xdr:from>
    <xdr:to>
      <xdr:col>56</xdr:col>
      <xdr:colOff>3756</xdr:colOff>
      <xdr:row>44</xdr:row>
      <xdr:rowOff>98623</xdr:rowOff>
    </xdr:to>
    <xdr:sp macro="" textlink="">
      <xdr:nvSpPr>
        <xdr:cNvPr id="403" name="WordArt 6"/>
        <xdr:cNvSpPr>
          <a:spLocks noChangeArrowheads="1" noChangeShapeType="1" noTextEdit="1"/>
        </xdr:cNvSpPr>
      </xdr:nvSpPr>
      <xdr:spPr bwMode="auto">
        <a:xfrm>
          <a:off x="76479981"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45</xdr:row>
      <xdr:rowOff>111125</xdr:rowOff>
    </xdr:from>
    <xdr:to>
      <xdr:col>57</xdr:col>
      <xdr:colOff>1012243</xdr:colOff>
      <xdr:row>46</xdr:row>
      <xdr:rowOff>82550</xdr:rowOff>
    </xdr:to>
    <xdr:sp macro="" textlink="">
      <xdr:nvSpPr>
        <xdr:cNvPr id="404" name="WordArt 5"/>
        <xdr:cNvSpPr>
          <a:spLocks noChangeArrowheads="1" noChangeShapeType="1" noTextEdit="1"/>
        </xdr:cNvSpPr>
      </xdr:nvSpPr>
      <xdr:spPr bwMode="auto">
        <a:xfrm>
          <a:off x="78869593"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43</xdr:row>
      <xdr:rowOff>123825</xdr:rowOff>
    </xdr:from>
    <xdr:to>
      <xdr:col>57</xdr:col>
      <xdr:colOff>1012243</xdr:colOff>
      <xdr:row>44</xdr:row>
      <xdr:rowOff>98623</xdr:rowOff>
    </xdr:to>
    <xdr:sp macro="" textlink="">
      <xdr:nvSpPr>
        <xdr:cNvPr id="405" name="WordArt 6"/>
        <xdr:cNvSpPr>
          <a:spLocks noChangeArrowheads="1" noChangeShapeType="1" noTextEdit="1"/>
        </xdr:cNvSpPr>
      </xdr:nvSpPr>
      <xdr:spPr bwMode="auto">
        <a:xfrm>
          <a:off x="78869593"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45</xdr:row>
      <xdr:rowOff>111125</xdr:rowOff>
    </xdr:from>
    <xdr:to>
      <xdr:col>57</xdr:col>
      <xdr:colOff>1012243</xdr:colOff>
      <xdr:row>46</xdr:row>
      <xdr:rowOff>82550</xdr:rowOff>
    </xdr:to>
    <xdr:sp macro="" textlink="">
      <xdr:nvSpPr>
        <xdr:cNvPr id="406" name="WordArt 5"/>
        <xdr:cNvSpPr>
          <a:spLocks noChangeArrowheads="1" noChangeShapeType="1" noTextEdit="1"/>
        </xdr:cNvSpPr>
      </xdr:nvSpPr>
      <xdr:spPr bwMode="auto">
        <a:xfrm>
          <a:off x="78869593"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43</xdr:row>
      <xdr:rowOff>123825</xdr:rowOff>
    </xdr:from>
    <xdr:to>
      <xdr:col>57</xdr:col>
      <xdr:colOff>1012243</xdr:colOff>
      <xdr:row>44</xdr:row>
      <xdr:rowOff>98623</xdr:rowOff>
    </xdr:to>
    <xdr:sp macro="" textlink="">
      <xdr:nvSpPr>
        <xdr:cNvPr id="407" name="WordArt 6"/>
        <xdr:cNvSpPr>
          <a:spLocks noChangeArrowheads="1" noChangeShapeType="1" noTextEdit="1"/>
        </xdr:cNvSpPr>
      </xdr:nvSpPr>
      <xdr:spPr bwMode="auto">
        <a:xfrm>
          <a:off x="78869593"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43</xdr:row>
      <xdr:rowOff>109246</xdr:rowOff>
    </xdr:from>
    <xdr:to>
      <xdr:col>56</xdr:col>
      <xdr:colOff>3756</xdr:colOff>
      <xdr:row>44</xdr:row>
      <xdr:rowOff>90857</xdr:rowOff>
    </xdr:to>
    <xdr:sp macro="" textlink="">
      <xdr:nvSpPr>
        <xdr:cNvPr id="408" name="WordArt 5"/>
        <xdr:cNvSpPr>
          <a:spLocks noChangeArrowheads="1" noChangeShapeType="1" noTextEdit="1"/>
        </xdr:cNvSpPr>
      </xdr:nvSpPr>
      <xdr:spPr bwMode="auto">
        <a:xfrm>
          <a:off x="76479981"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45</xdr:row>
      <xdr:rowOff>67518</xdr:rowOff>
    </xdr:from>
    <xdr:to>
      <xdr:col>56</xdr:col>
      <xdr:colOff>3756</xdr:colOff>
      <xdr:row>46</xdr:row>
      <xdr:rowOff>42315</xdr:rowOff>
    </xdr:to>
    <xdr:sp macro="" textlink="">
      <xdr:nvSpPr>
        <xdr:cNvPr id="409" name="WordArt 6"/>
        <xdr:cNvSpPr>
          <a:spLocks noChangeArrowheads="1" noChangeShapeType="1" noTextEdit="1"/>
        </xdr:cNvSpPr>
      </xdr:nvSpPr>
      <xdr:spPr bwMode="auto">
        <a:xfrm>
          <a:off x="76479981" y="215368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43</xdr:row>
      <xdr:rowOff>109246</xdr:rowOff>
    </xdr:from>
    <xdr:to>
      <xdr:col>57</xdr:col>
      <xdr:colOff>1012243</xdr:colOff>
      <xdr:row>44</xdr:row>
      <xdr:rowOff>90857</xdr:rowOff>
    </xdr:to>
    <xdr:sp macro="" textlink="">
      <xdr:nvSpPr>
        <xdr:cNvPr id="410" name="WordArt 5"/>
        <xdr:cNvSpPr>
          <a:spLocks noChangeArrowheads="1" noChangeShapeType="1" noTextEdit="1"/>
        </xdr:cNvSpPr>
      </xdr:nvSpPr>
      <xdr:spPr bwMode="auto">
        <a:xfrm>
          <a:off x="78869593"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41</xdr:row>
      <xdr:rowOff>121947</xdr:rowOff>
    </xdr:from>
    <xdr:to>
      <xdr:col>57</xdr:col>
      <xdr:colOff>1012243</xdr:colOff>
      <xdr:row>42</xdr:row>
      <xdr:rowOff>96744</xdr:rowOff>
    </xdr:to>
    <xdr:sp macro="" textlink="">
      <xdr:nvSpPr>
        <xdr:cNvPr id="411" name="WordArt 6"/>
        <xdr:cNvSpPr>
          <a:spLocks noChangeArrowheads="1" noChangeShapeType="1" noTextEdit="1"/>
        </xdr:cNvSpPr>
      </xdr:nvSpPr>
      <xdr:spPr bwMode="auto">
        <a:xfrm>
          <a:off x="78869593"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43</xdr:row>
      <xdr:rowOff>109246</xdr:rowOff>
    </xdr:from>
    <xdr:to>
      <xdr:col>57</xdr:col>
      <xdr:colOff>1012243</xdr:colOff>
      <xdr:row>44</xdr:row>
      <xdr:rowOff>90857</xdr:rowOff>
    </xdr:to>
    <xdr:sp macro="" textlink="">
      <xdr:nvSpPr>
        <xdr:cNvPr id="412" name="WordArt 5"/>
        <xdr:cNvSpPr>
          <a:spLocks noChangeArrowheads="1" noChangeShapeType="1" noTextEdit="1"/>
        </xdr:cNvSpPr>
      </xdr:nvSpPr>
      <xdr:spPr bwMode="auto">
        <a:xfrm>
          <a:off x="78869593"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41</xdr:row>
      <xdr:rowOff>121947</xdr:rowOff>
    </xdr:from>
    <xdr:to>
      <xdr:col>57</xdr:col>
      <xdr:colOff>1012243</xdr:colOff>
      <xdr:row>42</xdr:row>
      <xdr:rowOff>96744</xdr:rowOff>
    </xdr:to>
    <xdr:sp macro="" textlink="">
      <xdr:nvSpPr>
        <xdr:cNvPr id="413" name="WordArt 6"/>
        <xdr:cNvSpPr>
          <a:spLocks noChangeArrowheads="1" noChangeShapeType="1" noTextEdit="1"/>
        </xdr:cNvSpPr>
      </xdr:nvSpPr>
      <xdr:spPr bwMode="auto">
        <a:xfrm>
          <a:off x="78869593"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44</xdr:row>
      <xdr:rowOff>110186</xdr:rowOff>
    </xdr:from>
    <xdr:to>
      <xdr:col>56</xdr:col>
      <xdr:colOff>3756</xdr:colOff>
      <xdr:row>45</xdr:row>
      <xdr:rowOff>91796</xdr:rowOff>
    </xdr:to>
    <xdr:sp macro="" textlink="">
      <xdr:nvSpPr>
        <xdr:cNvPr id="414" name="WordArt 5"/>
        <xdr:cNvSpPr>
          <a:spLocks noChangeArrowheads="1" noChangeShapeType="1" noTextEdit="1"/>
        </xdr:cNvSpPr>
      </xdr:nvSpPr>
      <xdr:spPr bwMode="auto">
        <a:xfrm>
          <a:off x="76479981"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42</xdr:row>
      <xdr:rowOff>122886</xdr:rowOff>
    </xdr:from>
    <xdr:to>
      <xdr:col>56</xdr:col>
      <xdr:colOff>3756</xdr:colOff>
      <xdr:row>43</xdr:row>
      <xdr:rowOff>97683</xdr:rowOff>
    </xdr:to>
    <xdr:sp macro="" textlink="">
      <xdr:nvSpPr>
        <xdr:cNvPr id="415" name="WordArt 6"/>
        <xdr:cNvSpPr>
          <a:spLocks noChangeArrowheads="1" noChangeShapeType="1" noTextEdit="1"/>
        </xdr:cNvSpPr>
      </xdr:nvSpPr>
      <xdr:spPr bwMode="auto">
        <a:xfrm>
          <a:off x="76479981"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44</xdr:row>
      <xdr:rowOff>110186</xdr:rowOff>
    </xdr:from>
    <xdr:to>
      <xdr:col>57</xdr:col>
      <xdr:colOff>1012243</xdr:colOff>
      <xdr:row>45</xdr:row>
      <xdr:rowOff>91796</xdr:rowOff>
    </xdr:to>
    <xdr:sp macro="" textlink="">
      <xdr:nvSpPr>
        <xdr:cNvPr id="416" name="WordArt 5"/>
        <xdr:cNvSpPr>
          <a:spLocks noChangeArrowheads="1" noChangeShapeType="1" noTextEdit="1"/>
        </xdr:cNvSpPr>
      </xdr:nvSpPr>
      <xdr:spPr bwMode="auto">
        <a:xfrm>
          <a:off x="78869593"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44</xdr:row>
      <xdr:rowOff>110186</xdr:rowOff>
    </xdr:from>
    <xdr:to>
      <xdr:col>57</xdr:col>
      <xdr:colOff>1012243</xdr:colOff>
      <xdr:row>45</xdr:row>
      <xdr:rowOff>91796</xdr:rowOff>
    </xdr:to>
    <xdr:sp macro="" textlink="">
      <xdr:nvSpPr>
        <xdr:cNvPr id="417" name="WordArt 5"/>
        <xdr:cNvSpPr>
          <a:spLocks noChangeArrowheads="1" noChangeShapeType="1" noTextEdit="1"/>
        </xdr:cNvSpPr>
      </xdr:nvSpPr>
      <xdr:spPr bwMode="auto">
        <a:xfrm>
          <a:off x="78869593"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45</xdr:row>
      <xdr:rowOff>111125</xdr:rowOff>
    </xdr:from>
    <xdr:to>
      <xdr:col>58</xdr:col>
      <xdr:colOff>3756</xdr:colOff>
      <xdr:row>46</xdr:row>
      <xdr:rowOff>82550</xdr:rowOff>
    </xdr:to>
    <xdr:sp macro="" textlink="">
      <xdr:nvSpPr>
        <xdr:cNvPr id="418" name="WordArt 5"/>
        <xdr:cNvSpPr>
          <a:spLocks noChangeArrowheads="1" noChangeShapeType="1" noTextEdit="1"/>
        </xdr:cNvSpPr>
      </xdr:nvSpPr>
      <xdr:spPr bwMode="auto">
        <a:xfrm>
          <a:off x="79308906"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43</xdr:row>
      <xdr:rowOff>123825</xdr:rowOff>
    </xdr:from>
    <xdr:to>
      <xdr:col>58</xdr:col>
      <xdr:colOff>3756</xdr:colOff>
      <xdr:row>44</xdr:row>
      <xdr:rowOff>98623</xdr:rowOff>
    </xdr:to>
    <xdr:sp macro="" textlink="">
      <xdr:nvSpPr>
        <xdr:cNvPr id="419" name="WordArt 6"/>
        <xdr:cNvSpPr>
          <a:spLocks noChangeArrowheads="1" noChangeShapeType="1" noTextEdit="1"/>
        </xdr:cNvSpPr>
      </xdr:nvSpPr>
      <xdr:spPr bwMode="auto">
        <a:xfrm>
          <a:off x="79308906"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43</xdr:row>
      <xdr:rowOff>109246</xdr:rowOff>
    </xdr:from>
    <xdr:to>
      <xdr:col>58</xdr:col>
      <xdr:colOff>3756</xdr:colOff>
      <xdr:row>44</xdr:row>
      <xdr:rowOff>90857</xdr:rowOff>
    </xdr:to>
    <xdr:sp macro="" textlink="">
      <xdr:nvSpPr>
        <xdr:cNvPr id="420" name="WordArt 5"/>
        <xdr:cNvSpPr>
          <a:spLocks noChangeArrowheads="1" noChangeShapeType="1" noTextEdit="1"/>
        </xdr:cNvSpPr>
      </xdr:nvSpPr>
      <xdr:spPr bwMode="auto">
        <a:xfrm>
          <a:off x="79308906"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41</xdr:row>
      <xdr:rowOff>121947</xdr:rowOff>
    </xdr:from>
    <xdr:to>
      <xdr:col>58</xdr:col>
      <xdr:colOff>3756</xdr:colOff>
      <xdr:row>42</xdr:row>
      <xdr:rowOff>96744</xdr:rowOff>
    </xdr:to>
    <xdr:sp macro="" textlink="">
      <xdr:nvSpPr>
        <xdr:cNvPr id="421" name="WordArt 6"/>
        <xdr:cNvSpPr>
          <a:spLocks noChangeArrowheads="1" noChangeShapeType="1" noTextEdit="1"/>
        </xdr:cNvSpPr>
      </xdr:nvSpPr>
      <xdr:spPr bwMode="auto">
        <a:xfrm>
          <a:off x="79308906"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44</xdr:row>
      <xdr:rowOff>110186</xdr:rowOff>
    </xdr:from>
    <xdr:to>
      <xdr:col>58</xdr:col>
      <xdr:colOff>3756</xdr:colOff>
      <xdr:row>45</xdr:row>
      <xdr:rowOff>91796</xdr:rowOff>
    </xdr:to>
    <xdr:sp macro="" textlink="">
      <xdr:nvSpPr>
        <xdr:cNvPr id="422" name="WordArt 5"/>
        <xdr:cNvSpPr>
          <a:spLocks noChangeArrowheads="1" noChangeShapeType="1" noTextEdit="1"/>
        </xdr:cNvSpPr>
      </xdr:nvSpPr>
      <xdr:spPr bwMode="auto">
        <a:xfrm>
          <a:off x="79308906"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42</xdr:row>
      <xdr:rowOff>122886</xdr:rowOff>
    </xdr:from>
    <xdr:to>
      <xdr:col>58</xdr:col>
      <xdr:colOff>3756</xdr:colOff>
      <xdr:row>43</xdr:row>
      <xdr:rowOff>97683</xdr:rowOff>
    </xdr:to>
    <xdr:sp macro="" textlink="">
      <xdr:nvSpPr>
        <xdr:cNvPr id="423" name="WordArt 6"/>
        <xdr:cNvSpPr>
          <a:spLocks noChangeArrowheads="1" noChangeShapeType="1" noTextEdit="1"/>
        </xdr:cNvSpPr>
      </xdr:nvSpPr>
      <xdr:spPr bwMode="auto">
        <a:xfrm>
          <a:off x="79308906"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111125</xdr:rowOff>
    </xdr:from>
    <xdr:to>
      <xdr:col>58</xdr:col>
      <xdr:colOff>1012243</xdr:colOff>
      <xdr:row>46</xdr:row>
      <xdr:rowOff>82550</xdr:rowOff>
    </xdr:to>
    <xdr:sp macro="" textlink="">
      <xdr:nvSpPr>
        <xdr:cNvPr id="424" name="WordArt 5"/>
        <xdr:cNvSpPr>
          <a:spLocks noChangeArrowheads="1" noChangeShapeType="1" noTextEdit="1"/>
        </xdr:cNvSpPr>
      </xdr:nvSpPr>
      <xdr:spPr bwMode="auto">
        <a:xfrm>
          <a:off x="80317393"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43</xdr:row>
      <xdr:rowOff>123825</xdr:rowOff>
    </xdr:from>
    <xdr:to>
      <xdr:col>58</xdr:col>
      <xdr:colOff>1012243</xdr:colOff>
      <xdr:row>44</xdr:row>
      <xdr:rowOff>98623</xdr:rowOff>
    </xdr:to>
    <xdr:sp macro="" textlink="">
      <xdr:nvSpPr>
        <xdr:cNvPr id="425" name="WordArt 6"/>
        <xdr:cNvSpPr>
          <a:spLocks noChangeArrowheads="1" noChangeShapeType="1" noTextEdit="1"/>
        </xdr:cNvSpPr>
      </xdr:nvSpPr>
      <xdr:spPr bwMode="auto">
        <a:xfrm>
          <a:off x="80317393"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111125</xdr:rowOff>
    </xdr:from>
    <xdr:to>
      <xdr:col>58</xdr:col>
      <xdr:colOff>1012243</xdr:colOff>
      <xdr:row>46</xdr:row>
      <xdr:rowOff>82550</xdr:rowOff>
    </xdr:to>
    <xdr:sp macro="" textlink="">
      <xdr:nvSpPr>
        <xdr:cNvPr id="426" name="WordArt 5"/>
        <xdr:cNvSpPr>
          <a:spLocks noChangeArrowheads="1" noChangeShapeType="1" noTextEdit="1"/>
        </xdr:cNvSpPr>
      </xdr:nvSpPr>
      <xdr:spPr bwMode="auto">
        <a:xfrm>
          <a:off x="80317393"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43</xdr:row>
      <xdr:rowOff>123825</xdr:rowOff>
    </xdr:from>
    <xdr:to>
      <xdr:col>58</xdr:col>
      <xdr:colOff>1012243</xdr:colOff>
      <xdr:row>44</xdr:row>
      <xdr:rowOff>98623</xdr:rowOff>
    </xdr:to>
    <xdr:sp macro="" textlink="">
      <xdr:nvSpPr>
        <xdr:cNvPr id="427" name="WordArt 6"/>
        <xdr:cNvSpPr>
          <a:spLocks noChangeArrowheads="1" noChangeShapeType="1" noTextEdit="1"/>
        </xdr:cNvSpPr>
      </xdr:nvSpPr>
      <xdr:spPr bwMode="auto">
        <a:xfrm>
          <a:off x="80317393"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43</xdr:row>
      <xdr:rowOff>109246</xdr:rowOff>
    </xdr:from>
    <xdr:to>
      <xdr:col>58</xdr:col>
      <xdr:colOff>1012243</xdr:colOff>
      <xdr:row>44</xdr:row>
      <xdr:rowOff>90857</xdr:rowOff>
    </xdr:to>
    <xdr:sp macro="" textlink="">
      <xdr:nvSpPr>
        <xdr:cNvPr id="428" name="WordArt 5"/>
        <xdr:cNvSpPr>
          <a:spLocks noChangeArrowheads="1" noChangeShapeType="1" noTextEdit="1"/>
        </xdr:cNvSpPr>
      </xdr:nvSpPr>
      <xdr:spPr bwMode="auto">
        <a:xfrm>
          <a:off x="80317393"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41</xdr:row>
      <xdr:rowOff>121947</xdr:rowOff>
    </xdr:from>
    <xdr:to>
      <xdr:col>58</xdr:col>
      <xdr:colOff>1012243</xdr:colOff>
      <xdr:row>42</xdr:row>
      <xdr:rowOff>96744</xdr:rowOff>
    </xdr:to>
    <xdr:sp macro="" textlink="">
      <xdr:nvSpPr>
        <xdr:cNvPr id="429" name="WordArt 6"/>
        <xdr:cNvSpPr>
          <a:spLocks noChangeArrowheads="1" noChangeShapeType="1" noTextEdit="1"/>
        </xdr:cNvSpPr>
      </xdr:nvSpPr>
      <xdr:spPr bwMode="auto">
        <a:xfrm>
          <a:off x="80317393"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43</xdr:row>
      <xdr:rowOff>109246</xdr:rowOff>
    </xdr:from>
    <xdr:to>
      <xdr:col>58</xdr:col>
      <xdr:colOff>1012243</xdr:colOff>
      <xdr:row>44</xdr:row>
      <xdr:rowOff>90857</xdr:rowOff>
    </xdr:to>
    <xdr:sp macro="" textlink="">
      <xdr:nvSpPr>
        <xdr:cNvPr id="430" name="WordArt 5"/>
        <xdr:cNvSpPr>
          <a:spLocks noChangeArrowheads="1" noChangeShapeType="1" noTextEdit="1"/>
        </xdr:cNvSpPr>
      </xdr:nvSpPr>
      <xdr:spPr bwMode="auto">
        <a:xfrm>
          <a:off x="80317393"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41</xdr:row>
      <xdr:rowOff>121947</xdr:rowOff>
    </xdr:from>
    <xdr:to>
      <xdr:col>58</xdr:col>
      <xdr:colOff>1012243</xdr:colOff>
      <xdr:row>42</xdr:row>
      <xdr:rowOff>96744</xdr:rowOff>
    </xdr:to>
    <xdr:sp macro="" textlink="">
      <xdr:nvSpPr>
        <xdr:cNvPr id="431" name="WordArt 6"/>
        <xdr:cNvSpPr>
          <a:spLocks noChangeArrowheads="1" noChangeShapeType="1" noTextEdit="1"/>
        </xdr:cNvSpPr>
      </xdr:nvSpPr>
      <xdr:spPr bwMode="auto">
        <a:xfrm>
          <a:off x="80317393"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44</xdr:row>
      <xdr:rowOff>110186</xdr:rowOff>
    </xdr:from>
    <xdr:to>
      <xdr:col>58</xdr:col>
      <xdr:colOff>1012243</xdr:colOff>
      <xdr:row>45</xdr:row>
      <xdr:rowOff>91796</xdr:rowOff>
    </xdr:to>
    <xdr:sp macro="" textlink="">
      <xdr:nvSpPr>
        <xdr:cNvPr id="432" name="WordArt 5"/>
        <xdr:cNvSpPr>
          <a:spLocks noChangeArrowheads="1" noChangeShapeType="1" noTextEdit="1"/>
        </xdr:cNvSpPr>
      </xdr:nvSpPr>
      <xdr:spPr bwMode="auto">
        <a:xfrm>
          <a:off x="80317393"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44</xdr:row>
      <xdr:rowOff>110186</xdr:rowOff>
    </xdr:from>
    <xdr:to>
      <xdr:col>58</xdr:col>
      <xdr:colOff>1012243</xdr:colOff>
      <xdr:row>45</xdr:row>
      <xdr:rowOff>91796</xdr:rowOff>
    </xdr:to>
    <xdr:sp macro="" textlink="">
      <xdr:nvSpPr>
        <xdr:cNvPr id="433" name="WordArt 5"/>
        <xdr:cNvSpPr>
          <a:spLocks noChangeArrowheads="1" noChangeShapeType="1" noTextEdit="1"/>
        </xdr:cNvSpPr>
      </xdr:nvSpPr>
      <xdr:spPr bwMode="auto">
        <a:xfrm>
          <a:off x="80317393"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45</xdr:row>
      <xdr:rowOff>111125</xdr:rowOff>
    </xdr:from>
    <xdr:to>
      <xdr:col>59</xdr:col>
      <xdr:colOff>3756</xdr:colOff>
      <xdr:row>46</xdr:row>
      <xdr:rowOff>82550</xdr:rowOff>
    </xdr:to>
    <xdr:sp macro="" textlink="">
      <xdr:nvSpPr>
        <xdr:cNvPr id="434" name="WordArt 5"/>
        <xdr:cNvSpPr>
          <a:spLocks noChangeArrowheads="1" noChangeShapeType="1" noTextEdit="1"/>
        </xdr:cNvSpPr>
      </xdr:nvSpPr>
      <xdr:spPr bwMode="auto">
        <a:xfrm>
          <a:off x="80690031"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43</xdr:row>
      <xdr:rowOff>123825</xdr:rowOff>
    </xdr:from>
    <xdr:to>
      <xdr:col>59</xdr:col>
      <xdr:colOff>3756</xdr:colOff>
      <xdr:row>44</xdr:row>
      <xdr:rowOff>98623</xdr:rowOff>
    </xdr:to>
    <xdr:sp macro="" textlink="">
      <xdr:nvSpPr>
        <xdr:cNvPr id="435" name="WordArt 6"/>
        <xdr:cNvSpPr>
          <a:spLocks noChangeArrowheads="1" noChangeShapeType="1" noTextEdit="1"/>
        </xdr:cNvSpPr>
      </xdr:nvSpPr>
      <xdr:spPr bwMode="auto">
        <a:xfrm>
          <a:off x="80690031"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109246</xdr:rowOff>
    </xdr:from>
    <xdr:to>
      <xdr:col>59</xdr:col>
      <xdr:colOff>3756</xdr:colOff>
      <xdr:row>44</xdr:row>
      <xdr:rowOff>90857</xdr:rowOff>
    </xdr:to>
    <xdr:sp macro="" textlink="">
      <xdr:nvSpPr>
        <xdr:cNvPr id="436" name="WordArt 5"/>
        <xdr:cNvSpPr>
          <a:spLocks noChangeArrowheads="1" noChangeShapeType="1" noTextEdit="1"/>
        </xdr:cNvSpPr>
      </xdr:nvSpPr>
      <xdr:spPr bwMode="auto">
        <a:xfrm>
          <a:off x="80690031"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41</xdr:row>
      <xdr:rowOff>121947</xdr:rowOff>
    </xdr:from>
    <xdr:to>
      <xdr:col>59</xdr:col>
      <xdr:colOff>3756</xdr:colOff>
      <xdr:row>42</xdr:row>
      <xdr:rowOff>96744</xdr:rowOff>
    </xdr:to>
    <xdr:sp macro="" textlink="">
      <xdr:nvSpPr>
        <xdr:cNvPr id="437" name="WordArt 6"/>
        <xdr:cNvSpPr>
          <a:spLocks noChangeArrowheads="1" noChangeShapeType="1" noTextEdit="1"/>
        </xdr:cNvSpPr>
      </xdr:nvSpPr>
      <xdr:spPr bwMode="auto">
        <a:xfrm>
          <a:off x="80690031"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110186</xdr:rowOff>
    </xdr:from>
    <xdr:to>
      <xdr:col>59</xdr:col>
      <xdr:colOff>3756</xdr:colOff>
      <xdr:row>45</xdr:row>
      <xdr:rowOff>91796</xdr:rowOff>
    </xdr:to>
    <xdr:sp macro="" textlink="">
      <xdr:nvSpPr>
        <xdr:cNvPr id="438" name="WordArt 5"/>
        <xdr:cNvSpPr>
          <a:spLocks noChangeArrowheads="1" noChangeShapeType="1" noTextEdit="1"/>
        </xdr:cNvSpPr>
      </xdr:nvSpPr>
      <xdr:spPr bwMode="auto">
        <a:xfrm>
          <a:off x="80690031"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42</xdr:row>
      <xdr:rowOff>122886</xdr:rowOff>
    </xdr:from>
    <xdr:to>
      <xdr:col>59</xdr:col>
      <xdr:colOff>3756</xdr:colOff>
      <xdr:row>43</xdr:row>
      <xdr:rowOff>97683</xdr:rowOff>
    </xdr:to>
    <xdr:sp macro="" textlink="">
      <xdr:nvSpPr>
        <xdr:cNvPr id="439" name="WordArt 6"/>
        <xdr:cNvSpPr>
          <a:spLocks noChangeArrowheads="1" noChangeShapeType="1" noTextEdit="1"/>
        </xdr:cNvSpPr>
      </xdr:nvSpPr>
      <xdr:spPr bwMode="auto">
        <a:xfrm>
          <a:off x="80690031"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111125</xdr:rowOff>
    </xdr:from>
    <xdr:to>
      <xdr:col>59</xdr:col>
      <xdr:colOff>1012243</xdr:colOff>
      <xdr:row>46</xdr:row>
      <xdr:rowOff>82550</xdr:rowOff>
    </xdr:to>
    <xdr:sp macro="" textlink="">
      <xdr:nvSpPr>
        <xdr:cNvPr id="440" name="WordArt 5"/>
        <xdr:cNvSpPr>
          <a:spLocks noChangeArrowheads="1" noChangeShapeType="1" noTextEdit="1"/>
        </xdr:cNvSpPr>
      </xdr:nvSpPr>
      <xdr:spPr bwMode="auto">
        <a:xfrm>
          <a:off x="81698518"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43</xdr:row>
      <xdr:rowOff>123825</xdr:rowOff>
    </xdr:from>
    <xdr:to>
      <xdr:col>59</xdr:col>
      <xdr:colOff>1012243</xdr:colOff>
      <xdr:row>44</xdr:row>
      <xdr:rowOff>98623</xdr:rowOff>
    </xdr:to>
    <xdr:sp macro="" textlink="">
      <xdr:nvSpPr>
        <xdr:cNvPr id="441" name="WordArt 6"/>
        <xdr:cNvSpPr>
          <a:spLocks noChangeArrowheads="1" noChangeShapeType="1" noTextEdit="1"/>
        </xdr:cNvSpPr>
      </xdr:nvSpPr>
      <xdr:spPr bwMode="auto">
        <a:xfrm>
          <a:off x="81698518"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111125</xdr:rowOff>
    </xdr:from>
    <xdr:to>
      <xdr:col>59</xdr:col>
      <xdr:colOff>1012243</xdr:colOff>
      <xdr:row>46</xdr:row>
      <xdr:rowOff>82550</xdr:rowOff>
    </xdr:to>
    <xdr:sp macro="" textlink="">
      <xdr:nvSpPr>
        <xdr:cNvPr id="442" name="WordArt 5"/>
        <xdr:cNvSpPr>
          <a:spLocks noChangeArrowheads="1" noChangeShapeType="1" noTextEdit="1"/>
        </xdr:cNvSpPr>
      </xdr:nvSpPr>
      <xdr:spPr bwMode="auto">
        <a:xfrm>
          <a:off x="81698518" y="215804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43</xdr:row>
      <xdr:rowOff>123825</xdr:rowOff>
    </xdr:from>
    <xdr:to>
      <xdr:col>59</xdr:col>
      <xdr:colOff>1012243</xdr:colOff>
      <xdr:row>44</xdr:row>
      <xdr:rowOff>98623</xdr:rowOff>
    </xdr:to>
    <xdr:sp macro="" textlink="">
      <xdr:nvSpPr>
        <xdr:cNvPr id="443" name="WordArt 6"/>
        <xdr:cNvSpPr>
          <a:spLocks noChangeArrowheads="1" noChangeShapeType="1" noTextEdit="1"/>
        </xdr:cNvSpPr>
      </xdr:nvSpPr>
      <xdr:spPr bwMode="auto">
        <a:xfrm>
          <a:off x="81698518" y="211359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109246</xdr:rowOff>
    </xdr:from>
    <xdr:to>
      <xdr:col>59</xdr:col>
      <xdr:colOff>1012243</xdr:colOff>
      <xdr:row>44</xdr:row>
      <xdr:rowOff>90857</xdr:rowOff>
    </xdr:to>
    <xdr:sp macro="" textlink="">
      <xdr:nvSpPr>
        <xdr:cNvPr id="444" name="WordArt 5"/>
        <xdr:cNvSpPr>
          <a:spLocks noChangeArrowheads="1" noChangeShapeType="1" noTextEdit="1"/>
        </xdr:cNvSpPr>
      </xdr:nvSpPr>
      <xdr:spPr bwMode="auto">
        <a:xfrm>
          <a:off x="81698518"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41</xdr:row>
      <xdr:rowOff>121947</xdr:rowOff>
    </xdr:from>
    <xdr:to>
      <xdr:col>59</xdr:col>
      <xdr:colOff>1012243</xdr:colOff>
      <xdr:row>42</xdr:row>
      <xdr:rowOff>96744</xdr:rowOff>
    </xdr:to>
    <xdr:sp macro="" textlink="">
      <xdr:nvSpPr>
        <xdr:cNvPr id="445" name="WordArt 6"/>
        <xdr:cNvSpPr>
          <a:spLocks noChangeArrowheads="1" noChangeShapeType="1" noTextEdit="1"/>
        </xdr:cNvSpPr>
      </xdr:nvSpPr>
      <xdr:spPr bwMode="auto">
        <a:xfrm>
          <a:off x="81698518"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109246</xdr:rowOff>
    </xdr:from>
    <xdr:to>
      <xdr:col>59</xdr:col>
      <xdr:colOff>1012243</xdr:colOff>
      <xdr:row>44</xdr:row>
      <xdr:rowOff>90857</xdr:rowOff>
    </xdr:to>
    <xdr:sp macro="" textlink="">
      <xdr:nvSpPr>
        <xdr:cNvPr id="446" name="WordArt 5"/>
        <xdr:cNvSpPr>
          <a:spLocks noChangeArrowheads="1" noChangeShapeType="1" noTextEdit="1"/>
        </xdr:cNvSpPr>
      </xdr:nvSpPr>
      <xdr:spPr bwMode="auto">
        <a:xfrm>
          <a:off x="81698518" y="211213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41</xdr:row>
      <xdr:rowOff>121947</xdr:rowOff>
    </xdr:from>
    <xdr:to>
      <xdr:col>59</xdr:col>
      <xdr:colOff>1012243</xdr:colOff>
      <xdr:row>42</xdr:row>
      <xdr:rowOff>96744</xdr:rowOff>
    </xdr:to>
    <xdr:sp macro="" textlink="">
      <xdr:nvSpPr>
        <xdr:cNvPr id="447" name="WordArt 6"/>
        <xdr:cNvSpPr>
          <a:spLocks noChangeArrowheads="1" noChangeShapeType="1" noTextEdit="1"/>
        </xdr:cNvSpPr>
      </xdr:nvSpPr>
      <xdr:spPr bwMode="auto">
        <a:xfrm>
          <a:off x="81698518"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110186</xdr:rowOff>
    </xdr:from>
    <xdr:to>
      <xdr:col>59</xdr:col>
      <xdr:colOff>1012243</xdr:colOff>
      <xdr:row>45</xdr:row>
      <xdr:rowOff>91796</xdr:rowOff>
    </xdr:to>
    <xdr:sp macro="" textlink="">
      <xdr:nvSpPr>
        <xdr:cNvPr id="448" name="WordArt 5"/>
        <xdr:cNvSpPr>
          <a:spLocks noChangeArrowheads="1" noChangeShapeType="1" noTextEdit="1"/>
        </xdr:cNvSpPr>
      </xdr:nvSpPr>
      <xdr:spPr bwMode="auto">
        <a:xfrm>
          <a:off x="81698518"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44</xdr:row>
      <xdr:rowOff>110186</xdr:rowOff>
    </xdr:from>
    <xdr:to>
      <xdr:col>59</xdr:col>
      <xdr:colOff>1012243</xdr:colOff>
      <xdr:row>45</xdr:row>
      <xdr:rowOff>91796</xdr:rowOff>
    </xdr:to>
    <xdr:sp macro="" textlink="">
      <xdr:nvSpPr>
        <xdr:cNvPr id="449" name="WordArt 5"/>
        <xdr:cNvSpPr>
          <a:spLocks noChangeArrowheads="1" noChangeShapeType="1" noTextEdit="1"/>
        </xdr:cNvSpPr>
      </xdr:nvSpPr>
      <xdr:spPr bwMode="auto">
        <a:xfrm>
          <a:off x="81698518" y="213509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42</xdr:row>
      <xdr:rowOff>121947</xdr:rowOff>
    </xdr:from>
    <xdr:to>
      <xdr:col>59</xdr:col>
      <xdr:colOff>3756</xdr:colOff>
      <xdr:row>43</xdr:row>
      <xdr:rowOff>96744</xdr:rowOff>
    </xdr:to>
    <xdr:sp macro="" textlink="">
      <xdr:nvSpPr>
        <xdr:cNvPr id="450" name="WordArt 6"/>
        <xdr:cNvSpPr>
          <a:spLocks noChangeArrowheads="1" noChangeShapeType="1" noTextEdit="1"/>
        </xdr:cNvSpPr>
      </xdr:nvSpPr>
      <xdr:spPr bwMode="auto">
        <a:xfrm>
          <a:off x="80690031"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122886</xdr:rowOff>
    </xdr:from>
    <xdr:to>
      <xdr:col>59</xdr:col>
      <xdr:colOff>3756</xdr:colOff>
      <xdr:row>44</xdr:row>
      <xdr:rowOff>97683</xdr:rowOff>
    </xdr:to>
    <xdr:sp macro="" textlink="">
      <xdr:nvSpPr>
        <xdr:cNvPr id="451" name="WordArt 6"/>
        <xdr:cNvSpPr>
          <a:spLocks noChangeArrowheads="1" noChangeShapeType="1" noTextEdit="1"/>
        </xdr:cNvSpPr>
      </xdr:nvSpPr>
      <xdr:spPr bwMode="auto">
        <a:xfrm>
          <a:off x="80690031" y="211350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42</xdr:row>
      <xdr:rowOff>121947</xdr:rowOff>
    </xdr:from>
    <xdr:to>
      <xdr:col>59</xdr:col>
      <xdr:colOff>1012243</xdr:colOff>
      <xdr:row>43</xdr:row>
      <xdr:rowOff>96744</xdr:rowOff>
    </xdr:to>
    <xdr:sp macro="" textlink="">
      <xdr:nvSpPr>
        <xdr:cNvPr id="452" name="WordArt 6"/>
        <xdr:cNvSpPr>
          <a:spLocks noChangeArrowheads="1" noChangeShapeType="1" noTextEdit="1"/>
        </xdr:cNvSpPr>
      </xdr:nvSpPr>
      <xdr:spPr bwMode="auto">
        <a:xfrm>
          <a:off x="81698518"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42</xdr:row>
      <xdr:rowOff>121947</xdr:rowOff>
    </xdr:from>
    <xdr:to>
      <xdr:col>59</xdr:col>
      <xdr:colOff>1012243</xdr:colOff>
      <xdr:row>43</xdr:row>
      <xdr:rowOff>96744</xdr:rowOff>
    </xdr:to>
    <xdr:sp macro="" textlink="">
      <xdr:nvSpPr>
        <xdr:cNvPr id="453" name="WordArt 6"/>
        <xdr:cNvSpPr>
          <a:spLocks noChangeArrowheads="1" noChangeShapeType="1" noTextEdit="1"/>
        </xdr:cNvSpPr>
      </xdr:nvSpPr>
      <xdr:spPr bwMode="auto">
        <a:xfrm>
          <a:off x="81698518"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121947</xdr:rowOff>
    </xdr:from>
    <xdr:to>
      <xdr:col>59</xdr:col>
      <xdr:colOff>3756</xdr:colOff>
      <xdr:row>44</xdr:row>
      <xdr:rowOff>96744</xdr:rowOff>
    </xdr:to>
    <xdr:sp macro="" textlink="">
      <xdr:nvSpPr>
        <xdr:cNvPr id="454" name="WordArt 6"/>
        <xdr:cNvSpPr>
          <a:spLocks noChangeArrowheads="1" noChangeShapeType="1" noTextEdit="1"/>
        </xdr:cNvSpPr>
      </xdr:nvSpPr>
      <xdr:spPr bwMode="auto">
        <a:xfrm>
          <a:off x="80690031"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122886</xdr:rowOff>
    </xdr:from>
    <xdr:to>
      <xdr:col>59</xdr:col>
      <xdr:colOff>3756</xdr:colOff>
      <xdr:row>45</xdr:row>
      <xdr:rowOff>97683</xdr:rowOff>
    </xdr:to>
    <xdr:sp macro="" textlink="">
      <xdr:nvSpPr>
        <xdr:cNvPr id="455" name="WordArt 6"/>
        <xdr:cNvSpPr>
          <a:spLocks noChangeArrowheads="1" noChangeShapeType="1" noTextEdit="1"/>
        </xdr:cNvSpPr>
      </xdr:nvSpPr>
      <xdr:spPr bwMode="auto">
        <a:xfrm>
          <a:off x="80690031" y="21363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121947</xdr:rowOff>
    </xdr:from>
    <xdr:to>
      <xdr:col>59</xdr:col>
      <xdr:colOff>1012243</xdr:colOff>
      <xdr:row>44</xdr:row>
      <xdr:rowOff>96744</xdr:rowOff>
    </xdr:to>
    <xdr:sp macro="" textlink="">
      <xdr:nvSpPr>
        <xdr:cNvPr id="456" name="WordArt 6"/>
        <xdr:cNvSpPr>
          <a:spLocks noChangeArrowheads="1" noChangeShapeType="1" noTextEdit="1"/>
        </xdr:cNvSpPr>
      </xdr:nvSpPr>
      <xdr:spPr bwMode="auto">
        <a:xfrm>
          <a:off x="81698518"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121947</xdr:rowOff>
    </xdr:from>
    <xdr:to>
      <xdr:col>59</xdr:col>
      <xdr:colOff>1012243</xdr:colOff>
      <xdr:row>44</xdr:row>
      <xdr:rowOff>96744</xdr:rowOff>
    </xdr:to>
    <xdr:sp macro="" textlink="">
      <xdr:nvSpPr>
        <xdr:cNvPr id="457" name="WordArt 6"/>
        <xdr:cNvSpPr>
          <a:spLocks noChangeArrowheads="1" noChangeShapeType="1" noTextEdit="1"/>
        </xdr:cNvSpPr>
      </xdr:nvSpPr>
      <xdr:spPr bwMode="auto">
        <a:xfrm>
          <a:off x="81698518"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121947</xdr:rowOff>
    </xdr:from>
    <xdr:to>
      <xdr:col>59</xdr:col>
      <xdr:colOff>3756</xdr:colOff>
      <xdr:row>45</xdr:row>
      <xdr:rowOff>96744</xdr:rowOff>
    </xdr:to>
    <xdr:sp macro="" textlink="">
      <xdr:nvSpPr>
        <xdr:cNvPr id="458" name="WordArt 6"/>
        <xdr:cNvSpPr>
          <a:spLocks noChangeArrowheads="1" noChangeShapeType="1" noTextEdit="1"/>
        </xdr:cNvSpPr>
      </xdr:nvSpPr>
      <xdr:spPr bwMode="auto">
        <a:xfrm>
          <a:off x="80690031"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459" name="WordArt 6"/>
        <xdr:cNvSpPr>
          <a:spLocks noChangeArrowheads="1" noChangeShapeType="1" noTextEdit="1"/>
        </xdr:cNvSpPr>
      </xdr:nvSpPr>
      <xdr:spPr bwMode="auto">
        <a:xfrm>
          <a:off x="816985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460" name="WordArt 6"/>
        <xdr:cNvSpPr>
          <a:spLocks noChangeArrowheads="1" noChangeShapeType="1" noTextEdit="1"/>
        </xdr:cNvSpPr>
      </xdr:nvSpPr>
      <xdr:spPr bwMode="auto">
        <a:xfrm>
          <a:off x="816985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121947</xdr:rowOff>
    </xdr:from>
    <xdr:to>
      <xdr:col>59</xdr:col>
      <xdr:colOff>3756</xdr:colOff>
      <xdr:row>45</xdr:row>
      <xdr:rowOff>96744</xdr:rowOff>
    </xdr:to>
    <xdr:sp macro="" textlink="">
      <xdr:nvSpPr>
        <xdr:cNvPr id="461" name="WordArt 6"/>
        <xdr:cNvSpPr>
          <a:spLocks noChangeArrowheads="1" noChangeShapeType="1" noTextEdit="1"/>
        </xdr:cNvSpPr>
      </xdr:nvSpPr>
      <xdr:spPr bwMode="auto">
        <a:xfrm>
          <a:off x="80690031"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122886</xdr:rowOff>
    </xdr:from>
    <xdr:to>
      <xdr:col>59</xdr:col>
      <xdr:colOff>3756</xdr:colOff>
      <xdr:row>46</xdr:row>
      <xdr:rowOff>97683</xdr:rowOff>
    </xdr:to>
    <xdr:sp macro="" textlink="">
      <xdr:nvSpPr>
        <xdr:cNvPr id="462" name="WordArt 6"/>
        <xdr:cNvSpPr>
          <a:spLocks noChangeArrowheads="1" noChangeShapeType="1" noTextEdit="1"/>
        </xdr:cNvSpPr>
      </xdr:nvSpPr>
      <xdr:spPr bwMode="auto">
        <a:xfrm>
          <a:off x="80690031" y="215922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463" name="WordArt 6"/>
        <xdr:cNvSpPr>
          <a:spLocks noChangeArrowheads="1" noChangeShapeType="1" noTextEdit="1"/>
        </xdr:cNvSpPr>
      </xdr:nvSpPr>
      <xdr:spPr bwMode="auto">
        <a:xfrm>
          <a:off x="816985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464" name="WordArt 6"/>
        <xdr:cNvSpPr>
          <a:spLocks noChangeArrowheads="1" noChangeShapeType="1" noTextEdit="1"/>
        </xdr:cNvSpPr>
      </xdr:nvSpPr>
      <xdr:spPr bwMode="auto">
        <a:xfrm>
          <a:off x="816985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465" name="WordArt 6"/>
        <xdr:cNvSpPr>
          <a:spLocks noChangeArrowheads="1" noChangeShapeType="1" noTextEdit="1"/>
        </xdr:cNvSpPr>
      </xdr:nvSpPr>
      <xdr:spPr bwMode="auto">
        <a:xfrm>
          <a:off x="80690031"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466" name="WordArt 6"/>
        <xdr:cNvSpPr>
          <a:spLocks noChangeArrowheads="1" noChangeShapeType="1" noTextEdit="1"/>
        </xdr:cNvSpPr>
      </xdr:nvSpPr>
      <xdr:spPr bwMode="auto">
        <a:xfrm>
          <a:off x="816985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467" name="WordArt 6"/>
        <xdr:cNvSpPr>
          <a:spLocks noChangeArrowheads="1" noChangeShapeType="1" noTextEdit="1"/>
        </xdr:cNvSpPr>
      </xdr:nvSpPr>
      <xdr:spPr bwMode="auto">
        <a:xfrm>
          <a:off x="816985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468" name="WordArt 6"/>
        <xdr:cNvSpPr>
          <a:spLocks noChangeArrowheads="1" noChangeShapeType="1" noTextEdit="1"/>
        </xdr:cNvSpPr>
      </xdr:nvSpPr>
      <xdr:spPr bwMode="auto">
        <a:xfrm>
          <a:off x="80690031"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122886</xdr:rowOff>
    </xdr:from>
    <xdr:to>
      <xdr:col>59</xdr:col>
      <xdr:colOff>3756</xdr:colOff>
      <xdr:row>47</xdr:row>
      <xdr:rowOff>97683</xdr:rowOff>
    </xdr:to>
    <xdr:sp macro="" textlink="">
      <xdr:nvSpPr>
        <xdr:cNvPr id="469" name="WordArt 6"/>
        <xdr:cNvSpPr>
          <a:spLocks noChangeArrowheads="1" noChangeShapeType="1" noTextEdit="1"/>
        </xdr:cNvSpPr>
      </xdr:nvSpPr>
      <xdr:spPr bwMode="auto">
        <a:xfrm>
          <a:off x="80690031" y="21820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470" name="WordArt 6"/>
        <xdr:cNvSpPr>
          <a:spLocks noChangeArrowheads="1" noChangeShapeType="1" noTextEdit="1"/>
        </xdr:cNvSpPr>
      </xdr:nvSpPr>
      <xdr:spPr bwMode="auto">
        <a:xfrm>
          <a:off x="816985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471" name="WordArt 6"/>
        <xdr:cNvSpPr>
          <a:spLocks noChangeArrowheads="1" noChangeShapeType="1" noTextEdit="1"/>
        </xdr:cNvSpPr>
      </xdr:nvSpPr>
      <xdr:spPr bwMode="auto">
        <a:xfrm>
          <a:off x="816985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472" name="WordArt 6"/>
        <xdr:cNvSpPr>
          <a:spLocks noChangeArrowheads="1" noChangeShapeType="1" noTextEdit="1"/>
        </xdr:cNvSpPr>
      </xdr:nvSpPr>
      <xdr:spPr bwMode="auto">
        <a:xfrm>
          <a:off x="80690031"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473" name="WordArt 6"/>
        <xdr:cNvSpPr>
          <a:spLocks noChangeArrowheads="1" noChangeShapeType="1" noTextEdit="1"/>
        </xdr:cNvSpPr>
      </xdr:nvSpPr>
      <xdr:spPr bwMode="auto">
        <a:xfrm>
          <a:off x="81698518"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474" name="WordArt 6"/>
        <xdr:cNvSpPr>
          <a:spLocks noChangeArrowheads="1" noChangeShapeType="1" noTextEdit="1"/>
        </xdr:cNvSpPr>
      </xdr:nvSpPr>
      <xdr:spPr bwMode="auto">
        <a:xfrm>
          <a:off x="81698518"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475" name="WordArt 6"/>
        <xdr:cNvSpPr>
          <a:spLocks noChangeArrowheads="1" noChangeShapeType="1" noTextEdit="1"/>
        </xdr:cNvSpPr>
      </xdr:nvSpPr>
      <xdr:spPr bwMode="auto">
        <a:xfrm>
          <a:off x="80690031"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47</xdr:row>
      <xdr:rowOff>122886</xdr:rowOff>
    </xdr:from>
    <xdr:to>
      <xdr:col>59</xdr:col>
      <xdr:colOff>3756</xdr:colOff>
      <xdr:row>48</xdr:row>
      <xdr:rowOff>97683</xdr:rowOff>
    </xdr:to>
    <xdr:sp macro="" textlink="">
      <xdr:nvSpPr>
        <xdr:cNvPr id="476" name="WordArt 6"/>
        <xdr:cNvSpPr>
          <a:spLocks noChangeArrowheads="1" noChangeShapeType="1" noTextEdit="1"/>
        </xdr:cNvSpPr>
      </xdr:nvSpPr>
      <xdr:spPr bwMode="auto">
        <a:xfrm>
          <a:off x="80690031" y="22049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477" name="WordArt 6"/>
        <xdr:cNvSpPr>
          <a:spLocks noChangeArrowheads="1" noChangeShapeType="1" noTextEdit="1"/>
        </xdr:cNvSpPr>
      </xdr:nvSpPr>
      <xdr:spPr bwMode="auto">
        <a:xfrm>
          <a:off x="81698518"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478" name="WordArt 6"/>
        <xdr:cNvSpPr>
          <a:spLocks noChangeArrowheads="1" noChangeShapeType="1" noTextEdit="1"/>
        </xdr:cNvSpPr>
      </xdr:nvSpPr>
      <xdr:spPr bwMode="auto">
        <a:xfrm>
          <a:off x="81698518"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47</xdr:row>
      <xdr:rowOff>121947</xdr:rowOff>
    </xdr:from>
    <xdr:to>
      <xdr:col>59</xdr:col>
      <xdr:colOff>3756</xdr:colOff>
      <xdr:row>48</xdr:row>
      <xdr:rowOff>96744</xdr:rowOff>
    </xdr:to>
    <xdr:sp macro="" textlink="">
      <xdr:nvSpPr>
        <xdr:cNvPr id="479" name="WordArt 6"/>
        <xdr:cNvSpPr>
          <a:spLocks noChangeArrowheads="1" noChangeShapeType="1" noTextEdit="1"/>
        </xdr:cNvSpPr>
      </xdr:nvSpPr>
      <xdr:spPr bwMode="auto">
        <a:xfrm>
          <a:off x="80690031"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47</xdr:row>
      <xdr:rowOff>121947</xdr:rowOff>
    </xdr:from>
    <xdr:to>
      <xdr:col>59</xdr:col>
      <xdr:colOff>1012243</xdr:colOff>
      <xdr:row>48</xdr:row>
      <xdr:rowOff>96744</xdr:rowOff>
    </xdr:to>
    <xdr:sp macro="" textlink="">
      <xdr:nvSpPr>
        <xdr:cNvPr id="480" name="WordArt 6"/>
        <xdr:cNvSpPr>
          <a:spLocks noChangeArrowheads="1" noChangeShapeType="1" noTextEdit="1"/>
        </xdr:cNvSpPr>
      </xdr:nvSpPr>
      <xdr:spPr bwMode="auto">
        <a:xfrm>
          <a:off x="81698518"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47</xdr:row>
      <xdr:rowOff>121947</xdr:rowOff>
    </xdr:from>
    <xdr:to>
      <xdr:col>59</xdr:col>
      <xdr:colOff>1012243</xdr:colOff>
      <xdr:row>48</xdr:row>
      <xdr:rowOff>96744</xdr:rowOff>
    </xdr:to>
    <xdr:sp macro="" textlink="">
      <xdr:nvSpPr>
        <xdr:cNvPr id="481" name="WordArt 6"/>
        <xdr:cNvSpPr>
          <a:spLocks noChangeArrowheads="1" noChangeShapeType="1" noTextEdit="1"/>
        </xdr:cNvSpPr>
      </xdr:nvSpPr>
      <xdr:spPr bwMode="auto">
        <a:xfrm>
          <a:off x="81698518"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47</xdr:row>
      <xdr:rowOff>121947</xdr:rowOff>
    </xdr:from>
    <xdr:to>
      <xdr:col>59</xdr:col>
      <xdr:colOff>3756</xdr:colOff>
      <xdr:row>48</xdr:row>
      <xdr:rowOff>96744</xdr:rowOff>
    </xdr:to>
    <xdr:sp macro="" textlink="">
      <xdr:nvSpPr>
        <xdr:cNvPr id="482" name="WordArt 6"/>
        <xdr:cNvSpPr>
          <a:spLocks noChangeArrowheads="1" noChangeShapeType="1" noTextEdit="1"/>
        </xdr:cNvSpPr>
      </xdr:nvSpPr>
      <xdr:spPr bwMode="auto">
        <a:xfrm>
          <a:off x="80690031"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48</xdr:row>
      <xdr:rowOff>122886</xdr:rowOff>
    </xdr:from>
    <xdr:to>
      <xdr:col>59</xdr:col>
      <xdr:colOff>3756</xdr:colOff>
      <xdr:row>49</xdr:row>
      <xdr:rowOff>97683</xdr:rowOff>
    </xdr:to>
    <xdr:sp macro="" textlink="">
      <xdr:nvSpPr>
        <xdr:cNvPr id="483" name="WordArt 6"/>
        <xdr:cNvSpPr>
          <a:spLocks noChangeArrowheads="1" noChangeShapeType="1" noTextEdit="1"/>
        </xdr:cNvSpPr>
      </xdr:nvSpPr>
      <xdr:spPr bwMode="auto">
        <a:xfrm>
          <a:off x="80690031" y="222780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47</xdr:row>
      <xdr:rowOff>121947</xdr:rowOff>
    </xdr:from>
    <xdr:to>
      <xdr:col>59</xdr:col>
      <xdr:colOff>1012243</xdr:colOff>
      <xdr:row>48</xdr:row>
      <xdr:rowOff>96744</xdr:rowOff>
    </xdr:to>
    <xdr:sp macro="" textlink="">
      <xdr:nvSpPr>
        <xdr:cNvPr id="484" name="WordArt 6"/>
        <xdr:cNvSpPr>
          <a:spLocks noChangeArrowheads="1" noChangeShapeType="1" noTextEdit="1"/>
        </xdr:cNvSpPr>
      </xdr:nvSpPr>
      <xdr:spPr bwMode="auto">
        <a:xfrm>
          <a:off x="81698518"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47</xdr:row>
      <xdr:rowOff>121947</xdr:rowOff>
    </xdr:from>
    <xdr:to>
      <xdr:col>59</xdr:col>
      <xdr:colOff>1012243</xdr:colOff>
      <xdr:row>48</xdr:row>
      <xdr:rowOff>96744</xdr:rowOff>
    </xdr:to>
    <xdr:sp macro="" textlink="">
      <xdr:nvSpPr>
        <xdr:cNvPr id="485" name="WordArt 6"/>
        <xdr:cNvSpPr>
          <a:spLocks noChangeArrowheads="1" noChangeShapeType="1" noTextEdit="1"/>
        </xdr:cNvSpPr>
      </xdr:nvSpPr>
      <xdr:spPr bwMode="auto">
        <a:xfrm>
          <a:off x="81698518"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48</xdr:row>
      <xdr:rowOff>121947</xdr:rowOff>
    </xdr:from>
    <xdr:to>
      <xdr:col>59</xdr:col>
      <xdr:colOff>3756</xdr:colOff>
      <xdr:row>49</xdr:row>
      <xdr:rowOff>96744</xdr:rowOff>
    </xdr:to>
    <xdr:sp macro="" textlink="">
      <xdr:nvSpPr>
        <xdr:cNvPr id="486" name="WordArt 6"/>
        <xdr:cNvSpPr>
          <a:spLocks noChangeArrowheads="1" noChangeShapeType="1" noTextEdit="1"/>
        </xdr:cNvSpPr>
      </xdr:nvSpPr>
      <xdr:spPr bwMode="auto">
        <a:xfrm>
          <a:off x="80690031"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48</xdr:row>
      <xdr:rowOff>121947</xdr:rowOff>
    </xdr:from>
    <xdr:to>
      <xdr:col>59</xdr:col>
      <xdr:colOff>1012243</xdr:colOff>
      <xdr:row>49</xdr:row>
      <xdr:rowOff>96744</xdr:rowOff>
    </xdr:to>
    <xdr:sp macro="" textlink="">
      <xdr:nvSpPr>
        <xdr:cNvPr id="487" name="WordArt 6"/>
        <xdr:cNvSpPr>
          <a:spLocks noChangeArrowheads="1" noChangeShapeType="1" noTextEdit="1"/>
        </xdr:cNvSpPr>
      </xdr:nvSpPr>
      <xdr:spPr bwMode="auto">
        <a:xfrm>
          <a:off x="81698518"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48</xdr:row>
      <xdr:rowOff>121947</xdr:rowOff>
    </xdr:from>
    <xdr:to>
      <xdr:col>59</xdr:col>
      <xdr:colOff>1012243</xdr:colOff>
      <xdr:row>49</xdr:row>
      <xdr:rowOff>96744</xdr:rowOff>
    </xdr:to>
    <xdr:sp macro="" textlink="">
      <xdr:nvSpPr>
        <xdr:cNvPr id="488" name="WordArt 6"/>
        <xdr:cNvSpPr>
          <a:spLocks noChangeArrowheads="1" noChangeShapeType="1" noTextEdit="1"/>
        </xdr:cNvSpPr>
      </xdr:nvSpPr>
      <xdr:spPr bwMode="auto">
        <a:xfrm>
          <a:off x="81698518"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48</xdr:row>
      <xdr:rowOff>121947</xdr:rowOff>
    </xdr:from>
    <xdr:to>
      <xdr:col>59</xdr:col>
      <xdr:colOff>3756</xdr:colOff>
      <xdr:row>49</xdr:row>
      <xdr:rowOff>96744</xdr:rowOff>
    </xdr:to>
    <xdr:sp macro="" textlink="">
      <xdr:nvSpPr>
        <xdr:cNvPr id="489" name="WordArt 6"/>
        <xdr:cNvSpPr>
          <a:spLocks noChangeArrowheads="1" noChangeShapeType="1" noTextEdit="1"/>
        </xdr:cNvSpPr>
      </xdr:nvSpPr>
      <xdr:spPr bwMode="auto">
        <a:xfrm>
          <a:off x="80690031"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49</xdr:row>
      <xdr:rowOff>122886</xdr:rowOff>
    </xdr:from>
    <xdr:to>
      <xdr:col>59</xdr:col>
      <xdr:colOff>3756</xdr:colOff>
      <xdr:row>50</xdr:row>
      <xdr:rowOff>97683</xdr:rowOff>
    </xdr:to>
    <xdr:sp macro="" textlink="">
      <xdr:nvSpPr>
        <xdr:cNvPr id="490" name="WordArt 6"/>
        <xdr:cNvSpPr>
          <a:spLocks noChangeArrowheads="1" noChangeShapeType="1" noTextEdit="1"/>
        </xdr:cNvSpPr>
      </xdr:nvSpPr>
      <xdr:spPr bwMode="auto">
        <a:xfrm>
          <a:off x="80690031" y="22506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48</xdr:row>
      <xdr:rowOff>121947</xdr:rowOff>
    </xdr:from>
    <xdr:to>
      <xdr:col>59</xdr:col>
      <xdr:colOff>1012243</xdr:colOff>
      <xdr:row>49</xdr:row>
      <xdr:rowOff>96744</xdr:rowOff>
    </xdr:to>
    <xdr:sp macro="" textlink="">
      <xdr:nvSpPr>
        <xdr:cNvPr id="491" name="WordArt 6"/>
        <xdr:cNvSpPr>
          <a:spLocks noChangeArrowheads="1" noChangeShapeType="1" noTextEdit="1"/>
        </xdr:cNvSpPr>
      </xdr:nvSpPr>
      <xdr:spPr bwMode="auto">
        <a:xfrm>
          <a:off x="81698518"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48</xdr:row>
      <xdr:rowOff>121947</xdr:rowOff>
    </xdr:from>
    <xdr:to>
      <xdr:col>59</xdr:col>
      <xdr:colOff>1012243</xdr:colOff>
      <xdr:row>49</xdr:row>
      <xdr:rowOff>96744</xdr:rowOff>
    </xdr:to>
    <xdr:sp macro="" textlink="">
      <xdr:nvSpPr>
        <xdr:cNvPr id="492" name="WordArt 6"/>
        <xdr:cNvSpPr>
          <a:spLocks noChangeArrowheads="1" noChangeShapeType="1" noTextEdit="1"/>
        </xdr:cNvSpPr>
      </xdr:nvSpPr>
      <xdr:spPr bwMode="auto">
        <a:xfrm>
          <a:off x="81698518"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49</xdr:row>
      <xdr:rowOff>121947</xdr:rowOff>
    </xdr:from>
    <xdr:to>
      <xdr:col>59</xdr:col>
      <xdr:colOff>3756</xdr:colOff>
      <xdr:row>50</xdr:row>
      <xdr:rowOff>96744</xdr:rowOff>
    </xdr:to>
    <xdr:sp macro="" textlink="">
      <xdr:nvSpPr>
        <xdr:cNvPr id="493" name="WordArt 6"/>
        <xdr:cNvSpPr>
          <a:spLocks noChangeArrowheads="1" noChangeShapeType="1" noTextEdit="1"/>
        </xdr:cNvSpPr>
      </xdr:nvSpPr>
      <xdr:spPr bwMode="auto">
        <a:xfrm>
          <a:off x="80690031"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49</xdr:row>
      <xdr:rowOff>121947</xdr:rowOff>
    </xdr:from>
    <xdr:to>
      <xdr:col>59</xdr:col>
      <xdr:colOff>1012243</xdr:colOff>
      <xdr:row>50</xdr:row>
      <xdr:rowOff>96744</xdr:rowOff>
    </xdr:to>
    <xdr:sp macro="" textlink="">
      <xdr:nvSpPr>
        <xdr:cNvPr id="494" name="WordArt 6"/>
        <xdr:cNvSpPr>
          <a:spLocks noChangeArrowheads="1" noChangeShapeType="1" noTextEdit="1"/>
        </xdr:cNvSpPr>
      </xdr:nvSpPr>
      <xdr:spPr bwMode="auto">
        <a:xfrm>
          <a:off x="81698518"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49</xdr:row>
      <xdr:rowOff>121947</xdr:rowOff>
    </xdr:from>
    <xdr:to>
      <xdr:col>59</xdr:col>
      <xdr:colOff>1012243</xdr:colOff>
      <xdr:row>50</xdr:row>
      <xdr:rowOff>96744</xdr:rowOff>
    </xdr:to>
    <xdr:sp macro="" textlink="">
      <xdr:nvSpPr>
        <xdr:cNvPr id="495" name="WordArt 6"/>
        <xdr:cNvSpPr>
          <a:spLocks noChangeArrowheads="1" noChangeShapeType="1" noTextEdit="1"/>
        </xdr:cNvSpPr>
      </xdr:nvSpPr>
      <xdr:spPr bwMode="auto">
        <a:xfrm>
          <a:off x="81698518"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49</xdr:row>
      <xdr:rowOff>121947</xdr:rowOff>
    </xdr:from>
    <xdr:to>
      <xdr:col>59</xdr:col>
      <xdr:colOff>3756</xdr:colOff>
      <xdr:row>50</xdr:row>
      <xdr:rowOff>96744</xdr:rowOff>
    </xdr:to>
    <xdr:sp macro="" textlink="">
      <xdr:nvSpPr>
        <xdr:cNvPr id="496" name="WordArt 6"/>
        <xdr:cNvSpPr>
          <a:spLocks noChangeArrowheads="1" noChangeShapeType="1" noTextEdit="1"/>
        </xdr:cNvSpPr>
      </xdr:nvSpPr>
      <xdr:spPr bwMode="auto">
        <a:xfrm>
          <a:off x="80690031"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50</xdr:row>
      <xdr:rowOff>122886</xdr:rowOff>
    </xdr:from>
    <xdr:to>
      <xdr:col>59</xdr:col>
      <xdr:colOff>3756</xdr:colOff>
      <xdr:row>51</xdr:row>
      <xdr:rowOff>97683</xdr:rowOff>
    </xdr:to>
    <xdr:sp macro="" textlink="">
      <xdr:nvSpPr>
        <xdr:cNvPr id="497" name="WordArt 6"/>
        <xdr:cNvSpPr>
          <a:spLocks noChangeArrowheads="1" noChangeShapeType="1" noTextEdit="1"/>
        </xdr:cNvSpPr>
      </xdr:nvSpPr>
      <xdr:spPr bwMode="auto">
        <a:xfrm>
          <a:off x="80690031" y="227352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49</xdr:row>
      <xdr:rowOff>121947</xdr:rowOff>
    </xdr:from>
    <xdr:to>
      <xdr:col>59</xdr:col>
      <xdr:colOff>1012243</xdr:colOff>
      <xdr:row>50</xdr:row>
      <xdr:rowOff>96744</xdr:rowOff>
    </xdr:to>
    <xdr:sp macro="" textlink="">
      <xdr:nvSpPr>
        <xdr:cNvPr id="498" name="WordArt 6"/>
        <xdr:cNvSpPr>
          <a:spLocks noChangeArrowheads="1" noChangeShapeType="1" noTextEdit="1"/>
        </xdr:cNvSpPr>
      </xdr:nvSpPr>
      <xdr:spPr bwMode="auto">
        <a:xfrm>
          <a:off x="81698518"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49</xdr:row>
      <xdr:rowOff>121947</xdr:rowOff>
    </xdr:from>
    <xdr:to>
      <xdr:col>59</xdr:col>
      <xdr:colOff>1012243</xdr:colOff>
      <xdr:row>50</xdr:row>
      <xdr:rowOff>96744</xdr:rowOff>
    </xdr:to>
    <xdr:sp macro="" textlink="">
      <xdr:nvSpPr>
        <xdr:cNvPr id="499" name="WordArt 6"/>
        <xdr:cNvSpPr>
          <a:spLocks noChangeArrowheads="1" noChangeShapeType="1" noTextEdit="1"/>
        </xdr:cNvSpPr>
      </xdr:nvSpPr>
      <xdr:spPr bwMode="auto">
        <a:xfrm>
          <a:off x="81698518"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50</xdr:row>
      <xdr:rowOff>121947</xdr:rowOff>
    </xdr:from>
    <xdr:to>
      <xdr:col>59</xdr:col>
      <xdr:colOff>3756</xdr:colOff>
      <xdr:row>51</xdr:row>
      <xdr:rowOff>96744</xdr:rowOff>
    </xdr:to>
    <xdr:sp macro="" textlink="">
      <xdr:nvSpPr>
        <xdr:cNvPr id="500" name="WordArt 6"/>
        <xdr:cNvSpPr>
          <a:spLocks noChangeArrowheads="1" noChangeShapeType="1" noTextEdit="1"/>
        </xdr:cNvSpPr>
      </xdr:nvSpPr>
      <xdr:spPr bwMode="auto">
        <a:xfrm>
          <a:off x="80690031" y="22734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702687</xdr:colOff>
      <xdr:row>50</xdr:row>
      <xdr:rowOff>121947</xdr:rowOff>
    </xdr:from>
    <xdr:to>
      <xdr:col>59</xdr:col>
      <xdr:colOff>702687</xdr:colOff>
      <xdr:row>51</xdr:row>
      <xdr:rowOff>96744</xdr:rowOff>
    </xdr:to>
    <xdr:sp macro="" textlink="">
      <xdr:nvSpPr>
        <xdr:cNvPr id="501" name="WordArt 6"/>
        <xdr:cNvSpPr>
          <a:spLocks noChangeArrowheads="1" noChangeShapeType="1" noTextEdit="1"/>
        </xdr:cNvSpPr>
      </xdr:nvSpPr>
      <xdr:spPr bwMode="auto">
        <a:xfrm>
          <a:off x="81388962" y="22734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50</xdr:row>
      <xdr:rowOff>121947</xdr:rowOff>
    </xdr:from>
    <xdr:to>
      <xdr:col>59</xdr:col>
      <xdr:colOff>1012243</xdr:colOff>
      <xdr:row>51</xdr:row>
      <xdr:rowOff>96744</xdr:rowOff>
    </xdr:to>
    <xdr:sp macro="" textlink="">
      <xdr:nvSpPr>
        <xdr:cNvPr id="502" name="WordArt 6"/>
        <xdr:cNvSpPr>
          <a:spLocks noChangeArrowheads="1" noChangeShapeType="1" noTextEdit="1"/>
        </xdr:cNvSpPr>
      </xdr:nvSpPr>
      <xdr:spPr bwMode="auto">
        <a:xfrm>
          <a:off x="81698518" y="22734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50</xdr:row>
      <xdr:rowOff>121947</xdr:rowOff>
    </xdr:from>
    <xdr:to>
      <xdr:col>59</xdr:col>
      <xdr:colOff>3756</xdr:colOff>
      <xdr:row>51</xdr:row>
      <xdr:rowOff>96744</xdr:rowOff>
    </xdr:to>
    <xdr:sp macro="" textlink="">
      <xdr:nvSpPr>
        <xdr:cNvPr id="503" name="WordArt 6"/>
        <xdr:cNvSpPr>
          <a:spLocks noChangeArrowheads="1" noChangeShapeType="1" noTextEdit="1"/>
        </xdr:cNvSpPr>
      </xdr:nvSpPr>
      <xdr:spPr bwMode="auto">
        <a:xfrm>
          <a:off x="80690031" y="22734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51</xdr:row>
      <xdr:rowOff>122886</xdr:rowOff>
    </xdr:from>
    <xdr:to>
      <xdr:col>59</xdr:col>
      <xdr:colOff>3756</xdr:colOff>
      <xdr:row>52</xdr:row>
      <xdr:rowOff>97683</xdr:rowOff>
    </xdr:to>
    <xdr:sp macro="" textlink="">
      <xdr:nvSpPr>
        <xdr:cNvPr id="504" name="WordArt 6"/>
        <xdr:cNvSpPr>
          <a:spLocks noChangeArrowheads="1" noChangeShapeType="1" noTextEdit="1"/>
        </xdr:cNvSpPr>
      </xdr:nvSpPr>
      <xdr:spPr bwMode="auto">
        <a:xfrm>
          <a:off x="80690031" y="229638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50</xdr:row>
      <xdr:rowOff>121947</xdr:rowOff>
    </xdr:from>
    <xdr:to>
      <xdr:col>59</xdr:col>
      <xdr:colOff>1012243</xdr:colOff>
      <xdr:row>51</xdr:row>
      <xdr:rowOff>96744</xdr:rowOff>
    </xdr:to>
    <xdr:sp macro="" textlink="">
      <xdr:nvSpPr>
        <xdr:cNvPr id="505" name="WordArt 6"/>
        <xdr:cNvSpPr>
          <a:spLocks noChangeArrowheads="1" noChangeShapeType="1" noTextEdit="1"/>
        </xdr:cNvSpPr>
      </xdr:nvSpPr>
      <xdr:spPr bwMode="auto">
        <a:xfrm>
          <a:off x="81698518" y="22734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50</xdr:row>
      <xdr:rowOff>121947</xdr:rowOff>
    </xdr:from>
    <xdr:to>
      <xdr:col>59</xdr:col>
      <xdr:colOff>1012243</xdr:colOff>
      <xdr:row>51</xdr:row>
      <xdr:rowOff>96744</xdr:rowOff>
    </xdr:to>
    <xdr:sp macro="" textlink="">
      <xdr:nvSpPr>
        <xdr:cNvPr id="506" name="WordArt 6"/>
        <xdr:cNvSpPr>
          <a:spLocks noChangeArrowheads="1" noChangeShapeType="1" noTextEdit="1"/>
        </xdr:cNvSpPr>
      </xdr:nvSpPr>
      <xdr:spPr bwMode="auto">
        <a:xfrm>
          <a:off x="81698518" y="22734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51</xdr:row>
      <xdr:rowOff>121947</xdr:rowOff>
    </xdr:from>
    <xdr:to>
      <xdr:col>59</xdr:col>
      <xdr:colOff>3756</xdr:colOff>
      <xdr:row>52</xdr:row>
      <xdr:rowOff>96744</xdr:rowOff>
    </xdr:to>
    <xdr:sp macro="" textlink="">
      <xdr:nvSpPr>
        <xdr:cNvPr id="507" name="WordArt 6"/>
        <xdr:cNvSpPr>
          <a:spLocks noChangeArrowheads="1" noChangeShapeType="1" noTextEdit="1"/>
        </xdr:cNvSpPr>
      </xdr:nvSpPr>
      <xdr:spPr bwMode="auto">
        <a:xfrm>
          <a:off x="80690031" y="229628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51</xdr:row>
      <xdr:rowOff>121947</xdr:rowOff>
    </xdr:from>
    <xdr:to>
      <xdr:col>59</xdr:col>
      <xdr:colOff>1012243</xdr:colOff>
      <xdr:row>52</xdr:row>
      <xdr:rowOff>96744</xdr:rowOff>
    </xdr:to>
    <xdr:sp macro="" textlink="">
      <xdr:nvSpPr>
        <xdr:cNvPr id="508" name="WordArt 6"/>
        <xdr:cNvSpPr>
          <a:spLocks noChangeArrowheads="1" noChangeShapeType="1" noTextEdit="1"/>
        </xdr:cNvSpPr>
      </xdr:nvSpPr>
      <xdr:spPr bwMode="auto">
        <a:xfrm>
          <a:off x="81698518" y="229628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51</xdr:row>
      <xdr:rowOff>121947</xdr:rowOff>
    </xdr:from>
    <xdr:to>
      <xdr:col>59</xdr:col>
      <xdr:colOff>1012243</xdr:colOff>
      <xdr:row>52</xdr:row>
      <xdr:rowOff>96744</xdr:rowOff>
    </xdr:to>
    <xdr:sp macro="" textlink="">
      <xdr:nvSpPr>
        <xdr:cNvPr id="509" name="WordArt 6"/>
        <xdr:cNvSpPr>
          <a:spLocks noChangeArrowheads="1" noChangeShapeType="1" noTextEdit="1"/>
        </xdr:cNvSpPr>
      </xdr:nvSpPr>
      <xdr:spPr bwMode="auto">
        <a:xfrm>
          <a:off x="81698518" y="229628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42</xdr:row>
      <xdr:rowOff>121947</xdr:rowOff>
    </xdr:from>
    <xdr:to>
      <xdr:col>59</xdr:col>
      <xdr:colOff>3756</xdr:colOff>
      <xdr:row>43</xdr:row>
      <xdr:rowOff>96744</xdr:rowOff>
    </xdr:to>
    <xdr:sp macro="" textlink="">
      <xdr:nvSpPr>
        <xdr:cNvPr id="510" name="WordArt 6"/>
        <xdr:cNvSpPr>
          <a:spLocks noChangeArrowheads="1" noChangeShapeType="1" noTextEdit="1"/>
        </xdr:cNvSpPr>
      </xdr:nvSpPr>
      <xdr:spPr bwMode="auto">
        <a:xfrm>
          <a:off x="80690031"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122886</xdr:rowOff>
    </xdr:from>
    <xdr:to>
      <xdr:col>59</xdr:col>
      <xdr:colOff>3756</xdr:colOff>
      <xdr:row>44</xdr:row>
      <xdr:rowOff>97683</xdr:rowOff>
    </xdr:to>
    <xdr:sp macro="" textlink="">
      <xdr:nvSpPr>
        <xdr:cNvPr id="511" name="WordArt 6"/>
        <xdr:cNvSpPr>
          <a:spLocks noChangeArrowheads="1" noChangeShapeType="1" noTextEdit="1"/>
        </xdr:cNvSpPr>
      </xdr:nvSpPr>
      <xdr:spPr bwMode="auto">
        <a:xfrm>
          <a:off x="80690031" y="211350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42</xdr:row>
      <xdr:rowOff>121947</xdr:rowOff>
    </xdr:from>
    <xdr:to>
      <xdr:col>59</xdr:col>
      <xdr:colOff>1012243</xdr:colOff>
      <xdr:row>43</xdr:row>
      <xdr:rowOff>96744</xdr:rowOff>
    </xdr:to>
    <xdr:sp macro="" textlink="">
      <xdr:nvSpPr>
        <xdr:cNvPr id="512" name="WordArt 6"/>
        <xdr:cNvSpPr>
          <a:spLocks noChangeArrowheads="1" noChangeShapeType="1" noTextEdit="1"/>
        </xdr:cNvSpPr>
      </xdr:nvSpPr>
      <xdr:spPr bwMode="auto">
        <a:xfrm>
          <a:off x="81698518"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42</xdr:row>
      <xdr:rowOff>121947</xdr:rowOff>
    </xdr:from>
    <xdr:to>
      <xdr:col>59</xdr:col>
      <xdr:colOff>1012243</xdr:colOff>
      <xdr:row>43</xdr:row>
      <xdr:rowOff>96744</xdr:rowOff>
    </xdr:to>
    <xdr:sp macro="" textlink="">
      <xdr:nvSpPr>
        <xdr:cNvPr id="513" name="WordArt 6"/>
        <xdr:cNvSpPr>
          <a:spLocks noChangeArrowheads="1" noChangeShapeType="1" noTextEdit="1"/>
        </xdr:cNvSpPr>
      </xdr:nvSpPr>
      <xdr:spPr bwMode="auto">
        <a:xfrm>
          <a:off x="81698518"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121947</xdr:rowOff>
    </xdr:from>
    <xdr:to>
      <xdr:col>59</xdr:col>
      <xdr:colOff>3756</xdr:colOff>
      <xdr:row>44</xdr:row>
      <xdr:rowOff>96744</xdr:rowOff>
    </xdr:to>
    <xdr:sp macro="" textlink="">
      <xdr:nvSpPr>
        <xdr:cNvPr id="514" name="WordArt 6"/>
        <xdr:cNvSpPr>
          <a:spLocks noChangeArrowheads="1" noChangeShapeType="1" noTextEdit="1"/>
        </xdr:cNvSpPr>
      </xdr:nvSpPr>
      <xdr:spPr bwMode="auto">
        <a:xfrm>
          <a:off x="80690031"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121947</xdr:rowOff>
    </xdr:from>
    <xdr:to>
      <xdr:col>59</xdr:col>
      <xdr:colOff>1012243</xdr:colOff>
      <xdr:row>44</xdr:row>
      <xdr:rowOff>96744</xdr:rowOff>
    </xdr:to>
    <xdr:sp macro="" textlink="">
      <xdr:nvSpPr>
        <xdr:cNvPr id="515" name="WordArt 6"/>
        <xdr:cNvSpPr>
          <a:spLocks noChangeArrowheads="1" noChangeShapeType="1" noTextEdit="1"/>
        </xdr:cNvSpPr>
      </xdr:nvSpPr>
      <xdr:spPr bwMode="auto">
        <a:xfrm>
          <a:off x="81698518"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121947</xdr:rowOff>
    </xdr:from>
    <xdr:to>
      <xdr:col>59</xdr:col>
      <xdr:colOff>1012243</xdr:colOff>
      <xdr:row>44</xdr:row>
      <xdr:rowOff>96744</xdr:rowOff>
    </xdr:to>
    <xdr:sp macro="" textlink="">
      <xdr:nvSpPr>
        <xdr:cNvPr id="516" name="WordArt 6"/>
        <xdr:cNvSpPr>
          <a:spLocks noChangeArrowheads="1" noChangeShapeType="1" noTextEdit="1"/>
        </xdr:cNvSpPr>
      </xdr:nvSpPr>
      <xdr:spPr bwMode="auto">
        <a:xfrm>
          <a:off x="81698518"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121947</xdr:rowOff>
    </xdr:from>
    <xdr:to>
      <xdr:col>59</xdr:col>
      <xdr:colOff>3756</xdr:colOff>
      <xdr:row>45</xdr:row>
      <xdr:rowOff>96744</xdr:rowOff>
    </xdr:to>
    <xdr:sp macro="" textlink="">
      <xdr:nvSpPr>
        <xdr:cNvPr id="517" name="WordArt 6"/>
        <xdr:cNvSpPr>
          <a:spLocks noChangeArrowheads="1" noChangeShapeType="1" noTextEdit="1"/>
        </xdr:cNvSpPr>
      </xdr:nvSpPr>
      <xdr:spPr bwMode="auto">
        <a:xfrm>
          <a:off x="80690031"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122886</xdr:rowOff>
    </xdr:from>
    <xdr:to>
      <xdr:col>59</xdr:col>
      <xdr:colOff>3756</xdr:colOff>
      <xdr:row>46</xdr:row>
      <xdr:rowOff>97683</xdr:rowOff>
    </xdr:to>
    <xdr:sp macro="" textlink="">
      <xdr:nvSpPr>
        <xdr:cNvPr id="518" name="WordArt 6"/>
        <xdr:cNvSpPr>
          <a:spLocks noChangeArrowheads="1" noChangeShapeType="1" noTextEdit="1"/>
        </xdr:cNvSpPr>
      </xdr:nvSpPr>
      <xdr:spPr bwMode="auto">
        <a:xfrm>
          <a:off x="80690031" y="215922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519" name="WordArt 6"/>
        <xdr:cNvSpPr>
          <a:spLocks noChangeArrowheads="1" noChangeShapeType="1" noTextEdit="1"/>
        </xdr:cNvSpPr>
      </xdr:nvSpPr>
      <xdr:spPr bwMode="auto">
        <a:xfrm>
          <a:off x="816985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520" name="WordArt 6"/>
        <xdr:cNvSpPr>
          <a:spLocks noChangeArrowheads="1" noChangeShapeType="1" noTextEdit="1"/>
        </xdr:cNvSpPr>
      </xdr:nvSpPr>
      <xdr:spPr bwMode="auto">
        <a:xfrm>
          <a:off x="816985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521" name="WordArt 6"/>
        <xdr:cNvSpPr>
          <a:spLocks noChangeArrowheads="1" noChangeShapeType="1" noTextEdit="1"/>
        </xdr:cNvSpPr>
      </xdr:nvSpPr>
      <xdr:spPr bwMode="auto">
        <a:xfrm>
          <a:off x="80690031"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522" name="WordArt 6"/>
        <xdr:cNvSpPr>
          <a:spLocks noChangeArrowheads="1" noChangeShapeType="1" noTextEdit="1"/>
        </xdr:cNvSpPr>
      </xdr:nvSpPr>
      <xdr:spPr bwMode="auto">
        <a:xfrm>
          <a:off x="816985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523" name="WordArt 6"/>
        <xdr:cNvSpPr>
          <a:spLocks noChangeArrowheads="1" noChangeShapeType="1" noTextEdit="1"/>
        </xdr:cNvSpPr>
      </xdr:nvSpPr>
      <xdr:spPr bwMode="auto">
        <a:xfrm>
          <a:off x="816985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524" name="WordArt 6"/>
        <xdr:cNvSpPr>
          <a:spLocks noChangeArrowheads="1" noChangeShapeType="1" noTextEdit="1"/>
        </xdr:cNvSpPr>
      </xdr:nvSpPr>
      <xdr:spPr bwMode="auto">
        <a:xfrm>
          <a:off x="80690031"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525" name="WordArt 6"/>
        <xdr:cNvSpPr>
          <a:spLocks noChangeArrowheads="1" noChangeShapeType="1" noTextEdit="1"/>
        </xdr:cNvSpPr>
      </xdr:nvSpPr>
      <xdr:spPr bwMode="auto">
        <a:xfrm>
          <a:off x="816985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526" name="WordArt 6"/>
        <xdr:cNvSpPr>
          <a:spLocks noChangeArrowheads="1" noChangeShapeType="1" noTextEdit="1"/>
        </xdr:cNvSpPr>
      </xdr:nvSpPr>
      <xdr:spPr bwMode="auto">
        <a:xfrm>
          <a:off x="816985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45</xdr:row>
      <xdr:rowOff>111125</xdr:rowOff>
    </xdr:from>
    <xdr:to>
      <xdr:col>46</xdr:col>
      <xdr:colOff>3756</xdr:colOff>
      <xdr:row>46</xdr:row>
      <xdr:rowOff>82550</xdr:rowOff>
    </xdr:to>
    <xdr:sp macro="" textlink="">
      <xdr:nvSpPr>
        <xdr:cNvPr id="818" name="WordArt 5"/>
        <xdr:cNvSpPr>
          <a:spLocks noChangeArrowheads="1" noChangeShapeType="1" noTextEdit="1"/>
        </xdr:cNvSpPr>
      </xdr:nvSpPr>
      <xdr:spPr bwMode="auto">
        <a:xfrm>
          <a:off x="63878406"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43</xdr:row>
      <xdr:rowOff>123825</xdr:rowOff>
    </xdr:from>
    <xdr:to>
      <xdr:col>46</xdr:col>
      <xdr:colOff>3756</xdr:colOff>
      <xdr:row>44</xdr:row>
      <xdr:rowOff>98623</xdr:rowOff>
    </xdr:to>
    <xdr:sp macro="" textlink="">
      <xdr:nvSpPr>
        <xdr:cNvPr id="819" name="WordArt 6"/>
        <xdr:cNvSpPr>
          <a:spLocks noChangeArrowheads="1" noChangeShapeType="1" noTextEdit="1"/>
        </xdr:cNvSpPr>
      </xdr:nvSpPr>
      <xdr:spPr bwMode="auto">
        <a:xfrm>
          <a:off x="63878406"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43</xdr:row>
      <xdr:rowOff>109246</xdr:rowOff>
    </xdr:from>
    <xdr:to>
      <xdr:col>46</xdr:col>
      <xdr:colOff>3756</xdr:colOff>
      <xdr:row>44</xdr:row>
      <xdr:rowOff>90857</xdr:rowOff>
    </xdr:to>
    <xdr:sp macro="" textlink="">
      <xdr:nvSpPr>
        <xdr:cNvPr id="820" name="WordArt 5"/>
        <xdr:cNvSpPr>
          <a:spLocks noChangeArrowheads="1" noChangeShapeType="1" noTextEdit="1"/>
        </xdr:cNvSpPr>
      </xdr:nvSpPr>
      <xdr:spPr bwMode="auto">
        <a:xfrm>
          <a:off x="63878406"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45</xdr:row>
      <xdr:rowOff>67518</xdr:rowOff>
    </xdr:from>
    <xdr:to>
      <xdr:col>46</xdr:col>
      <xdr:colOff>3756</xdr:colOff>
      <xdr:row>46</xdr:row>
      <xdr:rowOff>42315</xdr:rowOff>
    </xdr:to>
    <xdr:sp macro="" textlink="">
      <xdr:nvSpPr>
        <xdr:cNvPr id="821" name="WordArt 6"/>
        <xdr:cNvSpPr>
          <a:spLocks noChangeArrowheads="1" noChangeShapeType="1" noTextEdit="1"/>
        </xdr:cNvSpPr>
      </xdr:nvSpPr>
      <xdr:spPr bwMode="auto">
        <a:xfrm>
          <a:off x="63878406" y="213082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44</xdr:row>
      <xdr:rowOff>110186</xdr:rowOff>
    </xdr:from>
    <xdr:to>
      <xdr:col>46</xdr:col>
      <xdr:colOff>3756</xdr:colOff>
      <xdr:row>45</xdr:row>
      <xdr:rowOff>91796</xdr:rowOff>
    </xdr:to>
    <xdr:sp macro="" textlink="">
      <xdr:nvSpPr>
        <xdr:cNvPr id="822" name="WordArt 5"/>
        <xdr:cNvSpPr>
          <a:spLocks noChangeArrowheads="1" noChangeShapeType="1" noTextEdit="1"/>
        </xdr:cNvSpPr>
      </xdr:nvSpPr>
      <xdr:spPr bwMode="auto">
        <a:xfrm>
          <a:off x="63878406"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42</xdr:row>
      <xdr:rowOff>122886</xdr:rowOff>
    </xdr:from>
    <xdr:to>
      <xdr:col>46</xdr:col>
      <xdr:colOff>3756</xdr:colOff>
      <xdr:row>43</xdr:row>
      <xdr:rowOff>97683</xdr:rowOff>
    </xdr:to>
    <xdr:sp macro="" textlink="">
      <xdr:nvSpPr>
        <xdr:cNvPr id="823" name="WordArt 6"/>
        <xdr:cNvSpPr>
          <a:spLocks noChangeArrowheads="1" noChangeShapeType="1" noTextEdit="1"/>
        </xdr:cNvSpPr>
      </xdr:nvSpPr>
      <xdr:spPr bwMode="auto">
        <a:xfrm>
          <a:off x="63878406"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45</xdr:row>
      <xdr:rowOff>111125</xdr:rowOff>
    </xdr:from>
    <xdr:to>
      <xdr:col>47</xdr:col>
      <xdr:colOff>3756</xdr:colOff>
      <xdr:row>46</xdr:row>
      <xdr:rowOff>82550</xdr:rowOff>
    </xdr:to>
    <xdr:sp macro="" textlink="">
      <xdr:nvSpPr>
        <xdr:cNvPr id="824" name="WordArt 5"/>
        <xdr:cNvSpPr>
          <a:spLocks noChangeArrowheads="1" noChangeShapeType="1" noTextEdit="1"/>
        </xdr:cNvSpPr>
      </xdr:nvSpPr>
      <xdr:spPr bwMode="auto">
        <a:xfrm>
          <a:off x="65411931"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43</xdr:row>
      <xdr:rowOff>123825</xdr:rowOff>
    </xdr:from>
    <xdr:to>
      <xdr:col>47</xdr:col>
      <xdr:colOff>3756</xdr:colOff>
      <xdr:row>44</xdr:row>
      <xdr:rowOff>98623</xdr:rowOff>
    </xdr:to>
    <xdr:sp macro="" textlink="">
      <xdr:nvSpPr>
        <xdr:cNvPr id="825" name="WordArt 6"/>
        <xdr:cNvSpPr>
          <a:spLocks noChangeArrowheads="1" noChangeShapeType="1" noTextEdit="1"/>
        </xdr:cNvSpPr>
      </xdr:nvSpPr>
      <xdr:spPr bwMode="auto">
        <a:xfrm>
          <a:off x="65411931"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43</xdr:row>
      <xdr:rowOff>109246</xdr:rowOff>
    </xdr:from>
    <xdr:to>
      <xdr:col>47</xdr:col>
      <xdr:colOff>3756</xdr:colOff>
      <xdr:row>44</xdr:row>
      <xdr:rowOff>90857</xdr:rowOff>
    </xdr:to>
    <xdr:sp macro="" textlink="">
      <xdr:nvSpPr>
        <xdr:cNvPr id="826" name="WordArt 5"/>
        <xdr:cNvSpPr>
          <a:spLocks noChangeArrowheads="1" noChangeShapeType="1" noTextEdit="1"/>
        </xdr:cNvSpPr>
      </xdr:nvSpPr>
      <xdr:spPr bwMode="auto">
        <a:xfrm>
          <a:off x="65411931"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45</xdr:row>
      <xdr:rowOff>67518</xdr:rowOff>
    </xdr:from>
    <xdr:to>
      <xdr:col>47</xdr:col>
      <xdr:colOff>3756</xdr:colOff>
      <xdr:row>46</xdr:row>
      <xdr:rowOff>42315</xdr:rowOff>
    </xdr:to>
    <xdr:sp macro="" textlink="">
      <xdr:nvSpPr>
        <xdr:cNvPr id="827" name="WordArt 6"/>
        <xdr:cNvSpPr>
          <a:spLocks noChangeArrowheads="1" noChangeShapeType="1" noTextEdit="1"/>
        </xdr:cNvSpPr>
      </xdr:nvSpPr>
      <xdr:spPr bwMode="auto">
        <a:xfrm>
          <a:off x="65411931" y="213082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44</xdr:row>
      <xdr:rowOff>110186</xdr:rowOff>
    </xdr:from>
    <xdr:to>
      <xdr:col>47</xdr:col>
      <xdr:colOff>3756</xdr:colOff>
      <xdr:row>45</xdr:row>
      <xdr:rowOff>91796</xdr:rowOff>
    </xdr:to>
    <xdr:sp macro="" textlink="">
      <xdr:nvSpPr>
        <xdr:cNvPr id="828" name="WordArt 5"/>
        <xdr:cNvSpPr>
          <a:spLocks noChangeArrowheads="1" noChangeShapeType="1" noTextEdit="1"/>
        </xdr:cNvSpPr>
      </xdr:nvSpPr>
      <xdr:spPr bwMode="auto">
        <a:xfrm>
          <a:off x="65411931"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42</xdr:row>
      <xdr:rowOff>122886</xdr:rowOff>
    </xdr:from>
    <xdr:to>
      <xdr:col>47</xdr:col>
      <xdr:colOff>3756</xdr:colOff>
      <xdr:row>43</xdr:row>
      <xdr:rowOff>97683</xdr:rowOff>
    </xdr:to>
    <xdr:sp macro="" textlink="">
      <xdr:nvSpPr>
        <xdr:cNvPr id="829" name="WordArt 6"/>
        <xdr:cNvSpPr>
          <a:spLocks noChangeArrowheads="1" noChangeShapeType="1" noTextEdit="1"/>
        </xdr:cNvSpPr>
      </xdr:nvSpPr>
      <xdr:spPr bwMode="auto">
        <a:xfrm>
          <a:off x="65411931"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45</xdr:row>
      <xdr:rowOff>111125</xdr:rowOff>
    </xdr:from>
    <xdr:to>
      <xdr:col>48</xdr:col>
      <xdr:colOff>3756</xdr:colOff>
      <xdr:row>46</xdr:row>
      <xdr:rowOff>82550</xdr:rowOff>
    </xdr:to>
    <xdr:sp macro="" textlink="">
      <xdr:nvSpPr>
        <xdr:cNvPr id="830" name="WordArt 5"/>
        <xdr:cNvSpPr>
          <a:spLocks noChangeArrowheads="1" noChangeShapeType="1" noTextEdit="1"/>
        </xdr:cNvSpPr>
      </xdr:nvSpPr>
      <xdr:spPr bwMode="auto">
        <a:xfrm>
          <a:off x="66650181"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43</xdr:row>
      <xdr:rowOff>123825</xdr:rowOff>
    </xdr:from>
    <xdr:to>
      <xdr:col>48</xdr:col>
      <xdr:colOff>3756</xdr:colOff>
      <xdr:row>44</xdr:row>
      <xdr:rowOff>98623</xdr:rowOff>
    </xdr:to>
    <xdr:sp macro="" textlink="">
      <xdr:nvSpPr>
        <xdr:cNvPr id="831" name="WordArt 6"/>
        <xdr:cNvSpPr>
          <a:spLocks noChangeArrowheads="1" noChangeShapeType="1" noTextEdit="1"/>
        </xdr:cNvSpPr>
      </xdr:nvSpPr>
      <xdr:spPr bwMode="auto">
        <a:xfrm>
          <a:off x="66650181"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43</xdr:row>
      <xdr:rowOff>109246</xdr:rowOff>
    </xdr:from>
    <xdr:to>
      <xdr:col>48</xdr:col>
      <xdr:colOff>3756</xdr:colOff>
      <xdr:row>44</xdr:row>
      <xdr:rowOff>90857</xdr:rowOff>
    </xdr:to>
    <xdr:sp macro="" textlink="">
      <xdr:nvSpPr>
        <xdr:cNvPr id="832" name="WordArt 5"/>
        <xdr:cNvSpPr>
          <a:spLocks noChangeArrowheads="1" noChangeShapeType="1" noTextEdit="1"/>
        </xdr:cNvSpPr>
      </xdr:nvSpPr>
      <xdr:spPr bwMode="auto">
        <a:xfrm>
          <a:off x="66650181"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45</xdr:row>
      <xdr:rowOff>67518</xdr:rowOff>
    </xdr:from>
    <xdr:to>
      <xdr:col>48</xdr:col>
      <xdr:colOff>3756</xdr:colOff>
      <xdr:row>46</xdr:row>
      <xdr:rowOff>42315</xdr:rowOff>
    </xdr:to>
    <xdr:sp macro="" textlink="">
      <xdr:nvSpPr>
        <xdr:cNvPr id="833" name="WordArt 6"/>
        <xdr:cNvSpPr>
          <a:spLocks noChangeArrowheads="1" noChangeShapeType="1" noTextEdit="1"/>
        </xdr:cNvSpPr>
      </xdr:nvSpPr>
      <xdr:spPr bwMode="auto">
        <a:xfrm>
          <a:off x="66650181" y="213082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44</xdr:row>
      <xdr:rowOff>110186</xdr:rowOff>
    </xdr:from>
    <xdr:to>
      <xdr:col>48</xdr:col>
      <xdr:colOff>3756</xdr:colOff>
      <xdr:row>45</xdr:row>
      <xdr:rowOff>91796</xdr:rowOff>
    </xdr:to>
    <xdr:sp macro="" textlink="">
      <xdr:nvSpPr>
        <xdr:cNvPr id="834" name="WordArt 5"/>
        <xdr:cNvSpPr>
          <a:spLocks noChangeArrowheads="1" noChangeShapeType="1" noTextEdit="1"/>
        </xdr:cNvSpPr>
      </xdr:nvSpPr>
      <xdr:spPr bwMode="auto">
        <a:xfrm>
          <a:off x="66650181"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3756</xdr:colOff>
      <xdr:row>42</xdr:row>
      <xdr:rowOff>122886</xdr:rowOff>
    </xdr:from>
    <xdr:to>
      <xdr:col>48</xdr:col>
      <xdr:colOff>3756</xdr:colOff>
      <xdr:row>43</xdr:row>
      <xdr:rowOff>97683</xdr:rowOff>
    </xdr:to>
    <xdr:sp macro="" textlink="">
      <xdr:nvSpPr>
        <xdr:cNvPr id="835" name="WordArt 6"/>
        <xdr:cNvSpPr>
          <a:spLocks noChangeArrowheads="1" noChangeShapeType="1" noTextEdit="1"/>
        </xdr:cNvSpPr>
      </xdr:nvSpPr>
      <xdr:spPr bwMode="auto">
        <a:xfrm>
          <a:off x="66650181"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45</xdr:row>
      <xdr:rowOff>111125</xdr:rowOff>
    </xdr:from>
    <xdr:to>
      <xdr:col>49</xdr:col>
      <xdr:colOff>3756</xdr:colOff>
      <xdr:row>46</xdr:row>
      <xdr:rowOff>82550</xdr:rowOff>
    </xdr:to>
    <xdr:sp macro="" textlink="">
      <xdr:nvSpPr>
        <xdr:cNvPr id="836" name="WordArt 5"/>
        <xdr:cNvSpPr>
          <a:spLocks noChangeArrowheads="1" noChangeShapeType="1" noTextEdit="1"/>
        </xdr:cNvSpPr>
      </xdr:nvSpPr>
      <xdr:spPr bwMode="auto">
        <a:xfrm>
          <a:off x="67936056"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3756</xdr:colOff>
      <xdr:row>43</xdr:row>
      <xdr:rowOff>123825</xdr:rowOff>
    </xdr:from>
    <xdr:to>
      <xdr:col>49</xdr:col>
      <xdr:colOff>3756</xdr:colOff>
      <xdr:row>44</xdr:row>
      <xdr:rowOff>98623</xdr:rowOff>
    </xdr:to>
    <xdr:sp macro="" textlink="">
      <xdr:nvSpPr>
        <xdr:cNvPr id="837" name="WordArt 6"/>
        <xdr:cNvSpPr>
          <a:spLocks noChangeArrowheads="1" noChangeShapeType="1" noTextEdit="1"/>
        </xdr:cNvSpPr>
      </xdr:nvSpPr>
      <xdr:spPr bwMode="auto">
        <a:xfrm>
          <a:off x="67936056"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43</xdr:row>
      <xdr:rowOff>109246</xdr:rowOff>
    </xdr:from>
    <xdr:to>
      <xdr:col>49</xdr:col>
      <xdr:colOff>3756</xdr:colOff>
      <xdr:row>44</xdr:row>
      <xdr:rowOff>90857</xdr:rowOff>
    </xdr:to>
    <xdr:sp macro="" textlink="">
      <xdr:nvSpPr>
        <xdr:cNvPr id="838" name="WordArt 5"/>
        <xdr:cNvSpPr>
          <a:spLocks noChangeArrowheads="1" noChangeShapeType="1" noTextEdit="1"/>
        </xdr:cNvSpPr>
      </xdr:nvSpPr>
      <xdr:spPr bwMode="auto">
        <a:xfrm>
          <a:off x="67936056"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3756</xdr:colOff>
      <xdr:row>45</xdr:row>
      <xdr:rowOff>67518</xdr:rowOff>
    </xdr:from>
    <xdr:to>
      <xdr:col>49</xdr:col>
      <xdr:colOff>3756</xdr:colOff>
      <xdr:row>46</xdr:row>
      <xdr:rowOff>42315</xdr:rowOff>
    </xdr:to>
    <xdr:sp macro="" textlink="">
      <xdr:nvSpPr>
        <xdr:cNvPr id="839" name="WordArt 6"/>
        <xdr:cNvSpPr>
          <a:spLocks noChangeArrowheads="1" noChangeShapeType="1" noTextEdit="1"/>
        </xdr:cNvSpPr>
      </xdr:nvSpPr>
      <xdr:spPr bwMode="auto">
        <a:xfrm>
          <a:off x="67936056" y="213082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110186</xdr:rowOff>
    </xdr:from>
    <xdr:to>
      <xdr:col>49</xdr:col>
      <xdr:colOff>3756</xdr:colOff>
      <xdr:row>45</xdr:row>
      <xdr:rowOff>91796</xdr:rowOff>
    </xdr:to>
    <xdr:sp macro="" textlink="">
      <xdr:nvSpPr>
        <xdr:cNvPr id="840" name="WordArt 5"/>
        <xdr:cNvSpPr>
          <a:spLocks noChangeArrowheads="1" noChangeShapeType="1" noTextEdit="1"/>
        </xdr:cNvSpPr>
      </xdr:nvSpPr>
      <xdr:spPr bwMode="auto">
        <a:xfrm>
          <a:off x="67936056"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3756</xdr:colOff>
      <xdr:row>42</xdr:row>
      <xdr:rowOff>122886</xdr:rowOff>
    </xdr:from>
    <xdr:to>
      <xdr:col>49</xdr:col>
      <xdr:colOff>3756</xdr:colOff>
      <xdr:row>43</xdr:row>
      <xdr:rowOff>97683</xdr:rowOff>
    </xdr:to>
    <xdr:sp macro="" textlink="">
      <xdr:nvSpPr>
        <xdr:cNvPr id="841" name="WordArt 6"/>
        <xdr:cNvSpPr>
          <a:spLocks noChangeArrowheads="1" noChangeShapeType="1" noTextEdit="1"/>
        </xdr:cNvSpPr>
      </xdr:nvSpPr>
      <xdr:spPr bwMode="auto">
        <a:xfrm>
          <a:off x="67936056"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45</xdr:row>
      <xdr:rowOff>111125</xdr:rowOff>
    </xdr:from>
    <xdr:to>
      <xdr:col>50</xdr:col>
      <xdr:colOff>3756</xdr:colOff>
      <xdr:row>46</xdr:row>
      <xdr:rowOff>82550</xdr:rowOff>
    </xdr:to>
    <xdr:sp macro="" textlink="">
      <xdr:nvSpPr>
        <xdr:cNvPr id="842" name="WordArt 5"/>
        <xdr:cNvSpPr>
          <a:spLocks noChangeArrowheads="1" noChangeShapeType="1" noTextEdit="1"/>
        </xdr:cNvSpPr>
      </xdr:nvSpPr>
      <xdr:spPr bwMode="auto">
        <a:xfrm>
          <a:off x="69221931"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43</xdr:row>
      <xdr:rowOff>123825</xdr:rowOff>
    </xdr:from>
    <xdr:to>
      <xdr:col>50</xdr:col>
      <xdr:colOff>3756</xdr:colOff>
      <xdr:row>44</xdr:row>
      <xdr:rowOff>98623</xdr:rowOff>
    </xdr:to>
    <xdr:sp macro="" textlink="">
      <xdr:nvSpPr>
        <xdr:cNvPr id="843" name="WordArt 6"/>
        <xdr:cNvSpPr>
          <a:spLocks noChangeArrowheads="1" noChangeShapeType="1" noTextEdit="1"/>
        </xdr:cNvSpPr>
      </xdr:nvSpPr>
      <xdr:spPr bwMode="auto">
        <a:xfrm>
          <a:off x="69221931"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43</xdr:row>
      <xdr:rowOff>109246</xdr:rowOff>
    </xdr:from>
    <xdr:to>
      <xdr:col>50</xdr:col>
      <xdr:colOff>3756</xdr:colOff>
      <xdr:row>44</xdr:row>
      <xdr:rowOff>90857</xdr:rowOff>
    </xdr:to>
    <xdr:sp macro="" textlink="">
      <xdr:nvSpPr>
        <xdr:cNvPr id="844" name="WordArt 5"/>
        <xdr:cNvSpPr>
          <a:spLocks noChangeArrowheads="1" noChangeShapeType="1" noTextEdit="1"/>
        </xdr:cNvSpPr>
      </xdr:nvSpPr>
      <xdr:spPr bwMode="auto">
        <a:xfrm>
          <a:off x="69221931"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45</xdr:row>
      <xdr:rowOff>67518</xdr:rowOff>
    </xdr:from>
    <xdr:to>
      <xdr:col>50</xdr:col>
      <xdr:colOff>3756</xdr:colOff>
      <xdr:row>46</xdr:row>
      <xdr:rowOff>42315</xdr:rowOff>
    </xdr:to>
    <xdr:sp macro="" textlink="">
      <xdr:nvSpPr>
        <xdr:cNvPr id="845" name="WordArt 6"/>
        <xdr:cNvSpPr>
          <a:spLocks noChangeArrowheads="1" noChangeShapeType="1" noTextEdit="1"/>
        </xdr:cNvSpPr>
      </xdr:nvSpPr>
      <xdr:spPr bwMode="auto">
        <a:xfrm>
          <a:off x="69221931" y="213082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44</xdr:row>
      <xdr:rowOff>110186</xdr:rowOff>
    </xdr:from>
    <xdr:to>
      <xdr:col>50</xdr:col>
      <xdr:colOff>3756</xdr:colOff>
      <xdr:row>45</xdr:row>
      <xdr:rowOff>91796</xdr:rowOff>
    </xdr:to>
    <xdr:sp macro="" textlink="">
      <xdr:nvSpPr>
        <xdr:cNvPr id="846" name="WordArt 5"/>
        <xdr:cNvSpPr>
          <a:spLocks noChangeArrowheads="1" noChangeShapeType="1" noTextEdit="1"/>
        </xdr:cNvSpPr>
      </xdr:nvSpPr>
      <xdr:spPr bwMode="auto">
        <a:xfrm>
          <a:off x="69221931"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42</xdr:row>
      <xdr:rowOff>122886</xdr:rowOff>
    </xdr:from>
    <xdr:to>
      <xdr:col>50</xdr:col>
      <xdr:colOff>3756</xdr:colOff>
      <xdr:row>43</xdr:row>
      <xdr:rowOff>97683</xdr:rowOff>
    </xdr:to>
    <xdr:sp macro="" textlink="">
      <xdr:nvSpPr>
        <xdr:cNvPr id="847" name="WordArt 6"/>
        <xdr:cNvSpPr>
          <a:spLocks noChangeArrowheads="1" noChangeShapeType="1" noTextEdit="1"/>
        </xdr:cNvSpPr>
      </xdr:nvSpPr>
      <xdr:spPr bwMode="auto">
        <a:xfrm>
          <a:off x="69221931"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45</xdr:row>
      <xdr:rowOff>111125</xdr:rowOff>
    </xdr:from>
    <xdr:to>
      <xdr:col>51</xdr:col>
      <xdr:colOff>3756</xdr:colOff>
      <xdr:row>46</xdr:row>
      <xdr:rowOff>82550</xdr:rowOff>
    </xdr:to>
    <xdr:sp macro="" textlink="">
      <xdr:nvSpPr>
        <xdr:cNvPr id="848" name="WordArt 5"/>
        <xdr:cNvSpPr>
          <a:spLocks noChangeArrowheads="1" noChangeShapeType="1" noTextEdit="1"/>
        </xdr:cNvSpPr>
      </xdr:nvSpPr>
      <xdr:spPr bwMode="auto">
        <a:xfrm>
          <a:off x="70479231"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3756</xdr:colOff>
      <xdr:row>43</xdr:row>
      <xdr:rowOff>123825</xdr:rowOff>
    </xdr:from>
    <xdr:to>
      <xdr:col>51</xdr:col>
      <xdr:colOff>3756</xdr:colOff>
      <xdr:row>44</xdr:row>
      <xdr:rowOff>98623</xdr:rowOff>
    </xdr:to>
    <xdr:sp macro="" textlink="">
      <xdr:nvSpPr>
        <xdr:cNvPr id="849" name="WordArt 6"/>
        <xdr:cNvSpPr>
          <a:spLocks noChangeArrowheads="1" noChangeShapeType="1" noTextEdit="1"/>
        </xdr:cNvSpPr>
      </xdr:nvSpPr>
      <xdr:spPr bwMode="auto">
        <a:xfrm>
          <a:off x="70479231"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43</xdr:row>
      <xdr:rowOff>109246</xdr:rowOff>
    </xdr:from>
    <xdr:to>
      <xdr:col>51</xdr:col>
      <xdr:colOff>3756</xdr:colOff>
      <xdr:row>44</xdr:row>
      <xdr:rowOff>90857</xdr:rowOff>
    </xdr:to>
    <xdr:sp macro="" textlink="">
      <xdr:nvSpPr>
        <xdr:cNvPr id="850" name="WordArt 5"/>
        <xdr:cNvSpPr>
          <a:spLocks noChangeArrowheads="1" noChangeShapeType="1" noTextEdit="1"/>
        </xdr:cNvSpPr>
      </xdr:nvSpPr>
      <xdr:spPr bwMode="auto">
        <a:xfrm>
          <a:off x="70479231"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3756</xdr:colOff>
      <xdr:row>45</xdr:row>
      <xdr:rowOff>67518</xdr:rowOff>
    </xdr:from>
    <xdr:to>
      <xdr:col>51</xdr:col>
      <xdr:colOff>3756</xdr:colOff>
      <xdr:row>46</xdr:row>
      <xdr:rowOff>42315</xdr:rowOff>
    </xdr:to>
    <xdr:sp macro="" textlink="">
      <xdr:nvSpPr>
        <xdr:cNvPr id="851" name="WordArt 6"/>
        <xdr:cNvSpPr>
          <a:spLocks noChangeArrowheads="1" noChangeShapeType="1" noTextEdit="1"/>
        </xdr:cNvSpPr>
      </xdr:nvSpPr>
      <xdr:spPr bwMode="auto">
        <a:xfrm>
          <a:off x="70479231" y="213082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44</xdr:row>
      <xdr:rowOff>110186</xdr:rowOff>
    </xdr:from>
    <xdr:to>
      <xdr:col>51</xdr:col>
      <xdr:colOff>3756</xdr:colOff>
      <xdr:row>45</xdr:row>
      <xdr:rowOff>91796</xdr:rowOff>
    </xdr:to>
    <xdr:sp macro="" textlink="">
      <xdr:nvSpPr>
        <xdr:cNvPr id="852" name="WordArt 5"/>
        <xdr:cNvSpPr>
          <a:spLocks noChangeArrowheads="1" noChangeShapeType="1" noTextEdit="1"/>
        </xdr:cNvSpPr>
      </xdr:nvSpPr>
      <xdr:spPr bwMode="auto">
        <a:xfrm>
          <a:off x="70479231"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1384882</xdr:colOff>
      <xdr:row>42</xdr:row>
      <xdr:rowOff>122886</xdr:rowOff>
    </xdr:from>
    <xdr:to>
      <xdr:col>50</xdr:col>
      <xdr:colOff>1384882</xdr:colOff>
      <xdr:row>43</xdr:row>
      <xdr:rowOff>97683</xdr:rowOff>
    </xdr:to>
    <xdr:sp macro="" textlink="">
      <xdr:nvSpPr>
        <xdr:cNvPr id="853" name="WordArt 6"/>
        <xdr:cNvSpPr>
          <a:spLocks noChangeArrowheads="1" noChangeShapeType="1" noTextEdit="1"/>
        </xdr:cNvSpPr>
      </xdr:nvSpPr>
      <xdr:spPr bwMode="auto">
        <a:xfrm>
          <a:off x="70479232"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45</xdr:row>
      <xdr:rowOff>111125</xdr:rowOff>
    </xdr:from>
    <xdr:to>
      <xdr:col>52</xdr:col>
      <xdr:colOff>3756</xdr:colOff>
      <xdr:row>46</xdr:row>
      <xdr:rowOff>82550</xdr:rowOff>
    </xdr:to>
    <xdr:sp macro="" textlink="">
      <xdr:nvSpPr>
        <xdr:cNvPr id="854" name="WordArt 5"/>
        <xdr:cNvSpPr>
          <a:spLocks noChangeArrowheads="1" noChangeShapeType="1" noTextEdit="1"/>
        </xdr:cNvSpPr>
      </xdr:nvSpPr>
      <xdr:spPr bwMode="auto">
        <a:xfrm>
          <a:off x="71888931"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43</xdr:row>
      <xdr:rowOff>123825</xdr:rowOff>
    </xdr:from>
    <xdr:to>
      <xdr:col>52</xdr:col>
      <xdr:colOff>3756</xdr:colOff>
      <xdr:row>44</xdr:row>
      <xdr:rowOff>98623</xdr:rowOff>
    </xdr:to>
    <xdr:sp macro="" textlink="">
      <xdr:nvSpPr>
        <xdr:cNvPr id="855" name="WordArt 6"/>
        <xdr:cNvSpPr>
          <a:spLocks noChangeArrowheads="1" noChangeShapeType="1" noTextEdit="1"/>
        </xdr:cNvSpPr>
      </xdr:nvSpPr>
      <xdr:spPr bwMode="auto">
        <a:xfrm>
          <a:off x="71888931"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43</xdr:row>
      <xdr:rowOff>109246</xdr:rowOff>
    </xdr:from>
    <xdr:to>
      <xdr:col>52</xdr:col>
      <xdr:colOff>3756</xdr:colOff>
      <xdr:row>44</xdr:row>
      <xdr:rowOff>90857</xdr:rowOff>
    </xdr:to>
    <xdr:sp macro="" textlink="">
      <xdr:nvSpPr>
        <xdr:cNvPr id="856" name="WordArt 5"/>
        <xdr:cNvSpPr>
          <a:spLocks noChangeArrowheads="1" noChangeShapeType="1" noTextEdit="1"/>
        </xdr:cNvSpPr>
      </xdr:nvSpPr>
      <xdr:spPr bwMode="auto">
        <a:xfrm>
          <a:off x="71888931"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45</xdr:row>
      <xdr:rowOff>67518</xdr:rowOff>
    </xdr:from>
    <xdr:to>
      <xdr:col>52</xdr:col>
      <xdr:colOff>3756</xdr:colOff>
      <xdr:row>46</xdr:row>
      <xdr:rowOff>42315</xdr:rowOff>
    </xdr:to>
    <xdr:sp macro="" textlink="">
      <xdr:nvSpPr>
        <xdr:cNvPr id="857" name="WordArt 6"/>
        <xdr:cNvSpPr>
          <a:spLocks noChangeArrowheads="1" noChangeShapeType="1" noTextEdit="1"/>
        </xdr:cNvSpPr>
      </xdr:nvSpPr>
      <xdr:spPr bwMode="auto">
        <a:xfrm>
          <a:off x="71888931" y="213082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1134852</xdr:colOff>
      <xdr:row>44</xdr:row>
      <xdr:rowOff>110186</xdr:rowOff>
    </xdr:from>
    <xdr:to>
      <xdr:col>51</xdr:col>
      <xdr:colOff>1134852</xdr:colOff>
      <xdr:row>45</xdr:row>
      <xdr:rowOff>91796</xdr:rowOff>
    </xdr:to>
    <xdr:sp macro="" textlink="">
      <xdr:nvSpPr>
        <xdr:cNvPr id="858" name="WordArt 5"/>
        <xdr:cNvSpPr>
          <a:spLocks noChangeArrowheads="1" noChangeShapeType="1" noTextEdit="1"/>
        </xdr:cNvSpPr>
      </xdr:nvSpPr>
      <xdr:spPr bwMode="auto">
        <a:xfrm>
          <a:off x="71610327"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3756</xdr:colOff>
      <xdr:row>42</xdr:row>
      <xdr:rowOff>122886</xdr:rowOff>
    </xdr:from>
    <xdr:to>
      <xdr:col>52</xdr:col>
      <xdr:colOff>3756</xdr:colOff>
      <xdr:row>43</xdr:row>
      <xdr:rowOff>97683</xdr:rowOff>
    </xdr:to>
    <xdr:sp macro="" textlink="">
      <xdr:nvSpPr>
        <xdr:cNvPr id="859" name="WordArt 6"/>
        <xdr:cNvSpPr>
          <a:spLocks noChangeArrowheads="1" noChangeShapeType="1" noTextEdit="1"/>
        </xdr:cNvSpPr>
      </xdr:nvSpPr>
      <xdr:spPr bwMode="auto">
        <a:xfrm>
          <a:off x="71888931"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45</xdr:row>
      <xdr:rowOff>111125</xdr:rowOff>
    </xdr:from>
    <xdr:to>
      <xdr:col>50</xdr:col>
      <xdr:colOff>3756</xdr:colOff>
      <xdr:row>46</xdr:row>
      <xdr:rowOff>82550</xdr:rowOff>
    </xdr:to>
    <xdr:sp macro="" textlink="">
      <xdr:nvSpPr>
        <xdr:cNvPr id="860" name="WordArt 5"/>
        <xdr:cNvSpPr>
          <a:spLocks noChangeArrowheads="1" noChangeShapeType="1" noTextEdit="1"/>
        </xdr:cNvSpPr>
      </xdr:nvSpPr>
      <xdr:spPr bwMode="auto">
        <a:xfrm>
          <a:off x="69221931"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43</xdr:row>
      <xdr:rowOff>123825</xdr:rowOff>
    </xdr:from>
    <xdr:to>
      <xdr:col>50</xdr:col>
      <xdr:colOff>3756</xdr:colOff>
      <xdr:row>44</xdr:row>
      <xdr:rowOff>98623</xdr:rowOff>
    </xdr:to>
    <xdr:sp macro="" textlink="">
      <xdr:nvSpPr>
        <xdr:cNvPr id="861" name="WordArt 6"/>
        <xdr:cNvSpPr>
          <a:spLocks noChangeArrowheads="1" noChangeShapeType="1" noTextEdit="1"/>
        </xdr:cNvSpPr>
      </xdr:nvSpPr>
      <xdr:spPr bwMode="auto">
        <a:xfrm>
          <a:off x="69221931"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43</xdr:row>
      <xdr:rowOff>109246</xdr:rowOff>
    </xdr:from>
    <xdr:to>
      <xdr:col>50</xdr:col>
      <xdr:colOff>3756</xdr:colOff>
      <xdr:row>44</xdr:row>
      <xdr:rowOff>90857</xdr:rowOff>
    </xdr:to>
    <xdr:sp macro="" textlink="">
      <xdr:nvSpPr>
        <xdr:cNvPr id="862" name="WordArt 5"/>
        <xdr:cNvSpPr>
          <a:spLocks noChangeArrowheads="1" noChangeShapeType="1" noTextEdit="1"/>
        </xdr:cNvSpPr>
      </xdr:nvSpPr>
      <xdr:spPr bwMode="auto">
        <a:xfrm>
          <a:off x="69221931"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45</xdr:row>
      <xdr:rowOff>67518</xdr:rowOff>
    </xdr:from>
    <xdr:to>
      <xdr:col>50</xdr:col>
      <xdr:colOff>3756</xdr:colOff>
      <xdr:row>46</xdr:row>
      <xdr:rowOff>42315</xdr:rowOff>
    </xdr:to>
    <xdr:sp macro="" textlink="">
      <xdr:nvSpPr>
        <xdr:cNvPr id="863" name="WordArt 6"/>
        <xdr:cNvSpPr>
          <a:spLocks noChangeArrowheads="1" noChangeShapeType="1" noTextEdit="1"/>
        </xdr:cNvSpPr>
      </xdr:nvSpPr>
      <xdr:spPr bwMode="auto">
        <a:xfrm>
          <a:off x="69221931" y="213082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44</xdr:row>
      <xdr:rowOff>110186</xdr:rowOff>
    </xdr:from>
    <xdr:to>
      <xdr:col>50</xdr:col>
      <xdr:colOff>3756</xdr:colOff>
      <xdr:row>45</xdr:row>
      <xdr:rowOff>91796</xdr:rowOff>
    </xdr:to>
    <xdr:sp macro="" textlink="">
      <xdr:nvSpPr>
        <xdr:cNvPr id="864" name="WordArt 5"/>
        <xdr:cNvSpPr>
          <a:spLocks noChangeArrowheads="1" noChangeShapeType="1" noTextEdit="1"/>
        </xdr:cNvSpPr>
      </xdr:nvSpPr>
      <xdr:spPr bwMode="auto">
        <a:xfrm>
          <a:off x="69221931"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3756</xdr:colOff>
      <xdr:row>42</xdr:row>
      <xdr:rowOff>122886</xdr:rowOff>
    </xdr:from>
    <xdr:to>
      <xdr:col>50</xdr:col>
      <xdr:colOff>3756</xdr:colOff>
      <xdr:row>43</xdr:row>
      <xdr:rowOff>97683</xdr:rowOff>
    </xdr:to>
    <xdr:sp macro="" textlink="">
      <xdr:nvSpPr>
        <xdr:cNvPr id="865" name="WordArt 6"/>
        <xdr:cNvSpPr>
          <a:spLocks noChangeArrowheads="1" noChangeShapeType="1" noTextEdit="1"/>
        </xdr:cNvSpPr>
      </xdr:nvSpPr>
      <xdr:spPr bwMode="auto">
        <a:xfrm>
          <a:off x="69221931"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45</xdr:row>
      <xdr:rowOff>111125</xdr:rowOff>
    </xdr:from>
    <xdr:to>
      <xdr:col>51</xdr:col>
      <xdr:colOff>3756</xdr:colOff>
      <xdr:row>46</xdr:row>
      <xdr:rowOff>82550</xdr:rowOff>
    </xdr:to>
    <xdr:sp macro="" textlink="">
      <xdr:nvSpPr>
        <xdr:cNvPr id="866" name="WordArt 5"/>
        <xdr:cNvSpPr>
          <a:spLocks noChangeArrowheads="1" noChangeShapeType="1" noTextEdit="1"/>
        </xdr:cNvSpPr>
      </xdr:nvSpPr>
      <xdr:spPr bwMode="auto">
        <a:xfrm>
          <a:off x="70479231"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3756</xdr:colOff>
      <xdr:row>43</xdr:row>
      <xdr:rowOff>123825</xdr:rowOff>
    </xdr:from>
    <xdr:to>
      <xdr:col>51</xdr:col>
      <xdr:colOff>3756</xdr:colOff>
      <xdr:row>44</xdr:row>
      <xdr:rowOff>98623</xdr:rowOff>
    </xdr:to>
    <xdr:sp macro="" textlink="">
      <xdr:nvSpPr>
        <xdr:cNvPr id="867" name="WordArt 6"/>
        <xdr:cNvSpPr>
          <a:spLocks noChangeArrowheads="1" noChangeShapeType="1" noTextEdit="1"/>
        </xdr:cNvSpPr>
      </xdr:nvSpPr>
      <xdr:spPr bwMode="auto">
        <a:xfrm>
          <a:off x="70479231"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43</xdr:row>
      <xdr:rowOff>109246</xdr:rowOff>
    </xdr:from>
    <xdr:to>
      <xdr:col>51</xdr:col>
      <xdr:colOff>3756</xdr:colOff>
      <xdr:row>44</xdr:row>
      <xdr:rowOff>90857</xdr:rowOff>
    </xdr:to>
    <xdr:sp macro="" textlink="">
      <xdr:nvSpPr>
        <xdr:cNvPr id="868" name="WordArt 5"/>
        <xdr:cNvSpPr>
          <a:spLocks noChangeArrowheads="1" noChangeShapeType="1" noTextEdit="1"/>
        </xdr:cNvSpPr>
      </xdr:nvSpPr>
      <xdr:spPr bwMode="auto">
        <a:xfrm>
          <a:off x="70479231"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3756</xdr:colOff>
      <xdr:row>45</xdr:row>
      <xdr:rowOff>67518</xdr:rowOff>
    </xdr:from>
    <xdr:to>
      <xdr:col>51</xdr:col>
      <xdr:colOff>3756</xdr:colOff>
      <xdr:row>46</xdr:row>
      <xdr:rowOff>42315</xdr:rowOff>
    </xdr:to>
    <xdr:sp macro="" textlink="">
      <xdr:nvSpPr>
        <xdr:cNvPr id="869" name="WordArt 6"/>
        <xdr:cNvSpPr>
          <a:spLocks noChangeArrowheads="1" noChangeShapeType="1" noTextEdit="1"/>
        </xdr:cNvSpPr>
      </xdr:nvSpPr>
      <xdr:spPr bwMode="auto">
        <a:xfrm>
          <a:off x="70479231" y="213082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44</xdr:row>
      <xdr:rowOff>110186</xdr:rowOff>
    </xdr:from>
    <xdr:to>
      <xdr:col>51</xdr:col>
      <xdr:colOff>3756</xdr:colOff>
      <xdr:row>45</xdr:row>
      <xdr:rowOff>91796</xdr:rowOff>
    </xdr:to>
    <xdr:sp macro="" textlink="">
      <xdr:nvSpPr>
        <xdr:cNvPr id="870" name="WordArt 5"/>
        <xdr:cNvSpPr>
          <a:spLocks noChangeArrowheads="1" noChangeShapeType="1" noTextEdit="1"/>
        </xdr:cNvSpPr>
      </xdr:nvSpPr>
      <xdr:spPr bwMode="auto">
        <a:xfrm>
          <a:off x="70479231"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3756</xdr:colOff>
      <xdr:row>42</xdr:row>
      <xdr:rowOff>122886</xdr:rowOff>
    </xdr:from>
    <xdr:to>
      <xdr:col>51</xdr:col>
      <xdr:colOff>3756</xdr:colOff>
      <xdr:row>43</xdr:row>
      <xdr:rowOff>97683</xdr:rowOff>
    </xdr:to>
    <xdr:sp macro="" textlink="">
      <xdr:nvSpPr>
        <xdr:cNvPr id="871" name="WordArt 6"/>
        <xdr:cNvSpPr>
          <a:spLocks noChangeArrowheads="1" noChangeShapeType="1" noTextEdit="1"/>
        </xdr:cNvSpPr>
      </xdr:nvSpPr>
      <xdr:spPr bwMode="auto">
        <a:xfrm>
          <a:off x="70479231"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45</xdr:row>
      <xdr:rowOff>111125</xdr:rowOff>
    </xdr:from>
    <xdr:to>
      <xdr:col>57</xdr:col>
      <xdr:colOff>3756</xdr:colOff>
      <xdr:row>46</xdr:row>
      <xdr:rowOff>82550</xdr:rowOff>
    </xdr:to>
    <xdr:sp macro="" textlink="">
      <xdr:nvSpPr>
        <xdr:cNvPr id="872" name="WordArt 5"/>
        <xdr:cNvSpPr>
          <a:spLocks noChangeArrowheads="1" noChangeShapeType="1" noTextEdit="1"/>
        </xdr:cNvSpPr>
      </xdr:nvSpPr>
      <xdr:spPr bwMode="auto">
        <a:xfrm>
          <a:off x="78927906"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43</xdr:row>
      <xdr:rowOff>123825</xdr:rowOff>
    </xdr:from>
    <xdr:to>
      <xdr:col>57</xdr:col>
      <xdr:colOff>3756</xdr:colOff>
      <xdr:row>44</xdr:row>
      <xdr:rowOff>98623</xdr:rowOff>
    </xdr:to>
    <xdr:sp macro="" textlink="">
      <xdr:nvSpPr>
        <xdr:cNvPr id="873" name="WordArt 6"/>
        <xdr:cNvSpPr>
          <a:spLocks noChangeArrowheads="1" noChangeShapeType="1" noTextEdit="1"/>
        </xdr:cNvSpPr>
      </xdr:nvSpPr>
      <xdr:spPr bwMode="auto">
        <a:xfrm>
          <a:off x="78927906"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111125</xdr:rowOff>
    </xdr:from>
    <xdr:to>
      <xdr:col>55</xdr:col>
      <xdr:colOff>1012243</xdr:colOff>
      <xdr:row>46</xdr:row>
      <xdr:rowOff>82550</xdr:rowOff>
    </xdr:to>
    <xdr:sp macro="" textlink="">
      <xdr:nvSpPr>
        <xdr:cNvPr id="874" name="WordArt 5"/>
        <xdr:cNvSpPr>
          <a:spLocks noChangeArrowheads="1" noChangeShapeType="1" noTextEdit="1"/>
        </xdr:cNvSpPr>
      </xdr:nvSpPr>
      <xdr:spPr bwMode="auto">
        <a:xfrm>
          <a:off x="77145568"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43</xdr:row>
      <xdr:rowOff>123825</xdr:rowOff>
    </xdr:from>
    <xdr:to>
      <xdr:col>55</xdr:col>
      <xdr:colOff>1012243</xdr:colOff>
      <xdr:row>44</xdr:row>
      <xdr:rowOff>98623</xdr:rowOff>
    </xdr:to>
    <xdr:sp macro="" textlink="">
      <xdr:nvSpPr>
        <xdr:cNvPr id="875" name="WordArt 6"/>
        <xdr:cNvSpPr>
          <a:spLocks noChangeArrowheads="1" noChangeShapeType="1" noTextEdit="1"/>
        </xdr:cNvSpPr>
      </xdr:nvSpPr>
      <xdr:spPr bwMode="auto">
        <a:xfrm>
          <a:off x="77145568"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111125</xdr:rowOff>
    </xdr:from>
    <xdr:to>
      <xdr:col>55</xdr:col>
      <xdr:colOff>1012243</xdr:colOff>
      <xdr:row>46</xdr:row>
      <xdr:rowOff>82550</xdr:rowOff>
    </xdr:to>
    <xdr:sp macro="" textlink="">
      <xdr:nvSpPr>
        <xdr:cNvPr id="876" name="WordArt 5"/>
        <xdr:cNvSpPr>
          <a:spLocks noChangeArrowheads="1" noChangeShapeType="1" noTextEdit="1"/>
        </xdr:cNvSpPr>
      </xdr:nvSpPr>
      <xdr:spPr bwMode="auto">
        <a:xfrm>
          <a:off x="77145568"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43</xdr:row>
      <xdr:rowOff>123825</xdr:rowOff>
    </xdr:from>
    <xdr:to>
      <xdr:col>55</xdr:col>
      <xdr:colOff>1012243</xdr:colOff>
      <xdr:row>44</xdr:row>
      <xdr:rowOff>98623</xdr:rowOff>
    </xdr:to>
    <xdr:sp macro="" textlink="">
      <xdr:nvSpPr>
        <xdr:cNvPr id="877" name="WordArt 6"/>
        <xdr:cNvSpPr>
          <a:spLocks noChangeArrowheads="1" noChangeShapeType="1" noTextEdit="1"/>
        </xdr:cNvSpPr>
      </xdr:nvSpPr>
      <xdr:spPr bwMode="auto">
        <a:xfrm>
          <a:off x="77145568"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43</xdr:row>
      <xdr:rowOff>109246</xdr:rowOff>
    </xdr:from>
    <xdr:to>
      <xdr:col>57</xdr:col>
      <xdr:colOff>3756</xdr:colOff>
      <xdr:row>44</xdr:row>
      <xdr:rowOff>90857</xdr:rowOff>
    </xdr:to>
    <xdr:sp macro="" textlink="">
      <xdr:nvSpPr>
        <xdr:cNvPr id="878" name="WordArt 5"/>
        <xdr:cNvSpPr>
          <a:spLocks noChangeArrowheads="1" noChangeShapeType="1" noTextEdit="1"/>
        </xdr:cNvSpPr>
      </xdr:nvSpPr>
      <xdr:spPr bwMode="auto">
        <a:xfrm>
          <a:off x="78927906"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41</xdr:row>
      <xdr:rowOff>121947</xdr:rowOff>
    </xdr:from>
    <xdr:to>
      <xdr:col>57</xdr:col>
      <xdr:colOff>3756</xdr:colOff>
      <xdr:row>42</xdr:row>
      <xdr:rowOff>96744</xdr:rowOff>
    </xdr:to>
    <xdr:sp macro="" textlink="">
      <xdr:nvSpPr>
        <xdr:cNvPr id="879" name="WordArt 6"/>
        <xdr:cNvSpPr>
          <a:spLocks noChangeArrowheads="1" noChangeShapeType="1" noTextEdit="1"/>
        </xdr:cNvSpPr>
      </xdr:nvSpPr>
      <xdr:spPr bwMode="auto">
        <a:xfrm>
          <a:off x="78927906"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43</xdr:row>
      <xdr:rowOff>109246</xdr:rowOff>
    </xdr:from>
    <xdr:to>
      <xdr:col>55</xdr:col>
      <xdr:colOff>1012243</xdr:colOff>
      <xdr:row>44</xdr:row>
      <xdr:rowOff>90857</xdr:rowOff>
    </xdr:to>
    <xdr:sp macro="" textlink="">
      <xdr:nvSpPr>
        <xdr:cNvPr id="880" name="WordArt 5"/>
        <xdr:cNvSpPr>
          <a:spLocks noChangeArrowheads="1" noChangeShapeType="1" noTextEdit="1"/>
        </xdr:cNvSpPr>
      </xdr:nvSpPr>
      <xdr:spPr bwMode="auto">
        <a:xfrm>
          <a:off x="77145568"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41</xdr:row>
      <xdr:rowOff>121947</xdr:rowOff>
    </xdr:from>
    <xdr:to>
      <xdr:col>55</xdr:col>
      <xdr:colOff>1012243</xdr:colOff>
      <xdr:row>42</xdr:row>
      <xdr:rowOff>96744</xdr:rowOff>
    </xdr:to>
    <xdr:sp macro="" textlink="">
      <xdr:nvSpPr>
        <xdr:cNvPr id="881" name="WordArt 6"/>
        <xdr:cNvSpPr>
          <a:spLocks noChangeArrowheads="1" noChangeShapeType="1" noTextEdit="1"/>
        </xdr:cNvSpPr>
      </xdr:nvSpPr>
      <xdr:spPr bwMode="auto">
        <a:xfrm>
          <a:off x="77145568"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43</xdr:row>
      <xdr:rowOff>109246</xdr:rowOff>
    </xdr:from>
    <xdr:to>
      <xdr:col>55</xdr:col>
      <xdr:colOff>1012243</xdr:colOff>
      <xdr:row>44</xdr:row>
      <xdr:rowOff>90857</xdr:rowOff>
    </xdr:to>
    <xdr:sp macro="" textlink="">
      <xdr:nvSpPr>
        <xdr:cNvPr id="882" name="WordArt 5"/>
        <xdr:cNvSpPr>
          <a:spLocks noChangeArrowheads="1" noChangeShapeType="1" noTextEdit="1"/>
        </xdr:cNvSpPr>
      </xdr:nvSpPr>
      <xdr:spPr bwMode="auto">
        <a:xfrm>
          <a:off x="77145568"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41</xdr:row>
      <xdr:rowOff>121947</xdr:rowOff>
    </xdr:from>
    <xdr:to>
      <xdr:col>55</xdr:col>
      <xdr:colOff>1012243</xdr:colOff>
      <xdr:row>42</xdr:row>
      <xdr:rowOff>96744</xdr:rowOff>
    </xdr:to>
    <xdr:sp macro="" textlink="">
      <xdr:nvSpPr>
        <xdr:cNvPr id="883" name="WordArt 6"/>
        <xdr:cNvSpPr>
          <a:spLocks noChangeArrowheads="1" noChangeShapeType="1" noTextEdit="1"/>
        </xdr:cNvSpPr>
      </xdr:nvSpPr>
      <xdr:spPr bwMode="auto">
        <a:xfrm>
          <a:off x="77145568"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44</xdr:row>
      <xdr:rowOff>110186</xdr:rowOff>
    </xdr:from>
    <xdr:to>
      <xdr:col>57</xdr:col>
      <xdr:colOff>3756</xdr:colOff>
      <xdr:row>45</xdr:row>
      <xdr:rowOff>91796</xdr:rowOff>
    </xdr:to>
    <xdr:sp macro="" textlink="">
      <xdr:nvSpPr>
        <xdr:cNvPr id="884" name="WordArt 5"/>
        <xdr:cNvSpPr>
          <a:spLocks noChangeArrowheads="1" noChangeShapeType="1" noTextEdit="1"/>
        </xdr:cNvSpPr>
      </xdr:nvSpPr>
      <xdr:spPr bwMode="auto">
        <a:xfrm>
          <a:off x="78927906"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42</xdr:row>
      <xdr:rowOff>122886</xdr:rowOff>
    </xdr:from>
    <xdr:to>
      <xdr:col>57</xdr:col>
      <xdr:colOff>3756</xdr:colOff>
      <xdr:row>43</xdr:row>
      <xdr:rowOff>97683</xdr:rowOff>
    </xdr:to>
    <xdr:sp macro="" textlink="">
      <xdr:nvSpPr>
        <xdr:cNvPr id="885" name="WordArt 6"/>
        <xdr:cNvSpPr>
          <a:spLocks noChangeArrowheads="1" noChangeShapeType="1" noTextEdit="1"/>
        </xdr:cNvSpPr>
      </xdr:nvSpPr>
      <xdr:spPr bwMode="auto">
        <a:xfrm>
          <a:off x="78927906"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110186</xdr:rowOff>
    </xdr:from>
    <xdr:to>
      <xdr:col>55</xdr:col>
      <xdr:colOff>1012243</xdr:colOff>
      <xdr:row>45</xdr:row>
      <xdr:rowOff>91796</xdr:rowOff>
    </xdr:to>
    <xdr:sp macro="" textlink="">
      <xdr:nvSpPr>
        <xdr:cNvPr id="886" name="WordArt 5"/>
        <xdr:cNvSpPr>
          <a:spLocks noChangeArrowheads="1" noChangeShapeType="1" noTextEdit="1"/>
        </xdr:cNvSpPr>
      </xdr:nvSpPr>
      <xdr:spPr bwMode="auto">
        <a:xfrm>
          <a:off x="77145568"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44</xdr:row>
      <xdr:rowOff>110186</xdr:rowOff>
    </xdr:from>
    <xdr:to>
      <xdr:col>55</xdr:col>
      <xdr:colOff>1012243</xdr:colOff>
      <xdr:row>45</xdr:row>
      <xdr:rowOff>91796</xdr:rowOff>
    </xdr:to>
    <xdr:sp macro="" textlink="">
      <xdr:nvSpPr>
        <xdr:cNvPr id="887" name="WordArt 5"/>
        <xdr:cNvSpPr>
          <a:spLocks noChangeArrowheads="1" noChangeShapeType="1" noTextEdit="1"/>
        </xdr:cNvSpPr>
      </xdr:nvSpPr>
      <xdr:spPr bwMode="auto">
        <a:xfrm>
          <a:off x="77145568"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45</xdr:row>
      <xdr:rowOff>111125</xdr:rowOff>
    </xdr:from>
    <xdr:to>
      <xdr:col>56</xdr:col>
      <xdr:colOff>3756</xdr:colOff>
      <xdr:row>46</xdr:row>
      <xdr:rowOff>82550</xdr:rowOff>
    </xdr:to>
    <xdr:sp macro="" textlink="">
      <xdr:nvSpPr>
        <xdr:cNvPr id="888" name="WordArt 5"/>
        <xdr:cNvSpPr>
          <a:spLocks noChangeArrowheads="1" noChangeShapeType="1" noTextEdit="1"/>
        </xdr:cNvSpPr>
      </xdr:nvSpPr>
      <xdr:spPr bwMode="auto">
        <a:xfrm>
          <a:off x="77546781"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43</xdr:row>
      <xdr:rowOff>123825</xdr:rowOff>
    </xdr:from>
    <xdr:to>
      <xdr:col>56</xdr:col>
      <xdr:colOff>3756</xdr:colOff>
      <xdr:row>44</xdr:row>
      <xdr:rowOff>98623</xdr:rowOff>
    </xdr:to>
    <xdr:sp macro="" textlink="">
      <xdr:nvSpPr>
        <xdr:cNvPr id="889" name="WordArt 6"/>
        <xdr:cNvSpPr>
          <a:spLocks noChangeArrowheads="1" noChangeShapeType="1" noTextEdit="1"/>
        </xdr:cNvSpPr>
      </xdr:nvSpPr>
      <xdr:spPr bwMode="auto">
        <a:xfrm>
          <a:off x="77546781"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45</xdr:row>
      <xdr:rowOff>111125</xdr:rowOff>
    </xdr:from>
    <xdr:to>
      <xdr:col>57</xdr:col>
      <xdr:colOff>1012243</xdr:colOff>
      <xdr:row>46</xdr:row>
      <xdr:rowOff>82550</xdr:rowOff>
    </xdr:to>
    <xdr:sp macro="" textlink="">
      <xdr:nvSpPr>
        <xdr:cNvPr id="890" name="WordArt 5"/>
        <xdr:cNvSpPr>
          <a:spLocks noChangeArrowheads="1" noChangeShapeType="1" noTextEdit="1"/>
        </xdr:cNvSpPr>
      </xdr:nvSpPr>
      <xdr:spPr bwMode="auto">
        <a:xfrm>
          <a:off x="79936393"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43</xdr:row>
      <xdr:rowOff>123825</xdr:rowOff>
    </xdr:from>
    <xdr:to>
      <xdr:col>57</xdr:col>
      <xdr:colOff>1012243</xdr:colOff>
      <xdr:row>44</xdr:row>
      <xdr:rowOff>98623</xdr:rowOff>
    </xdr:to>
    <xdr:sp macro="" textlink="">
      <xdr:nvSpPr>
        <xdr:cNvPr id="891" name="WordArt 6"/>
        <xdr:cNvSpPr>
          <a:spLocks noChangeArrowheads="1" noChangeShapeType="1" noTextEdit="1"/>
        </xdr:cNvSpPr>
      </xdr:nvSpPr>
      <xdr:spPr bwMode="auto">
        <a:xfrm>
          <a:off x="79936393"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45</xdr:row>
      <xdr:rowOff>111125</xdr:rowOff>
    </xdr:from>
    <xdr:to>
      <xdr:col>57</xdr:col>
      <xdr:colOff>1012243</xdr:colOff>
      <xdr:row>46</xdr:row>
      <xdr:rowOff>82550</xdr:rowOff>
    </xdr:to>
    <xdr:sp macro="" textlink="">
      <xdr:nvSpPr>
        <xdr:cNvPr id="892" name="WordArt 5"/>
        <xdr:cNvSpPr>
          <a:spLocks noChangeArrowheads="1" noChangeShapeType="1" noTextEdit="1"/>
        </xdr:cNvSpPr>
      </xdr:nvSpPr>
      <xdr:spPr bwMode="auto">
        <a:xfrm>
          <a:off x="79936393"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43</xdr:row>
      <xdr:rowOff>123825</xdr:rowOff>
    </xdr:from>
    <xdr:to>
      <xdr:col>57</xdr:col>
      <xdr:colOff>1012243</xdr:colOff>
      <xdr:row>44</xdr:row>
      <xdr:rowOff>98623</xdr:rowOff>
    </xdr:to>
    <xdr:sp macro="" textlink="">
      <xdr:nvSpPr>
        <xdr:cNvPr id="893" name="WordArt 6"/>
        <xdr:cNvSpPr>
          <a:spLocks noChangeArrowheads="1" noChangeShapeType="1" noTextEdit="1"/>
        </xdr:cNvSpPr>
      </xdr:nvSpPr>
      <xdr:spPr bwMode="auto">
        <a:xfrm>
          <a:off x="79936393"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43</xdr:row>
      <xdr:rowOff>109246</xdr:rowOff>
    </xdr:from>
    <xdr:to>
      <xdr:col>56</xdr:col>
      <xdr:colOff>3756</xdr:colOff>
      <xdr:row>44</xdr:row>
      <xdr:rowOff>90857</xdr:rowOff>
    </xdr:to>
    <xdr:sp macro="" textlink="">
      <xdr:nvSpPr>
        <xdr:cNvPr id="894" name="WordArt 5"/>
        <xdr:cNvSpPr>
          <a:spLocks noChangeArrowheads="1" noChangeShapeType="1" noTextEdit="1"/>
        </xdr:cNvSpPr>
      </xdr:nvSpPr>
      <xdr:spPr bwMode="auto">
        <a:xfrm>
          <a:off x="77546781"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45</xdr:row>
      <xdr:rowOff>67518</xdr:rowOff>
    </xdr:from>
    <xdr:to>
      <xdr:col>56</xdr:col>
      <xdr:colOff>3756</xdr:colOff>
      <xdr:row>46</xdr:row>
      <xdr:rowOff>42315</xdr:rowOff>
    </xdr:to>
    <xdr:sp macro="" textlink="">
      <xdr:nvSpPr>
        <xdr:cNvPr id="895" name="WordArt 6"/>
        <xdr:cNvSpPr>
          <a:spLocks noChangeArrowheads="1" noChangeShapeType="1" noTextEdit="1"/>
        </xdr:cNvSpPr>
      </xdr:nvSpPr>
      <xdr:spPr bwMode="auto">
        <a:xfrm>
          <a:off x="77546781" y="213082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43</xdr:row>
      <xdr:rowOff>109246</xdr:rowOff>
    </xdr:from>
    <xdr:to>
      <xdr:col>57</xdr:col>
      <xdr:colOff>1012243</xdr:colOff>
      <xdr:row>44</xdr:row>
      <xdr:rowOff>90857</xdr:rowOff>
    </xdr:to>
    <xdr:sp macro="" textlink="">
      <xdr:nvSpPr>
        <xdr:cNvPr id="896" name="WordArt 5"/>
        <xdr:cNvSpPr>
          <a:spLocks noChangeArrowheads="1" noChangeShapeType="1" noTextEdit="1"/>
        </xdr:cNvSpPr>
      </xdr:nvSpPr>
      <xdr:spPr bwMode="auto">
        <a:xfrm>
          <a:off x="79936393"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41</xdr:row>
      <xdr:rowOff>121947</xdr:rowOff>
    </xdr:from>
    <xdr:to>
      <xdr:col>57</xdr:col>
      <xdr:colOff>1012243</xdr:colOff>
      <xdr:row>42</xdr:row>
      <xdr:rowOff>96744</xdr:rowOff>
    </xdr:to>
    <xdr:sp macro="" textlink="">
      <xdr:nvSpPr>
        <xdr:cNvPr id="897" name="WordArt 6"/>
        <xdr:cNvSpPr>
          <a:spLocks noChangeArrowheads="1" noChangeShapeType="1" noTextEdit="1"/>
        </xdr:cNvSpPr>
      </xdr:nvSpPr>
      <xdr:spPr bwMode="auto">
        <a:xfrm>
          <a:off x="79936393"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43</xdr:row>
      <xdr:rowOff>109246</xdr:rowOff>
    </xdr:from>
    <xdr:to>
      <xdr:col>57</xdr:col>
      <xdr:colOff>1012243</xdr:colOff>
      <xdr:row>44</xdr:row>
      <xdr:rowOff>90857</xdr:rowOff>
    </xdr:to>
    <xdr:sp macro="" textlink="">
      <xdr:nvSpPr>
        <xdr:cNvPr id="898" name="WordArt 5"/>
        <xdr:cNvSpPr>
          <a:spLocks noChangeArrowheads="1" noChangeShapeType="1" noTextEdit="1"/>
        </xdr:cNvSpPr>
      </xdr:nvSpPr>
      <xdr:spPr bwMode="auto">
        <a:xfrm>
          <a:off x="79936393"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41</xdr:row>
      <xdr:rowOff>121947</xdr:rowOff>
    </xdr:from>
    <xdr:to>
      <xdr:col>57</xdr:col>
      <xdr:colOff>1012243</xdr:colOff>
      <xdr:row>42</xdr:row>
      <xdr:rowOff>96744</xdr:rowOff>
    </xdr:to>
    <xdr:sp macro="" textlink="">
      <xdr:nvSpPr>
        <xdr:cNvPr id="899" name="WordArt 6"/>
        <xdr:cNvSpPr>
          <a:spLocks noChangeArrowheads="1" noChangeShapeType="1" noTextEdit="1"/>
        </xdr:cNvSpPr>
      </xdr:nvSpPr>
      <xdr:spPr bwMode="auto">
        <a:xfrm>
          <a:off x="79936393"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44</xdr:row>
      <xdr:rowOff>110186</xdr:rowOff>
    </xdr:from>
    <xdr:to>
      <xdr:col>56</xdr:col>
      <xdr:colOff>3756</xdr:colOff>
      <xdr:row>45</xdr:row>
      <xdr:rowOff>91796</xdr:rowOff>
    </xdr:to>
    <xdr:sp macro="" textlink="">
      <xdr:nvSpPr>
        <xdr:cNvPr id="900" name="WordArt 5"/>
        <xdr:cNvSpPr>
          <a:spLocks noChangeArrowheads="1" noChangeShapeType="1" noTextEdit="1"/>
        </xdr:cNvSpPr>
      </xdr:nvSpPr>
      <xdr:spPr bwMode="auto">
        <a:xfrm>
          <a:off x="77546781"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3756</xdr:colOff>
      <xdr:row>42</xdr:row>
      <xdr:rowOff>122886</xdr:rowOff>
    </xdr:from>
    <xdr:to>
      <xdr:col>56</xdr:col>
      <xdr:colOff>3756</xdr:colOff>
      <xdr:row>43</xdr:row>
      <xdr:rowOff>97683</xdr:rowOff>
    </xdr:to>
    <xdr:sp macro="" textlink="">
      <xdr:nvSpPr>
        <xdr:cNvPr id="901" name="WordArt 6"/>
        <xdr:cNvSpPr>
          <a:spLocks noChangeArrowheads="1" noChangeShapeType="1" noTextEdit="1"/>
        </xdr:cNvSpPr>
      </xdr:nvSpPr>
      <xdr:spPr bwMode="auto">
        <a:xfrm>
          <a:off x="77546781"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44</xdr:row>
      <xdr:rowOff>110186</xdr:rowOff>
    </xdr:from>
    <xdr:to>
      <xdr:col>57</xdr:col>
      <xdr:colOff>1012243</xdr:colOff>
      <xdr:row>45</xdr:row>
      <xdr:rowOff>91796</xdr:rowOff>
    </xdr:to>
    <xdr:sp macro="" textlink="">
      <xdr:nvSpPr>
        <xdr:cNvPr id="902" name="WordArt 5"/>
        <xdr:cNvSpPr>
          <a:spLocks noChangeArrowheads="1" noChangeShapeType="1" noTextEdit="1"/>
        </xdr:cNvSpPr>
      </xdr:nvSpPr>
      <xdr:spPr bwMode="auto">
        <a:xfrm>
          <a:off x="79936393"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44</xdr:row>
      <xdr:rowOff>110186</xdr:rowOff>
    </xdr:from>
    <xdr:to>
      <xdr:col>57</xdr:col>
      <xdr:colOff>1012243</xdr:colOff>
      <xdr:row>45</xdr:row>
      <xdr:rowOff>91796</xdr:rowOff>
    </xdr:to>
    <xdr:sp macro="" textlink="">
      <xdr:nvSpPr>
        <xdr:cNvPr id="903" name="WordArt 5"/>
        <xdr:cNvSpPr>
          <a:spLocks noChangeArrowheads="1" noChangeShapeType="1" noTextEdit="1"/>
        </xdr:cNvSpPr>
      </xdr:nvSpPr>
      <xdr:spPr bwMode="auto">
        <a:xfrm>
          <a:off x="79936393"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45</xdr:row>
      <xdr:rowOff>111125</xdr:rowOff>
    </xdr:from>
    <xdr:to>
      <xdr:col>58</xdr:col>
      <xdr:colOff>3756</xdr:colOff>
      <xdr:row>46</xdr:row>
      <xdr:rowOff>82550</xdr:rowOff>
    </xdr:to>
    <xdr:sp macro="" textlink="">
      <xdr:nvSpPr>
        <xdr:cNvPr id="904" name="WordArt 5"/>
        <xdr:cNvSpPr>
          <a:spLocks noChangeArrowheads="1" noChangeShapeType="1" noTextEdit="1"/>
        </xdr:cNvSpPr>
      </xdr:nvSpPr>
      <xdr:spPr bwMode="auto">
        <a:xfrm>
          <a:off x="80375706"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43</xdr:row>
      <xdr:rowOff>123825</xdr:rowOff>
    </xdr:from>
    <xdr:to>
      <xdr:col>58</xdr:col>
      <xdr:colOff>3756</xdr:colOff>
      <xdr:row>44</xdr:row>
      <xdr:rowOff>98623</xdr:rowOff>
    </xdr:to>
    <xdr:sp macro="" textlink="">
      <xdr:nvSpPr>
        <xdr:cNvPr id="905" name="WordArt 6"/>
        <xdr:cNvSpPr>
          <a:spLocks noChangeArrowheads="1" noChangeShapeType="1" noTextEdit="1"/>
        </xdr:cNvSpPr>
      </xdr:nvSpPr>
      <xdr:spPr bwMode="auto">
        <a:xfrm>
          <a:off x="80375706"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43</xdr:row>
      <xdr:rowOff>109246</xdr:rowOff>
    </xdr:from>
    <xdr:to>
      <xdr:col>58</xdr:col>
      <xdr:colOff>3756</xdr:colOff>
      <xdr:row>44</xdr:row>
      <xdr:rowOff>90857</xdr:rowOff>
    </xdr:to>
    <xdr:sp macro="" textlink="">
      <xdr:nvSpPr>
        <xdr:cNvPr id="906" name="WordArt 5"/>
        <xdr:cNvSpPr>
          <a:spLocks noChangeArrowheads="1" noChangeShapeType="1" noTextEdit="1"/>
        </xdr:cNvSpPr>
      </xdr:nvSpPr>
      <xdr:spPr bwMode="auto">
        <a:xfrm>
          <a:off x="80375706"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41</xdr:row>
      <xdr:rowOff>121947</xdr:rowOff>
    </xdr:from>
    <xdr:to>
      <xdr:col>58</xdr:col>
      <xdr:colOff>3756</xdr:colOff>
      <xdr:row>42</xdr:row>
      <xdr:rowOff>96744</xdr:rowOff>
    </xdr:to>
    <xdr:sp macro="" textlink="">
      <xdr:nvSpPr>
        <xdr:cNvPr id="907" name="WordArt 6"/>
        <xdr:cNvSpPr>
          <a:spLocks noChangeArrowheads="1" noChangeShapeType="1" noTextEdit="1"/>
        </xdr:cNvSpPr>
      </xdr:nvSpPr>
      <xdr:spPr bwMode="auto">
        <a:xfrm>
          <a:off x="80375706"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44</xdr:row>
      <xdr:rowOff>110186</xdr:rowOff>
    </xdr:from>
    <xdr:to>
      <xdr:col>58</xdr:col>
      <xdr:colOff>3756</xdr:colOff>
      <xdr:row>45</xdr:row>
      <xdr:rowOff>91796</xdr:rowOff>
    </xdr:to>
    <xdr:sp macro="" textlink="">
      <xdr:nvSpPr>
        <xdr:cNvPr id="908" name="WordArt 5"/>
        <xdr:cNvSpPr>
          <a:spLocks noChangeArrowheads="1" noChangeShapeType="1" noTextEdit="1"/>
        </xdr:cNvSpPr>
      </xdr:nvSpPr>
      <xdr:spPr bwMode="auto">
        <a:xfrm>
          <a:off x="80375706"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42</xdr:row>
      <xdr:rowOff>122886</xdr:rowOff>
    </xdr:from>
    <xdr:to>
      <xdr:col>58</xdr:col>
      <xdr:colOff>3756</xdr:colOff>
      <xdr:row>43</xdr:row>
      <xdr:rowOff>97683</xdr:rowOff>
    </xdr:to>
    <xdr:sp macro="" textlink="">
      <xdr:nvSpPr>
        <xdr:cNvPr id="909" name="WordArt 6"/>
        <xdr:cNvSpPr>
          <a:spLocks noChangeArrowheads="1" noChangeShapeType="1" noTextEdit="1"/>
        </xdr:cNvSpPr>
      </xdr:nvSpPr>
      <xdr:spPr bwMode="auto">
        <a:xfrm>
          <a:off x="80375706"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111125</xdr:rowOff>
    </xdr:from>
    <xdr:to>
      <xdr:col>58</xdr:col>
      <xdr:colOff>1012243</xdr:colOff>
      <xdr:row>46</xdr:row>
      <xdr:rowOff>82550</xdr:rowOff>
    </xdr:to>
    <xdr:sp macro="" textlink="">
      <xdr:nvSpPr>
        <xdr:cNvPr id="910" name="WordArt 5"/>
        <xdr:cNvSpPr>
          <a:spLocks noChangeArrowheads="1" noChangeShapeType="1" noTextEdit="1"/>
        </xdr:cNvSpPr>
      </xdr:nvSpPr>
      <xdr:spPr bwMode="auto">
        <a:xfrm>
          <a:off x="81384193"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43</xdr:row>
      <xdr:rowOff>123825</xdr:rowOff>
    </xdr:from>
    <xdr:to>
      <xdr:col>58</xdr:col>
      <xdr:colOff>1012243</xdr:colOff>
      <xdr:row>44</xdr:row>
      <xdr:rowOff>98623</xdr:rowOff>
    </xdr:to>
    <xdr:sp macro="" textlink="">
      <xdr:nvSpPr>
        <xdr:cNvPr id="911" name="WordArt 6"/>
        <xdr:cNvSpPr>
          <a:spLocks noChangeArrowheads="1" noChangeShapeType="1" noTextEdit="1"/>
        </xdr:cNvSpPr>
      </xdr:nvSpPr>
      <xdr:spPr bwMode="auto">
        <a:xfrm>
          <a:off x="81384193"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111125</xdr:rowOff>
    </xdr:from>
    <xdr:to>
      <xdr:col>58</xdr:col>
      <xdr:colOff>1012243</xdr:colOff>
      <xdr:row>46</xdr:row>
      <xdr:rowOff>82550</xdr:rowOff>
    </xdr:to>
    <xdr:sp macro="" textlink="">
      <xdr:nvSpPr>
        <xdr:cNvPr id="912" name="WordArt 5"/>
        <xdr:cNvSpPr>
          <a:spLocks noChangeArrowheads="1" noChangeShapeType="1" noTextEdit="1"/>
        </xdr:cNvSpPr>
      </xdr:nvSpPr>
      <xdr:spPr bwMode="auto">
        <a:xfrm>
          <a:off x="81384193"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43</xdr:row>
      <xdr:rowOff>123825</xdr:rowOff>
    </xdr:from>
    <xdr:to>
      <xdr:col>58</xdr:col>
      <xdr:colOff>1012243</xdr:colOff>
      <xdr:row>44</xdr:row>
      <xdr:rowOff>98623</xdr:rowOff>
    </xdr:to>
    <xdr:sp macro="" textlink="">
      <xdr:nvSpPr>
        <xdr:cNvPr id="913" name="WordArt 6"/>
        <xdr:cNvSpPr>
          <a:spLocks noChangeArrowheads="1" noChangeShapeType="1" noTextEdit="1"/>
        </xdr:cNvSpPr>
      </xdr:nvSpPr>
      <xdr:spPr bwMode="auto">
        <a:xfrm>
          <a:off x="81384193"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43</xdr:row>
      <xdr:rowOff>109246</xdr:rowOff>
    </xdr:from>
    <xdr:to>
      <xdr:col>58</xdr:col>
      <xdr:colOff>1012243</xdr:colOff>
      <xdr:row>44</xdr:row>
      <xdr:rowOff>90857</xdr:rowOff>
    </xdr:to>
    <xdr:sp macro="" textlink="">
      <xdr:nvSpPr>
        <xdr:cNvPr id="914" name="WordArt 5"/>
        <xdr:cNvSpPr>
          <a:spLocks noChangeArrowheads="1" noChangeShapeType="1" noTextEdit="1"/>
        </xdr:cNvSpPr>
      </xdr:nvSpPr>
      <xdr:spPr bwMode="auto">
        <a:xfrm>
          <a:off x="81384193"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41</xdr:row>
      <xdr:rowOff>121947</xdr:rowOff>
    </xdr:from>
    <xdr:to>
      <xdr:col>58</xdr:col>
      <xdr:colOff>1012243</xdr:colOff>
      <xdr:row>42</xdr:row>
      <xdr:rowOff>96744</xdr:rowOff>
    </xdr:to>
    <xdr:sp macro="" textlink="">
      <xdr:nvSpPr>
        <xdr:cNvPr id="915" name="WordArt 6"/>
        <xdr:cNvSpPr>
          <a:spLocks noChangeArrowheads="1" noChangeShapeType="1" noTextEdit="1"/>
        </xdr:cNvSpPr>
      </xdr:nvSpPr>
      <xdr:spPr bwMode="auto">
        <a:xfrm>
          <a:off x="81384193"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43</xdr:row>
      <xdr:rowOff>109246</xdr:rowOff>
    </xdr:from>
    <xdr:to>
      <xdr:col>58</xdr:col>
      <xdr:colOff>1012243</xdr:colOff>
      <xdr:row>44</xdr:row>
      <xdr:rowOff>90857</xdr:rowOff>
    </xdr:to>
    <xdr:sp macro="" textlink="">
      <xdr:nvSpPr>
        <xdr:cNvPr id="916" name="WordArt 5"/>
        <xdr:cNvSpPr>
          <a:spLocks noChangeArrowheads="1" noChangeShapeType="1" noTextEdit="1"/>
        </xdr:cNvSpPr>
      </xdr:nvSpPr>
      <xdr:spPr bwMode="auto">
        <a:xfrm>
          <a:off x="81384193"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41</xdr:row>
      <xdr:rowOff>121947</xdr:rowOff>
    </xdr:from>
    <xdr:to>
      <xdr:col>58</xdr:col>
      <xdr:colOff>1012243</xdr:colOff>
      <xdr:row>42</xdr:row>
      <xdr:rowOff>96744</xdr:rowOff>
    </xdr:to>
    <xdr:sp macro="" textlink="">
      <xdr:nvSpPr>
        <xdr:cNvPr id="917" name="WordArt 6"/>
        <xdr:cNvSpPr>
          <a:spLocks noChangeArrowheads="1" noChangeShapeType="1" noTextEdit="1"/>
        </xdr:cNvSpPr>
      </xdr:nvSpPr>
      <xdr:spPr bwMode="auto">
        <a:xfrm>
          <a:off x="81384193"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44</xdr:row>
      <xdr:rowOff>110186</xdr:rowOff>
    </xdr:from>
    <xdr:to>
      <xdr:col>58</xdr:col>
      <xdr:colOff>1012243</xdr:colOff>
      <xdr:row>45</xdr:row>
      <xdr:rowOff>91796</xdr:rowOff>
    </xdr:to>
    <xdr:sp macro="" textlink="">
      <xdr:nvSpPr>
        <xdr:cNvPr id="918" name="WordArt 5"/>
        <xdr:cNvSpPr>
          <a:spLocks noChangeArrowheads="1" noChangeShapeType="1" noTextEdit="1"/>
        </xdr:cNvSpPr>
      </xdr:nvSpPr>
      <xdr:spPr bwMode="auto">
        <a:xfrm>
          <a:off x="81384193"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44</xdr:row>
      <xdr:rowOff>110186</xdr:rowOff>
    </xdr:from>
    <xdr:to>
      <xdr:col>58</xdr:col>
      <xdr:colOff>1012243</xdr:colOff>
      <xdr:row>45</xdr:row>
      <xdr:rowOff>91796</xdr:rowOff>
    </xdr:to>
    <xdr:sp macro="" textlink="">
      <xdr:nvSpPr>
        <xdr:cNvPr id="919" name="WordArt 5"/>
        <xdr:cNvSpPr>
          <a:spLocks noChangeArrowheads="1" noChangeShapeType="1" noTextEdit="1"/>
        </xdr:cNvSpPr>
      </xdr:nvSpPr>
      <xdr:spPr bwMode="auto">
        <a:xfrm>
          <a:off x="81384193"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45</xdr:row>
      <xdr:rowOff>111125</xdr:rowOff>
    </xdr:from>
    <xdr:to>
      <xdr:col>59</xdr:col>
      <xdr:colOff>3756</xdr:colOff>
      <xdr:row>46</xdr:row>
      <xdr:rowOff>82550</xdr:rowOff>
    </xdr:to>
    <xdr:sp macro="" textlink="">
      <xdr:nvSpPr>
        <xdr:cNvPr id="920" name="WordArt 5"/>
        <xdr:cNvSpPr>
          <a:spLocks noChangeArrowheads="1" noChangeShapeType="1" noTextEdit="1"/>
        </xdr:cNvSpPr>
      </xdr:nvSpPr>
      <xdr:spPr bwMode="auto">
        <a:xfrm>
          <a:off x="81756831"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43</xdr:row>
      <xdr:rowOff>123825</xdr:rowOff>
    </xdr:from>
    <xdr:to>
      <xdr:col>59</xdr:col>
      <xdr:colOff>3756</xdr:colOff>
      <xdr:row>44</xdr:row>
      <xdr:rowOff>98623</xdr:rowOff>
    </xdr:to>
    <xdr:sp macro="" textlink="">
      <xdr:nvSpPr>
        <xdr:cNvPr id="921" name="WordArt 6"/>
        <xdr:cNvSpPr>
          <a:spLocks noChangeArrowheads="1" noChangeShapeType="1" noTextEdit="1"/>
        </xdr:cNvSpPr>
      </xdr:nvSpPr>
      <xdr:spPr bwMode="auto">
        <a:xfrm>
          <a:off x="81756831"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109246</xdr:rowOff>
    </xdr:from>
    <xdr:to>
      <xdr:col>59</xdr:col>
      <xdr:colOff>3756</xdr:colOff>
      <xdr:row>44</xdr:row>
      <xdr:rowOff>90857</xdr:rowOff>
    </xdr:to>
    <xdr:sp macro="" textlink="">
      <xdr:nvSpPr>
        <xdr:cNvPr id="922" name="WordArt 5"/>
        <xdr:cNvSpPr>
          <a:spLocks noChangeArrowheads="1" noChangeShapeType="1" noTextEdit="1"/>
        </xdr:cNvSpPr>
      </xdr:nvSpPr>
      <xdr:spPr bwMode="auto">
        <a:xfrm>
          <a:off x="81756831"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41</xdr:row>
      <xdr:rowOff>121947</xdr:rowOff>
    </xdr:from>
    <xdr:to>
      <xdr:col>59</xdr:col>
      <xdr:colOff>3756</xdr:colOff>
      <xdr:row>42</xdr:row>
      <xdr:rowOff>96744</xdr:rowOff>
    </xdr:to>
    <xdr:sp macro="" textlink="">
      <xdr:nvSpPr>
        <xdr:cNvPr id="923" name="WordArt 6"/>
        <xdr:cNvSpPr>
          <a:spLocks noChangeArrowheads="1" noChangeShapeType="1" noTextEdit="1"/>
        </xdr:cNvSpPr>
      </xdr:nvSpPr>
      <xdr:spPr bwMode="auto">
        <a:xfrm>
          <a:off x="81756831"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110186</xdr:rowOff>
    </xdr:from>
    <xdr:to>
      <xdr:col>59</xdr:col>
      <xdr:colOff>3756</xdr:colOff>
      <xdr:row>45</xdr:row>
      <xdr:rowOff>91796</xdr:rowOff>
    </xdr:to>
    <xdr:sp macro="" textlink="">
      <xdr:nvSpPr>
        <xdr:cNvPr id="924" name="WordArt 5"/>
        <xdr:cNvSpPr>
          <a:spLocks noChangeArrowheads="1" noChangeShapeType="1" noTextEdit="1"/>
        </xdr:cNvSpPr>
      </xdr:nvSpPr>
      <xdr:spPr bwMode="auto">
        <a:xfrm>
          <a:off x="81756831"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42</xdr:row>
      <xdr:rowOff>122886</xdr:rowOff>
    </xdr:from>
    <xdr:to>
      <xdr:col>59</xdr:col>
      <xdr:colOff>3756</xdr:colOff>
      <xdr:row>43</xdr:row>
      <xdr:rowOff>97683</xdr:rowOff>
    </xdr:to>
    <xdr:sp macro="" textlink="">
      <xdr:nvSpPr>
        <xdr:cNvPr id="925" name="WordArt 6"/>
        <xdr:cNvSpPr>
          <a:spLocks noChangeArrowheads="1" noChangeShapeType="1" noTextEdit="1"/>
        </xdr:cNvSpPr>
      </xdr:nvSpPr>
      <xdr:spPr bwMode="auto">
        <a:xfrm>
          <a:off x="81756831"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111125</xdr:rowOff>
    </xdr:from>
    <xdr:to>
      <xdr:col>59</xdr:col>
      <xdr:colOff>1012243</xdr:colOff>
      <xdr:row>46</xdr:row>
      <xdr:rowOff>82550</xdr:rowOff>
    </xdr:to>
    <xdr:sp macro="" textlink="">
      <xdr:nvSpPr>
        <xdr:cNvPr id="926" name="WordArt 5"/>
        <xdr:cNvSpPr>
          <a:spLocks noChangeArrowheads="1" noChangeShapeType="1" noTextEdit="1"/>
        </xdr:cNvSpPr>
      </xdr:nvSpPr>
      <xdr:spPr bwMode="auto">
        <a:xfrm>
          <a:off x="82765318"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43</xdr:row>
      <xdr:rowOff>123825</xdr:rowOff>
    </xdr:from>
    <xdr:to>
      <xdr:col>59</xdr:col>
      <xdr:colOff>1012243</xdr:colOff>
      <xdr:row>44</xdr:row>
      <xdr:rowOff>98623</xdr:rowOff>
    </xdr:to>
    <xdr:sp macro="" textlink="">
      <xdr:nvSpPr>
        <xdr:cNvPr id="927" name="WordArt 6"/>
        <xdr:cNvSpPr>
          <a:spLocks noChangeArrowheads="1" noChangeShapeType="1" noTextEdit="1"/>
        </xdr:cNvSpPr>
      </xdr:nvSpPr>
      <xdr:spPr bwMode="auto">
        <a:xfrm>
          <a:off x="82765318"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111125</xdr:rowOff>
    </xdr:from>
    <xdr:to>
      <xdr:col>59</xdr:col>
      <xdr:colOff>1012243</xdr:colOff>
      <xdr:row>46</xdr:row>
      <xdr:rowOff>82550</xdr:rowOff>
    </xdr:to>
    <xdr:sp macro="" textlink="">
      <xdr:nvSpPr>
        <xdr:cNvPr id="928" name="WordArt 5"/>
        <xdr:cNvSpPr>
          <a:spLocks noChangeArrowheads="1" noChangeShapeType="1" noTextEdit="1"/>
        </xdr:cNvSpPr>
      </xdr:nvSpPr>
      <xdr:spPr bwMode="auto">
        <a:xfrm>
          <a:off x="82765318"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43</xdr:row>
      <xdr:rowOff>123825</xdr:rowOff>
    </xdr:from>
    <xdr:to>
      <xdr:col>59</xdr:col>
      <xdr:colOff>1012243</xdr:colOff>
      <xdr:row>44</xdr:row>
      <xdr:rowOff>98623</xdr:rowOff>
    </xdr:to>
    <xdr:sp macro="" textlink="">
      <xdr:nvSpPr>
        <xdr:cNvPr id="929" name="WordArt 6"/>
        <xdr:cNvSpPr>
          <a:spLocks noChangeArrowheads="1" noChangeShapeType="1" noTextEdit="1"/>
        </xdr:cNvSpPr>
      </xdr:nvSpPr>
      <xdr:spPr bwMode="auto">
        <a:xfrm>
          <a:off x="82765318"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109246</xdr:rowOff>
    </xdr:from>
    <xdr:to>
      <xdr:col>59</xdr:col>
      <xdr:colOff>1012243</xdr:colOff>
      <xdr:row>44</xdr:row>
      <xdr:rowOff>90857</xdr:rowOff>
    </xdr:to>
    <xdr:sp macro="" textlink="">
      <xdr:nvSpPr>
        <xdr:cNvPr id="930" name="WordArt 5"/>
        <xdr:cNvSpPr>
          <a:spLocks noChangeArrowheads="1" noChangeShapeType="1" noTextEdit="1"/>
        </xdr:cNvSpPr>
      </xdr:nvSpPr>
      <xdr:spPr bwMode="auto">
        <a:xfrm>
          <a:off x="82765318"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41</xdr:row>
      <xdr:rowOff>121947</xdr:rowOff>
    </xdr:from>
    <xdr:to>
      <xdr:col>59</xdr:col>
      <xdr:colOff>1012243</xdr:colOff>
      <xdr:row>42</xdr:row>
      <xdr:rowOff>96744</xdr:rowOff>
    </xdr:to>
    <xdr:sp macro="" textlink="">
      <xdr:nvSpPr>
        <xdr:cNvPr id="931" name="WordArt 6"/>
        <xdr:cNvSpPr>
          <a:spLocks noChangeArrowheads="1" noChangeShapeType="1" noTextEdit="1"/>
        </xdr:cNvSpPr>
      </xdr:nvSpPr>
      <xdr:spPr bwMode="auto">
        <a:xfrm>
          <a:off x="82765318"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109246</xdr:rowOff>
    </xdr:from>
    <xdr:to>
      <xdr:col>59</xdr:col>
      <xdr:colOff>1012243</xdr:colOff>
      <xdr:row>44</xdr:row>
      <xdr:rowOff>90857</xdr:rowOff>
    </xdr:to>
    <xdr:sp macro="" textlink="">
      <xdr:nvSpPr>
        <xdr:cNvPr id="932" name="WordArt 5"/>
        <xdr:cNvSpPr>
          <a:spLocks noChangeArrowheads="1" noChangeShapeType="1" noTextEdit="1"/>
        </xdr:cNvSpPr>
      </xdr:nvSpPr>
      <xdr:spPr bwMode="auto">
        <a:xfrm>
          <a:off x="82765318"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41</xdr:row>
      <xdr:rowOff>121947</xdr:rowOff>
    </xdr:from>
    <xdr:to>
      <xdr:col>59</xdr:col>
      <xdr:colOff>1012243</xdr:colOff>
      <xdr:row>42</xdr:row>
      <xdr:rowOff>96744</xdr:rowOff>
    </xdr:to>
    <xdr:sp macro="" textlink="">
      <xdr:nvSpPr>
        <xdr:cNvPr id="933" name="WordArt 6"/>
        <xdr:cNvSpPr>
          <a:spLocks noChangeArrowheads="1" noChangeShapeType="1" noTextEdit="1"/>
        </xdr:cNvSpPr>
      </xdr:nvSpPr>
      <xdr:spPr bwMode="auto">
        <a:xfrm>
          <a:off x="82765318"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110186</xdr:rowOff>
    </xdr:from>
    <xdr:to>
      <xdr:col>59</xdr:col>
      <xdr:colOff>1012243</xdr:colOff>
      <xdr:row>45</xdr:row>
      <xdr:rowOff>91796</xdr:rowOff>
    </xdr:to>
    <xdr:sp macro="" textlink="">
      <xdr:nvSpPr>
        <xdr:cNvPr id="934" name="WordArt 5"/>
        <xdr:cNvSpPr>
          <a:spLocks noChangeArrowheads="1" noChangeShapeType="1" noTextEdit="1"/>
        </xdr:cNvSpPr>
      </xdr:nvSpPr>
      <xdr:spPr bwMode="auto">
        <a:xfrm>
          <a:off x="82765318"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44</xdr:row>
      <xdr:rowOff>110186</xdr:rowOff>
    </xdr:from>
    <xdr:to>
      <xdr:col>59</xdr:col>
      <xdr:colOff>1012243</xdr:colOff>
      <xdr:row>45</xdr:row>
      <xdr:rowOff>91796</xdr:rowOff>
    </xdr:to>
    <xdr:sp macro="" textlink="">
      <xdr:nvSpPr>
        <xdr:cNvPr id="935" name="WordArt 5"/>
        <xdr:cNvSpPr>
          <a:spLocks noChangeArrowheads="1" noChangeShapeType="1" noTextEdit="1"/>
        </xdr:cNvSpPr>
      </xdr:nvSpPr>
      <xdr:spPr bwMode="auto">
        <a:xfrm>
          <a:off x="82765318"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42</xdr:row>
      <xdr:rowOff>121947</xdr:rowOff>
    </xdr:from>
    <xdr:to>
      <xdr:col>59</xdr:col>
      <xdr:colOff>3756</xdr:colOff>
      <xdr:row>43</xdr:row>
      <xdr:rowOff>96744</xdr:rowOff>
    </xdr:to>
    <xdr:sp macro="" textlink="">
      <xdr:nvSpPr>
        <xdr:cNvPr id="936" name="WordArt 6"/>
        <xdr:cNvSpPr>
          <a:spLocks noChangeArrowheads="1" noChangeShapeType="1" noTextEdit="1"/>
        </xdr:cNvSpPr>
      </xdr:nvSpPr>
      <xdr:spPr bwMode="auto">
        <a:xfrm>
          <a:off x="81756831"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122886</xdr:rowOff>
    </xdr:from>
    <xdr:to>
      <xdr:col>59</xdr:col>
      <xdr:colOff>3756</xdr:colOff>
      <xdr:row>44</xdr:row>
      <xdr:rowOff>97683</xdr:rowOff>
    </xdr:to>
    <xdr:sp macro="" textlink="">
      <xdr:nvSpPr>
        <xdr:cNvPr id="937" name="WordArt 6"/>
        <xdr:cNvSpPr>
          <a:spLocks noChangeArrowheads="1" noChangeShapeType="1" noTextEdit="1"/>
        </xdr:cNvSpPr>
      </xdr:nvSpPr>
      <xdr:spPr bwMode="auto">
        <a:xfrm>
          <a:off x="81756831"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42</xdr:row>
      <xdr:rowOff>121947</xdr:rowOff>
    </xdr:from>
    <xdr:to>
      <xdr:col>59</xdr:col>
      <xdr:colOff>1012243</xdr:colOff>
      <xdr:row>43</xdr:row>
      <xdr:rowOff>96744</xdr:rowOff>
    </xdr:to>
    <xdr:sp macro="" textlink="">
      <xdr:nvSpPr>
        <xdr:cNvPr id="938" name="WordArt 6"/>
        <xdr:cNvSpPr>
          <a:spLocks noChangeArrowheads="1" noChangeShapeType="1" noTextEdit="1"/>
        </xdr:cNvSpPr>
      </xdr:nvSpPr>
      <xdr:spPr bwMode="auto">
        <a:xfrm>
          <a:off x="82765318"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42</xdr:row>
      <xdr:rowOff>121947</xdr:rowOff>
    </xdr:from>
    <xdr:to>
      <xdr:col>59</xdr:col>
      <xdr:colOff>1012243</xdr:colOff>
      <xdr:row>43</xdr:row>
      <xdr:rowOff>96744</xdr:rowOff>
    </xdr:to>
    <xdr:sp macro="" textlink="">
      <xdr:nvSpPr>
        <xdr:cNvPr id="939" name="WordArt 6"/>
        <xdr:cNvSpPr>
          <a:spLocks noChangeArrowheads="1" noChangeShapeType="1" noTextEdit="1"/>
        </xdr:cNvSpPr>
      </xdr:nvSpPr>
      <xdr:spPr bwMode="auto">
        <a:xfrm>
          <a:off x="82765318"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121947</xdr:rowOff>
    </xdr:from>
    <xdr:to>
      <xdr:col>59</xdr:col>
      <xdr:colOff>3756</xdr:colOff>
      <xdr:row>44</xdr:row>
      <xdr:rowOff>96744</xdr:rowOff>
    </xdr:to>
    <xdr:sp macro="" textlink="">
      <xdr:nvSpPr>
        <xdr:cNvPr id="940" name="WordArt 6"/>
        <xdr:cNvSpPr>
          <a:spLocks noChangeArrowheads="1" noChangeShapeType="1" noTextEdit="1"/>
        </xdr:cNvSpPr>
      </xdr:nvSpPr>
      <xdr:spPr bwMode="auto">
        <a:xfrm>
          <a:off x="81756831"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122886</xdr:rowOff>
    </xdr:from>
    <xdr:to>
      <xdr:col>59</xdr:col>
      <xdr:colOff>3756</xdr:colOff>
      <xdr:row>45</xdr:row>
      <xdr:rowOff>97683</xdr:rowOff>
    </xdr:to>
    <xdr:sp macro="" textlink="">
      <xdr:nvSpPr>
        <xdr:cNvPr id="941" name="WordArt 6"/>
        <xdr:cNvSpPr>
          <a:spLocks noChangeArrowheads="1" noChangeShapeType="1" noTextEdit="1"/>
        </xdr:cNvSpPr>
      </xdr:nvSpPr>
      <xdr:spPr bwMode="auto">
        <a:xfrm>
          <a:off x="81756831" y="211350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121947</xdr:rowOff>
    </xdr:from>
    <xdr:to>
      <xdr:col>59</xdr:col>
      <xdr:colOff>1012243</xdr:colOff>
      <xdr:row>44</xdr:row>
      <xdr:rowOff>96744</xdr:rowOff>
    </xdr:to>
    <xdr:sp macro="" textlink="">
      <xdr:nvSpPr>
        <xdr:cNvPr id="942" name="WordArt 6"/>
        <xdr:cNvSpPr>
          <a:spLocks noChangeArrowheads="1" noChangeShapeType="1" noTextEdit="1"/>
        </xdr:cNvSpPr>
      </xdr:nvSpPr>
      <xdr:spPr bwMode="auto">
        <a:xfrm>
          <a:off x="82765318"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121947</xdr:rowOff>
    </xdr:from>
    <xdr:to>
      <xdr:col>59</xdr:col>
      <xdr:colOff>1012243</xdr:colOff>
      <xdr:row>44</xdr:row>
      <xdr:rowOff>96744</xdr:rowOff>
    </xdr:to>
    <xdr:sp macro="" textlink="">
      <xdr:nvSpPr>
        <xdr:cNvPr id="943" name="WordArt 6"/>
        <xdr:cNvSpPr>
          <a:spLocks noChangeArrowheads="1" noChangeShapeType="1" noTextEdit="1"/>
        </xdr:cNvSpPr>
      </xdr:nvSpPr>
      <xdr:spPr bwMode="auto">
        <a:xfrm>
          <a:off x="82765318"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121947</xdr:rowOff>
    </xdr:from>
    <xdr:to>
      <xdr:col>59</xdr:col>
      <xdr:colOff>3756</xdr:colOff>
      <xdr:row>45</xdr:row>
      <xdr:rowOff>96744</xdr:rowOff>
    </xdr:to>
    <xdr:sp macro="" textlink="">
      <xdr:nvSpPr>
        <xdr:cNvPr id="944" name="WordArt 6"/>
        <xdr:cNvSpPr>
          <a:spLocks noChangeArrowheads="1" noChangeShapeType="1" noTextEdit="1"/>
        </xdr:cNvSpPr>
      </xdr:nvSpPr>
      <xdr:spPr bwMode="auto">
        <a:xfrm>
          <a:off x="81756831"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945" name="WordArt 6"/>
        <xdr:cNvSpPr>
          <a:spLocks noChangeArrowheads="1" noChangeShapeType="1" noTextEdit="1"/>
        </xdr:cNvSpPr>
      </xdr:nvSpPr>
      <xdr:spPr bwMode="auto">
        <a:xfrm>
          <a:off x="82765318"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946" name="WordArt 6"/>
        <xdr:cNvSpPr>
          <a:spLocks noChangeArrowheads="1" noChangeShapeType="1" noTextEdit="1"/>
        </xdr:cNvSpPr>
      </xdr:nvSpPr>
      <xdr:spPr bwMode="auto">
        <a:xfrm>
          <a:off x="82765318"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121947</xdr:rowOff>
    </xdr:from>
    <xdr:to>
      <xdr:col>59</xdr:col>
      <xdr:colOff>3756</xdr:colOff>
      <xdr:row>45</xdr:row>
      <xdr:rowOff>96744</xdr:rowOff>
    </xdr:to>
    <xdr:sp macro="" textlink="">
      <xdr:nvSpPr>
        <xdr:cNvPr id="947" name="WordArt 6"/>
        <xdr:cNvSpPr>
          <a:spLocks noChangeArrowheads="1" noChangeShapeType="1" noTextEdit="1"/>
        </xdr:cNvSpPr>
      </xdr:nvSpPr>
      <xdr:spPr bwMode="auto">
        <a:xfrm>
          <a:off x="81756831"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122886</xdr:rowOff>
    </xdr:from>
    <xdr:to>
      <xdr:col>59</xdr:col>
      <xdr:colOff>3756</xdr:colOff>
      <xdr:row>46</xdr:row>
      <xdr:rowOff>97683</xdr:rowOff>
    </xdr:to>
    <xdr:sp macro="" textlink="">
      <xdr:nvSpPr>
        <xdr:cNvPr id="948" name="WordArt 6"/>
        <xdr:cNvSpPr>
          <a:spLocks noChangeArrowheads="1" noChangeShapeType="1" noTextEdit="1"/>
        </xdr:cNvSpPr>
      </xdr:nvSpPr>
      <xdr:spPr bwMode="auto">
        <a:xfrm>
          <a:off x="81756831" y="21363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949" name="WordArt 6"/>
        <xdr:cNvSpPr>
          <a:spLocks noChangeArrowheads="1" noChangeShapeType="1" noTextEdit="1"/>
        </xdr:cNvSpPr>
      </xdr:nvSpPr>
      <xdr:spPr bwMode="auto">
        <a:xfrm>
          <a:off x="82765318"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950" name="WordArt 6"/>
        <xdr:cNvSpPr>
          <a:spLocks noChangeArrowheads="1" noChangeShapeType="1" noTextEdit="1"/>
        </xdr:cNvSpPr>
      </xdr:nvSpPr>
      <xdr:spPr bwMode="auto">
        <a:xfrm>
          <a:off x="82765318"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951" name="WordArt 6"/>
        <xdr:cNvSpPr>
          <a:spLocks noChangeArrowheads="1" noChangeShapeType="1" noTextEdit="1"/>
        </xdr:cNvSpPr>
      </xdr:nvSpPr>
      <xdr:spPr bwMode="auto">
        <a:xfrm>
          <a:off x="81756831"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952" name="WordArt 6"/>
        <xdr:cNvSpPr>
          <a:spLocks noChangeArrowheads="1" noChangeShapeType="1" noTextEdit="1"/>
        </xdr:cNvSpPr>
      </xdr:nvSpPr>
      <xdr:spPr bwMode="auto">
        <a:xfrm>
          <a:off x="827653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953" name="WordArt 6"/>
        <xdr:cNvSpPr>
          <a:spLocks noChangeArrowheads="1" noChangeShapeType="1" noTextEdit="1"/>
        </xdr:cNvSpPr>
      </xdr:nvSpPr>
      <xdr:spPr bwMode="auto">
        <a:xfrm>
          <a:off x="827653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954" name="WordArt 6"/>
        <xdr:cNvSpPr>
          <a:spLocks noChangeArrowheads="1" noChangeShapeType="1" noTextEdit="1"/>
        </xdr:cNvSpPr>
      </xdr:nvSpPr>
      <xdr:spPr bwMode="auto">
        <a:xfrm>
          <a:off x="81756831"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122886</xdr:rowOff>
    </xdr:from>
    <xdr:to>
      <xdr:col>59</xdr:col>
      <xdr:colOff>3756</xdr:colOff>
      <xdr:row>47</xdr:row>
      <xdr:rowOff>97683</xdr:rowOff>
    </xdr:to>
    <xdr:sp macro="" textlink="">
      <xdr:nvSpPr>
        <xdr:cNvPr id="955" name="WordArt 6"/>
        <xdr:cNvSpPr>
          <a:spLocks noChangeArrowheads="1" noChangeShapeType="1" noTextEdit="1"/>
        </xdr:cNvSpPr>
      </xdr:nvSpPr>
      <xdr:spPr bwMode="auto">
        <a:xfrm>
          <a:off x="81756831" y="215922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956" name="WordArt 6"/>
        <xdr:cNvSpPr>
          <a:spLocks noChangeArrowheads="1" noChangeShapeType="1" noTextEdit="1"/>
        </xdr:cNvSpPr>
      </xdr:nvSpPr>
      <xdr:spPr bwMode="auto">
        <a:xfrm>
          <a:off x="827653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957" name="WordArt 6"/>
        <xdr:cNvSpPr>
          <a:spLocks noChangeArrowheads="1" noChangeShapeType="1" noTextEdit="1"/>
        </xdr:cNvSpPr>
      </xdr:nvSpPr>
      <xdr:spPr bwMode="auto">
        <a:xfrm>
          <a:off x="827653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958" name="WordArt 6"/>
        <xdr:cNvSpPr>
          <a:spLocks noChangeArrowheads="1" noChangeShapeType="1" noTextEdit="1"/>
        </xdr:cNvSpPr>
      </xdr:nvSpPr>
      <xdr:spPr bwMode="auto">
        <a:xfrm>
          <a:off x="81756831"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959" name="WordArt 6"/>
        <xdr:cNvSpPr>
          <a:spLocks noChangeArrowheads="1" noChangeShapeType="1" noTextEdit="1"/>
        </xdr:cNvSpPr>
      </xdr:nvSpPr>
      <xdr:spPr bwMode="auto">
        <a:xfrm>
          <a:off x="827653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960" name="WordArt 6"/>
        <xdr:cNvSpPr>
          <a:spLocks noChangeArrowheads="1" noChangeShapeType="1" noTextEdit="1"/>
        </xdr:cNvSpPr>
      </xdr:nvSpPr>
      <xdr:spPr bwMode="auto">
        <a:xfrm>
          <a:off x="827653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46</xdr:row>
      <xdr:rowOff>121947</xdr:rowOff>
    </xdr:from>
    <xdr:to>
      <xdr:col>59</xdr:col>
      <xdr:colOff>3756</xdr:colOff>
      <xdr:row>47</xdr:row>
      <xdr:rowOff>96744</xdr:rowOff>
    </xdr:to>
    <xdr:sp macro="" textlink="">
      <xdr:nvSpPr>
        <xdr:cNvPr id="961" name="WordArt 6"/>
        <xdr:cNvSpPr>
          <a:spLocks noChangeArrowheads="1" noChangeShapeType="1" noTextEdit="1"/>
        </xdr:cNvSpPr>
      </xdr:nvSpPr>
      <xdr:spPr bwMode="auto">
        <a:xfrm>
          <a:off x="81756831"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47</xdr:row>
      <xdr:rowOff>122886</xdr:rowOff>
    </xdr:from>
    <xdr:to>
      <xdr:col>59</xdr:col>
      <xdr:colOff>3756</xdr:colOff>
      <xdr:row>48</xdr:row>
      <xdr:rowOff>97683</xdr:rowOff>
    </xdr:to>
    <xdr:sp macro="" textlink="">
      <xdr:nvSpPr>
        <xdr:cNvPr id="962" name="WordArt 6"/>
        <xdr:cNvSpPr>
          <a:spLocks noChangeArrowheads="1" noChangeShapeType="1" noTextEdit="1"/>
        </xdr:cNvSpPr>
      </xdr:nvSpPr>
      <xdr:spPr bwMode="auto">
        <a:xfrm>
          <a:off x="81756831" y="21820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963" name="WordArt 6"/>
        <xdr:cNvSpPr>
          <a:spLocks noChangeArrowheads="1" noChangeShapeType="1" noTextEdit="1"/>
        </xdr:cNvSpPr>
      </xdr:nvSpPr>
      <xdr:spPr bwMode="auto">
        <a:xfrm>
          <a:off x="827653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46</xdr:row>
      <xdr:rowOff>121947</xdr:rowOff>
    </xdr:from>
    <xdr:to>
      <xdr:col>59</xdr:col>
      <xdr:colOff>1012243</xdr:colOff>
      <xdr:row>47</xdr:row>
      <xdr:rowOff>96744</xdr:rowOff>
    </xdr:to>
    <xdr:sp macro="" textlink="">
      <xdr:nvSpPr>
        <xdr:cNvPr id="964" name="WordArt 6"/>
        <xdr:cNvSpPr>
          <a:spLocks noChangeArrowheads="1" noChangeShapeType="1" noTextEdit="1"/>
        </xdr:cNvSpPr>
      </xdr:nvSpPr>
      <xdr:spPr bwMode="auto">
        <a:xfrm>
          <a:off x="82765318" y="21591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47</xdr:row>
      <xdr:rowOff>121947</xdr:rowOff>
    </xdr:from>
    <xdr:to>
      <xdr:col>59</xdr:col>
      <xdr:colOff>3756</xdr:colOff>
      <xdr:row>48</xdr:row>
      <xdr:rowOff>96744</xdr:rowOff>
    </xdr:to>
    <xdr:sp macro="" textlink="">
      <xdr:nvSpPr>
        <xdr:cNvPr id="965" name="WordArt 6"/>
        <xdr:cNvSpPr>
          <a:spLocks noChangeArrowheads="1" noChangeShapeType="1" noTextEdit="1"/>
        </xdr:cNvSpPr>
      </xdr:nvSpPr>
      <xdr:spPr bwMode="auto">
        <a:xfrm>
          <a:off x="81756831"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47</xdr:row>
      <xdr:rowOff>121947</xdr:rowOff>
    </xdr:from>
    <xdr:to>
      <xdr:col>59</xdr:col>
      <xdr:colOff>1012243</xdr:colOff>
      <xdr:row>48</xdr:row>
      <xdr:rowOff>96744</xdr:rowOff>
    </xdr:to>
    <xdr:sp macro="" textlink="">
      <xdr:nvSpPr>
        <xdr:cNvPr id="966" name="WordArt 6"/>
        <xdr:cNvSpPr>
          <a:spLocks noChangeArrowheads="1" noChangeShapeType="1" noTextEdit="1"/>
        </xdr:cNvSpPr>
      </xdr:nvSpPr>
      <xdr:spPr bwMode="auto">
        <a:xfrm>
          <a:off x="82765318"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47</xdr:row>
      <xdr:rowOff>121947</xdr:rowOff>
    </xdr:from>
    <xdr:to>
      <xdr:col>59</xdr:col>
      <xdr:colOff>1012243</xdr:colOff>
      <xdr:row>48</xdr:row>
      <xdr:rowOff>96744</xdr:rowOff>
    </xdr:to>
    <xdr:sp macro="" textlink="">
      <xdr:nvSpPr>
        <xdr:cNvPr id="967" name="WordArt 6"/>
        <xdr:cNvSpPr>
          <a:spLocks noChangeArrowheads="1" noChangeShapeType="1" noTextEdit="1"/>
        </xdr:cNvSpPr>
      </xdr:nvSpPr>
      <xdr:spPr bwMode="auto">
        <a:xfrm>
          <a:off x="82765318"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47</xdr:row>
      <xdr:rowOff>121947</xdr:rowOff>
    </xdr:from>
    <xdr:to>
      <xdr:col>59</xdr:col>
      <xdr:colOff>3756</xdr:colOff>
      <xdr:row>48</xdr:row>
      <xdr:rowOff>96744</xdr:rowOff>
    </xdr:to>
    <xdr:sp macro="" textlink="">
      <xdr:nvSpPr>
        <xdr:cNvPr id="968" name="WordArt 6"/>
        <xdr:cNvSpPr>
          <a:spLocks noChangeArrowheads="1" noChangeShapeType="1" noTextEdit="1"/>
        </xdr:cNvSpPr>
      </xdr:nvSpPr>
      <xdr:spPr bwMode="auto">
        <a:xfrm>
          <a:off x="81756831"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48</xdr:row>
      <xdr:rowOff>122886</xdr:rowOff>
    </xdr:from>
    <xdr:to>
      <xdr:col>59</xdr:col>
      <xdr:colOff>3756</xdr:colOff>
      <xdr:row>49</xdr:row>
      <xdr:rowOff>97683</xdr:rowOff>
    </xdr:to>
    <xdr:sp macro="" textlink="">
      <xdr:nvSpPr>
        <xdr:cNvPr id="969" name="WordArt 6"/>
        <xdr:cNvSpPr>
          <a:spLocks noChangeArrowheads="1" noChangeShapeType="1" noTextEdit="1"/>
        </xdr:cNvSpPr>
      </xdr:nvSpPr>
      <xdr:spPr bwMode="auto">
        <a:xfrm>
          <a:off x="81756831" y="22049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47</xdr:row>
      <xdr:rowOff>121947</xdr:rowOff>
    </xdr:from>
    <xdr:to>
      <xdr:col>59</xdr:col>
      <xdr:colOff>1012243</xdr:colOff>
      <xdr:row>48</xdr:row>
      <xdr:rowOff>96744</xdr:rowOff>
    </xdr:to>
    <xdr:sp macro="" textlink="">
      <xdr:nvSpPr>
        <xdr:cNvPr id="970" name="WordArt 6"/>
        <xdr:cNvSpPr>
          <a:spLocks noChangeArrowheads="1" noChangeShapeType="1" noTextEdit="1"/>
        </xdr:cNvSpPr>
      </xdr:nvSpPr>
      <xdr:spPr bwMode="auto">
        <a:xfrm>
          <a:off x="82765318"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47</xdr:row>
      <xdr:rowOff>121947</xdr:rowOff>
    </xdr:from>
    <xdr:to>
      <xdr:col>59</xdr:col>
      <xdr:colOff>1012243</xdr:colOff>
      <xdr:row>48</xdr:row>
      <xdr:rowOff>96744</xdr:rowOff>
    </xdr:to>
    <xdr:sp macro="" textlink="">
      <xdr:nvSpPr>
        <xdr:cNvPr id="971" name="WordArt 6"/>
        <xdr:cNvSpPr>
          <a:spLocks noChangeArrowheads="1" noChangeShapeType="1" noTextEdit="1"/>
        </xdr:cNvSpPr>
      </xdr:nvSpPr>
      <xdr:spPr bwMode="auto">
        <a:xfrm>
          <a:off x="82765318" y="21819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48</xdr:row>
      <xdr:rowOff>121947</xdr:rowOff>
    </xdr:from>
    <xdr:to>
      <xdr:col>59</xdr:col>
      <xdr:colOff>3756</xdr:colOff>
      <xdr:row>49</xdr:row>
      <xdr:rowOff>96744</xdr:rowOff>
    </xdr:to>
    <xdr:sp macro="" textlink="">
      <xdr:nvSpPr>
        <xdr:cNvPr id="972" name="WordArt 6"/>
        <xdr:cNvSpPr>
          <a:spLocks noChangeArrowheads="1" noChangeShapeType="1" noTextEdit="1"/>
        </xdr:cNvSpPr>
      </xdr:nvSpPr>
      <xdr:spPr bwMode="auto">
        <a:xfrm>
          <a:off x="81756831"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48</xdr:row>
      <xdr:rowOff>121947</xdr:rowOff>
    </xdr:from>
    <xdr:to>
      <xdr:col>59</xdr:col>
      <xdr:colOff>1012243</xdr:colOff>
      <xdr:row>49</xdr:row>
      <xdr:rowOff>96744</xdr:rowOff>
    </xdr:to>
    <xdr:sp macro="" textlink="">
      <xdr:nvSpPr>
        <xdr:cNvPr id="973" name="WordArt 6"/>
        <xdr:cNvSpPr>
          <a:spLocks noChangeArrowheads="1" noChangeShapeType="1" noTextEdit="1"/>
        </xdr:cNvSpPr>
      </xdr:nvSpPr>
      <xdr:spPr bwMode="auto">
        <a:xfrm>
          <a:off x="82765318"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48</xdr:row>
      <xdr:rowOff>121947</xdr:rowOff>
    </xdr:from>
    <xdr:to>
      <xdr:col>59</xdr:col>
      <xdr:colOff>1012243</xdr:colOff>
      <xdr:row>49</xdr:row>
      <xdr:rowOff>96744</xdr:rowOff>
    </xdr:to>
    <xdr:sp macro="" textlink="">
      <xdr:nvSpPr>
        <xdr:cNvPr id="974" name="WordArt 6"/>
        <xdr:cNvSpPr>
          <a:spLocks noChangeArrowheads="1" noChangeShapeType="1" noTextEdit="1"/>
        </xdr:cNvSpPr>
      </xdr:nvSpPr>
      <xdr:spPr bwMode="auto">
        <a:xfrm>
          <a:off x="82765318"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48</xdr:row>
      <xdr:rowOff>121947</xdr:rowOff>
    </xdr:from>
    <xdr:to>
      <xdr:col>59</xdr:col>
      <xdr:colOff>3756</xdr:colOff>
      <xdr:row>49</xdr:row>
      <xdr:rowOff>96744</xdr:rowOff>
    </xdr:to>
    <xdr:sp macro="" textlink="">
      <xdr:nvSpPr>
        <xdr:cNvPr id="975" name="WordArt 6"/>
        <xdr:cNvSpPr>
          <a:spLocks noChangeArrowheads="1" noChangeShapeType="1" noTextEdit="1"/>
        </xdr:cNvSpPr>
      </xdr:nvSpPr>
      <xdr:spPr bwMode="auto">
        <a:xfrm>
          <a:off x="81756831"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49</xdr:row>
      <xdr:rowOff>122886</xdr:rowOff>
    </xdr:from>
    <xdr:to>
      <xdr:col>59</xdr:col>
      <xdr:colOff>3756</xdr:colOff>
      <xdr:row>50</xdr:row>
      <xdr:rowOff>97683</xdr:rowOff>
    </xdr:to>
    <xdr:sp macro="" textlink="">
      <xdr:nvSpPr>
        <xdr:cNvPr id="976" name="WordArt 6"/>
        <xdr:cNvSpPr>
          <a:spLocks noChangeArrowheads="1" noChangeShapeType="1" noTextEdit="1"/>
        </xdr:cNvSpPr>
      </xdr:nvSpPr>
      <xdr:spPr bwMode="auto">
        <a:xfrm>
          <a:off x="81756831" y="222780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48</xdr:row>
      <xdr:rowOff>121947</xdr:rowOff>
    </xdr:from>
    <xdr:to>
      <xdr:col>59</xdr:col>
      <xdr:colOff>1012243</xdr:colOff>
      <xdr:row>49</xdr:row>
      <xdr:rowOff>96744</xdr:rowOff>
    </xdr:to>
    <xdr:sp macro="" textlink="">
      <xdr:nvSpPr>
        <xdr:cNvPr id="977" name="WordArt 6"/>
        <xdr:cNvSpPr>
          <a:spLocks noChangeArrowheads="1" noChangeShapeType="1" noTextEdit="1"/>
        </xdr:cNvSpPr>
      </xdr:nvSpPr>
      <xdr:spPr bwMode="auto">
        <a:xfrm>
          <a:off x="82765318"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48</xdr:row>
      <xdr:rowOff>121947</xdr:rowOff>
    </xdr:from>
    <xdr:to>
      <xdr:col>59</xdr:col>
      <xdr:colOff>1012243</xdr:colOff>
      <xdr:row>49</xdr:row>
      <xdr:rowOff>96744</xdr:rowOff>
    </xdr:to>
    <xdr:sp macro="" textlink="">
      <xdr:nvSpPr>
        <xdr:cNvPr id="978" name="WordArt 6"/>
        <xdr:cNvSpPr>
          <a:spLocks noChangeArrowheads="1" noChangeShapeType="1" noTextEdit="1"/>
        </xdr:cNvSpPr>
      </xdr:nvSpPr>
      <xdr:spPr bwMode="auto">
        <a:xfrm>
          <a:off x="82765318" y="22048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49</xdr:row>
      <xdr:rowOff>121947</xdr:rowOff>
    </xdr:from>
    <xdr:to>
      <xdr:col>59</xdr:col>
      <xdr:colOff>3756</xdr:colOff>
      <xdr:row>50</xdr:row>
      <xdr:rowOff>96744</xdr:rowOff>
    </xdr:to>
    <xdr:sp macro="" textlink="">
      <xdr:nvSpPr>
        <xdr:cNvPr id="979" name="WordArt 6"/>
        <xdr:cNvSpPr>
          <a:spLocks noChangeArrowheads="1" noChangeShapeType="1" noTextEdit="1"/>
        </xdr:cNvSpPr>
      </xdr:nvSpPr>
      <xdr:spPr bwMode="auto">
        <a:xfrm>
          <a:off x="81756831"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49</xdr:row>
      <xdr:rowOff>121947</xdr:rowOff>
    </xdr:from>
    <xdr:to>
      <xdr:col>59</xdr:col>
      <xdr:colOff>1012243</xdr:colOff>
      <xdr:row>50</xdr:row>
      <xdr:rowOff>96744</xdr:rowOff>
    </xdr:to>
    <xdr:sp macro="" textlink="">
      <xdr:nvSpPr>
        <xdr:cNvPr id="980" name="WordArt 6"/>
        <xdr:cNvSpPr>
          <a:spLocks noChangeArrowheads="1" noChangeShapeType="1" noTextEdit="1"/>
        </xdr:cNvSpPr>
      </xdr:nvSpPr>
      <xdr:spPr bwMode="auto">
        <a:xfrm>
          <a:off x="82765318"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49</xdr:row>
      <xdr:rowOff>121947</xdr:rowOff>
    </xdr:from>
    <xdr:to>
      <xdr:col>59</xdr:col>
      <xdr:colOff>1012243</xdr:colOff>
      <xdr:row>50</xdr:row>
      <xdr:rowOff>96744</xdr:rowOff>
    </xdr:to>
    <xdr:sp macro="" textlink="">
      <xdr:nvSpPr>
        <xdr:cNvPr id="981" name="WordArt 6"/>
        <xdr:cNvSpPr>
          <a:spLocks noChangeArrowheads="1" noChangeShapeType="1" noTextEdit="1"/>
        </xdr:cNvSpPr>
      </xdr:nvSpPr>
      <xdr:spPr bwMode="auto">
        <a:xfrm>
          <a:off x="82765318"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49</xdr:row>
      <xdr:rowOff>121947</xdr:rowOff>
    </xdr:from>
    <xdr:to>
      <xdr:col>59</xdr:col>
      <xdr:colOff>3756</xdr:colOff>
      <xdr:row>50</xdr:row>
      <xdr:rowOff>96744</xdr:rowOff>
    </xdr:to>
    <xdr:sp macro="" textlink="">
      <xdr:nvSpPr>
        <xdr:cNvPr id="982" name="WordArt 6"/>
        <xdr:cNvSpPr>
          <a:spLocks noChangeArrowheads="1" noChangeShapeType="1" noTextEdit="1"/>
        </xdr:cNvSpPr>
      </xdr:nvSpPr>
      <xdr:spPr bwMode="auto">
        <a:xfrm>
          <a:off x="81756831"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50</xdr:row>
      <xdr:rowOff>122886</xdr:rowOff>
    </xdr:from>
    <xdr:to>
      <xdr:col>59</xdr:col>
      <xdr:colOff>3756</xdr:colOff>
      <xdr:row>51</xdr:row>
      <xdr:rowOff>97683</xdr:rowOff>
    </xdr:to>
    <xdr:sp macro="" textlink="">
      <xdr:nvSpPr>
        <xdr:cNvPr id="983" name="WordArt 6"/>
        <xdr:cNvSpPr>
          <a:spLocks noChangeArrowheads="1" noChangeShapeType="1" noTextEdit="1"/>
        </xdr:cNvSpPr>
      </xdr:nvSpPr>
      <xdr:spPr bwMode="auto">
        <a:xfrm>
          <a:off x="81756831" y="22506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49</xdr:row>
      <xdr:rowOff>121947</xdr:rowOff>
    </xdr:from>
    <xdr:to>
      <xdr:col>59</xdr:col>
      <xdr:colOff>1012243</xdr:colOff>
      <xdr:row>50</xdr:row>
      <xdr:rowOff>96744</xdr:rowOff>
    </xdr:to>
    <xdr:sp macro="" textlink="">
      <xdr:nvSpPr>
        <xdr:cNvPr id="984" name="WordArt 6"/>
        <xdr:cNvSpPr>
          <a:spLocks noChangeArrowheads="1" noChangeShapeType="1" noTextEdit="1"/>
        </xdr:cNvSpPr>
      </xdr:nvSpPr>
      <xdr:spPr bwMode="auto">
        <a:xfrm>
          <a:off x="82765318"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49</xdr:row>
      <xdr:rowOff>121947</xdr:rowOff>
    </xdr:from>
    <xdr:to>
      <xdr:col>59</xdr:col>
      <xdr:colOff>1012243</xdr:colOff>
      <xdr:row>50</xdr:row>
      <xdr:rowOff>96744</xdr:rowOff>
    </xdr:to>
    <xdr:sp macro="" textlink="">
      <xdr:nvSpPr>
        <xdr:cNvPr id="985" name="WordArt 6"/>
        <xdr:cNvSpPr>
          <a:spLocks noChangeArrowheads="1" noChangeShapeType="1" noTextEdit="1"/>
        </xdr:cNvSpPr>
      </xdr:nvSpPr>
      <xdr:spPr bwMode="auto">
        <a:xfrm>
          <a:off x="82765318" y="22277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50</xdr:row>
      <xdr:rowOff>121947</xdr:rowOff>
    </xdr:from>
    <xdr:to>
      <xdr:col>59</xdr:col>
      <xdr:colOff>3756</xdr:colOff>
      <xdr:row>51</xdr:row>
      <xdr:rowOff>96744</xdr:rowOff>
    </xdr:to>
    <xdr:sp macro="" textlink="">
      <xdr:nvSpPr>
        <xdr:cNvPr id="986" name="WordArt 6"/>
        <xdr:cNvSpPr>
          <a:spLocks noChangeArrowheads="1" noChangeShapeType="1" noTextEdit="1"/>
        </xdr:cNvSpPr>
      </xdr:nvSpPr>
      <xdr:spPr bwMode="auto">
        <a:xfrm>
          <a:off x="81756831"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702687</xdr:colOff>
      <xdr:row>50</xdr:row>
      <xdr:rowOff>121947</xdr:rowOff>
    </xdr:from>
    <xdr:to>
      <xdr:col>59</xdr:col>
      <xdr:colOff>702687</xdr:colOff>
      <xdr:row>51</xdr:row>
      <xdr:rowOff>96744</xdr:rowOff>
    </xdr:to>
    <xdr:sp macro="" textlink="">
      <xdr:nvSpPr>
        <xdr:cNvPr id="987" name="WordArt 6"/>
        <xdr:cNvSpPr>
          <a:spLocks noChangeArrowheads="1" noChangeShapeType="1" noTextEdit="1"/>
        </xdr:cNvSpPr>
      </xdr:nvSpPr>
      <xdr:spPr bwMode="auto">
        <a:xfrm>
          <a:off x="82455762"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50</xdr:row>
      <xdr:rowOff>121947</xdr:rowOff>
    </xdr:from>
    <xdr:to>
      <xdr:col>59</xdr:col>
      <xdr:colOff>1012243</xdr:colOff>
      <xdr:row>51</xdr:row>
      <xdr:rowOff>96744</xdr:rowOff>
    </xdr:to>
    <xdr:sp macro="" textlink="">
      <xdr:nvSpPr>
        <xdr:cNvPr id="988" name="WordArt 6"/>
        <xdr:cNvSpPr>
          <a:spLocks noChangeArrowheads="1" noChangeShapeType="1" noTextEdit="1"/>
        </xdr:cNvSpPr>
      </xdr:nvSpPr>
      <xdr:spPr bwMode="auto">
        <a:xfrm>
          <a:off x="82765318"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50</xdr:row>
      <xdr:rowOff>121947</xdr:rowOff>
    </xdr:from>
    <xdr:to>
      <xdr:col>59</xdr:col>
      <xdr:colOff>3756</xdr:colOff>
      <xdr:row>51</xdr:row>
      <xdr:rowOff>96744</xdr:rowOff>
    </xdr:to>
    <xdr:sp macro="" textlink="">
      <xdr:nvSpPr>
        <xdr:cNvPr id="989" name="WordArt 6"/>
        <xdr:cNvSpPr>
          <a:spLocks noChangeArrowheads="1" noChangeShapeType="1" noTextEdit="1"/>
        </xdr:cNvSpPr>
      </xdr:nvSpPr>
      <xdr:spPr bwMode="auto">
        <a:xfrm>
          <a:off x="81756831"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51</xdr:row>
      <xdr:rowOff>122886</xdr:rowOff>
    </xdr:from>
    <xdr:to>
      <xdr:col>59</xdr:col>
      <xdr:colOff>3756</xdr:colOff>
      <xdr:row>52</xdr:row>
      <xdr:rowOff>97683</xdr:rowOff>
    </xdr:to>
    <xdr:sp macro="" textlink="">
      <xdr:nvSpPr>
        <xdr:cNvPr id="990" name="WordArt 6"/>
        <xdr:cNvSpPr>
          <a:spLocks noChangeArrowheads="1" noChangeShapeType="1" noTextEdit="1"/>
        </xdr:cNvSpPr>
      </xdr:nvSpPr>
      <xdr:spPr bwMode="auto">
        <a:xfrm>
          <a:off x="81756831" y="22735236"/>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50</xdr:row>
      <xdr:rowOff>121947</xdr:rowOff>
    </xdr:from>
    <xdr:to>
      <xdr:col>59</xdr:col>
      <xdr:colOff>1012243</xdr:colOff>
      <xdr:row>51</xdr:row>
      <xdr:rowOff>96744</xdr:rowOff>
    </xdr:to>
    <xdr:sp macro="" textlink="">
      <xdr:nvSpPr>
        <xdr:cNvPr id="991" name="WordArt 6"/>
        <xdr:cNvSpPr>
          <a:spLocks noChangeArrowheads="1" noChangeShapeType="1" noTextEdit="1"/>
        </xdr:cNvSpPr>
      </xdr:nvSpPr>
      <xdr:spPr bwMode="auto">
        <a:xfrm>
          <a:off x="82765318"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50</xdr:row>
      <xdr:rowOff>121947</xdr:rowOff>
    </xdr:from>
    <xdr:to>
      <xdr:col>59</xdr:col>
      <xdr:colOff>1012243</xdr:colOff>
      <xdr:row>51</xdr:row>
      <xdr:rowOff>96744</xdr:rowOff>
    </xdr:to>
    <xdr:sp macro="" textlink="">
      <xdr:nvSpPr>
        <xdr:cNvPr id="992" name="WordArt 6"/>
        <xdr:cNvSpPr>
          <a:spLocks noChangeArrowheads="1" noChangeShapeType="1" noTextEdit="1"/>
        </xdr:cNvSpPr>
      </xdr:nvSpPr>
      <xdr:spPr bwMode="auto">
        <a:xfrm>
          <a:off x="82765318" y="22505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51</xdr:row>
      <xdr:rowOff>121947</xdr:rowOff>
    </xdr:from>
    <xdr:to>
      <xdr:col>59</xdr:col>
      <xdr:colOff>3756</xdr:colOff>
      <xdr:row>52</xdr:row>
      <xdr:rowOff>96744</xdr:rowOff>
    </xdr:to>
    <xdr:sp macro="" textlink="">
      <xdr:nvSpPr>
        <xdr:cNvPr id="993" name="WordArt 6"/>
        <xdr:cNvSpPr>
          <a:spLocks noChangeArrowheads="1" noChangeShapeType="1" noTextEdit="1"/>
        </xdr:cNvSpPr>
      </xdr:nvSpPr>
      <xdr:spPr bwMode="auto">
        <a:xfrm>
          <a:off x="81756831" y="227342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51</xdr:row>
      <xdr:rowOff>121947</xdr:rowOff>
    </xdr:from>
    <xdr:to>
      <xdr:col>59</xdr:col>
      <xdr:colOff>1012243</xdr:colOff>
      <xdr:row>52</xdr:row>
      <xdr:rowOff>96744</xdr:rowOff>
    </xdr:to>
    <xdr:sp macro="" textlink="">
      <xdr:nvSpPr>
        <xdr:cNvPr id="994" name="WordArt 6"/>
        <xdr:cNvSpPr>
          <a:spLocks noChangeArrowheads="1" noChangeShapeType="1" noTextEdit="1"/>
        </xdr:cNvSpPr>
      </xdr:nvSpPr>
      <xdr:spPr bwMode="auto">
        <a:xfrm>
          <a:off x="82765318" y="227342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51</xdr:row>
      <xdr:rowOff>121947</xdr:rowOff>
    </xdr:from>
    <xdr:to>
      <xdr:col>59</xdr:col>
      <xdr:colOff>1012243</xdr:colOff>
      <xdr:row>52</xdr:row>
      <xdr:rowOff>96744</xdr:rowOff>
    </xdr:to>
    <xdr:sp macro="" textlink="">
      <xdr:nvSpPr>
        <xdr:cNvPr id="995" name="WordArt 6"/>
        <xdr:cNvSpPr>
          <a:spLocks noChangeArrowheads="1" noChangeShapeType="1" noTextEdit="1"/>
        </xdr:cNvSpPr>
      </xdr:nvSpPr>
      <xdr:spPr bwMode="auto">
        <a:xfrm>
          <a:off x="82765318" y="227342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42</xdr:row>
      <xdr:rowOff>121947</xdr:rowOff>
    </xdr:from>
    <xdr:to>
      <xdr:col>59</xdr:col>
      <xdr:colOff>3756</xdr:colOff>
      <xdr:row>43</xdr:row>
      <xdr:rowOff>96744</xdr:rowOff>
    </xdr:to>
    <xdr:sp macro="" textlink="">
      <xdr:nvSpPr>
        <xdr:cNvPr id="996" name="WordArt 6"/>
        <xdr:cNvSpPr>
          <a:spLocks noChangeArrowheads="1" noChangeShapeType="1" noTextEdit="1"/>
        </xdr:cNvSpPr>
      </xdr:nvSpPr>
      <xdr:spPr bwMode="auto">
        <a:xfrm>
          <a:off x="81756831"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122886</xdr:rowOff>
    </xdr:from>
    <xdr:to>
      <xdr:col>59</xdr:col>
      <xdr:colOff>3756</xdr:colOff>
      <xdr:row>44</xdr:row>
      <xdr:rowOff>97683</xdr:rowOff>
    </xdr:to>
    <xdr:sp macro="" textlink="">
      <xdr:nvSpPr>
        <xdr:cNvPr id="997" name="WordArt 6"/>
        <xdr:cNvSpPr>
          <a:spLocks noChangeArrowheads="1" noChangeShapeType="1" noTextEdit="1"/>
        </xdr:cNvSpPr>
      </xdr:nvSpPr>
      <xdr:spPr bwMode="auto">
        <a:xfrm>
          <a:off x="81756831" y="209064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42</xdr:row>
      <xdr:rowOff>121947</xdr:rowOff>
    </xdr:from>
    <xdr:to>
      <xdr:col>59</xdr:col>
      <xdr:colOff>1012243</xdr:colOff>
      <xdr:row>43</xdr:row>
      <xdr:rowOff>96744</xdr:rowOff>
    </xdr:to>
    <xdr:sp macro="" textlink="">
      <xdr:nvSpPr>
        <xdr:cNvPr id="998" name="WordArt 6"/>
        <xdr:cNvSpPr>
          <a:spLocks noChangeArrowheads="1" noChangeShapeType="1" noTextEdit="1"/>
        </xdr:cNvSpPr>
      </xdr:nvSpPr>
      <xdr:spPr bwMode="auto">
        <a:xfrm>
          <a:off x="82765318"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42</xdr:row>
      <xdr:rowOff>121947</xdr:rowOff>
    </xdr:from>
    <xdr:to>
      <xdr:col>59</xdr:col>
      <xdr:colOff>1012243</xdr:colOff>
      <xdr:row>43</xdr:row>
      <xdr:rowOff>96744</xdr:rowOff>
    </xdr:to>
    <xdr:sp macro="" textlink="">
      <xdr:nvSpPr>
        <xdr:cNvPr id="999" name="WordArt 6"/>
        <xdr:cNvSpPr>
          <a:spLocks noChangeArrowheads="1" noChangeShapeType="1" noTextEdit="1"/>
        </xdr:cNvSpPr>
      </xdr:nvSpPr>
      <xdr:spPr bwMode="auto">
        <a:xfrm>
          <a:off x="82765318" y="206768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121947</xdr:rowOff>
    </xdr:from>
    <xdr:to>
      <xdr:col>59</xdr:col>
      <xdr:colOff>3756</xdr:colOff>
      <xdr:row>44</xdr:row>
      <xdr:rowOff>96744</xdr:rowOff>
    </xdr:to>
    <xdr:sp macro="" textlink="">
      <xdr:nvSpPr>
        <xdr:cNvPr id="1000" name="WordArt 6"/>
        <xdr:cNvSpPr>
          <a:spLocks noChangeArrowheads="1" noChangeShapeType="1" noTextEdit="1"/>
        </xdr:cNvSpPr>
      </xdr:nvSpPr>
      <xdr:spPr bwMode="auto">
        <a:xfrm>
          <a:off x="81756831"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121947</xdr:rowOff>
    </xdr:from>
    <xdr:to>
      <xdr:col>59</xdr:col>
      <xdr:colOff>1012243</xdr:colOff>
      <xdr:row>44</xdr:row>
      <xdr:rowOff>96744</xdr:rowOff>
    </xdr:to>
    <xdr:sp macro="" textlink="">
      <xdr:nvSpPr>
        <xdr:cNvPr id="1001" name="WordArt 6"/>
        <xdr:cNvSpPr>
          <a:spLocks noChangeArrowheads="1" noChangeShapeType="1" noTextEdit="1"/>
        </xdr:cNvSpPr>
      </xdr:nvSpPr>
      <xdr:spPr bwMode="auto">
        <a:xfrm>
          <a:off x="82765318"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43</xdr:row>
      <xdr:rowOff>121947</xdr:rowOff>
    </xdr:from>
    <xdr:to>
      <xdr:col>59</xdr:col>
      <xdr:colOff>1012243</xdr:colOff>
      <xdr:row>44</xdr:row>
      <xdr:rowOff>96744</xdr:rowOff>
    </xdr:to>
    <xdr:sp macro="" textlink="">
      <xdr:nvSpPr>
        <xdr:cNvPr id="1002" name="WordArt 6"/>
        <xdr:cNvSpPr>
          <a:spLocks noChangeArrowheads="1" noChangeShapeType="1" noTextEdit="1"/>
        </xdr:cNvSpPr>
      </xdr:nvSpPr>
      <xdr:spPr bwMode="auto">
        <a:xfrm>
          <a:off x="82765318" y="209054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121947</xdr:rowOff>
    </xdr:from>
    <xdr:to>
      <xdr:col>59</xdr:col>
      <xdr:colOff>3756</xdr:colOff>
      <xdr:row>45</xdr:row>
      <xdr:rowOff>96744</xdr:rowOff>
    </xdr:to>
    <xdr:sp macro="" textlink="">
      <xdr:nvSpPr>
        <xdr:cNvPr id="1003" name="WordArt 6"/>
        <xdr:cNvSpPr>
          <a:spLocks noChangeArrowheads="1" noChangeShapeType="1" noTextEdit="1"/>
        </xdr:cNvSpPr>
      </xdr:nvSpPr>
      <xdr:spPr bwMode="auto">
        <a:xfrm>
          <a:off x="81756831"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122886</xdr:rowOff>
    </xdr:from>
    <xdr:to>
      <xdr:col>59</xdr:col>
      <xdr:colOff>3756</xdr:colOff>
      <xdr:row>46</xdr:row>
      <xdr:rowOff>97683</xdr:rowOff>
    </xdr:to>
    <xdr:sp macro="" textlink="">
      <xdr:nvSpPr>
        <xdr:cNvPr id="1004" name="WordArt 6"/>
        <xdr:cNvSpPr>
          <a:spLocks noChangeArrowheads="1" noChangeShapeType="1" noTextEdit="1"/>
        </xdr:cNvSpPr>
      </xdr:nvSpPr>
      <xdr:spPr bwMode="auto">
        <a:xfrm>
          <a:off x="81756831" y="21363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1005" name="WordArt 6"/>
        <xdr:cNvSpPr>
          <a:spLocks noChangeArrowheads="1" noChangeShapeType="1" noTextEdit="1"/>
        </xdr:cNvSpPr>
      </xdr:nvSpPr>
      <xdr:spPr bwMode="auto">
        <a:xfrm>
          <a:off x="82765318"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44</xdr:row>
      <xdr:rowOff>121947</xdr:rowOff>
    </xdr:from>
    <xdr:to>
      <xdr:col>59</xdr:col>
      <xdr:colOff>1012243</xdr:colOff>
      <xdr:row>45</xdr:row>
      <xdr:rowOff>96744</xdr:rowOff>
    </xdr:to>
    <xdr:sp macro="" textlink="">
      <xdr:nvSpPr>
        <xdr:cNvPr id="1006" name="WordArt 6"/>
        <xdr:cNvSpPr>
          <a:spLocks noChangeArrowheads="1" noChangeShapeType="1" noTextEdit="1"/>
        </xdr:cNvSpPr>
      </xdr:nvSpPr>
      <xdr:spPr bwMode="auto">
        <a:xfrm>
          <a:off x="82765318" y="21134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1007" name="WordArt 6"/>
        <xdr:cNvSpPr>
          <a:spLocks noChangeArrowheads="1" noChangeShapeType="1" noTextEdit="1"/>
        </xdr:cNvSpPr>
      </xdr:nvSpPr>
      <xdr:spPr bwMode="auto">
        <a:xfrm>
          <a:off x="81756831"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1008" name="WordArt 6"/>
        <xdr:cNvSpPr>
          <a:spLocks noChangeArrowheads="1" noChangeShapeType="1" noTextEdit="1"/>
        </xdr:cNvSpPr>
      </xdr:nvSpPr>
      <xdr:spPr bwMode="auto">
        <a:xfrm>
          <a:off x="827653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1009" name="WordArt 6"/>
        <xdr:cNvSpPr>
          <a:spLocks noChangeArrowheads="1" noChangeShapeType="1" noTextEdit="1"/>
        </xdr:cNvSpPr>
      </xdr:nvSpPr>
      <xdr:spPr bwMode="auto">
        <a:xfrm>
          <a:off x="827653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1010" name="WordArt 6"/>
        <xdr:cNvSpPr>
          <a:spLocks noChangeArrowheads="1" noChangeShapeType="1" noTextEdit="1"/>
        </xdr:cNvSpPr>
      </xdr:nvSpPr>
      <xdr:spPr bwMode="auto">
        <a:xfrm>
          <a:off x="81756831"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1011" name="WordArt 6"/>
        <xdr:cNvSpPr>
          <a:spLocks noChangeArrowheads="1" noChangeShapeType="1" noTextEdit="1"/>
        </xdr:cNvSpPr>
      </xdr:nvSpPr>
      <xdr:spPr bwMode="auto">
        <a:xfrm>
          <a:off x="827653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45</xdr:row>
      <xdr:rowOff>121947</xdr:rowOff>
    </xdr:from>
    <xdr:to>
      <xdr:col>59</xdr:col>
      <xdr:colOff>1012243</xdr:colOff>
      <xdr:row>46</xdr:row>
      <xdr:rowOff>96744</xdr:rowOff>
    </xdr:to>
    <xdr:sp macro="" textlink="">
      <xdr:nvSpPr>
        <xdr:cNvPr id="1012" name="WordArt 6"/>
        <xdr:cNvSpPr>
          <a:spLocks noChangeArrowheads="1" noChangeShapeType="1" noTextEdit="1"/>
        </xdr:cNvSpPr>
      </xdr:nvSpPr>
      <xdr:spPr bwMode="auto">
        <a:xfrm>
          <a:off x="82765318" y="21362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pjid/Local%20Settings/Temporary%20Internet%20Files/Content.Outlook/GGDWR0K9/PSEG%20Transmission%20Formula%20Rate%20Update%2010%2017%202011%20w%20abandoned%20Final%207%2017%202012JD%20working%20file%20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VS2013"/>
      <sheetName val="Appendix A"/>
      <sheetName val="ADIT1-ADIT"/>
      <sheetName val="ATT1A-ADIT"/>
      <sheetName val="ATT 2 - Other Taxes"/>
      <sheetName val="3 - Revenue Credits"/>
      <sheetName val="4 - 100 Basis Pt ROE"/>
      <sheetName val="5 - Cost Support"/>
      <sheetName val="6- True-Up Adjustment "/>
      <sheetName val="6A-Estimate &amp; Reconcile"/>
      <sheetName val="7 -TEC"/>
      <sheetName val="Workpapers for Projects"/>
      <sheetName val="Andy 101212 rev Oct-dec in serv"/>
      <sheetName val="8 - Depreciation Rates"/>
      <sheetName val="Gloria 9 26 12 Bal"/>
      <sheetName val="Fred's Model 10 9 12 rev"/>
      <sheetName val="In-Service 2013 Forecast"/>
      <sheetName val="CWIP Balance thru 8 31 12"/>
      <sheetName val="Other CWIP Incent Forecast"/>
      <sheetName val="SR Forecast"/>
      <sheetName val="FERC INTEREST RATES"/>
      <sheetName val="Peggy Forecast 2012"/>
    </sheetNames>
    <sheetDataSet>
      <sheetData sheetId="0"/>
      <sheetData sheetId="1">
        <row r="3">
          <cell r="A3" t="str">
            <v>Public Service Electric and Gas Company</v>
          </cell>
        </row>
        <row r="4">
          <cell r="A4" t="str">
            <v xml:space="preserve">ATTACHMENT H-10A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D1497"/>
  <sheetViews>
    <sheetView tabSelected="1" zoomScale="50" zoomScaleNormal="50" workbookViewId="0"/>
  </sheetViews>
  <sheetFormatPr defaultColWidth="9.109375" defaultRowHeight="20.399999999999999"/>
  <cols>
    <col min="1" max="1" width="8.5546875" style="58" customWidth="1"/>
    <col min="2" max="2" width="3.44140625" style="59" customWidth="1"/>
    <col min="3" max="3" width="68.6640625" style="59" customWidth="1"/>
    <col min="4" max="4" width="76.6640625" style="59" customWidth="1"/>
    <col min="5" max="5" width="39.5546875" style="60" customWidth="1"/>
    <col min="6" max="6" width="46.6640625" style="61" customWidth="1"/>
    <col min="7" max="7" width="19.33203125" style="61" bestFit="1" customWidth="1"/>
    <col min="8" max="8" width="30.109375" style="918" customWidth="1"/>
    <col min="9" max="9" width="39.6640625" style="61" customWidth="1"/>
    <col min="10" max="10" width="9.109375" style="61" customWidth="1"/>
    <col min="11" max="16384" width="9.109375" style="61"/>
  </cols>
  <sheetData>
    <row r="1" spans="1:10">
      <c r="G1" s="62"/>
      <c r="H1" s="917"/>
    </row>
    <row r="2" spans="1:10" ht="25.5" customHeight="1" thickBot="1">
      <c r="B2" s="64"/>
      <c r="C2" s="505"/>
      <c r="D2" s="2567"/>
      <c r="E2" s="2567"/>
      <c r="F2" s="2567"/>
      <c r="G2" s="62"/>
      <c r="H2" s="917"/>
    </row>
    <row r="3" spans="1:10" ht="30" customHeight="1">
      <c r="A3" s="65" t="s">
        <v>494</v>
      </c>
      <c r="B3" s="66"/>
      <c r="C3" s="66"/>
      <c r="D3" s="2568"/>
      <c r="E3" s="2568"/>
      <c r="F3" s="2569"/>
      <c r="G3" s="63"/>
      <c r="H3" s="917"/>
    </row>
    <row r="4" spans="1:10" ht="24" customHeight="1" thickBot="1">
      <c r="A4" s="506" t="s">
        <v>495</v>
      </c>
      <c r="B4" s="442"/>
      <c r="C4" s="442"/>
      <c r="D4" s="443"/>
      <c r="E4" s="443"/>
      <c r="F4" s="444"/>
      <c r="G4" s="63"/>
      <c r="H4" s="919"/>
    </row>
    <row r="5" spans="1:10" s="165" customFormat="1" ht="42.6" thickBot="1">
      <c r="A5" s="53" t="s">
        <v>517</v>
      </c>
      <c r="B5" s="67"/>
      <c r="C5" s="67"/>
      <c r="D5" s="67"/>
      <c r="E5" s="494" t="s">
        <v>346</v>
      </c>
      <c r="F5" s="68" t="s">
        <v>694</v>
      </c>
      <c r="G5" s="69"/>
      <c r="H5" s="920" t="s">
        <v>931</v>
      </c>
    </row>
    <row r="6" spans="1:10" s="147" customFormat="1" ht="23.25" customHeight="1">
      <c r="A6" s="70" t="s">
        <v>820</v>
      </c>
      <c r="B6" s="71"/>
      <c r="C6" s="71"/>
      <c r="D6" s="71"/>
      <c r="E6" s="55"/>
      <c r="F6" s="72"/>
      <c r="G6" s="69"/>
      <c r="H6" s="921"/>
    </row>
    <row r="7" spans="1:10" s="62" customFormat="1" ht="21">
      <c r="A7" s="73" t="s">
        <v>158</v>
      </c>
      <c r="B7" s="74"/>
      <c r="C7" s="75"/>
      <c r="D7" s="75"/>
      <c r="E7" s="495"/>
      <c r="F7" s="76"/>
      <c r="G7" s="76"/>
      <c r="H7" s="922"/>
    </row>
    <row r="8" spans="1:10" s="62" customFormat="1" ht="21">
      <c r="A8" s="77"/>
      <c r="B8" s="57"/>
      <c r="C8" s="57"/>
      <c r="D8" s="57"/>
      <c r="E8" s="55"/>
      <c r="F8" s="63"/>
      <c r="G8" s="63"/>
      <c r="H8" s="923"/>
    </row>
    <row r="9" spans="1:10" ht="21">
      <c r="A9" s="78"/>
      <c r="B9" s="79" t="s">
        <v>163</v>
      </c>
      <c r="E9" s="80"/>
      <c r="F9" s="81"/>
      <c r="G9" s="82"/>
      <c r="H9" s="924"/>
    </row>
    <row r="10" spans="1:10">
      <c r="A10" s="83">
        <v>1</v>
      </c>
      <c r="B10" s="83"/>
      <c r="C10" s="63" t="s">
        <v>119</v>
      </c>
      <c r="D10" s="84"/>
      <c r="E10" s="102" t="str">
        <f>"(Note "&amp;B$300&amp;")"</f>
        <v>(Note O)</v>
      </c>
      <c r="F10" s="81" t="s">
        <v>825</v>
      </c>
      <c r="G10" s="59"/>
      <c r="H10" s="925">
        <f>+'5 - Cost Support'!T37</f>
        <v>26268020</v>
      </c>
      <c r="J10" s="2553"/>
    </row>
    <row r="11" spans="1:10">
      <c r="A11" s="60"/>
      <c r="F11" s="62"/>
      <c r="H11" s="917"/>
      <c r="J11" s="2553"/>
    </row>
    <row r="12" spans="1:10">
      <c r="A12" s="83">
        <f>+A10+1</f>
        <v>2</v>
      </c>
      <c r="B12" s="83"/>
      <c r="C12" s="63" t="s">
        <v>120</v>
      </c>
      <c r="D12" s="63"/>
      <c r="E12" s="102" t="str">
        <f>"(Note "&amp;B$300&amp;")"</f>
        <v>(Note O)</v>
      </c>
      <c r="F12" s="63" t="s">
        <v>825</v>
      </c>
      <c r="G12" s="59"/>
      <c r="H12" s="925">
        <f>+'5 - Cost Support'!T35</f>
        <v>185177938</v>
      </c>
      <c r="J12" s="2553"/>
    </row>
    <row r="13" spans="1:10">
      <c r="A13" s="83">
        <f>+A12+1</f>
        <v>3</v>
      </c>
      <c r="B13" s="83"/>
      <c r="C13" s="63" t="s">
        <v>159</v>
      </c>
      <c r="D13" s="63"/>
      <c r="E13" s="102" t="str">
        <f>"(Note "&amp;B$300&amp;")"</f>
        <v>(Note O)</v>
      </c>
      <c r="F13" s="63" t="s">
        <v>825</v>
      </c>
      <c r="G13" s="59"/>
      <c r="H13" s="925">
        <f>+'5 - Cost Support'!T36</f>
        <v>6543065</v>
      </c>
      <c r="J13" s="2553"/>
    </row>
    <row r="14" spans="1:10">
      <c r="A14" s="83">
        <f>+A13+1</f>
        <v>4</v>
      </c>
      <c r="B14" s="83"/>
      <c r="C14" s="88" t="s">
        <v>465</v>
      </c>
      <c r="D14" s="89"/>
      <c r="E14" s="90"/>
      <c r="F14" s="91" t="str">
        <f>"(Line "&amp;A12&amp;" - Line "&amp;A13&amp;")"</f>
        <v>(Line 2 - Line 3)</v>
      </c>
      <c r="G14" s="92"/>
      <c r="H14" s="926">
        <f>H12-H13</f>
        <v>178634873</v>
      </c>
      <c r="J14" s="2553"/>
    </row>
    <row r="15" spans="1:10">
      <c r="A15" s="83"/>
      <c r="B15" s="83"/>
      <c r="C15" s="94"/>
      <c r="E15" s="80"/>
      <c r="F15" s="64"/>
      <c r="G15" s="59"/>
      <c r="H15" s="924"/>
      <c r="J15" s="2553"/>
    </row>
    <row r="16" spans="1:10" ht="21.6" thickBot="1">
      <c r="A16" s="83">
        <v>5</v>
      </c>
      <c r="B16" s="95" t="s">
        <v>260</v>
      </c>
      <c r="C16" s="95"/>
      <c r="D16" s="96"/>
      <c r="E16" s="97"/>
      <c r="F16" s="98" t="str">
        <f>"(Line "&amp;A10&amp;" / Line "&amp;A14&amp;")"</f>
        <v>(Line 1 / Line 4)</v>
      </c>
      <c r="G16" s="99"/>
      <c r="H16" s="507">
        <f>H10/H14</f>
        <v>0.1470486672554692</v>
      </c>
      <c r="J16" s="2553"/>
    </row>
    <row r="17" spans="1:10" ht="21.6" thickTop="1">
      <c r="A17" s="83"/>
      <c r="B17" s="83"/>
      <c r="C17" s="79"/>
      <c r="D17" s="64"/>
      <c r="E17" s="100"/>
      <c r="F17" s="64"/>
      <c r="G17" s="59"/>
      <c r="H17" s="508"/>
      <c r="J17" s="2553"/>
    </row>
    <row r="18" spans="1:10" ht="21">
      <c r="A18" s="60"/>
      <c r="B18" s="79" t="s">
        <v>327</v>
      </c>
      <c r="D18" s="61"/>
      <c r="F18" s="62"/>
      <c r="J18" s="2553"/>
    </row>
    <row r="19" spans="1:10">
      <c r="A19" s="101">
        <f>+A16+1</f>
        <v>6</v>
      </c>
      <c r="B19" s="61"/>
      <c r="C19" s="63" t="s">
        <v>336</v>
      </c>
      <c r="E19" s="102" t="str">
        <f>"(Note "&amp;B$280&amp;")"</f>
        <v>(Note B)</v>
      </c>
      <c r="F19" s="63" t="s">
        <v>825</v>
      </c>
      <c r="H19" s="925">
        <f>+'5 - Cost Support'!T9</f>
        <v>12756610286.41923</v>
      </c>
      <c r="J19" s="2553"/>
    </row>
    <row r="20" spans="1:10">
      <c r="A20" s="101">
        <f>+A19+1</f>
        <v>7</v>
      </c>
      <c r="B20" s="61"/>
      <c r="C20" s="103" t="s">
        <v>477</v>
      </c>
      <c r="D20" s="104"/>
      <c r="E20" s="121"/>
      <c r="F20" s="107" t="str">
        <f>"(Line "&amp;A44&amp;")"</f>
        <v>(Line 22)</v>
      </c>
      <c r="G20" s="106"/>
      <c r="H20" s="927">
        <f>+H44</f>
        <v>131784186.29584232</v>
      </c>
      <c r="J20" s="2553"/>
    </row>
    <row r="21" spans="1:10">
      <c r="A21" s="101">
        <f>+A20+1</f>
        <v>8</v>
      </c>
      <c r="B21" s="61"/>
      <c r="C21" s="63" t="s">
        <v>483</v>
      </c>
      <c r="E21" s="87"/>
      <c r="F21" s="63" t="s">
        <v>386</v>
      </c>
      <c r="H21" s="925">
        <f>SUM(H19:H20)</f>
        <v>12888394472.715073</v>
      </c>
      <c r="J21" s="2553"/>
    </row>
    <row r="22" spans="1:10">
      <c r="A22" s="101"/>
      <c r="B22" s="61"/>
      <c r="C22" s="63"/>
      <c r="E22" s="87"/>
      <c r="F22" s="63"/>
      <c r="H22" s="925"/>
      <c r="J22" s="2553"/>
    </row>
    <row r="23" spans="1:10">
      <c r="A23" s="101">
        <f>+A21+1</f>
        <v>9</v>
      </c>
      <c r="B23" s="61"/>
      <c r="C23" s="63" t="s">
        <v>117</v>
      </c>
      <c r="E23" s="102" t="str">
        <f>"(Note "&amp;B$280&amp;" &amp; "&amp;B$289&amp;")"</f>
        <v>(Note B &amp; J)</v>
      </c>
      <c r="F23" s="63" t="s">
        <v>825</v>
      </c>
      <c r="H23" s="925">
        <f>+'5 - Cost Support'!T11</f>
        <v>2831427725.9689374</v>
      </c>
      <c r="J23" s="2553"/>
    </row>
    <row r="24" spans="1:10">
      <c r="A24" s="101">
        <f>+A23+1</f>
        <v>10</v>
      </c>
      <c r="B24" s="61"/>
      <c r="C24" s="63" t="s">
        <v>420</v>
      </c>
      <c r="E24" s="102" t="str">
        <f>"(Note "&amp;B$280&amp;")"</f>
        <v>(Note B)</v>
      </c>
      <c r="F24" s="81" t="s">
        <v>825</v>
      </c>
      <c r="H24" s="925">
        <f>+'5 - Cost Support'!T12</f>
        <v>2109096.5130769233</v>
      </c>
      <c r="J24" s="2553"/>
    </row>
    <row r="25" spans="1:10">
      <c r="A25" s="101">
        <f>+A24+1</f>
        <v>11</v>
      </c>
      <c r="B25" s="61"/>
      <c r="C25" s="63" t="s">
        <v>423</v>
      </c>
      <c r="E25" s="102" t="str">
        <f>"(Note "&amp;B$280&amp;" &amp; "&amp;B$289&amp;")"</f>
        <v>(Note B &amp; J)</v>
      </c>
      <c r="F25" s="81" t="s">
        <v>825</v>
      </c>
      <c r="H25" s="925">
        <f>+'5 - Cost Support'!T13</f>
        <v>23722807.121230774</v>
      </c>
      <c r="J25" s="2553"/>
    </row>
    <row r="26" spans="1:10">
      <c r="A26" s="101">
        <f>+A25+1</f>
        <v>12</v>
      </c>
      <c r="B26" s="61"/>
      <c r="C26" s="63" t="s">
        <v>485</v>
      </c>
      <c r="E26" s="102" t="str">
        <f>"(Note "&amp;B$280&amp;")"</f>
        <v>(Note B)</v>
      </c>
      <c r="F26" s="107" t="s">
        <v>825</v>
      </c>
      <c r="G26" s="106"/>
      <c r="H26" s="927">
        <f>+'5 - Cost Support'!T14</f>
        <v>26122488.077923082</v>
      </c>
      <c r="J26" s="2553"/>
    </row>
    <row r="27" spans="1:10">
      <c r="A27" s="101">
        <f>+A26+1</f>
        <v>13</v>
      </c>
      <c r="C27" s="108" t="s">
        <v>162</v>
      </c>
      <c r="D27" s="92"/>
      <c r="E27" s="109"/>
      <c r="F27" s="93" t="str">
        <f>"(Line "&amp;A23&amp;" + Line "&amp;A24&amp;" + Line "&amp;A25&amp;" + Line "&amp;A26&amp;")"</f>
        <v>(Line 9 + Line 10 + Line 11 + Line 12)</v>
      </c>
      <c r="G27" s="110"/>
      <c r="H27" s="928">
        <f>SUM(H23:H26)</f>
        <v>2883382117.6811681</v>
      </c>
      <c r="J27" s="2553"/>
    </row>
    <row r="28" spans="1:10" ht="17.25" customHeight="1">
      <c r="A28" s="60"/>
      <c r="C28" s="57"/>
      <c r="D28" s="148"/>
      <c r="E28" s="86"/>
      <c r="F28" s="93"/>
      <c r="G28" s="110"/>
      <c r="H28" s="929"/>
      <c r="J28" s="2553"/>
    </row>
    <row r="29" spans="1:10">
      <c r="A29" s="83">
        <f>+A27+1</f>
        <v>14</v>
      </c>
      <c r="B29" s="61"/>
      <c r="C29" s="63" t="s">
        <v>321</v>
      </c>
      <c r="D29" s="110"/>
      <c r="E29" s="86"/>
      <c r="F29" s="93" t="str">
        <f>"(Line "&amp;A21&amp;" - Line "&amp;A27&amp;")"</f>
        <v>(Line 8 - Line 13)</v>
      </c>
      <c r="G29" s="110"/>
      <c r="H29" s="930">
        <f>H21-H27</f>
        <v>10005012355.033905</v>
      </c>
      <c r="J29" s="2553"/>
    </row>
    <row r="30" spans="1:10">
      <c r="A30" s="60"/>
      <c r="B30" s="61"/>
      <c r="C30" s="62"/>
      <c r="D30" s="61"/>
      <c r="F30" s="62"/>
      <c r="J30" s="2553"/>
    </row>
    <row r="31" spans="1:10">
      <c r="A31" s="101">
        <f>+A29+1</f>
        <v>15</v>
      </c>
      <c r="B31" s="61"/>
      <c r="C31" s="62" t="s">
        <v>160</v>
      </c>
      <c r="D31" s="61"/>
      <c r="F31" s="107" t="str">
        <f>"(Line "&amp;A54&amp;")"</f>
        <v>(Line 31)</v>
      </c>
      <c r="H31" s="931">
        <f>H54</f>
        <v>5010681874.8776855</v>
      </c>
      <c r="J31" s="2553"/>
    </row>
    <row r="32" spans="1:10" ht="21.6" thickBot="1">
      <c r="A32" s="83">
        <f>+A31+1</f>
        <v>16</v>
      </c>
      <c r="B32" s="111" t="s">
        <v>109</v>
      </c>
      <c r="C32" s="112"/>
      <c r="D32" s="113"/>
      <c r="E32" s="114"/>
      <c r="F32" s="98" t="str">
        <f>"(Line "&amp;A31&amp;" / Line "&amp;A21&amp;")"</f>
        <v>(Line 15 / Line 8)</v>
      </c>
      <c r="G32" s="113"/>
      <c r="H32" s="507">
        <f>H31/H21</f>
        <v>0.38877471398670915</v>
      </c>
      <c r="J32" s="2553"/>
    </row>
    <row r="33" spans="1:10" ht="21" thickTop="1">
      <c r="A33" s="60"/>
      <c r="C33" s="64"/>
      <c r="F33" s="62"/>
      <c r="J33" s="2553"/>
    </row>
    <row r="34" spans="1:10">
      <c r="A34" s="101">
        <f>+A32+1</f>
        <v>17</v>
      </c>
      <c r="B34" s="83"/>
      <c r="C34" s="115" t="s">
        <v>161</v>
      </c>
      <c r="D34" s="64"/>
      <c r="E34" s="100"/>
      <c r="F34" s="107" t="str">
        <f>"(Line "&amp;A72&amp;")"</f>
        <v>(Line 43)</v>
      </c>
      <c r="G34" s="59"/>
      <c r="H34" s="931">
        <f>H72</f>
        <v>4342685831.1686678</v>
      </c>
      <c r="J34" s="2553"/>
    </row>
    <row r="35" spans="1:10" ht="21.6" thickBot="1">
      <c r="A35" s="83">
        <f>+A34+1</f>
        <v>18</v>
      </c>
      <c r="B35" s="111" t="s">
        <v>322</v>
      </c>
      <c r="C35" s="112"/>
      <c r="D35" s="113"/>
      <c r="E35" s="114"/>
      <c r="F35" s="98" t="str">
        <f>"(Line "&amp;A34&amp;" / Line "&amp;A29&amp;")"</f>
        <v>(Line 17 / Line 14)</v>
      </c>
      <c r="G35" s="113"/>
      <c r="H35" s="507">
        <f>H34/H29</f>
        <v>0.43405102133469092</v>
      </c>
      <c r="J35" s="2553"/>
    </row>
    <row r="36" spans="1:10" ht="21.6" thickTop="1">
      <c r="A36" s="116"/>
      <c r="B36" s="83"/>
      <c r="C36" s="79"/>
      <c r="D36" s="64"/>
      <c r="E36" s="100"/>
      <c r="F36" s="59"/>
      <c r="G36" s="59"/>
      <c r="H36" s="508"/>
      <c r="J36" s="2553"/>
    </row>
    <row r="37" spans="1:10" s="62" customFormat="1" ht="21">
      <c r="A37" s="73" t="s">
        <v>320</v>
      </c>
      <c r="B37" s="74"/>
      <c r="C37" s="75"/>
      <c r="D37" s="75"/>
      <c r="E37" s="495"/>
      <c r="F37" s="76"/>
      <c r="G37" s="76"/>
      <c r="H37" s="922"/>
      <c r="J37" s="2553"/>
    </row>
    <row r="38" spans="1:10" s="62" customFormat="1" ht="21">
      <c r="A38" s="117"/>
      <c r="B38" s="118"/>
      <c r="C38" s="57"/>
      <c r="D38" s="57"/>
      <c r="E38" s="55"/>
      <c r="F38" s="63"/>
      <c r="G38" s="63"/>
      <c r="H38" s="923"/>
      <c r="J38" s="2553"/>
    </row>
    <row r="39" spans="1:10" ht="21">
      <c r="A39" s="60"/>
      <c r="B39" s="79" t="s">
        <v>165</v>
      </c>
      <c r="C39" s="64"/>
      <c r="E39" s="100"/>
      <c r="F39" s="81"/>
      <c r="G39" s="78"/>
      <c r="H39" s="924"/>
      <c r="J39" s="2553"/>
    </row>
    <row r="40" spans="1:10">
      <c r="A40" s="101">
        <f>+A35+1</f>
        <v>19</v>
      </c>
      <c r="B40" s="101"/>
      <c r="C40" s="115" t="s">
        <v>319</v>
      </c>
      <c r="D40" s="64"/>
      <c r="E40" s="102" t="str">
        <f>"(Note "&amp;B$280&amp;")"</f>
        <v>(Note B)</v>
      </c>
      <c r="F40" s="81" t="s">
        <v>825</v>
      </c>
      <c r="G40" s="59"/>
      <c r="H40" s="925">
        <f>+'5 - Cost Support'!T17</f>
        <v>4945830947.0641375</v>
      </c>
      <c r="J40" s="2553"/>
    </row>
    <row r="41" spans="1:10" s="62" customFormat="1">
      <c r="A41" s="101"/>
      <c r="B41" s="101"/>
      <c r="C41" s="115"/>
      <c r="D41" s="64"/>
      <c r="E41" s="85"/>
      <c r="F41" s="81"/>
      <c r="G41" s="64"/>
      <c r="H41" s="925"/>
      <c r="J41" s="2553"/>
    </row>
    <row r="42" spans="1:10">
      <c r="A42" s="101">
        <f>+A40+1</f>
        <v>20</v>
      </c>
      <c r="B42" s="101"/>
      <c r="C42" s="115" t="s">
        <v>528</v>
      </c>
      <c r="D42" s="64"/>
      <c r="E42" s="102" t="str">
        <f t="shared" ref="E42:E47" si="0">"(Note "&amp;B$280&amp;")"</f>
        <v>(Note B)</v>
      </c>
      <c r="F42" s="81" t="s">
        <v>825</v>
      </c>
      <c r="G42" s="64"/>
      <c r="H42" s="925">
        <f>+'5 - Cost Support'!T18</f>
        <v>216428411.7432307</v>
      </c>
      <c r="J42" s="2553"/>
    </row>
    <row r="43" spans="1:10">
      <c r="A43" s="101">
        <f>A42+1</f>
        <v>21</v>
      </c>
      <c r="B43" s="101"/>
      <c r="C43" s="115" t="s">
        <v>424</v>
      </c>
      <c r="D43" s="64"/>
      <c r="E43" s="102" t="str">
        <f t="shared" si="0"/>
        <v>(Note B)</v>
      </c>
      <c r="F43" s="77" t="s">
        <v>825</v>
      </c>
      <c r="G43" s="64"/>
      <c r="H43" s="925">
        <f>+'5 - Cost Support'!T19</f>
        <v>1757124.8661538453</v>
      </c>
      <c r="J43" s="2553"/>
    </row>
    <row r="44" spans="1:10">
      <c r="A44" s="101">
        <f>A43+1</f>
        <v>22</v>
      </c>
      <c r="B44" s="101"/>
      <c r="C44" s="115" t="s">
        <v>486</v>
      </c>
      <c r="D44" s="64"/>
      <c r="E44" s="102" t="str">
        <f t="shared" si="0"/>
        <v>(Note B)</v>
      </c>
      <c r="F44" s="122" t="s">
        <v>825</v>
      </c>
      <c r="G44" s="64"/>
      <c r="H44" s="925">
        <f>+'5 - Cost Support'!T20</f>
        <v>131784186.29584232</v>
      </c>
      <c r="J44" s="2553"/>
    </row>
    <row r="45" spans="1:10">
      <c r="A45" s="101">
        <f t="shared" ref="A45:A52" si="1">A44+1</f>
        <v>23</v>
      </c>
      <c r="B45" s="101"/>
      <c r="C45" s="88" t="s">
        <v>488</v>
      </c>
      <c r="D45" s="124"/>
      <c r="E45" s="125"/>
      <c r="F45" s="93" t="str">
        <f>"(Line "&amp;A42&amp;" + Line "&amp;A43&amp;" + Line "&amp;A44&amp;")"</f>
        <v>(Line 20 + Line 21 + Line 22)</v>
      </c>
      <c r="G45" s="124"/>
      <c r="H45" s="932">
        <f>SUM(H42:H44)</f>
        <v>349969722.90522683</v>
      </c>
      <c r="J45" s="2553"/>
    </row>
    <row r="46" spans="1:10">
      <c r="A46" s="101">
        <f t="shared" si="1"/>
        <v>24</v>
      </c>
      <c r="B46" s="101"/>
      <c r="C46" s="126" t="s">
        <v>526</v>
      </c>
      <c r="D46" s="57"/>
      <c r="E46" s="102" t="str">
        <f t="shared" si="0"/>
        <v>(Note B)</v>
      </c>
      <c r="F46" s="93" t="s">
        <v>825</v>
      </c>
      <c r="G46" s="57"/>
      <c r="H46" s="928">
        <f>+'5 - Cost Support'!T21</f>
        <v>27595162.545384619</v>
      </c>
      <c r="J46" s="2553"/>
    </row>
    <row r="47" spans="1:10">
      <c r="A47" s="101">
        <f t="shared" si="1"/>
        <v>25</v>
      </c>
      <c r="B47" s="101"/>
      <c r="C47" s="119" t="s">
        <v>489</v>
      </c>
      <c r="D47" s="120"/>
      <c r="E47" s="121" t="str">
        <f t="shared" si="0"/>
        <v>(Note B)</v>
      </c>
      <c r="F47" s="107" t="s">
        <v>825</v>
      </c>
      <c r="G47" s="120"/>
      <c r="H47" s="927">
        <f>+'5 - Cost Support'!T22</f>
        <v>2389016.5663076928</v>
      </c>
      <c r="J47" s="2553"/>
    </row>
    <row r="48" spans="1:10">
      <c r="A48" s="101">
        <f t="shared" si="1"/>
        <v>26</v>
      </c>
      <c r="B48" s="101"/>
      <c r="C48" s="126" t="s">
        <v>645</v>
      </c>
      <c r="D48" s="57"/>
      <c r="E48" s="87"/>
      <c r="F48" s="93" t="str">
        <f>"(Line "&amp;A45&amp;" -  Line "&amp;A46&amp;" - Line "&amp;A47&amp;")"</f>
        <v>(Line 23 -  Line 24 - Line 25)</v>
      </c>
      <c r="G48" s="57"/>
      <c r="H48" s="928">
        <f>H45-H46-H47</f>
        <v>319985543.79353452</v>
      </c>
      <c r="J48" s="2553"/>
    </row>
    <row r="49" spans="1:10" ht="21">
      <c r="A49" s="101">
        <f t="shared" si="1"/>
        <v>27</v>
      </c>
      <c r="B49" s="101"/>
      <c r="C49" s="128" t="s">
        <v>467</v>
      </c>
      <c r="D49" s="115"/>
      <c r="E49" s="100"/>
      <c r="F49" s="107" t="str">
        <f>"(Line "&amp;A$16&amp;")"</f>
        <v>(Line 5)</v>
      </c>
      <c r="G49" s="129"/>
      <c r="H49" s="509">
        <f>H16</f>
        <v>0.1470486672554692</v>
      </c>
      <c r="J49" s="2553"/>
    </row>
    <row r="50" spans="1:10">
      <c r="A50" s="101">
        <f t="shared" si="1"/>
        <v>28</v>
      </c>
      <c r="B50" s="62"/>
      <c r="C50" s="88" t="s">
        <v>646</v>
      </c>
      <c r="D50" s="108"/>
      <c r="E50" s="130"/>
      <c r="F50" s="93" t="str">
        <f>"(Line "&amp;A48&amp;" * Line "&amp;A49&amp;")"</f>
        <v>(Line 26 * Line 27)</v>
      </c>
      <c r="G50" s="108"/>
      <c r="H50" s="932">
        <f>H48*H49</f>
        <v>47053447.755855821</v>
      </c>
      <c r="J50" s="2553"/>
    </row>
    <row r="51" spans="1:10">
      <c r="A51" s="101">
        <f t="shared" si="1"/>
        <v>29</v>
      </c>
      <c r="B51" s="62"/>
      <c r="C51" s="119" t="s">
        <v>527</v>
      </c>
      <c r="D51" s="103"/>
      <c r="E51" s="121" t="str">
        <f>"(Note "&amp;B$280&amp;")"</f>
        <v>(Note B)</v>
      </c>
      <c r="F51" s="107" t="s">
        <v>825</v>
      </c>
      <c r="G51" s="103"/>
      <c r="H51" s="927">
        <f>+'5 - Cost Support'!T23</f>
        <v>17797480.057692312</v>
      </c>
      <c r="J51" s="2553"/>
    </row>
    <row r="52" spans="1:10">
      <c r="A52" s="101">
        <f t="shared" si="1"/>
        <v>30</v>
      </c>
      <c r="B52" s="62"/>
      <c r="C52" s="126" t="s">
        <v>647</v>
      </c>
      <c r="D52" s="63"/>
      <c r="E52" s="132"/>
      <c r="F52" s="93" t="str">
        <f>"(Line "&amp;A50&amp;" + Line "&amp;A51&amp;")"</f>
        <v>(Line 28 + Line 29)</v>
      </c>
      <c r="G52" s="63"/>
      <c r="H52" s="928">
        <f>H50+H51</f>
        <v>64850927.813548133</v>
      </c>
      <c r="J52" s="2553"/>
    </row>
    <row r="53" spans="1:10" ht="21">
      <c r="A53" s="85"/>
      <c r="B53" s="61"/>
      <c r="C53" s="79"/>
      <c r="D53" s="62"/>
      <c r="E53" s="85"/>
      <c r="F53" s="62"/>
      <c r="H53" s="930"/>
      <c r="J53" s="2553"/>
    </row>
    <row r="54" spans="1:10" s="165" customFormat="1" ht="21.6" thickBot="1">
      <c r="A54" s="101">
        <f>+A52+1</f>
        <v>31</v>
      </c>
      <c r="B54" s="111" t="s">
        <v>836</v>
      </c>
      <c r="C54" s="112"/>
      <c r="D54" s="112"/>
      <c r="E54" s="134"/>
      <c r="F54" s="98" t="str">
        <f>"(Line "&amp;A40&amp;" + Line "&amp;A52&amp;")"</f>
        <v>(Line 19 + Line 30)</v>
      </c>
      <c r="G54" s="111"/>
      <c r="H54" s="933">
        <f>+H40+H52</f>
        <v>5010681874.8776855</v>
      </c>
      <c r="J54" s="2553"/>
    </row>
    <row r="55" spans="1:10" ht="21" thickTop="1">
      <c r="A55" s="85"/>
      <c r="B55" s="61"/>
      <c r="C55" s="62"/>
      <c r="D55" s="62"/>
      <c r="E55" s="85"/>
      <c r="J55" s="2553"/>
    </row>
    <row r="56" spans="1:10" ht="21">
      <c r="A56" s="101"/>
      <c r="B56" s="79" t="s">
        <v>155</v>
      </c>
      <c r="C56" s="79"/>
      <c r="D56" s="81"/>
      <c r="E56" s="102"/>
      <c r="F56" s="82"/>
      <c r="G56" s="136"/>
      <c r="H56" s="925"/>
      <c r="J56" s="2553"/>
    </row>
    <row r="57" spans="1:10">
      <c r="A57" s="85"/>
      <c r="B57" s="64"/>
      <c r="C57" s="64"/>
      <c r="D57" s="64"/>
      <c r="E57" s="85"/>
      <c r="F57" s="81"/>
      <c r="G57" s="82"/>
      <c r="H57" s="924"/>
      <c r="J57" s="2553"/>
    </row>
    <row r="58" spans="1:10">
      <c r="A58" s="101">
        <f>+A54+1</f>
        <v>32</v>
      </c>
      <c r="B58" s="101"/>
      <c r="C58" s="115" t="s">
        <v>335</v>
      </c>
      <c r="D58" s="64"/>
      <c r="E58" s="102" t="str">
        <f>"(Note "&amp;B$280&amp;" &amp; "&amp;B$289&amp;")"</f>
        <v>(Note B &amp; J)</v>
      </c>
      <c r="F58" s="81" t="s">
        <v>825</v>
      </c>
      <c r="G58" s="64"/>
      <c r="H58" s="925">
        <f>+'5 - Cost Support'!T25</f>
        <v>632075538.66538441</v>
      </c>
      <c r="J58" s="2553"/>
    </row>
    <row r="59" spans="1:10">
      <c r="A59" s="101"/>
      <c r="B59" s="101"/>
      <c r="C59" s="126"/>
      <c r="D59" s="57"/>
      <c r="E59" s="102"/>
      <c r="F59" s="93"/>
      <c r="G59" s="57"/>
      <c r="H59" s="928"/>
      <c r="J59" s="2553"/>
    </row>
    <row r="60" spans="1:10">
      <c r="A60" s="101">
        <f>A58+1</f>
        <v>33</v>
      </c>
      <c r="B60" s="101"/>
      <c r="C60" s="126" t="s">
        <v>369</v>
      </c>
      <c r="D60" s="57"/>
      <c r="E60" s="102" t="str">
        <f>"(Note "&amp;B$280&amp;" &amp; "&amp;B$289&amp;")"</f>
        <v>(Note B &amp; J)</v>
      </c>
      <c r="F60" s="93" t="s">
        <v>825</v>
      </c>
      <c r="G60" s="57"/>
      <c r="H60" s="928">
        <f>+'5 - Cost Support'!T26</f>
        <v>122194129.39306626</v>
      </c>
      <c r="J60" s="2553"/>
    </row>
    <row r="61" spans="1:10">
      <c r="A61" s="101">
        <f>1+A60</f>
        <v>34</v>
      </c>
      <c r="B61" s="101"/>
      <c r="C61" s="63" t="s">
        <v>484</v>
      </c>
      <c r="D61" s="57"/>
      <c r="E61" s="102" t="str">
        <f>"(Note "&amp;B$280&amp;" &amp; "&amp;B$289&amp;")"</f>
        <v>(Note B &amp; J)</v>
      </c>
      <c r="F61" s="93" t="s">
        <v>825</v>
      </c>
      <c r="G61" s="57"/>
      <c r="H61" s="928">
        <f>+'5 - Cost Support'!T27</f>
        <v>49845295.199153848</v>
      </c>
      <c r="J61" s="2553"/>
    </row>
    <row r="62" spans="1:10">
      <c r="A62" s="101">
        <f>+A61+1</f>
        <v>35</v>
      </c>
      <c r="B62" s="101"/>
      <c r="C62" s="119" t="s">
        <v>728</v>
      </c>
      <c r="D62" s="120"/>
      <c r="E62" s="121" t="str">
        <f>"(Note "&amp;B$280&amp;" &amp; "&amp;B$289&amp;")"</f>
        <v>(Note B &amp; J)</v>
      </c>
      <c r="F62" s="107" t="s">
        <v>825</v>
      </c>
      <c r="G62" s="120"/>
      <c r="H62" s="927">
        <f>+'5 - Cost Support'!T28</f>
        <v>20228217.131769232</v>
      </c>
      <c r="J62" s="2553"/>
    </row>
    <row r="63" spans="1:10">
      <c r="A63" s="101">
        <f t="shared" ref="A63:A68" si="2">+A62+1</f>
        <v>36</v>
      </c>
      <c r="B63" s="101"/>
      <c r="C63" s="115" t="s">
        <v>529</v>
      </c>
      <c r="D63" s="64"/>
      <c r="E63" s="137"/>
      <c r="F63" s="93" t="str">
        <f>"(Line "&amp;A60&amp;" + Line "&amp;A61&amp;" - Line "&amp;A62&amp;")"</f>
        <v>(Line 33 + Line 34 - Line 35)</v>
      </c>
      <c r="G63" s="64"/>
      <c r="H63" s="925">
        <f>H60+H61-H62</f>
        <v>151811207.46045086</v>
      </c>
      <c r="J63" s="2553"/>
    </row>
    <row r="64" spans="1:10">
      <c r="A64" s="101">
        <f t="shared" si="2"/>
        <v>37</v>
      </c>
      <c r="B64" s="101"/>
      <c r="C64" s="119" t="str">
        <f>+C24</f>
        <v>Accumulated Intangible Amortization - Electric</v>
      </c>
      <c r="D64" s="120"/>
      <c r="E64" s="121" t="str">
        <f>"(Note "&amp;B$280&amp;")"</f>
        <v>(Note B)</v>
      </c>
      <c r="F64" s="107" t="str">
        <f>"(Line "&amp;A$24&amp;")"</f>
        <v>(Line 10)</v>
      </c>
      <c r="G64" s="120"/>
      <c r="H64" s="927">
        <f>H24</f>
        <v>2109096.5130769233</v>
      </c>
      <c r="J64" s="2553"/>
    </row>
    <row r="65" spans="1:10">
      <c r="A65" s="101">
        <f t="shared" si="2"/>
        <v>38</v>
      </c>
      <c r="B65" s="101"/>
      <c r="C65" s="126" t="s">
        <v>643</v>
      </c>
      <c r="D65" s="57"/>
      <c r="E65" s="132"/>
      <c r="F65" s="93" t="str">
        <f>"(Line "&amp;A63&amp;" + "&amp;A64&amp;")"</f>
        <v>(Line 36 + 37)</v>
      </c>
      <c r="G65" s="93"/>
      <c r="H65" s="928">
        <f>SUM(H63:H64)</f>
        <v>153920303.97352779</v>
      </c>
      <c r="J65" s="2553"/>
    </row>
    <row r="66" spans="1:10">
      <c r="A66" s="101">
        <f t="shared" si="2"/>
        <v>39</v>
      </c>
      <c r="B66" s="101"/>
      <c r="C66" s="126" t="str">
        <f>+C49</f>
        <v>Wage &amp; Salary Allocator</v>
      </c>
      <c r="D66" s="57"/>
      <c r="E66" s="132"/>
      <c r="F66" s="107" t="str">
        <f>"(Line "&amp;A$16&amp;")"</f>
        <v>(Line 5)</v>
      </c>
      <c r="G66" s="93"/>
      <c r="H66" s="510">
        <f>H16</f>
        <v>0.1470486672554692</v>
      </c>
      <c r="J66" s="2553"/>
    </row>
    <row r="67" spans="1:10">
      <c r="A67" s="101">
        <f t="shared" si="2"/>
        <v>40</v>
      </c>
      <c r="B67" s="62"/>
      <c r="C67" s="88" t="s">
        <v>644</v>
      </c>
      <c r="D67" s="108"/>
      <c r="E67" s="125"/>
      <c r="F67" s="93" t="str">
        <f>"(Line "&amp;A65&amp;" * Line "&amp;A66&amp;")"</f>
        <v>(Line 38 * Line 39)</v>
      </c>
      <c r="G67" s="108"/>
      <c r="H67" s="932">
        <f>H65*H66</f>
        <v>22633775.562863961</v>
      </c>
      <c r="J67" s="2553"/>
    </row>
    <row r="68" spans="1:10">
      <c r="A68" s="101">
        <f t="shared" si="2"/>
        <v>41</v>
      </c>
      <c r="B68" s="62"/>
      <c r="C68" s="126" t="s">
        <v>395</v>
      </c>
      <c r="D68" s="63"/>
      <c r="E68" s="102" t="str">
        <f>"(Note "&amp;B$280&amp;" &amp; "&amp;B$289&amp;")"</f>
        <v>(Note B &amp; J)</v>
      </c>
      <c r="F68" s="93" t="s">
        <v>825</v>
      </c>
      <c r="G68" s="63"/>
      <c r="H68" s="928">
        <f>+'5 - Cost Support'!T29</f>
        <v>13286729.48076923</v>
      </c>
      <c r="J68" s="2553"/>
    </row>
    <row r="69" spans="1:10">
      <c r="A69" s="85"/>
      <c r="B69" s="61"/>
      <c r="C69" s="61"/>
      <c r="D69" s="61"/>
      <c r="F69" s="60"/>
      <c r="G69" s="60"/>
      <c r="H69" s="934"/>
      <c r="J69" s="2553"/>
    </row>
    <row r="70" spans="1:10" ht="21.6" thickBot="1">
      <c r="A70" s="101">
        <f>A68+1</f>
        <v>42</v>
      </c>
      <c r="B70" s="111" t="s">
        <v>162</v>
      </c>
      <c r="C70" s="111"/>
      <c r="D70" s="111"/>
      <c r="E70" s="138"/>
      <c r="F70" s="376" t="str">
        <f>"(Lines "&amp;A58&amp;" + "&amp;A67&amp;" + "&amp;A68&amp;")"</f>
        <v>(Lines 32 + 40 + 41)</v>
      </c>
      <c r="G70" s="139"/>
      <c r="H70" s="933">
        <f>H58+H67+H68</f>
        <v>667996043.70901763</v>
      </c>
      <c r="J70" s="2553"/>
    </row>
    <row r="71" spans="1:10" ht="21" thickTop="1">
      <c r="A71" s="85"/>
      <c r="B71" s="61"/>
      <c r="C71" s="61"/>
      <c r="D71" s="61"/>
      <c r="F71" s="62"/>
      <c r="G71" s="59"/>
      <c r="J71" s="2553"/>
    </row>
    <row r="72" spans="1:10" ht="21.6" thickBot="1">
      <c r="A72" s="101">
        <f>+A70+1</f>
        <v>43</v>
      </c>
      <c r="B72" s="111" t="s">
        <v>448</v>
      </c>
      <c r="C72" s="111"/>
      <c r="D72" s="111"/>
      <c r="E72" s="138"/>
      <c r="F72" s="98" t="str">
        <f>"(Line "&amp;A54&amp;" - Line "&amp;A70&amp;")"</f>
        <v>(Line 31 - Line 42)</v>
      </c>
      <c r="G72" s="111"/>
      <c r="H72" s="933">
        <f>H54-H70</f>
        <v>4342685831.1686678</v>
      </c>
      <c r="J72" s="2553"/>
    </row>
    <row r="73" spans="1:10" ht="21" thickTop="1">
      <c r="A73" s="60"/>
      <c r="B73" s="61"/>
      <c r="C73" s="61"/>
      <c r="D73" s="61"/>
      <c r="F73" s="62"/>
      <c r="J73" s="2553"/>
    </row>
    <row r="74" spans="1:10" ht="21">
      <c r="A74" s="73" t="s">
        <v>164</v>
      </c>
      <c r="B74" s="75"/>
      <c r="C74" s="75"/>
      <c r="D74" s="75"/>
      <c r="E74" s="495"/>
      <c r="F74" s="76"/>
      <c r="G74" s="76"/>
      <c r="H74" s="935"/>
      <c r="J74" s="2553"/>
    </row>
    <row r="75" spans="1:10">
      <c r="A75" s="141"/>
      <c r="B75" s="142"/>
      <c r="C75" s="142"/>
      <c r="D75" s="142"/>
      <c r="J75" s="2553"/>
    </row>
    <row r="76" spans="1:10" ht="21">
      <c r="A76" s="85"/>
      <c r="B76" s="56" t="s">
        <v>548</v>
      </c>
      <c r="D76" s="62"/>
      <c r="E76" s="143"/>
      <c r="H76" s="924"/>
      <c r="J76" s="2553"/>
    </row>
    <row r="77" spans="1:10" ht="21">
      <c r="A77" s="85">
        <f>+A72+1</f>
        <v>44</v>
      </c>
      <c r="B77" s="56"/>
      <c r="C77" s="144" t="s">
        <v>573</v>
      </c>
      <c r="D77" s="145"/>
      <c r="E77" s="102" t="str">
        <f>"(Note  "&amp;B$304&amp;")"</f>
        <v>(Note  Q)</v>
      </c>
      <c r="F77" s="146" t="s">
        <v>824</v>
      </c>
      <c r="H77" s="925">
        <f>+'ATT1A-ADIT '!F18</f>
        <v>-1100782715.9966917</v>
      </c>
      <c r="J77" s="2553"/>
    </row>
    <row r="78" spans="1:10" ht="21">
      <c r="A78" s="85"/>
      <c r="B78" s="62"/>
      <c r="C78" s="56"/>
      <c r="D78" s="63"/>
      <c r="E78" s="87"/>
      <c r="F78" s="63"/>
      <c r="G78" s="110"/>
      <c r="H78" s="936"/>
      <c r="J78" s="2553"/>
    </row>
    <row r="79" spans="1:10" ht="21">
      <c r="A79" s="101"/>
      <c r="B79" s="147" t="s">
        <v>833</v>
      </c>
      <c r="C79" s="62"/>
      <c r="D79" s="62"/>
      <c r="E79" s="62"/>
      <c r="F79" s="64"/>
      <c r="G79" s="62"/>
      <c r="H79" s="917"/>
      <c r="J79" s="2553"/>
    </row>
    <row r="80" spans="1:10" ht="21">
      <c r="A80" s="101">
        <f>A77+1</f>
        <v>45</v>
      </c>
      <c r="B80" s="78"/>
      <c r="C80" s="126" t="s">
        <v>834</v>
      </c>
      <c r="D80" s="102"/>
      <c r="E80" s="102" t="str">
        <f>"(Note "&amp;B$280&amp;" &amp; "&amp;B$286&amp;")"</f>
        <v>(Note B &amp; H)</v>
      </c>
      <c r="F80" s="77" t="s">
        <v>822</v>
      </c>
      <c r="G80" s="63"/>
      <c r="H80" s="928">
        <f>SUM('6A-Estimate &amp; Reconcile'!BH56:CJ56)</f>
        <v>745973297.57431316</v>
      </c>
      <c r="J80" s="2553"/>
    </row>
    <row r="81" spans="1:10" ht="21">
      <c r="A81" s="101"/>
      <c r="B81" s="78"/>
      <c r="C81" s="126"/>
      <c r="D81" s="102"/>
      <c r="E81" s="102"/>
      <c r="F81" s="77"/>
      <c r="G81" s="63"/>
      <c r="H81" s="928"/>
      <c r="J81" s="2553"/>
    </row>
    <row r="82" spans="1:10" s="511" customFormat="1" ht="21">
      <c r="A82" s="101"/>
      <c r="B82" s="147" t="s">
        <v>602</v>
      </c>
      <c r="C82" s="62"/>
      <c r="D82" s="62"/>
      <c r="E82" s="62"/>
      <c r="F82" s="64"/>
      <c r="G82" s="62"/>
      <c r="H82" s="917"/>
      <c r="J82" s="2553"/>
    </row>
    <row r="83" spans="1:10" s="511" customFormat="1" ht="21">
      <c r="A83" s="101" t="s">
        <v>603</v>
      </c>
      <c r="B83" s="78"/>
      <c r="C83" s="126" t="s">
        <v>604</v>
      </c>
      <c r="D83" s="102"/>
      <c r="E83" s="102" t="str">
        <f>"(Note  "&amp;B$305&amp;")"</f>
        <v>(Note  R)</v>
      </c>
      <c r="F83" s="77" t="s">
        <v>825</v>
      </c>
      <c r="G83" s="63"/>
      <c r="H83" s="928">
        <f>+'5 - Cost Support'!H226</f>
        <v>0</v>
      </c>
      <c r="J83" s="2553"/>
    </row>
    <row r="84" spans="1:10">
      <c r="A84" s="101"/>
      <c r="B84" s="101"/>
      <c r="C84" s="126"/>
      <c r="D84" s="102"/>
      <c r="E84" s="77"/>
      <c r="F84" s="148"/>
      <c r="G84" s="93"/>
      <c r="H84" s="917"/>
      <c r="J84" s="2553"/>
    </row>
    <row r="85" spans="1:10" ht="21">
      <c r="A85" s="101">
        <f>+A80+1</f>
        <v>46</v>
      </c>
      <c r="B85" s="83"/>
      <c r="C85" s="131" t="s">
        <v>840</v>
      </c>
      <c r="D85" s="270"/>
      <c r="E85" s="102" t="str">
        <f>"(Note "&amp;B$281&amp;" &amp; "&amp;B$304&amp;")"</f>
        <v>(Note C &amp; Q)</v>
      </c>
      <c r="F85" s="93" t="str">
        <f>F51</f>
        <v>Attachment 5</v>
      </c>
      <c r="G85" s="57"/>
      <c r="H85" s="928">
        <f>+'5 - Cost Support'!T46</f>
        <v>7111604.3549999995</v>
      </c>
      <c r="J85" s="2553"/>
    </row>
    <row r="86" spans="1:10">
      <c r="A86" s="101"/>
      <c r="B86" s="101"/>
      <c r="C86" s="126"/>
      <c r="D86" s="102"/>
      <c r="E86" s="77"/>
      <c r="F86" s="148"/>
      <c r="G86" s="93"/>
      <c r="H86" s="917"/>
      <c r="J86" s="2553"/>
    </row>
    <row r="87" spans="1:10" ht="21">
      <c r="A87" s="101"/>
      <c r="B87" s="149" t="s">
        <v>156</v>
      </c>
      <c r="C87" s="128"/>
      <c r="D87" s="64"/>
      <c r="E87" s="85"/>
      <c r="F87" s="150"/>
      <c r="G87" s="496"/>
      <c r="H87" s="917"/>
      <c r="J87" s="2553"/>
    </row>
    <row r="88" spans="1:10" ht="21">
      <c r="A88" s="101">
        <f>+A85+1</f>
        <v>47</v>
      </c>
      <c r="B88" s="151"/>
      <c r="C88" s="152" t="s">
        <v>5</v>
      </c>
      <c r="D88" s="102"/>
      <c r="E88" s="102" t="str">
        <f>"(Note "&amp;B$279&amp;" &amp; "&amp;B$304&amp;")"</f>
        <v>(Note A &amp; Q)</v>
      </c>
      <c r="F88" s="152" t="s">
        <v>825</v>
      </c>
      <c r="G88" s="155"/>
      <c r="H88" s="937">
        <f>+'5 - Cost Support'!T54</f>
        <v>-522381.78807802027</v>
      </c>
      <c r="J88" s="2553"/>
    </row>
    <row r="89" spans="1:10">
      <c r="A89" s="83"/>
      <c r="B89" s="154"/>
      <c r="C89" s="128"/>
      <c r="E89" s="83"/>
      <c r="F89" s="155"/>
      <c r="G89" s="496"/>
      <c r="H89" s="938"/>
      <c r="J89" s="2553"/>
    </row>
    <row r="90" spans="1:10" ht="21">
      <c r="A90" s="101"/>
      <c r="B90" s="149" t="s">
        <v>154</v>
      </c>
      <c r="C90" s="62"/>
      <c r="D90" s="62"/>
      <c r="E90" s="156"/>
      <c r="F90" s="155"/>
      <c r="G90" s="496"/>
      <c r="H90" s="938"/>
      <c r="J90" s="2553"/>
    </row>
    <row r="91" spans="1:10">
      <c r="A91" s="85">
        <f>A88+1</f>
        <v>48</v>
      </c>
      <c r="B91" s="62"/>
      <c r="C91" s="62" t="s">
        <v>376</v>
      </c>
      <c r="D91" s="64"/>
      <c r="E91" s="102" t="str">
        <f>"(Note  "&amp;B$304&amp;")"</f>
        <v>(Note  Q)</v>
      </c>
      <c r="F91" s="128" t="s">
        <v>825</v>
      </c>
      <c r="H91" s="925">
        <f>+'5 - Cost Support'!T64</f>
        <v>0</v>
      </c>
      <c r="J91" s="2553"/>
    </row>
    <row r="92" spans="1:10">
      <c r="A92" s="101">
        <f>+A91+1</f>
        <v>49</v>
      </c>
      <c r="B92" s="154"/>
      <c r="C92" s="157" t="s">
        <v>467</v>
      </c>
      <c r="D92" s="122"/>
      <c r="E92" s="158"/>
      <c r="F92" s="107" t="str">
        <f>"(Line "&amp;A$16&amp;")"</f>
        <v>(Line 5)</v>
      </c>
      <c r="G92" s="497"/>
      <c r="H92" s="938">
        <f>H16</f>
        <v>0.1470486672554692</v>
      </c>
      <c r="J92" s="2553"/>
    </row>
    <row r="93" spans="1:10">
      <c r="A93" s="101">
        <f>+A92+1</f>
        <v>50</v>
      </c>
      <c r="B93" s="154"/>
      <c r="C93" s="128" t="s">
        <v>473</v>
      </c>
      <c r="D93" s="64"/>
      <c r="E93" s="85"/>
      <c r="F93" s="93" t="str">
        <f>"(Line "&amp;A91&amp;" * Line "&amp;A92&amp;")"</f>
        <v>(Line 48 * Line 49)</v>
      </c>
      <c r="G93" s="496"/>
      <c r="H93" s="939">
        <f>H91*H92</f>
        <v>0</v>
      </c>
      <c r="J93" s="2553"/>
    </row>
    <row r="94" spans="1:10">
      <c r="A94" s="101">
        <f>A93+1</f>
        <v>51</v>
      </c>
      <c r="B94" s="154"/>
      <c r="C94" s="128" t="s">
        <v>131</v>
      </c>
      <c r="D94" s="64"/>
      <c r="E94" s="102" t="str">
        <f>"(Note  "&amp;B$297&amp;" &amp; "&amp;B$304&amp;"))"</f>
        <v>(Note  N &amp; Q))</v>
      </c>
      <c r="F94" s="157" t="s">
        <v>825</v>
      </c>
      <c r="G94" s="496"/>
      <c r="H94" s="940">
        <f>+'5 - Cost Support'!T65</f>
        <v>9096089</v>
      </c>
      <c r="J94" s="2553"/>
    </row>
    <row r="95" spans="1:10" ht="27.75" customHeight="1">
      <c r="A95" s="101">
        <f>A94+1</f>
        <v>52</v>
      </c>
      <c r="B95" s="154"/>
      <c r="C95" s="108" t="s">
        <v>153</v>
      </c>
      <c r="D95" s="124"/>
      <c r="E95" s="452"/>
      <c r="F95" s="93" t="str">
        <f>"(Line "&amp;A93&amp;" + Line "&amp;A94&amp;")"</f>
        <v>(Line 50 + Line 51)</v>
      </c>
      <c r="G95" s="498"/>
      <c r="H95" s="929">
        <f>H93+H94</f>
        <v>9096089</v>
      </c>
      <c r="J95" s="2553"/>
    </row>
    <row r="96" spans="1:10">
      <c r="A96" s="101"/>
      <c r="B96" s="154"/>
      <c r="C96" s="128"/>
      <c r="D96" s="64"/>
      <c r="E96" s="83"/>
      <c r="F96" s="155"/>
      <c r="G96" s="496"/>
      <c r="J96" s="2553"/>
    </row>
    <row r="97" spans="1:10" ht="21">
      <c r="A97" s="101"/>
      <c r="B97" s="149" t="s">
        <v>157</v>
      </c>
      <c r="C97" s="62"/>
      <c r="D97" s="64"/>
      <c r="F97" s="155"/>
      <c r="G97" s="496"/>
      <c r="J97" s="2553"/>
    </row>
    <row r="98" spans="1:10">
      <c r="A98" s="101">
        <f>+A95+1</f>
        <v>53</v>
      </c>
      <c r="B98" s="154"/>
      <c r="C98" s="128" t="s">
        <v>487</v>
      </c>
      <c r="D98" s="146"/>
      <c r="E98" s="85"/>
      <c r="F98" s="93" t="str">
        <f>"(Line "&amp;A$139&amp;")"</f>
        <v>(Line 80)</v>
      </c>
      <c r="G98" s="496"/>
      <c r="H98" s="937">
        <f>H139</f>
        <v>113277781.71135381</v>
      </c>
      <c r="J98" s="2553"/>
    </row>
    <row r="99" spans="1:10">
      <c r="A99" s="101">
        <f>+A98+1</f>
        <v>54</v>
      </c>
      <c r="B99" s="154"/>
      <c r="C99" s="146" t="s">
        <v>329</v>
      </c>
      <c r="D99" s="146"/>
      <c r="E99" s="85"/>
      <c r="F99" s="157" t="s">
        <v>474</v>
      </c>
      <c r="H99" s="512">
        <f>1/8</f>
        <v>0.125</v>
      </c>
      <c r="J99" s="2553"/>
    </row>
    <row r="100" spans="1:10" s="165" customFormat="1" ht="21">
      <c r="A100" s="101">
        <f>+A99+1</f>
        <v>55</v>
      </c>
      <c r="B100" s="129"/>
      <c r="C100" s="174" t="s">
        <v>130</v>
      </c>
      <c r="D100" s="454"/>
      <c r="E100" s="453"/>
      <c r="F100" s="93" t="str">
        <f>"(Line "&amp;A98&amp;" * Line "&amp;A99&amp;")"</f>
        <v>(Line 53 * Line 54)</v>
      </c>
      <c r="G100" s="159"/>
      <c r="H100" s="936">
        <f>H98*H99</f>
        <v>14159722.713919226</v>
      </c>
      <c r="J100" s="2553"/>
    </row>
    <row r="101" spans="1:10" s="165" customFormat="1" ht="21">
      <c r="A101" s="101"/>
      <c r="B101" s="129"/>
      <c r="C101" s="152"/>
      <c r="D101" s="455"/>
      <c r="E101" s="163"/>
      <c r="F101" s="93"/>
      <c r="G101" s="164"/>
      <c r="H101" s="941"/>
      <c r="J101" s="2553"/>
    </row>
    <row r="102" spans="1:10" s="165" customFormat="1" ht="21">
      <c r="B102" s="56" t="s">
        <v>676</v>
      </c>
      <c r="C102" s="456"/>
      <c r="D102" s="162"/>
      <c r="E102" s="456"/>
      <c r="F102" s="107"/>
      <c r="G102" s="456"/>
      <c r="H102" s="941"/>
      <c r="J102" s="2553"/>
    </row>
    <row r="103" spans="1:10" ht="21">
      <c r="A103" s="101">
        <f>+A100+1</f>
        <v>56</v>
      </c>
      <c r="B103" s="61"/>
      <c r="C103" s="61" t="s">
        <v>678</v>
      </c>
      <c r="D103" s="161"/>
      <c r="E103" s="102" t="str">
        <f>"(Note  "&amp;B$297&amp;" &amp; "&amp;B$304&amp;"))"</f>
        <v>(Note  N &amp; Q))</v>
      </c>
      <c r="F103" s="152" t="s">
        <v>825</v>
      </c>
      <c r="G103" s="93"/>
      <c r="H103" s="976">
        <f>+'5 - Cost Support'!T73</f>
        <v>0</v>
      </c>
      <c r="J103" s="2553"/>
    </row>
    <row r="104" spans="1:10">
      <c r="A104" s="60"/>
      <c r="B104" s="61"/>
      <c r="C104" s="61"/>
      <c r="D104" s="61"/>
      <c r="F104" s="62"/>
      <c r="H104" s="931"/>
      <c r="J104" s="2553"/>
    </row>
    <row r="105" spans="1:10" ht="21.6" thickBot="1">
      <c r="A105" s="60">
        <f>A103+1</f>
        <v>57</v>
      </c>
      <c r="B105" s="111" t="s">
        <v>464</v>
      </c>
      <c r="C105" s="111"/>
      <c r="D105" s="111"/>
      <c r="E105" s="138"/>
      <c r="F105" s="111" t="str">
        <f>"(Lines "&amp;A77&amp;" + "&amp;A80&amp;" + "&amp;A83&amp;" + "&amp;A85&amp;" + "&amp;A88&amp;" + "&amp;A95&amp;" + "&amp;A100&amp;" - "&amp;A103&amp;")"</f>
        <v>(Lines 44 + 45 + 45a + 46 + 47 + 52 + 55 - 56)</v>
      </c>
      <c r="G105" s="492"/>
      <c r="H105" s="493">
        <f>H77+H80+H88+H95+H100-H103+H85+H83</f>
        <v>-324964384.14153731</v>
      </c>
      <c r="J105" s="2553"/>
    </row>
    <row r="106" spans="1:10" ht="21" thickTop="1">
      <c r="A106" s="60"/>
      <c r="B106" s="61"/>
      <c r="C106" s="61"/>
      <c r="D106" s="61"/>
      <c r="F106" s="62"/>
      <c r="H106" s="931"/>
      <c r="J106" s="2553"/>
    </row>
    <row r="107" spans="1:10" ht="21.6" thickBot="1">
      <c r="A107" s="166">
        <f>+A105+1</f>
        <v>58</v>
      </c>
      <c r="B107" s="167" t="s">
        <v>323</v>
      </c>
      <c r="C107" s="167"/>
      <c r="D107" s="167"/>
      <c r="E107" s="168"/>
      <c r="F107" s="169" t="str">
        <f>"(Line "&amp;A72&amp;" + Line "&amp;A105&amp;")"</f>
        <v>(Line 43 + Line 57)</v>
      </c>
      <c r="G107" s="167"/>
      <c r="H107" s="942">
        <f>H72+H105</f>
        <v>4017721447.0271306</v>
      </c>
      <c r="J107" s="2553"/>
    </row>
    <row r="108" spans="1:10">
      <c r="B108" s="61"/>
      <c r="C108" s="61"/>
      <c r="D108" s="61"/>
      <c r="J108" s="2553"/>
    </row>
    <row r="109" spans="1:10" s="62" customFormat="1" ht="21">
      <c r="A109" s="187" t="s">
        <v>502</v>
      </c>
      <c r="B109" s="188"/>
      <c r="C109" s="170"/>
      <c r="D109" s="171"/>
      <c r="E109" s="499"/>
      <c r="F109" s="140"/>
      <c r="G109" s="140"/>
      <c r="H109" s="922"/>
      <c r="J109" s="2553"/>
    </row>
    <row r="110" spans="1:10" s="62" customFormat="1" ht="21">
      <c r="A110" s="64"/>
      <c r="B110" s="64"/>
      <c r="C110" s="64"/>
      <c r="D110" s="64"/>
      <c r="E110" s="78"/>
      <c r="H110" s="923"/>
      <c r="J110" s="2553"/>
    </row>
    <row r="111" spans="1:10" ht="21">
      <c r="A111" s="83"/>
      <c r="B111" s="79" t="s">
        <v>258</v>
      </c>
      <c r="D111" s="82"/>
      <c r="E111" s="80"/>
      <c r="G111" s="82"/>
      <c r="H111" s="924"/>
      <c r="J111" s="2553"/>
    </row>
    <row r="112" spans="1:10" ht="21">
      <c r="A112" s="101">
        <f>+A107+1</f>
        <v>59</v>
      </c>
      <c r="B112" s="101"/>
      <c r="C112" s="115" t="s">
        <v>258</v>
      </c>
      <c r="D112" s="64"/>
      <c r="E112" s="102" t="str">
        <f>"(Note  "&amp;B$300&amp;")"</f>
        <v>(Note  O)</v>
      </c>
      <c r="F112" s="377" t="s">
        <v>825</v>
      </c>
      <c r="G112" s="78"/>
      <c r="H112" s="925">
        <f>+'5 - Cost Support'!T79</f>
        <v>88784825</v>
      </c>
      <c r="J112" s="2553"/>
    </row>
    <row r="113" spans="1:10">
      <c r="A113" s="101">
        <f>+A112+1</f>
        <v>60</v>
      </c>
      <c r="B113" s="83"/>
      <c r="C113" s="115" t="s">
        <v>259</v>
      </c>
      <c r="D113" s="81"/>
      <c r="E113" s="102" t="str">
        <f>"(Note  "&amp;B$300&amp;")"</f>
        <v>(Note  O)</v>
      </c>
      <c r="F113" s="107" t="s">
        <v>825</v>
      </c>
      <c r="G113" s="64"/>
      <c r="H113" s="928">
        <f>+'5 - Cost Support'!T80</f>
        <v>0</v>
      </c>
      <c r="J113" s="2553"/>
    </row>
    <row r="114" spans="1:10" ht="21">
      <c r="A114" s="101">
        <f>1+A113</f>
        <v>61</v>
      </c>
      <c r="B114" s="64"/>
      <c r="C114" s="133" t="s">
        <v>258</v>
      </c>
      <c r="D114" s="124"/>
      <c r="E114" s="125"/>
      <c r="F114" s="93" t="str">
        <f>"(Lines "&amp;A112&amp;" + "&amp;A113&amp;")"</f>
        <v>(Lines 59 + 60)</v>
      </c>
      <c r="G114" s="108"/>
      <c r="H114" s="943">
        <f>H112+H113</f>
        <v>88784825</v>
      </c>
      <c r="J114" s="2553"/>
    </row>
    <row r="115" spans="1:10" ht="21">
      <c r="A115" s="101"/>
      <c r="B115" s="101"/>
      <c r="C115" s="79"/>
      <c r="D115" s="64"/>
      <c r="E115" s="100"/>
      <c r="F115" s="64"/>
      <c r="G115" s="64"/>
      <c r="H115" s="513"/>
      <c r="J115" s="2553"/>
    </row>
    <row r="116" spans="1:10" ht="21">
      <c r="A116" s="101"/>
      <c r="B116" s="79" t="s">
        <v>649</v>
      </c>
      <c r="C116" s="64"/>
      <c r="D116" s="64"/>
      <c r="E116" s="100"/>
      <c r="F116" s="64"/>
      <c r="G116" s="64"/>
      <c r="H116" s="513"/>
      <c r="J116" s="2553"/>
    </row>
    <row r="117" spans="1:10">
      <c r="A117" s="101">
        <f>A114+1</f>
        <v>62</v>
      </c>
      <c r="B117" s="101"/>
      <c r="C117" s="115" t="s">
        <v>262</v>
      </c>
      <c r="D117" s="64"/>
      <c r="E117" s="102" t="str">
        <f>"(Note  "&amp;B$300&amp;")"</f>
        <v>(Note  O)</v>
      </c>
      <c r="F117" s="81" t="s">
        <v>825</v>
      </c>
      <c r="G117" s="64"/>
      <c r="H117" s="925">
        <f>+'5 - Cost Support'!S94</f>
        <v>156848386</v>
      </c>
      <c r="J117" s="2553"/>
    </row>
    <row r="118" spans="1:10">
      <c r="A118" s="101">
        <f t="shared" ref="A118:A126" si="3">+A117+1</f>
        <v>63</v>
      </c>
      <c r="B118" s="101"/>
      <c r="C118" s="115" t="s">
        <v>415</v>
      </c>
      <c r="D118" s="64"/>
      <c r="E118" s="102" t="str">
        <f>"(Note "&amp;B$289&amp;")"</f>
        <v>(Note J)</v>
      </c>
      <c r="F118" s="81" t="s">
        <v>825</v>
      </c>
      <c r="G118" s="64"/>
      <c r="H118" s="925">
        <f>+'5 - Cost Support'!S96</f>
        <v>42000000</v>
      </c>
      <c r="J118" s="2553"/>
    </row>
    <row r="119" spans="1:10">
      <c r="A119" s="101">
        <f t="shared" si="3"/>
        <v>64</v>
      </c>
      <c r="B119" s="101"/>
      <c r="C119" s="115" t="s">
        <v>791</v>
      </c>
      <c r="D119" s="64"/>
      <c r="E119" s="102" t="str">
        <f>"(Note  "&amp;B$300&amp;")"</f>
        <v>(Note  O)</v>
      </c>
      <c r="F119" s="81" t="s">
        <v>825</v>
      </c>
      <c r="G119" s="64"/>
      <c r="H119" s="925">
        <f>+'5 - Cost Support'!S97</f>
        <v>28522987.240000002</v>
      </c>
      <c r="J119" s="2553"/>
    </row>
    <row r="120" spans="1:10">
      <c r="A120" s="101">
        <f t="shared" si="3"/>
        <v>65</v>
      </c>
      <c r="B120" s="101"/>
      <c r="C120" s="115" t="s">
        <v>355</v>
      </c>
      <c r="D120" s="81"/>
      <c r="E120" s="102" t="str">
        <f>"(Note  "&amp;B$300&amp;")"</f>
        <v>(Note  O)</v>
      </c>
      <c r="F120" s="115" t="s">
        <v>825</v>
      </c>
      <c r="G120" s="64"/>
      <c r="H120" s="925">
        <f>+'5 - Cost Support'!T88</f>
        <v>5390040</v>
      </c>
      <c r="J120" s="2553"/>
    </row>
    <row r="121" spans="1:10">
      <c r="A121" s="101">
        <f t="shared" si="3"/>
        <v>66</v>
      </c>
      <c r="B121" s="101"/>
      <c r="C121" s="115" t="s">
        <v>356</v>
      </c>
      <c r="D121" s="81"/>
      <c r="E121" s="102" t="str">
        <f>"(Note "&amp;B$283&amp;" &amp; "&amp;B$300&amp;")"</f>
        <v>(Note E &amp; O)</v>
      </c>
      <c r="F121" s="115" t="s">
        <v>825</v>
      </c>
      <c r="G121" s="64"/>
      <c r="H121" s="925">
        <f>+'5 - Cost Support'!S106</f>
        <v>13194579</v>
      </c>
      <c r="J121" s="2553"/>
    </row>
    <row r="122" spans="1:10">
      <c r="A122" s="101">
        <f t="shared" si="3"/>
        <v>67</v>
      </c>
      <c r="B122" s="101"/>
      <c r="C122" s="115" t="s">
        <v>357</v>
      </c>
      <c r="D122" s="81"/>
      <c r="E122" s="102" t="str">
        <f>"(Note  "&amp;B$300&amp;")"</f>
        <v>(Note  O)</v>
      </c>
      <c r="F122" s="115" t="s">
        <v>825</v>
      </c>
      <c r="G122" s="64"/>
      <c r="H122" s="925">
        <f>+'5 - Cost Support'!S127</f>
        <v>3188462</v>
      </c>
      <c r="J122" s="2553"/>
    </row>
    <row r="123" spans="1:10">
      <c r="A123" s="101">
        <f t="shared" si="3"/>
        <v>68</v>
      </c>
      <c r="B123" s="101"/>
      <c r="C123" s="115" t="s">
        <v>342</v>
      </c>
      <c r="D123" s="62"/>
      <c r="E123" s="102" t="str">
        <f>"(Note "&amp;B$282&amp;" &amp; "&amp;B$300&amp;")"</f>
        <v>(Note D &amp; O)</v>
      </c>
      <c r="F123" s="119" t="s">
        <v>825</v>
      </c>
      <c r="G123" s="64"/>
      <c r="H123" s="925">
        <f>+'5 - Cost Support'!T118</f>
        <v>0</v>
      </c>
      <c r="J123" s="2553"/>
    </row>
    <row r="124" spans="1:10" ht="21">
      <c r="A124" s="101">
        <f t="shared" si="3"/>
        <v>69</v>
      </c>
      <c r="B124" s="101"/>
      <c r="C124" s="133" t="s">
        <v>650</v>
      </c>
      <c r="D124" s="124"/>
      <c r="E124" s="130"/>
      <c r="F124" s="93" t="str">
        <f>"Sum (Lines "&amp;A117&amp;" to "&amp;A118&amp;") -  Sum (Lines "&amp;A119&amp;" to "&amp;A123&amp;")"</f>
        <v>Sum (Lines 62 to 63) -  Sum (Lines 64 to 68)</v>
      </c>
      <c r="G124" s="124"/>
      <c r="H124" s="932">
        <f>SUM(H117:H118)-SUM(H119:H123)</f>
        <v>148552317.75999999</v>
      </c>
      <c r="J124" s="2553"/>
    </row>
    <row r="125" spans="1:10">
      <c r="A125" s="101">
        <f t="shared" si="3"/>
        <v>70</v>
      </c>
      <c r="B125" s="101"/>
      <c r="C125" s="157" t="s">
        <v>467</v>
      </c>
      <c r="D125" s="146"/>
      <c r="E125" s="85"/>
      <c r="F125" s="120" t="str">
        <f>"(Line "&amp;A$16&amp;")"</f>
        <v>(Line 5)</v>
      </c>
      <c r="G125" s="155"/>
      <c r="H125" s="938">
        <f>H16</f>
        <v>0.1470486672554692</v>
      </c>
      <c r="J125" s="2553"/>
    </row>
    <row r="126" spans="1:10" ht="21">
      <c r="A126" s="101">
        <f t="shared" si="3"/>
        <v>71</v>
      </c>
      <c r="B126" s="101"/>
      <c r="C126" s="133" t="s">
        <v>651</v>
      </c>
      <c r="D126" s="124"/>
      <c r="E126" s="130"/>
      <c r="F126" s="93" t="str">
        <f>"(Line "&amp;A124&amp;" * Line "&amp;A125&amp;")"</f>
        <v>(Line 69 * Line 70)</v>
      </c>
      <c r="G126" s="124"/>
      <c r="H126" s="943">
        <f>H124*H125</f>
        <v>21844420.344318967</v>
      </c>
      <c r="J126" s="2553"/>
    </row>
    <row r="127" spans="1:10" ht="21">
      <c r="A127" s="101"/>
      <c r="B127" s="101"/>
      <c r="C127" s="131"/>
      <c r="D127" s="57"/>
      <c r="E127" s="132"/>
      <c r="F127" s="57"/>
      <c r="G127" s="57"/>
      <c r="H127" s="928"/>
      <c r="J127" s="2553"/>
    </row>
    <row r="128" spans="1:10" ht="21">
      <c r="A128" s="101"/>
      <c r="B128" s="79" t="s">
        <v>132</v>
      </c>
      <c r="C128" s="62"/>
      <c r="D128" s="57"/>
      <c r="E128" s="132"/>
      <c r="F128" s="57"/>
      <c r="G128" s="57"/>
      <c r="H128" s="928"/>
      <c r="J128" s="2553"/>
    </row>
    <row r="129" spans="1:10">
      <c r="A129" s="101">
        <f>+A126+1</f>
        <v>72</v>
      </c>
      <c r="B129" s="154"/>
      <c r="C129" s="128" t="s">
        <v>358</v>
      </c>
      <c r="D129" s="172"/>
      <c r="E129" s="102" t="str">
        <f>"(Note "&amp;B$285&amp;" &amp; "&amp;B$300&amp;")"</f>
        <v>(Note G &amp; O)</v>
      </c>
      <c r="F129" s="81" t="s">
        <v>825</v>
      </c>
      <c r="G129" s="62"/>
      <c r="H129" s="925">
        <f>+'5 - Cost Support'!S110</f>
        <v>308984</v>
      </c>
      <c r="J129" s="2553"/>
    </row>
    <row r="130" spans="1:10">
      <c r="A130" s="101">
        <f>+A129+1</f>
        <v>73</v>
      </c>
      <c r="B130" s="154"/>
      <c r="C130" s="157" t="s">
        <v>359</v>
      </c>
      <c r="D130" s="173"/>
      <c r="E130" s="121" t="str">
        <f>"(Note "&amp;B$294&amp;" &amp; "&amp;B$300&amp;")"</f>
        <v>(Note K &amp; O)</v>
      </c>
      <c r="F130" s="107" t="s">
        <v>825</v>
      </c>
      <c r="G130" s="103"/>
      <c r="H130" s="927">
        <f>+'5 - Cost Support'!T127</f>
        <v>0</v>
      </c>
      <c r="J130" s="2553"/>
    </row>
    <row r="131" spans="1:10">
      <c r="A131" s="101">
        <f>+A130+1</f>
        <v>74</v>
      </c>
      <c r="B131" s="154"/>
      <c r="C131" s="128" t="s">
        <v>475</v>
      </c>
      <c r="D131" s="64"/>
      <c r="E131" s="156"/>
      <c r="F131" s="93" t="str">
        <f>"(Line "&amp;A129&amp;" + Line "&amp;A130&amp;")"</f>
        <v>(Line 72 + Line 73)</v>
      </c>
      <c r="G131" s="62"/>
      <c r="H131" s="937">
        <f>SUM(H129:H130)</f>
        <v>308984</v>
      </c>
      <c r="J131" s="2553"/>
    </row>
    <row r="132" spans="1:10">
      <c r="A132" s="101"/>
      <c r="B132" s="154"/>
      <c r="C132" s="128"/>
      <c r="D132" s="64"/>
      <c r="E132" s="156"/>
      <c r="F132" s="128"/>
      <c r="G132" s="62"/>
      <c r="H132" s="944"/>
      <c r="J132" s="2553"/>
    </row>
    <row r="133" spans="1:10">
      <c r="A133" s="101">
        <f>+A131+1</f>
        <v>75</v>
      </c>
      <c r="B133" s="154"/>
      <c r="C133" s="128" t="s">
        <v>360</v>
      </c>
      <c r="D133" s="64"/>
      <c r="E133" s="85"/>
      <c r="F133" s="128" t="str">
        <f>"(Line "&amp;A120&amp;")"</f>
        <v>(Line 65)</v>
      </c>
      <c r="G133" s="62"/>
      <c r="H133" s="937">
        <f>H120</f>
        <v>5390040</v>
      </c>
      <c r="J133" s="2553"/>
    </row>
    <row r="134" spans="1:10">
      <c r="A134" s="101">
        <f>+A133+1</f>
        <v>76</v>
      </c>
      <c r="B134" s="154"/>
      <c r="C134" s="128" t="s">
        <v>359</v>
      </c>
      <c r="D134" s="64"/>
      <c r="E134" s="102" t="str">
        <f>"(Note "&amp;B$284&amp;" &amp; "&amp;B$300&amp;")"</f>
        <v>(Note F &amp; O)</v>
      </c>
      <c r="F134" s="107" t="s">
        <v>825</v>
      </c>
      <c r="G134" s="62"/>
      <c r="H134" s="940">
        <f>+'5 - Cost Support'!T135</f>
        <v>0</v>
      </c>
      <c r="J134" s="2553"/>
    </row>
    <row r="135" spans="1:10">
      <c r="A135" s="101">
        <f>+A134+1</f>
        <v>77</v>
      </c>
      <c r="B135" s="154"/>
      <c r="C135" s="174" t="s">
        <v>476</v>
      </c>
      <c r="D135" s="124"/>
      <c r="E135" s="125"/>
      <c r="F135" s="93" t="str">
        <f>"(Line "&amp;A133&amp;" + Line "&amp;A134&amp;")"</f>
        <v>(Line 75 + Line 76)</v>
      </c>
      <c r="G135" s="1478"/>
      <c r="H135" s="936">
        <f>SUM(H133:H134)</f>
        <v>5390040</v>
      </c>
      <c r="J135" s="2553"/>
    </row>
    <row r="136" spans="1:10">
      <c r="A136" s="101">
        <f>+A135+1</f>
        <v>78</v>
      </c>
      <c r="B136" s="101"/>
      <c r="C136" s="152" t="s">
        <v>322</v>
      </c>
      <c r="D136" s="146"/>
      <c r="E136" s="101"/>
      <c r="F136" s="107" t="str">
        <f>"(Line "&amp;A$35&amp;")"</f>
        <v>(Line 18)</v>
      </c>
      <c r="G136" s="155"/>
      <c r="H136" s="938">
        <f>H35</f>
        <v>0.43405102133469092</v>
      </c>
      <c r="J136" s="2553"/>
    </row>
    <row r="137" spans="1:10" ht="21">
      <c r="A137" s="101">
        <f>+A136+1</f>
        <v>79</v>
      </c>
      <c r="B137" s="101"/>
      <c r="C137" s="133" t="s">
        <v>134</v>
      </c>
      <c r="D137" s="124"/>
      <c r="E137" s="130"/>
      <c r="F137" s="93" t="str">
        <f>"(Line "&amp;A135&amp;" * Line "&amp;A136&amp;")"</f>
        <v>(Line 77 * Line 78)</v>
      </c>
      <c r="G137" s="91"/>
      <c r="H137" s="945">
        <f>H135*H136</f>
        <v>2339552.3670348376</v>
      </c>
      <c r="J137" s="2553"/>
    </row>
    <row r="138" spans="1:10" ht="21">
      <c r="A138" s="101"/>
      <c r="B138" s="101"/>
      <c r="C138" s="79"/>
      <c r="D138" s="64"/>
      <c r="E138" s="100"/>
      <c r="F138" s="64"/>
      <c r="G138" s="64"/>
      <c r="H138" s="928"/>
      <c r="J138" s="2553"/>
    </row>
    <row r="139" spans="1:10" ht="21.6" thickBot="1">
      <c r="A139" s="101">
        <f>+A137+1</f>
        <v>80</v>
      </c>
      <c r="B139" s="101"/>
      <c r="C139" s="175" t="s">
        <v>839</v>
      </c>
      <c r="D139" s="176"/>
      <c r="E139" s="177"/>
      <c r="F139" s="178" t="str">
        <f>"(Lines "&amp;A114&amp;" + "&amp;A126&amp;" + "&amp;A131&amp;" + "&amp;A137&amp;")"</f>
        <v>(Lines 61 + 71 + 74 + 79)</v>
      </c>
      <c r="G139" s="176"/>
      <c r="H139" s="946">
        <f>H114+H126+H131+H137</f>
        <v>113277781.71135381</v>
      </c>
      <c r="J139" s="2553"/>
    </row>
    <row r="140" spans="1:10" ht="21">
      <c r="A140" s="116"/>
      <c r="B140" s="83"/>
      <c r="C140" s="79"/>
      <c r="D140" s="64"/>
      <c r="E140" s="80"/>
      <c r="F140" s="59"/>
      <c r="G140" s="59"/>
      <c r="H140" s="508"/>
      <c r="J140" s="2553"/>
    </row>
    <row r="141" spans="1:10" ht="21">
      <c r="A141" s="187" t="s">
        <v>251</v>
      </c>
      <c r="B141" s="188"/>
      <c r="C141" s="170"/>
      <c r="D141" s="171"/>
      <c r="E141" s="499"/>
      <c r="F141" s="140"/>
      <c r="G141" s="140"/>
      <c r="H141" s="922"/>
      <c r="J141" s="2553"/>
    </row>
    <row r="142" spans="1:10" ht="21">
      <c r="A142" s="79"/>
      <c r="B142" s="83"/>
      <c r="C142" s="79"/>
      <c r="D142" s="64"/>
      <c r="E142" s="80"/>
      <c r="F142" s="59"/>
      <c r="G142" s="59"/>
      <c r="H142" s="508"/>
      <c r="J142" s="2553"/>
    </row>
    <row r="143" spans="1:10" ht="21">
      <c r="A143" s="60"/>
      <c r="B143" s="149" t="s">
        <v>116</v>
      </c>
      <c r="C143" s="62"/>
      <c r="F143" s="143"/>
      <c r="G143" s="180"/>
      <c r="H143" s="947"/>
      <c r="J143" s="2553"/>
    </row>
    <row r="144" spans="1:10">
      <c r="A144" s="101">
        <f>+A139+1</f>
        <v>81</v>
      </c>
      <c r="B144" s="154"/>
      <c r="C144" s="128" t="s">
        <v>712</v>
      </c>
      <c r="D144" s="64"/>
      <c r="E144" s="102" t="str">
        <f>"(Note "&amp;B$289&amp;" &amp; "&amp;B$300&amp;")"</f>
        <v>(Note J &amp; O)</v>
      </c>
      <c r="F144" s="128" t="s">
        <v>825</v>
      </c>
      <c r="G144" s="62"/>
      <c r="H144" s="936">
        <f>+'5 - Cost Support'!T144</f>
        <v>117406653</v>
      </c>
      <c r="J144" s="2553"/>
    </row>
    <row r="145" spans="1:10">
      <c r="A145" s="101" t="s">
        <v>605</v>
      </c>
      <c r="B145" s="154"/>
      <c r="C145" s="128" t="s">
        <v>606</v>
      </c>
      <c r="D145" s="64"/>
      <c r="E145" s="102" t="str">
        <f>"(Note  "&amp;B$305&amp;")"</f>
        <v>(Note  R)</v>
      </c>
      <c r="F145" s="128" t="s">
        <v>825</v>
      </c>
      <c r="G145" s="62"/>
      <c r="H145" s="936">
        <f>+'5 - Cost Support'!H223</f>
        <v>0</v>
      </c>
      <c r="J145" s="2553"/>
    </row>
    <row r="146" spans="1:10">
      <c r="A146" s="101">
        <f>+A144+1</f>
        <v>82</v>
      </c>
      <c r="B146" s="154"/>
      <c r="C146" s="152" t="s">
        <v>727</v>
      </c>
      <c r="D146" s="57"/>
      <c r="E146" s="102" t="str">
        <f>"(Note "&amp;B$289&amp;" &amp; "&amp;B$300&amp;")"</f>
        <v>(Note J &amp; O)</v>
      </c>
      <c r="F146" s="152" t="s">
        <v>825</v>
      </c>
      <c r="G146" s="63"/>
      <c r="H146" s="936">
        <f>+'5 - Cost Support'!T145</f>
        <v>15096739</v>
      </c>
      <c r="J146" s="2553"/>
    </row>
    <row r="147" spans="1:10">
      <c r="A147" s="101">
        <f>A146+1</f>
        <v>83</v>
      </c>
      <c r="B147" s="154"/>
      <c r="C147" s="119" t="s">
        <v>391</v>
      </c>
      <c r="D147" s="120"/>
      <c r="E147" s="121" t="str">
        <f>"(Note "&amp;B$289&amp;" &amp; "&amp;B$300&amp;")"</f>
        <v>(Note J &amp; O)</v>
      </c>
      <c r="F147" s="107" t="str">
        <f>F129</f>
        <v>Attachment 5</v>
      </c>
      <c r="G147" s="120"/>
      <c r="H147" s="927">
        <f>+'5 - Cost Support'!T146</f>
        <v>1200172.011500001</v>
      </c>
      <c r="J147" s="2553"/>
    </row>
    <row r="148" spans="1:10">
      <c r="A148" s="101">
        <f>A147+1</f>
        <v>84</v>
      </c>
      <c r="B148" s="154"/>
      <c r="C148" s="115" t="s">
        <v>522</v>
      </c>
      <c r="D148" s="64"/>
      <c r="E148" s="85"/>
      <c r="F148" s="93" t="str">
        <f>"(Line "&amp;A146&amp;" - Line "&amp;A147&amp;")"</f>
        <v>(Line 82 - Line 83)</v>
      </c>
      <c r="G148" s="64"/>
      <c r="H148" s="936">
        <f>H146-H147</f>
        <v>13896566.988499999</v>
      </c>
      <c r="J148" s="2553"/>
    </row>
    <row r="149" spans="1:10">
      <c r="A149" s="101">
        <f>A148+1</f>
        <v>85</v>
      </c>
      <c r="B149" s="154"/>
      <c r="C149" s="157" t="s">
        <v>167</v>
      </c>
      <c r="D149" s="120"/>
      <c r="E149" s="121" t="str">
        <f>"(Note "&amp;B$279&amp;" &amp; "&amp;B$300&amp;")"</f>
        <v>(Note A &amp; O)</v>
      </c>
      <c r="F149" s="157" t="s">
        <v>825</v>
      </c>
      <c r="G149" s="103"/>
      <c r="H149" s="927">
        <f>+'5 - Cost Support'!T147</f>
        <v>6228864</v>
      </c>
      <c r="J149" s="2553"/>
    </row>
    <row r="150" spans="1:10">
      <c r="A150" s="101">
        <f>+A149+1</f>
        <v>86</v>
      </c>
      <c r="B150" s="154"/>
      <c r="C150" s="152" t="s">
        <v>330</v>
      </c>
      <c r="D150" s="57"/>
      <c r="E150" s="181"/>
      <c r="F150" s="93" t="str">
        <f>"(Line "&amp;A148&amp;" + Line "&amp;A149&amp;")"</f>
        <v>(Line 84 + Line 85)</v>
      </c>
      <c r="G150" s="62"/>
      <c r="H150" s="936">
        <f>SUM(H148:H149)</f>
        <v>20125430.988499999</v>
      </c>
      <c r="J150" s="2553"/>
    </row>
    <row r="151" spans="1:10">
      <c r="A151" s="101">
        <f>+A150+1</f>
        <v>87</v>
      </c>
      <c r="B151" s="154"/>
      <c r="C151" s="157" t="s">
        <v>467</v>
      </c>
      <c r="D151" s="122"/>
      <c r="E151" s="105"/>
      <c r="F151" s="120" t="str">
        <f>"(Line "&amp;A$16&amp;")"</f>
        <v>(Line 5)</v>
      </c>
      <c r="G151" s="500"/>
      <c r="H151" s="515">
        <f>H16</f>
        <v>0.1470486672554692</v>
      </c>
      <c r="J151" s="2553"/>
    </row>
    <row r="152" spans="1:10">
      <c r="A152" s="101">
        <f>+A151+1</f>
        <v>88</v>
      </c>
      <c r="B152" s="154"/>
      <c r="C152" s="128" t="s">
        <v>710</v>
      </c>
      <c r="D152" s="64"/>
      <c r="E152" s="101"/>
      <c r="F152" s="93" t="str">
        <f>"(Line "&amp;A150&amp;" * Line "&amp;A151&amp;")"</f>
        <v>(Line 86 * Line 87)</v>
      </c>
      <c r="G152" s="155"/>
      <c r="H152" s="936">
        <f>H150*H151</f>
        <v>2959417.8048008448</v>
      </c>
      <c r="J152" s="2553"/>
    </row>
    <row r="153" spans="1:10">
      <c r="A153" s="101">
        <f>A152+1</f>
        <v>89</v>
      </c>
      <c r="B153" s="154"/>
      <c r="C153" s="157" t="s">
        <v>729</v>
      </c>
      <c r="D153" s="120"/>
      <c r="E153" s="121" t="str">
        <f>"(Note "&amp;B$289&amp;" &amp; "&amp;B$300&amp;")"</f>
        <v>(Note J &amp; O)</v>
      </c>
      <c r="F153" s="107" t="s">
        <v>825</v>
      </c>
      <c r="G153" s="500"/>
      <c r="H153" s="927">
        <f>+'5 - Cost Support'!T148</f>
        <v>1775012.17</v>
      </c>
      <c r="J153" s="2553"/>
    </row>
    <row r="154" spans="1:10" ht="21">
      <c r="A154" s="101">
        <f>A153+1</f>
        <v>90</v>
      </c>
      <c r="B154" s="154"/>
      <c r="C154" s="149" t="s">
        <v>711</v>
      </c>
      <c r="D154" s="64"/>
      <c r="E154" s="101"/>
      <c r="F154" s="93" t="str">
        <f>"(Line "&amp;A152&amp;" + Line "&amp;A153&amp;")"</f>
        <v>(Line 88 + Line 89)</v>
      </c>
      <c r="G154" s="155"/>
      <c r="H154" s="945">
        <f>H152+H153</f>
        <v>4734429.9748008447</v>
      </c>
      <c r="J154" s="2553"/>
    </row>
    <row r="155" spans="1:10">
      <c r="A155" s="101"/>
      <c r="B155" s="154"/>
      <c r="C155" s="128"/>
      <c r="D155" s="64"/>
      <c r="E155" s="101"/>
      <c r="F155" s="93"/>
      <c r="G155" s="155"/>
      <c r="H155" s="514"/>
      <c r="J155" s="2553"/>
    </row>
    <row r="156" spans="1:10">
      <c r="A156" s="182"/>
      <c r="B156" s="183"/>
      <c r="C156" s="128"/>
      <c r="D156" s="64"/>
      <c r="E156" s="101"/>
      <c r="F156" s="128"/>
      <c r="G156" s="496"/>
      <c r="H156" s="516"/>
      <c r="J156" s="2553"/>
    </row>
    <row r="157" spans="1:10" s="165" customFormat="1" ht="21.6" thickBot="1">
      <c r="A157" s="83">
        <f>A154+1</f>
        <v>91</v>
      </c>
      <c r="B157" s="184" t="s">
        <v>255</v>
      </c>
      <c r="C157" s="184"/>
      <c r="D157" s="185"/>
      <c r="E157" s="186"/>
      <c r="F157" s="184" t="str">
        <f>"(Lines "&amp;A144&amp;" + "&amp;A145&amp;" + "&amp;A154&amp;")"</f>
        <v>(Lines 81 + 81a + 90)</v>
      </c>
      <c r="G157" s="184"/>
      <c r="H157" s="946">
        <f>H144+H154+H145</f>
        <v>122141082.97480084</v>
      </c>
      <c r="J157" s="2553"/>
    </row>
    <row r="158" spans="1:10">
      <c r="J158" s="2553"/>
    </row>
    <row r="159" spans="1:10" ht="21">
      <c r="A159" s="187" t="s">
        <v>506</v>
      </c>
      <c r="B159" s="188"/>
      <c r="C159" s="170"/>
      <c r="D159" s="171"/>
      <c r="E159" s="189"/>
      <c r="F159" s="140"/>
      <c r="G159" s="140"/>
      <c r="H159" s="922"/>
      <c r="J159" s="2553"/>
    </row>
    <row r="160" spans="1:10" ht="21">
      <c r="A160" s="141"/>
      <c r="B160" s="83"/>
      <c r="C160" s="79"/>
      <c r="D160" s="64"/>
      <c r="E160" s="80"/>
      <c r="F160" s="59"/>
      <c r="G160" s="59"/>
      <c r="H160" s="508"/>
      <c r="J160" s="2553"/>
    </row>
    <row r="161" spans="1:10" ht="21">
      <c r="A161" s="101">
        <f>+A157+1</f>
        <v>92</v>
      </c>
      <c r="B161" s="128" t="s">
        <v>507</v>
      </c>
      <c r="C161" s="151"/>
      <c r="E161" s="102" t="str">
        <f>"(Note  "&amp;B$300&amp;")"</f>
        <v>(Note  O)</v>
      </c>
      <c r="F161" s="62" t="s">
        <v>837</v>
      </c>
      <c r="G161" s="62"/>
      <c r="H161" s="925">
        <f>+'ATT 2 - Other Taxes'!G36</f>
        <v>9256714.6795185953</v>
      </c>
      <c r="J161" s="2553"/>
    </row>
    <row r="162" spans="1:10">
      <c r="A162" s="85"/>
      <c r="B162" s="64"/>
      <c r="E162" s="83"/>
      <c r="F162" s="128"/>
      <c r="G162" s="62"/>
      <c r="J162" s="2553"/>
    </row>
    <row r="163" spans="1:10" ht="21.6" thickBot="1">
      <c r="A163" s="101">
        <f>+A161+1</f>
        <v>93</v>
      </c>
      <c r="B163" s="175" t="s">
        <v>508</v>
      </c>
      <c r="C163" s="175"/>
      <c r="D163" s="185"/>
      <c r="E163" s="168"/>
      <c r="F163" s="169" t="str">
        <f>"(Line "&amp;A161&amp;")"</f>
        <v>(Line 92)</v>
      </c>
      <c r="G163" s="167"/>
      <c r="H163" s="942">
        <f>H161</f>
        <v>9256714.6795185953</v>
      </c>
      <c r="J163" s="2553"/>
    </row>
    <row r="164" spans="1:10">
      <c r="A164" s="60"/>
      <c r="F164" s="62"/>
      <c r="J164" s="2553"/>
    </row>
    <row r="165" spans="1:10" ht="21">
      <c r="A165" s="187" t="s">
        <v>509</v>
      </c>
      <c r="B165" s="188"/>
      <c r="C165" s="170"/>
      <c r="D165" s="171"/>
      <c r="E165" s="499"/>
      <c r="F165" s="140"/>
      <c r="G165" s="140"/>
      <c r="H165" s="922"/>
      <c r="J165" s="2553"/>
    </row>
    <row r="166" spans="1:10" ht="21">
      <c r="A166" s="116"/>
      <c r="B166" s="83"/>
      <c r="C166" s="79"/>
      <c r="D166" s="64"/>
      <c r="E166" s="80"/>
      <c r="F166" s="59"/>
      <c r="G166" s="59"/>
      <c r="H166" s="508"/>
      <c r="J166" s="2553"/>
    </row>
    <row r="167" spans="1:10" ht="21">
      <c r="A167" s="101">
        <f>+A163+1</f>
        <v>94</v>
      </c>
      <c r="B167" s="190" t="s">
        <v>114</v>
      </c>
      <c r="D167" s="148"/>
      <c r="E167" s="102"/>
      <c r="F167" s="93" t="s">
        <v>179</v>
      </c>
      <c r="G167" s="127"/>
      <c r="H167" s="693">
        <f>240051629+4631799+7334838</f>
        <v>252018266</v>
      </c>
      <c r="J167" s="2553"/>
    </row>
    <row r="168" spans="1:10">
      <c r="A168" s="83"/>
      <c r="B168" s="83"/>
      <c r="C168" s="82"/>
      <c r="E168" s="86"/>
      <c r="F168" s="64"/>
      <c r="G168" s="82"/>
      <c r="H168" s="81"/>
      <c r="J168" s="2553"/>
    </row>
    <row r="169" spans="1:10" ht="21">
      <c r="A169" s="83">
        <f>+A167+1</f>
        <v>95</v>
      </c>
      <c r="B169" s="192" t="s">
        <v>248</v>
      </c>
      <c r="E169" s="132" t="s">
        <v>325</v>
      </c>
      <c r="F169" s="81" t="s">
        <v>392</v>
      </c>
      <c r="G169" s="82"/>
      <c r="H169" s="693">
        <v>0</v>
      </c>
      <c r="J169" s="2553"/>
    </row>
    <row r="170" spans="1:10">
      <c r="A170" s="83"/>
      <c r="B170" s="83"/>
      <c r="C170" s="94"/>
      <c r="E170" s="283"/>
      <c r="F170" s="81"/>
      <c r="G170" s="82"/>
      <c r="H170" s="924"/>
      <c r="J170" s="2553"/>
    </row>
    <row r="171" spans="1:10" ht="21">
      <c r="A171" s="83"/>
      <c r="B171" s="193" t="s">
        <v>105</v>
      </c>
      <c r="E171" s="283"/>
      <c r="F171" s="81"/>
      <c r="G171" s="82"/>
      <c r="H171" s="924"/>
      <c r="J171" s="2553"/>
    </row>
    <row r="172" spans="1:10">
      <c r="A172" s="83">
        <f>+A169+1</f>
        <v>96</v>
      </c>
      <c r="B172" s="83"/>
      <c r="C172" s="82" t="s">
        <v>332</v>
      </c>
      <c r="D172" s="82"/>
      <c r="E172" s="102" t="str">
        <f>"(Note "&amp;B$301&amp;")"</f>
        <v>(Note P)</v>
      </c>
      <c r="F172" s="81" t="s">
        <v>146</v>
      </c>
      <c r="G172" s="82"/>
      <c r="H172" s="925">
        <f>+'5 - Cost Support'!T163</f>
        <v>6377924572.5</v>
      </c>
      <c r="J172" s="2553"/>
    </row>
    <row r="173" spans="1:10">
      <c r="A173" s="101">
        <f>A172+1</f>
        <v>97</v>
      </c>
      <c r="B173" s="101"/>
      <c r="C173" s="81" t="s">
        <v>446</v>
      </c>
      <c r="D173" s="81"/>
      <c r="E173" s="102" t="str">
        <f>"(Note "&amp;B$301&amp;" )"</f>
        <v>(Note P )</v>
      </c>
      <c r="F173" s="81" t="s">
        <v>146</v>
      </c>
      <c r="G173" s="82"/>
      <c r="H173" s="925">
        <f>+'5 - Cost Support'!T164</f>
        <v>1408021.5</v>
      </c>
      <c r="J173" s="2553"/>
    </row>
    <row r="174" spans="1:10">
      <c r="A174" s="101">
        <f>A173+1</f>
        <v>98</v>
      </c>
      <c r="B174" s="101"/>
      <c r="C174" s="81" t="s">
        <v>169</v>
      </c>
      <c r="D174" s="81"/>
      <c r="E174" s="102"/>
      <c r="F174" s="93" t="str">
        <f>"(Line "&amp;A184&amp;")"</f>
        <v>(Line 106)</v>
      </c>
      <c r="G174" s="82"/>
      <c r="H174" s="925">
        <f>+H184</f>
        <v>0</v>
      </c>
      <c r="J174" s="2553"/>
    </row>
    <row r="175" spans="1:10">
      <c r="A175" s="101">
        <f>+A174+1</f>
        <v>99</v>
      </c>
      <c r="B175" s="101"/>
      <c r="C175" s="107" t="s">
        <v>168</v>
      </c>
      <c r="D175" s="107"/>
      <c r="E175" s="121" t="str">
        <f>"(Note "&amp;B$301&amp;")"</f>
        <v>(Note P)</v>
      </c>
      <c r="F175" s="107" t="s">
        <v>146</v>
      </c>
      <c r="G175" s="191"/>
      <c r="H175" s="927">
        <f>+'5 - Cost Support'!T165</f>
        <v>3430285</v>
      </c>
      <c r="J175" s="2553"/>
    </row>
    <row r="176" spans="1:10" ht="21">
      <c r="A176" s="101">
        <f>+A175+1</f>
        <v>100</v>
      </c>
      <c r="B176" s="101"/>
      <c r="C176" s="123" t="s">
        <v>105</v>
      </c>
      <c r="D176" s="93"/>
      <c r="E176" s="87"/>
      <c r="F176" s="64" t="str">
        <f>"(Line "&amp;A172&amp;" - "&amp;A173&amp;" - "&amp;A174&amp;" - "&amp;A175&amp;")"</f>
        <v>(Line 96 - 97 - 98 - 99)</v>
      </c>
      <c r="G176" s="194"/>
      <c r="H176" s="924">
        <f>H172-H173-H174-H175</f>
        <v>6373086266</v>
      </c>
      <c r="J176" s="2553"/>
    </row>
    <row r="177" spans="1:10">
      <c r="A177" s="101"/>
      <c r="B177" s="101"/>
      <c r="C177" s="115"/>
      <c r="D177" s="64"/>
      <c r="E177" s="132"/>
      <c r="F177" s="81"/>
      <c r="G177" s="59"/>
      <c r="H177" s="924"/>
      <c r="J177" s="2553"/>
    </row>
    <row r="178" spans="1:10" ht="21">
      <c r="A178" s="83"/>
      <c r="B178" s="193" t="s">
        <v>170</v>
      </c>
      <c r="E178" s="283"/>
      <c r="F178" s="81"/>
      <c r="G178" s="59"/>
      <c r="H178" s="924"/>
      <c r="J178" s="2553"/>
    </row>
    <row r="179" spans="1:10">
      <c r="A179" s="83">
        <f>+A176+1</f>
        <v>101</v>
      </c>
      <c r="B179" s="83"/>
      <c r="C179" s="94" t="s">
        <v>115</v>
      </c>
      <c r="E179" s="102" t="str">
        <f>"(Note "&amp;B$301&amp;")"</f>
        <v>(Note P)</v>
      </c>
      <c r="F179" s="81" t="s">
        <v>146</v>
      </c>
      <c r="G179" s="59"/>
      <c r="H179" s="925">
        <f>+'5 - Cost Support'!T166</f>
        <v>5939268873</v>
      </c>
      <c r="J179" s="2553"/>
    </row>
    <row r="180" spans="1:10">
      <c r="A180" s="101">
        <f t="shared" ref="A180:A186" si="4">+A179+1</f>
        <v>102</v>
      </c>
      <c r="B180" s="83"/>
      <c r="C180" s="94" t="s">
        <v>574</v>
      </c>
      <c r="E180" s="102" t="str">
        <f>"(Note "&amp;B$301&amp;")"</f>
        <v>(Note P)</v>
      </c>
      <c r="F180" s="81" t="s">
        <v>146</v>
      </c>
      <c r="G180" s="59"/>
      <c r="H180" s="925">
        <f>+'5 - Cost Support'!T167</f>
        <v>77696490.5</v>
      </c>
      <c r="J180" s="2553"/>
    </row>
    <row r="181" spans="1:10">
      <c r="A181" s="101">
        <f t="shared" si="4"/>
        <v>103</v>
      </c>
      <c r="B181" s="83"/>
      <c r="C181" s="94" t="s">
        <v>575</v>
      </c>
      <c r="E181" s="102" t="str">
        <f>"(Note "&amp;B$301&amp;")"</f>
        <v>(Note P)</v>
      </c>
      <c r="F181" s="81" t="s">
        <v>146</v>
      </c>
      <c r="G181" s="59"/>
      <c r="H181" s="925">
        <f>+'5 - Cost Support'!T168</f>
        <v>0</v>
      </c>
      <c r="J181" s="2553"/>
    </row>
    <row r="182" spans="1:10">
      <c r="A182" s="101">
        <f t="shared" si="4"/>
        <v>104</v>
      </c>
      <c r="B182" s="101"/>
      <c r="C182" s="119" t="s">
        <v>18</v>
      </c>
      <c r="D182" s="284"/>
      <c r="E182" s="121" t="str">
        <f>"(Note "&amp;B$301&amp;")"</f>
        <v>(Note P)</v>
      </c>
      <c r="F182" s="119" t="s">
        <v>825</v>
      </c>
      <c r="G182" s="120"/>
      <c r="H182" s="927">
        <f>'5 - Cost Support'!T169</f>
        <v>23902953</v>
      </c>
      <c r="J182" s="2553"/>
    </row>
    <row r="183" spans="1:10">
      <c r="A183" s="101">
        <f t="shared" si="4"/>
        <v>105</v>
      </c>
      <c r="B183" s="101"/>
      <c r="C183" s="126" t="s">
        <v>111</v>
      </c>
      <c r="D183" s="57"/>
      <c r="E183" s="87"/>
      <c r="F183" s="64" t="str">
        <f>"(Line "&amp;A179&amp;" - "&amp;A180&amp;" + "&amp;A181&amp;" - "&amp;A182&amp;" )"</f>
        <v>(Line 101 - 102 + 103 - 104 )</v>
      </c>
      <c r="G183" s="57"/>
      <c r="H183" s="928">
        <f>H179-H180+H181-H182</f>
        <v>5837669429.5</v>
      </c>
      <c r="J183" s="2553"/>
    </row>
    <row r="184" spans="1:10">
      <c r="A184" s="101">
        <f t="shared" si="4"/>
        <v>106</v>
      </c>
      <c r="B184" s="83"/>
      <c r="C184" s="94" t="s">
        <v>126</v>
      </c>
      <c r="E184" s="102" t="str">
        <f>"(Note "&amp;B$301&amp;")"</f>
        <v>(Note P)</v>
      </c>
      <c r="F184" s="81" t="s">
        <v>146</v>
      </c>
      <c r="G184" s="59"/>
      <c r="H184" s="925">
        <f>+'5 - Cost Support'!T170</f>
        <v>0</v>
      </c>
      <c r="J184" s="2553"/>
    </row>
    <row r="185" spans="1:10">
      <c r="A185" s="101">
        <f t="shared" si="4"/>
        <v>107</v>
      </c>
      <c r="B185" s="83"/>
      <c r="C185" s="94" t="s">
        <v>105</v>
      </c>
      <c r="F185" s="107" t="str">
        <f>"(Line "&amp;A176&amp;")"</f>
        <v>(Line 100)</v>
      </c>
      <c r="G185" s="59"/>
      <c r="H185" s="930">
        <f>H176</f>
        <v>6373086266</v>
      </c>
      <c r="J185" s="2553"/>
    </row>
    <row r="186" spans="1:10" ht="21">
      <c r="A186" s="101">
        <f t="shared" si="4"/>
        <v>108</v>
      </c>
      <c r="B186" s="83"/>
      <c r="C186" s="133" t="s">
        <v>110</v>
      </c>
      <c r="D186" s="92"/>
      <c r="E186" s="109"/>
      <c r="F186" s="93" t="str">
        <f>"(Sum Lines "&amp;A183&amp;" to "&amp;A185&amp;")"</f>
        <v>(Sum Lines 105 to 107)</v>
      </c>
      <c r="G186" s="89"/>
      <c r="H186" s="926">
        <f>SUM(H183:H185)</f>
        <v>12210755695.5</v>
      </c>
      <c r="J186" s="2553"/>
    </row>
    <row r="187" spans="1:10">
      <c r="A187" s="83"/>
      <c r="B187" s="83"/>
      <c r="C187" s="94"/>
      <c r="F187" s="62"/>
      <c r="G187" s="82"/>
      <c r="H187" s="934"/>
      <c r="J187" s="2553"/>
    </row>
    <row r="188" spans="1:10">
      <c r="A188" s="101">
        <f>+A186+1</f>
        <v>109</v>
      </c>
      <c r="B188" s="83"/>
      <c r="C188" s="195" t="s">
        <v>363</v>
      </c>
      <c r="D188" s="126" t="s">
        <v>111</v>
      </c>
      <c r="E188" s="102"/>
      <c r="F188" s="93" t="str">
        <f>"(Line "&amp;A183&amp;" / Line "&amp;A186&amp;")"</f>
        <v>(Line 105 / Line 108)</v>
      </c>
      <c r="G188" s="82"/>
      <c r="H188" s="948">
        <f>H183/H186</f>
        <v>0.47807601552878026</v>
      </c>
      <c r="J188" s="2553"/>
    </row>
    <row r="189" spans="1:10">
      <c r="A189" s="101">
        <f>+A188+1</f>
        <v>110</v>
      </c>
      <c r="B189" s="83"/>
      <c r="C189" s="195" t="s">
        <v>370</v>
      </c>
      <c r="D189" s="94" t="s">
        <v>126</v>
      </c>
      <c r="E189" s="102"/>
      <c r="F189" s="93" t="str">
        <f>"(Line "&amp;A184&amp;" / Line "&amp;A186&amp;")"</f>
        <v>(Line 106 / Line 108)</v>
      </c>
      <c r="G189" s="82"/>
      <c r="H189" s="949">
        <f>H184/H186</f>
        <v>0</v>
      </c>
      <c r="J189" s="2553"/>
    </row>
    <row r="190" spans="1:10">
      <c r="A190" s="101">
        <f>+A189+1</f>
        <v>111</v>
      </c>
      <c r="B190" s="83"/>
      <c r="C190" s="195" t="s">
        <v>364</v>
      </c>
      <c r="D190" s="94" t="s">
        <v>105</v>
      </c>
      <c r="E190" s="102"/>
      <c r="F190" s="93" t="str">
        <f>"(Line "&amp;A185&amp;" / Line "&amp;A186&amp;")"</f>
        <v>(Line 107 / Line 108)</v>
      </c>
      <c r="G190" s="82"/>
      <c r="H190" s="948">
        <f>H185/H186</f>
        <v>0.52192398447121979</v>
      </c>
      <c r="J190" s="2553"/>
    </row>
    <row r="191" spans="1:10">
      <c r="A191" s="101"/>
      <c r="B191" s="83"/>
      <c r="C191" s="196"/>
      <c r="F191" s="81"/>
      <c r="G191" s="82"/>
      <c r="H191" s="934"/>
      <c r="J191" s="2553"/>
    </row>
    <row r="192" spans="1:10">
      <c r="A192" s="101">
        <f>+A190+1</f>
        <v>112</v>
      </c>
      <c r="B192" s="83"/>
      <c r="C192" s="196" t="s">
        <v>365</v>
      </c>
      <c r="D192" s="126" t="s">
        <v>111</v>
      </c>
      <c r="F192" s="93" t="str">
        <f>"(Line "&amp;A167&amp;" / Line "&amp;A183&amp;")"</f>
        <v>(Line 94 / Line 105)</v>
      </c>
      <c r="G192" s="82"/>
      <c r="H192" s="950">
        <f>H167/H183</f>
        <v>4.3171040951112148E-2</v>
      </c>
      <c r="J192" s="2553"/>
    </row>
    <row r="193" spans="1:10">
      <c r="A193" s="101">
        <f>+A192+1</f>
        <v>113</v>
      </c>
      <c r="B193" s="83"/>
      <c r="C193" s="196" t="s">
        <v>371</v>
      </c>
      <c r="D193" s="94" t="s">
        <v>126</v>
      </c>
      <c r="F193" s="93" t="str">
        <f>"(Line "&amp;A169&amp;" / Line "&amp;A184&amp;")"</f>
        <v>(Line 95 / Line 106)</v>
      </c>
      <c r="G193" s="82"/>
      <c r="H193" s="950">
        <v>0</v>
      </c>
      <c r="J193" s="2553"/>
    </row>
    <row r="194" spans="1:10">
      <c r="A194" s="101">
        <f>+A193+1</f>
        <v>114</v>
      </c>
      <c r="B194" s="83"/>
      <c r="C194" s="196" t="s">
        <v>366</v>
      </c>
      <c r="D194" s="94" t="s">
        <v>105</v>
      </c>
      <c r="E194" s="102" t="str">
        <f>"(Note "&amp;B$289&amp;")"</f>
        <v>(Note J)</v>
      </c>
      <c r="F194" s="81" t="s">
        <v>349</v>
      </c>
      <c r="G194" s="82"/>
      <c r="H194" s="950">
        <f>0.1168</f>
        <v>0.1168</v>
      </c>
      <c r="J194" s="2553"/>
    </row>
    <row r="195" spans="1:10">
      <c r="A195" s="101"/>
      <c r="B195" s="83"/>
      <c r="C195" s="196"/>
      <c r="F195" s="81"/>
      <c r="G195" s="82"/>
      <c r="H195" s="951"/>
      <c r="J195" s="2553"/>
    </row>
    <row r="196" spans="1:10">
      <c r="A196" s="101">
        <f>+A194+1</f>
        <v>115</v>
      </c>
      <c r="B196" s="83"/>
      <c r="C196" s="195" t="s">
        <v>367</v>
      </c>
      <c r="D196" s="126" t="s">
        <v>112</v>
      </c>
      <c r="F196" s="93" t="str">
        <f>"(Line "&amp;A188&amp;" * Line "&amp;A192&amp;")"</f>
        <v>(Line 109 * Line 112)</v>
      </c>
      <c r="G196" s="197"/>
      <c r="H196" s="952">
        <f>H188*H192</f>
        <v>2.06390392441375E-2</v>
      </c>
      <c r="J196" s="2553"/>
    </row>
    <row r="197" spans="1:10">
      <c r="A197" s="101">
        <f>+A196+1</f>
        <v>116</v>
      </c>
      <c r="B197" s="83"/>
      <c r="C197" s="195" t="s">
        <v>543</v>
      </c>
      <c r="D197" s="94" t="s">
        <v>126</v>
      </c>
      <c r="F197" s="93" t="str">
        <f>"(Line "&amp;A189&amp;" * Line "&amp;A193&amp;")"</f>
        <v>(Line 110 * Line 113)</v>
      </c>
      <c r="G197" s="180"/>
      <c r="H197" s="952">
        <f>H189*H193</f>
        <v>0</v>
      </c>
      <c r="J197" s="2553"/>
    </row>
    <row r="198" spans="1:10">
      <c r="A198" s="101">
        <f>+A197+1</f>
        <v>117</v>
      </c>
      <c r="B198" s="198"/>
      <c r="C198" s="199" t="s">
        <v>368</v>
      </c>
      <c r="D198" s="200" t="s">
        <v>105</v>
      </c>
      <c r="E198" s="201"/>
      <c r="F198" s="107" t="str">
        <f>"(Line "&amp;A190&amp;" * Line "&amp;A194&amp;")"</f>
        <v>(Line 111 * Line 114)</v>
      </c>
      <c r="G198" s="202"/>
      <c r="H198" s="953">
        <f>H190*H194</f>
        <v>6.0960721386238474E-2</v>
      </c>
      <c r="J198" s="2553"/>
    </row>
    <row r="199" spans="1:10" s="165" customFormat="1" ht="21">
      <c r="A199" s="83">
        <f>+A198+1</f>
        <v>118</v>
      </c>
      <c r="B199" s="203" t="s">
        <v>375</v>
      </c>
      <c r="C199" s="203"/>
      <c r="D199" s="204"/>
      <c r="E199" s="163"/>
      <c r="F199" s="93" t="str">
        <f>"(Sum Lines "&amp;A196&amp;" to "&amp;A198&amp;")"</f>
        <v>(Sum Lines 115 to 117)</v>
      </c>
      <c r="G199" s="205"/>
      <c r="H199" s="954">
        <f>SUM(H196:H198)</f>
        <v>8.1599760630375967E-2</v>
      </c>
      <c r="J199" s="2553"/>
    </row>
    <row r="200" spans="1:10" s="165" customFormat="1" ht="21">
      <c r="A200" s="206"/>
      <c r="B200" s="206"/>
      <c r="C200" s="203"/>
      <c r="D200" s="204"/>
      <c r="E200" s="163"/>
      <c r="F200" s="123"/>
      <c r="G200" s="205"/>
      <c r="H200" s="954"/>
      <c r="J200" s="2553"/>
    </row>
    <row r="201" spans="1:10" ht="21.6" thickBot="1">
      <c r="A201" s="83">
        <f>+A199+1</f>
        <v>119</v>
      </c>
      <c r="B201" s="207" t="s">
        <v>246</v>
      </c>
      <c r="C201" s="208"/>
      <c r="D201" s="185"/>
      <c r="E201" s="209"/>
      <c r="F201" s="178" t="str">
        <f>"(Line "&amp;A107&amp;" * Line "&amp;A199&amp;")"</f>
        <v>(Line 58 * Line 118)</v>
      </c>
      <c r="G201" s="210"/>
      <c r="H201" s="955">
        <f>H107*H199</f>
        <v>327845108.35694164</v>
      </c>
      <c r="J201" s="2553"/>
    </row>
    <row r="202" spans="1:10">
      <c r="A202" s="83"/>
      <c r="B202" s="83"/>
      <c r="C202" s="94"/>
      <c r="F202" s="82"/>
      <c r="G202" s="82"/>
      <c r="H202" s="952"/>
      <c r="J202" s="2553"/>
    </row>
    <row r="203" spans="1:10" ht="21">
      <c r="A203" s="187" t="s">
        <v>771</v>
      </c>
      <c r="B203" s="188"/>
      <c r="C203" s="170"/>
      <c r="D203" s="171"/>
      <c r="E203" s="189"/>
      <c r="F203" s="140"/>
      <c r="G203" s="140"/>
      <c r="H203" s="922"/>
      <c r="J203" s="2553"/>
    </row>
    <row r="204" spans="1:10" ht="21">
      <c r="A204" s="128"/>
      <c r="B204" s="83"/>
      <c r="C204" s="79"/>
      <c r="D204" s="64"/>
      <c r="E204" s="80"/>
      <c r="F204" s="59"/>
      <c r="G204" s="59"/>
      <c r="H204" s="508"/>
      <c r="J204" s="2553"/>
    </row>
    <row r="205" spans="1:10" ht="21">
      <c r="A205" s="83" t="s">
        <v>121</v>
      </c>
      <c r="B205" s="211" t="s">
        <v>247</v>
      </c>
      <c r="E205" s="80"/>
      <c r="F205" s="82"/>
      <c r="G205" s="212"/>
      <c r="H205" s="951"/>
      <c r="J205" s="2553"/>
    </row>
    <row r="206" spans="1:10">
      <c r="A206" s="83">
        <f>+A201+1</f>
        <v>120</v>
      </c>
      <c r="B206" s="83"/>
      <c r="C206" s="59" t="s">
        <v>245</v>
      </c>
      <c r="E206" s="102" t="str">
        <f>"(Note "&amp;B$287&amp;")"</f>
        <v>(Note I)</v>
      </c>
      <c r="F206" s="59"/>
      <c r="G206" s="213"/>
      <c r="H206" s="687">
        <v>0.35</v>
      </c>
      <c r="J206" s="2553"/>
    </row>
    <row r="207" spans="1:10">
      <c r="A207" s="83">
        <f>+A206+1</f>
        <v>121</v>
      </c>
      <c r="B207" s="83"/>
      <c r="C207" s="213" t="s">
        <v>244</v>
      </c>
      <c r="D207" s="214"/>
      <c r="F207" s="59"/>
      <c r="G207" s="213"/>
      <c r="H207" s="687">
        <f>+'5 - Cost Support'!S178</f>
        <v>0.09</v>
      </c>
      <c r="J207" s="2553"/>
    </row>
    <row r="208" spans="1:10">
      <c r="A208" s="83">
        <f>+A207+1</f>
        <v>122</v>
      </c>
      <c r="B208" s="83"/>
      <c r="C208" s="213" t="s">
        <v>344</v>
      </c>
      <c r="D208" s="213" t="s">
        <v>345</v>
      </c>
      <c r="F208" s="59" t="s">
        <v>675</v>
      </c>
      <c r="G208" s="213"/>
      <c r="H208" s="956">
        <v>0</v>
      </c>
      <c r="J208" s="2553"/>
    </row>
    <row r="209" spans="1:10">
      <c r="A209" s="101">
        <f>+A208+1</f>
        <v>123</v>
      </c>
      <c r="B209" s="101"/>
      <c r="C209" s="213" t="s">
        <v>350</v>
      </c>
      <c r="D209" s="215" t="s">
        <v>361</v>
      </c>
      <c r="E209" s="85"/>
      <c r="F209" s="64"/>
      <c r="G209" s="213"/>
      <c r="H209" s="957">
        <f>1-(((1-H207)*(1-H206))/(1-H207*H206*H208))</f>
        <v>0.40849999999999997</v>
      </c>
      <c r="J209" s="2553"/>
    </row>
    <row r="210" spans="1:10" s="511" customFormat="1">
      <c r="A210" s="85">
        <f>A209+1</f>
        <v>124</v>
      </c>
      <c r="B210" s="62"/>
      <c r="C210" s="213" t="s">
        <v>333</v>
      </c>
      <c r="D210" s="62"/>
      <c r="E210" s="62"/>
      <c r="F210" s="62"/>
      <c r="G210" s="62"/>
      <c r="H210" s="958">
        <f>H209/(1-H209)</f>
        <v>0.69061707523245974</v>
      </c>
      <c r="J210" s="2553"/>
    </row>
    <row r="211" spans="1:10">
      <c r="A211" s="83"/>
      <c r="B211" s="83"/>
      <c r="E211" s="136"/>
      <c r="F211" s="59"/>
      <c r="G211" s="212"/>
      <c r="H211" s="957"/>
      <c r="J211" s="2553"/>
    </row>
    <row r="212" spans="1:10" ht="21">
      <c r="A212" s="83"/>
      <c r="B212" s="211" t="s">
        <v>171</v>
      </c>
      <c r="C212" s="94"/>
      <c r="E212" s="102"/>
      <c r="F212" s="59"/>
      <c r="G212" s="212"/>
      <c r="H212" s="517"/>
      <c r="J212" s="2553"/>
    </row>
    <row r="213" spans="1:10">
      <c r="A213" s="83">
        <f>A210+1</f>
        <v>125</v>
      </c>
      <c r="B213" s="83"/>
      <c r="C213" s="115" t="s">
        <v>334</v>
      </c>
      <c r="D213" s="100" t="s">
        <v>348</v>
      </c>
      <c r="E213" s="102" t="str">
        <f>"(Note "&amp;B$300&amp;")"</f>
        <v>(Note O)</v>
      </c>
      <c r="F213" s="59" t="s">
        <v>825</v>
      </c>
      <c r="G213" s="212"/>
      <c r="H213" s="925">
        <f>-'5 - Cost Support'!S185</f>
        <v>-1135991</v>
      </c>
      <c r="J213" s="2553"/>
    </row>
    <row r="214" spans="1:10">
      <c r="A214" s="101">
        <f>+A213+1</f>
        <v>126</v>
      </c>
      <c r="B214" s="101"/>
      <c r="C214" s="115" t="s">
        <v>343</v>
      </c>
      <c r="D214" s="64"/>
      <c r="E214" s="101"/>
      <c r="F214" s="59" t="str">
        <f>"1 / (1 - Line "&amp;A209&amp;")"</f>
        <v>1 / (1 - Line 123)</v>
      </c>
      <c r="G214" s="217"/>
      <c r="H214" s="958">
        <f>1/(1-H209)</f>
        <v>1.6906170752324599</v>
      </c>
      <c r="J214" s="2553"/>
    </row>
    <row r="215" spans="1:10" s="110" customFormat="1">
      <c r="A215" s="83">
        <f>+A214+1</f>
        <v>127</v>
      </c>
      <c r="B215" s="218"/>
      <c r="C215" s="157" t="s">
        <v>166</v>
      </c>
      <c r="D215" s="122"/>
      <c r="E215" s="198"/>
      <c r="F215" s="107" t="str">
        <f>"(Line "&amp;A$35&amp;")"</f>
        <v>(Line 18)</v>
      </c>
      <c r="G215" s="501"/>
      <c r="H215" s="958">
        <f>H35</f>
        <v>0.43405102133469092</v>
      </c>
      <c r="J215" s="2553"/>
    </row>
    <row r="216" spans="1:10" ht="21">
      <c r="A216" s="83">
        <f>+A215+1</f>
        <v>128</v>
      </c>
      <c r="B216" s="83"/>
      <c r="C216" s="219" t="s">
        <v>197</v>
      </c>
      <c r="D216" s="124"/>
      <c r="E216" s="102"/>
      <c r="F216" s="93" t="str">
        <f>"(Line "&amp;A213&amp;" * Line "&amp;A214&amp;" * Line "&amp;A215&amp;")"</f>
        <v>(Line 125 * Line 126 * Line 127)</v>
      </c>
      <c r="G216" s="498"/>
      <c r="H216" s="959">
        <f>(H213*(H214)*H215)</f>
        <v>-833606.17713781388</v>
      </c>
      <c r="J216" s="2553"/>
    </row>
    <row r="217" spans="1:10" ht="21">
      <c r="A217" s="83"/>
      <c r="B217" s="83"/>
      <c r="C217" s="220"/>
      <c r="D217" s="57"/>
      <c r="E217" s="221"/>
      <c r="F217" s="222"/>
      <c r="G217" s="501"/>
      <c r="H217" s="960"/>
      <c r="J217" s="2553"/>
    </row>
    <row r="218" spans="1:10" ht="21">
      <c r="A218" s="83"/>
      <c r="B218" s="83"/>
      <c r="E218" s="136"/>
      <c r="F218" s="215"/>
      <c r="G218" s="212"/>
      <c r="H218" s="961"/>
      <c r="J218" s="2553"/>
    </row>
    <row r="219" spans="1:10" ht="21">
      <c r="A219" s="101">
        <f>+A216+1</f>
        <v>129</v>
      </c>
      <c r="B219" s="147" t="s">
        <v>324</v>
      </c>
      <c r="C219" s="62"/>
      <c r="D219" s="64" t="s">
        <v>521</v>
      </c>
      <c r="E219" s="100"/>
      <c r="F219" s="93" t="str">
        <f>"[Line "&amp;A210&amp;" * Line "&amp;A201&amp;" * (1- (Line "&amp;A196&amp;" / Line "&amp;A199&amp;"))]"</f>
        <v>[Line 124 * Line 119 * (1- (Line 115 / Line 118))]</v>
      </c>
      <c r="G219" s="64"/>
      <c r="H219" s="959">
        <f>((H210*H201*(1-(H196/H199))))</f>
        <v>169148142.47959772</v>
      </c>
      <c r="J219" s="2553"/>
    </row>
    <row r="220" spans="1:10">
      <c r="A220" s="83"/>
      <c r="B220" s="83"/>
      <c r="C220" s="195"/>
      <c r="D220" s="57"/>
      <c r="E220" s="181"/>
      <c r="F220" s="223"/>
      <c r="G220" s="501"/>
      <c r="H220" s="962"/>
      <c r="J220" s="2553"/>
    </row>
    <row r="221" spans="1:10" ht="21.6" thickBot="1">
      <c r="A221" s="83">
        <f>+A219+1</f>
        <v>130</v>
      </c>
      <c r="B221" s="224" t="s">
        <v>101</v>
      </c>
      <c r="C221" s="224"/>
      <c r="D221" s="225"/>
      <c r="E221" s="138"/>
      <c r="F221" s="135" t="str">
        <f>"(Line "&amp;A216&amp;" + Line "&amp;A219&amp;")"</f>
        <v>(Line 128 + Line 129)</v>
      </c>
      <c r="G221" s="226"/>
      <c r="H221" s="519">
        <f>H216+H219</f>
        <v>168314536.3024599</v>
      </c>
      <c r="J221" s="2553"/>
    </row>
    <row r="222" spans="1:10" ht="22.2" thickTop="1" thickBot="1">
      <c r="A222" s="83"/>
      <c r="B222" s="83"/>
      <c r="C222" s="216"/>
      <c r="F222" s="153"/>
      <c r="G222" s="227"/>
      <c r="H222" s="519"/>
      <c r="J222" s="2553"/>
    </row>
    <row r="223" spans="1:10" ht="21.6" thickTop="1">
      <c r="A223" s="187" t="s">
        <v>503</v>
      </c>
      <c r="B223" s="188"/>
      <c r="C223" s="170"/>
      <c r="D223" s="171"/>
      <c r="E223" s="499"/>
      <c r="F223" s="140"/>
      <c r="G223" s="140"/>
      <c r="H223" s="922"/>
      <c r="J223" s="2553"/>
    </row>
    <row r="224" spans="1:10">
      <c r="A224" s="60"/>
      <c r="B224" s="61"/>
      <c r="C224" s="61"/>
      <c r="D224" s="61"/>
      <c r="J224" s="2553"/>
    </row>
    <row r="225" spans="1:10" ht="21">
      <c r="A225" s="60"/>
      <c r="B225" s="165" t="s">
        <v>102</v>
      </c>
      <c r="C225" s="63"/>
      <c r="D225" s="110"/>
      <c r="J225" s="2553"/>
    </row>
    <row r="226" spans="1:10">
      <c r="A226" s="60">
        <f>+A221+1</f>
        <v>131</v>
      </c>
      <c r="B226" s="61"/>
      <c r="C226" s="63" t="s">
        <v>103</v>
      </c>
      <c r="D226" s="110"/>
      <c r="F226" s="93" t="str">
        <f>"(Line "&amp;A72&amp;")"</f>
        <v>(Line 43)</v>
      </c>
      <c r="H226" s="931">
        <f>H72</f>
        <v>4342685831.1686678</v>
      </c>
      <c r="J226" s="2553"/>
    </row>
    <row r="227" spans="1:10">
      <c r="A227" s="83">
        <f>+A226+1</f>
        <v>132</v>
      </c>
      <c r="B227" s="61"/>
      <c r="C227" s="63" t="s">
        <v>464</v>
      </c>
      <c r="D227" s="110"/>
      <c r="F227" s="107" t="str">
        <f>"(Line "&amp;A105&amp;")"</f>
        <v>(Line 57)</v>
      </c>
      <c r="H227" s="931">
        <f>H105</f>
        <v>-324964384.14153731</v>
      </c>
      <c r="J227" s="2553"/>
    </row>
    <row r="228" spans="1:10" ht="21">
      <c r="A228" s="83">
        <f>+A227+1</f>
        <v>133</v>
      </c>
      <c r="B228" s="83"/>
      <c r="C228" s="159" t="s">
        <v>323</v>
      </c>
      <c r="D228" s="160"/>
      <c r="E228" s="228"/>
      <c r="F228" s="93" t="str">
        <f>"(Line "&amp;A107&amp;")"</f>
        <v>(Line 58)</v>
      </c>
      <c r="G228" s="229"/>
      <c r="H228" s="963">
        <f>SUM(H226:H227)</f>
        <v>4017721447.0271306</v>
      </c>
      <c r="J228" s="2553"/>
    </row>
    <row r="229" spans="1:10">
      <c r="A229" s="83"/>
      <c r="B229" s="83"/>
      <c r="C229" s="126"/>
      <c r="D229" s="57"/>
      <c r="E229" s="80"/>
      <c r="F229" s="64"/>
      <c r="G229" s="59"/>
      <c r="H229" s="931"/>
      <c r="J229" s="2553"/>
    </row>
    <row r="230" spans="1:10">
      <c r="A230" s="83">
        <f>+A228+1</f>
        <v>134</v>
      </c>
      <c r="C230" s="126" t="s">
        <v>261</v>
      </c>
      <c r="D230" s="148"/>
      <c r="F230" s="93" t="str">
        <f>"(Line "&amp;A139&amp;")"</f>
        <v>(Line 80)</v>
      </c>
      <c r="H230" s="931">
        <f>H139</f>
        <v>113277781.71135381</v>
      </c>
      <c r="J230" s="2553"/>
    </row>
    <row r="231" spans="1:10">
      <c r="A231" s="83">
        <f>+A230+1</f>
        <v>135</v>
      </c>
      <c r="C231" s="152" t="s">
        <v>255</v>
      </c>
      <c r="D231" s="148"/>
      <c r="F231" s="93" t="str">
        <f>"(Line "&amp;A157&amp;")"</f>
        <v>(Line 91)</v>
      </c>
      <c r="H231" s="931">
        <f>H157</f>
        <v>122141082.97480084</v>
      </c>
      <c r="J231" s="2553"/>
    </row>
    <row r="232" spans="1:10">
      <c r="A232" s="83">
        <f>+A231+1</f>
        <v>136</v>
      </c>
      <c r="B232" s="83"/>
      <c r="C232" s="126" t="s">
        <v>104</v>
      </c>
      <c r="D232" s="57"/>
      <c r="E232" s="80"/>
      <c r="F232" s="93" t="str">
        <f>"(Line "&amp;A163&amp;")"</f>
        <v>(Line 93)</v>
      </c>
      <c r="G232" s="59"/>
      <c r="H232" s="931">
        <f>H163</f>
        <v>9256714.6795185953</v>
      </c>
      <c r="J232" s="2553"/>
    </row>
    <row r="233" spans="1:10">
      <c r="A233" s="83">
        <f>+A232+1</f>
        <v>137</v>
      </c>
      <c r="B233" s="83"/>
      <c r="C233" s="230" t="s">
        <v>337</v>
      </c>
      <c r="D233" s="57"/>
      <c r="E233" s="80"/>
      <c r="F233" s="93" t="str">
        <f>"(Line "&amp;A201&amp;")"</f>
        <v>(Line 119)</v>
      </c>
      <c r="G233" s="59"/>
      <c r="H233" s="931">
        <f>H201</f>
        <v>327845108.35694164</v>
      </c>
      <c r="J233" s="2553"/>
    </row>
    <row r="234" spans="1:10">
      <c r="A234" s="83">
        <f>+A233+1</f>
        <v>138</v>
      </c>
      <c r="B234" s="83"/>
      <c r="C234" s="230" t="s">
        <v>338</v>
      </c>
      <c r="D234" s="57"/>
      <c r="E234" s="80"/>
      <c r="F234" s="93" t="str">
        <f>"(Line "&amp;A221&amp;")"</f>
        <v>(Line 130)</v>
      </c>
      <c r="G234" s="59"/>
      <c r="H234" s="931">
        <f>H221</f>
        <v>168314536.3024599</v>
      </c>
      <c r="J234" s="2553"/>
    </row>
    <row r="235" spans="1:10">
      <c r="A235" s="83"/>
      <c r="B235" s="83"/>
      <c r="C235" s="230"/>
      <c r="D235" s="57"/>
      <c r="E235" s="80"/>
      <c r="F235" s="64"/>
      <c r="G235" s="59"/>
      <c r="H235" s="931"/>
      <c r="J235" s="2553"/>
    </row>
    <row r="236" spans="1:10" ht="21">
      <c r="A236" s="378">
        <f>+A234+1</f>
        <v>139</v>
      </c>
      <c r="B236" s="379"/>
      <c r="C236" s="380" t="s">
        <v>341</v>
      </c>
      <c r="D236" s="381"/>
      <c r="E236" s="382"/>
      <c r="F236" s="383" t="str">
        <f>"(Sum Lines "&amp;A230&amp;" to "&amp;A234&amp;")"</f>
        <v>(Sum Lines 134 to 138)</v>
      </c>
      <c r="G236" s="384"/>
      <c r="H236" s="964">
        <f>SUM(H230:H234)</f>
        <v>740835224.02507472</v>
      </c>
      <c r="J236" s="2553"/>
    </row>
    <row r="237" spans="1:10" ht="21">
      <c r="A237" s="232"/>
      <c r="B237" s="218"/>
      <c r="C237" s="131"/>
      <c r="D237" s="71"/>
      <c r="E237" s="233"/>
      <c r="F237" s="190"/>
      <c r="G237" s="148"/>
      <c r="H237" s="965"/>
      <c r="J237" s="2553"/>
    </row>
    <row r="238" spans="1:10" ht="21">
      <c r="A238" s="232"/>
      <c r="B238" s="220" t="s">
        <v>148</v>
      </c>
      <c r="C238" s="131"/>
      <c r="D238" s="71"/>
      <c r="E238" s="233"/>
      <c r="F238" s="190"/>
      <c r="G238" s="148"/>
      <c r="H238" s="965"/>
      <c r="J238" s="2553"/>
    </row>
    <row r="239" spans="1:10" ht="21">
      <c r="A239" s="181">
        <f>+A236+1</f>
        <v>140</v>
      </c>
      <c r="B239" s="181"/>
      <c r="C239" s="126" t="str">
        <f>+C40</f>
        <v>Transmission Plant In Service</v>
      </c>
      <c r="D239" s="71"/>
      <c r="E239" s="233"/>
      <c r="F239" s="93" t="str">
        <f>"(Line "&amp;A40&amp;")"</f>
        <v>(Line 19)</v>
      </c>
      <c r="G239" s="148"/>
      <c r="H239" s="966">
        <f>H40</f>
        <v>4945830947.0641375</v>
      </c>
      <c r="J239" s="2553"/>
    </row>
    <row r="240" spans="1:10" ht="21">
      <c r="A240" s="181">
        <f>+A239+1</f>
        <v>141</v>
      </c>
      <c r="B240" s="181"/>
      <c r="C240" s="119" t="s">
        <v>149</v>
      </c>
      <c r="D240" s="234"/>
      <c r="E240" s="121" t="str">
        <f>"(Note "&amp;B$280&amp;" &amp; "&amp;B$296&amp;")"</f>
        <v>(Note B &amp; M)</v>
      </c>
      <c r="F240" s="107" t="s">
        <v>825</v>
      </c>
      <c r="G240" s="104"/>
      <c r="H240" s="967">
        <f>+'5 - Cost Support'!T191</f>
        <v>0</v>
      </c>
      <c r="J240" s="2553"/>
    </row>
    <row r="241" spans="1:10" ht="21">
      <c r="A241" s="181">
        <f>+A240+1</f>
        <v>142</v>
      </c>
      <c r="B241" s="181"/>
      <c r="C241" s="126" t="s">
        <v>150</v>
      </c>
      <c r="D241" s="71"/>
      <c r="E241" s="235"/>
      <c r="F241" s="93" t="str">
        <f>"(Line "&amp;A239&amp;" - Line "&amp;A240&amp;")"</f>
        <v>(Line 140 - Line 141)</v>
      </c>
      <c r="G241" s="148"/>
      <c r="H241" s="966">
        <f>H239-H240</f>
        <v>4945830947.0641375</v>
      </c>
      <c r="J241" s="2553"/>
    </row>
    <row r="242" spans="1:10" ht="21">
      <c r="A242" s="181">
        <f>+A241+1</f>
        <v>143</v>
      </c>
      <c r="B242" s="181"/>
      <c r="C242" s="126" t="s">
        <v>151</v>
      </c>
      <c r="D242" s="71"/>
      <c r="E242" s="233"/>
      <c r="F242" s="93" t="str">
        <f>"(Line "&amp;A241&amp;" / Line "&amp;A239&amp;")"</f>
        <v>(Line 142 / Line 140)</v>
      </c>
      <c r="G242" s="148"/>
      <c r="H242" s="520">
        <f>H241/H239</f>
        <v>1</v>
      </c>
      <c r="J242" s="2553"/>
    </row>
    <row r="243" spans="1:10" ht="21">
      <c r="A243" s="181">
        <f>+A242+1</f>
        <v>144</v>
      </c>
      <c r="B243" s="181"/>
      <c r="C243" s="119" t="s">
        <v>341</v>
      </c>
      <c r="D243" s="234"/>
      <c r="E243" s="236"/>
      <c r="F243" s="107" t="str">
        <f>"(Line "&amp;A236&amp;")"</f>
        <v>(Line 139)</v>
      </c>
      <c r="G243" s="104"/>
      <c r="H243" s="967">
        <f>H236</f>
        <v>740835224.02507472</v>
      </c>
      <c r="J243" s="2553"/>
    </row>
    <row r="244" spans="1:10" ht="21">
      <c r="A244" s="181">
        <f>+A243+1</f>
        <v>145</v>
      </c>
      <c r="B244" s="181"/>
      <c r="C244" s="131" t="s">
        <v>152</v>
      </c>
      <c r="D244" s="71"/>
      <c r="E244" s="233"/>
      <c r="F244" s="93" t="str">
        <f>"(Line "&amp;A242&amp;" * Line "&amp;A243&amp;")"</f>
        <v>(Line 143 * Line 144)</v>
      </c>
      <c r="G244" s="148"/>
      <c r="H244" s="968">
        <f>H242*H243</f>
        <v>740835224.02507472</v>
      </c>
      <c r="J244" s="2553"/>
    </row>
    <row r="245" spans="1:10" ht="21">
      <c r="A245" s="141"/>
      <c r="B245" s="83"/>
      <c r="C245" s="126"/>
      <c r="D245" s="57"/>
      <c r="E245" s="80"/>
      <c r="F245" s="64"/>
      <c r="G245" s="59"/>
      <c r="H245" s="508"/>
      <c r="J245" s="2553"/>
    </row>
    <row r="246" spans="1:10" ht="21">
      <c r="A246" s="141"/>
      <c r="B246" s="179" t="s">
        <v>680</v>
      </c>
      <c r="C246" s="126"/>
      <c r="D246" s="57"/>
      <c r="E246" s="80"/>
      <c r="F246" s="64"/>
      <c r="G246" s="59"/>
      <c r="H246" s="508"/>
      <c r="J246" s="2553"/>
    </row>
    <row r="247" spans="1:10" ht="21">
      <c r="A247" s="101">
        <f>+A244+1</f>
        <v>146</v>
      </c>
      <c r="B247" s="61"/>
      <c r="C247" s="179" t="s">
        <v>107</v>
      </c>
      <c r="D247" s="237"/>
      <c r="E247" s="102" t="str">
        <f>"(Note "&amp;B$300&amp;")"</f>
        <v>(Note O)</v>
      </c>
      <c r="F247" s="64" t="s">
        <v>826</v>
      </c>
      <c r="G247" s="59"/>
      <c r="H247" s="966">
        <f>+'3 - Revenue Credits'!D29</f>
        <v>25528359.862850003</v>
      </c>
      <c r="J247" s="2553"/>
    </row>
    <row r="248" spans="1:10" ht="21">
      <c r="A248" s="101">
        <f>+A247+1</f>
        <v>147</v>
      </c>
      <c r="B248" s="61"/>
      <c r="C248" s="179" t="s">
        <v>679</v>
      </c>
      <c r="D248" s="57"/>
      <c r="E248" s="102" t="str">
        <f>"(Note "&amp;B$297&amp;" &amp; "&amp;B$300&amp;")"</f>
        <v>(Note N &amp; O)</v>
      </c>
      <c r="F248" s="59" t="s">
        <v>825</v>
      </c>
      <c r="G248" s="59"/>
      <c r="H248" s="966">
        <f>+'5 - Cost Support'!S198</f>
        <v>0</v>
      </c>
      <c r="J248" s="2553"/>
    </row>
    <row r="249" spans="1:10" ht="21.6" thickBot="1">
      <c r="A249" s="83"/>
      <c r="B249" s="83"/>
      <c r="C249" s="63"/>
      <c r="D249" s="63"/>
      <c r="F249" s="238"/>
      <c r="G249" s="59"/>
      <c r="H249" s="508"/>
      <c r="J249" s="2553"/>
    </row>
    <row r="250" spans="1:10" s="165" customFormat="1" ht="21.6" thickBot="1">
      <c r="A250" s="231">
        <f>+A248+1</f>
        <v>148</v>
      </c>
      <c r="B250" s="239"/>
      <c r="C250" s="240" t="s">
        <v>352</v>
      </c>
      <c r="D250" s="241"/>
      <c r="E250" s="242"/>
      <c r="F250" s="243" t="str">
        <f>"(Line "&amp;A244&amp;" - Line "&amp;A247&amp;" + Line "&amp;A248&amp;")"</f>
        <v>(Line 145 - Line 146 + Line 147)</v>
      </c>
      <c r="G250" s="244"/>
      <c r="H250" s="969">
        <f>H244-H247+H248</f>
        <v>715306864.16222477</v>
      </c>
      <c r="J250" s="2553"/>
    </row>
    <row r="251" spans="1:10" ht="21">
      <c r="A251" s="141"/>
      <c r="B251" s="83"/>
      <c r="C251" s="63"/>
      <c r="D251" s="63"/>
      <c r="F251" s="59"/>
      <c r="G251" s="59"/>
      <c r="H251" s="508"/>
      <c r="J251" s="2553"/>
    </row>
    <row r="252" spans="1:10" ht="21">
      <c r="A252" s="101"/>
      <c r="B252" s="69" t="s">
        <v>535</v>
      </c>
      <c r="C252" s="62"/>
      <c r="D252" s="63"/>
      <c r="F252" s="64"/>
      <c r="G252" s="59"/>
      <c r="H252" s="508"/>
      <c r="J252" s="2553"/>
    </row>
    <row r="253" spans="1:10" ht="21">
      <c r="A253" s="101">
        <f>+A250+1</f>
        <v>149</v>
      </c>
      <c r="B253" s="101"/>
      <c r="C253" s="63" t="str">
        <f>+C243</f>
        <v>Gross Revenue Requirement</v>
      </c>
      <c r="D253" s="63"/>
      <c r="F253" s="64" t="str">
        <f>"(Line "&amp;A243&amp;")"</f>
        <v>(Line 144)</v>
      </c>
      <c r="G253" s="59"/>
      <c r="H253" s="968">
        <f>H243</f>
        <v>740835224.02507472</v>
      </c>
      <c r="J253" s="2553"/>
    </row>
    <row r="254" spans="1:10" ht="21">
      <c r="A254" s="101">
        <f>+A253+1</f>
        <v>150</v>
      </c>
      <c r="B254" s="101"/>
      <c r="C254" s="63" t="s">
        <v>607</v>
      </c>
      <c r="D254" s="63"/>
      <c r="F254" s="64" t="str">
        <f>"(Line "&amp;A40&amp;" - Line "&amp;A58&amp;" + Line "&amp;A80&amp;" + Line "&amp;A83&amp;")"</f>
        <v>(Line 19 - Line 32 + Line 45 + Line 45a)</v>
      </c>
      <c r="G254" s="59"/>
      <c r="H254" s="968">
        <f>+H40-H58+H80+H83</f>
        <v>5059728705.9730663</v>
      </c>
      <c r="J254" s="2553"/>
    </row>
    <row r="255" spans="1:10" ht="21">
      <c r="A255" s="101">
        <f>+A254+1</f>
        <v>151</v>
      </c>
      <c r="B255" s="101"/>
      <c r="C255" s="63" t="s">
        <v>540</v>
      </c>
      <c r="D255" s="63"/>
      <c r="F255" s="64" t="str">
        <f>"(Line "&amp;A253&amp;" / Line "&amp;A254&amp;")"</f>
        <v>(Line 149 / Line 150)</v>
      </c>
      <c r="G255" s="59"/>
      <c r="H255" s="508">
        <f>H253/H254</f>
        <v>0.14641797358631312</v>
      </c>
      <c r="J255" s="2553"/>
    </row>
    <row r="256" spans="1:10" ht="21">
      <c r="A256" s="101">
        <f>+A255+1</f>
        <v>152</v>
      </c>
      <c r="B256" s="101"/>
      <c r="C256" s="63" t="s">
        <v>541</v>
      </c>
      <c r="D256" s="63"/>
      <c r="F256" s="64" t="str">
        <f>"(Line "&amp;A253&amp;" - Line "&amp;A144&amp;") / Line "&amp;A254</f>
        <v>(Line 149 - Line 81) / Line 150</v>
      </c>
      <c r="G256" s="59"/>
      <c r="H256" s="508">
        <f>(H253-H144)/H254</f>
        <v>0.12321383363679367</v>
      </c>
      <c r="J256" s="2553"/>
    </row>
    <row r="257" spans="1:134" ht="21">
      <c r="A257" s="101">
        <f>+A256+1</f>
        <v>153</v>
      </c>
      <c r="B257" s="101"/>
      <c r="C257" s="63" t="s">
        <v>542</v>
      </c>
      <c r="D257" s="63"/>
      <c r="E257" s="85"/>
      <c r="F257" s="64" t="str">
        <f>"(Line "&amp;A253&amp;" - Line "&amp;A144&amp;" - Line "&amp;A201&amp;" - Line "&amp;A221&amp;") / Line "&amp;A254</f>
        <v>(Line 149 - Line 81 - Line 119 - Line 130) / Line 150</v>
      </c>
      <c r="G257" s="59"/>
      <c r="H257" s="508">
        <f>(H253-H144-H201-H221)/H254</f>
        <v>2.515331033765324E-2</v>
      </c>
      <c r="J257" s="2553"/>
    </row>
    <row r="258" spans="1:134" ht="21">
      <c r="A258" s="101"/>
      <c r="B258" s="101"/>
      <c r="C258" s="63"/>
      <c r="D258" s="63"/>
      <c r="F258" s="64"/>
      <c r="G258" s="59"/>
      <c r="H258" s="508"/>
      <c r="J258" s="2553"/>
    </row>
    <row r="259" spans="1:134" ht="21">
      <c r="A259" s="101"/>
      <c r="B259" s="69" t="s">
        <v>536</v>
      </c>
      <c r="C259" s="63"/>
      <c r="D259" s="63"/>
      <c r="F259" s="64"/>
      <c r="G259" s="59"/>
      <c r="H259" s="508"/>
      <c r="J259" s="2553"/>
    </row>
    <row r="260" spans="1:134" ht="21">
      <c r="A260" s="101">
        <f>+A257+1</f>
        <v>154</v>
      </c>
      <c r="B260" s="101"/>
      <c r="C260" s="63" t="s">
        <v>185</v>
      </c>
      <c r="D260" s="63"/>
      <c r="F260" s="64" t="str">
        <f>"(Line "&amp;A243&amp;" - Line "&amp;A233&amp;" - Line "&amp;A234&amp;")"</f>
        <v>(Line 144 - Line 137 - Line 138)</v>
      </c>
      <c r="G260" s="59"/>
      <c r="H260" s="968">
        <f>H243-H233-H234</f>
        <v>244675579.36567318</v>
      </c>
      <c r="J260" s="2553"/>
    </row>
    <row r="261" spans="1:134" ht="21">
      <c r="A261" s="101">
        <f>+A260+1</f>
        <v>155</v>
      </c>
      <c r="B261" s="101"/>
      <c r="C261" s="63" t="s">
        <v>736</v>
      </c>
      <c r="D261" s="63"/>
      <c r="F261" s="64" t="s">
        <v>827</v>
      </c>
      <c r="G261" s="59"/>
      <c r="H261" s="968">
        <f>'4 - 100 Basis Pt ROE'!I9</f>
        <v>531610958.03434455</v>
      </c>
      <c r="J261" s="2553"/>
    </row>
    <row r="262" spans="1:134" ht="21">
      <c r="A262" s="101">
        <f>+A261+1</f>
        <v>156</v>
      </c>
      <c r="B262" s="101"/>
      <c r="C262" s="63" t="s">
        <v>537</v>
      </c>
      <c r="D262" s="63"/>
      <c r="F262" s="64" t="str">
        <f>"(Line "&amp;A260&amp;" + Line "&amp;A261&amp;")"</f>
        <v>(Line 154 + Line 155)</v>
      </c>
      <c r="G262" s="59"/>
      <c r="H262" s="968">
        <f>H260+H261</f>
        <v>776286537.40001774</v>
      </c>
      <c r="J262" s="2553"/>
    </row>
    <row r="263" spans="1:134" ht="21">
      <c r="A263" s="101">
        <f>+A262+1</f>
        <v>157</v>
      </c>
      <c r="B263" s="101"/>
      <c r="C263" s="63" t="str">
        <f>+C254</f>
        <v xml:space="preserve">Net Transmission Plant, CWIP and Abandoned Plant </v>
      </c>
      <c r="D263" s="63"/>
      <c r="F263" s="64" t="str">
        <f>+F254</f>
        <v>(Line 19 - Line 32 + Line 45 + Line 45a)</v>
      </c>
      <c r="G263" s="59"/>
      <c r="H263" s="968">
        <f>+H254</f>
        <v>5059728705.9730663</v>
      </c>
      <c r="J263" s="2553"/>
    </row>
    <row r="264" spans="1:134" ht="21">
      <c r="A264" s="101">
        <f>+A263+1</f>
        <v>158</v>
      </c>
      <c r="B264" s="101"/>
      <c r="C264" s="63" t="s">
        <v>538</v>
      </c>
      <c r="D264" s="63"/>
      <c r="F264" s="64" t="str">
        <f>"(Line "&amp;A262&amp;" / Line "&amp;A263&amp;")"</f>
        <v>(Line 156 / Line 157)</v>
      </c>
      <c r="G264" s="59"/>
      <c r="H264" s="508">
        <f>H262/H263</f>
        <v>0.15342453766021147</v>
      </c>
      <c r="J264" s="2553"/>
    </row>
    <row r="265" spans="1:134" ht="21">
      <c r="A265" s="101">
        <f>+A264+1</f>
        <v>159</v>
      </c>
      <c r="B265" s="101"/>
      <c r="C265" s="63" t="s">
        <v>539</v>
      </c>
      <c r="D265" s="63"/>
      <c r="F265" s="64" t="str">
        <f>"(Line "&amp;A262&amp;" - Line "&amp;A144&amp;") /  Line "&amp;A263</f>
        <v>(Line 156 - Line 81) /  Line 157</v>
      </c>
      <c r="G265" s="59"/>
      <c r="H265" s="508">
        <f>(H262-H144)/H263</f>
        <v>0.13022039771069202</v>
      </c>
      <c r="J265" s="2553"/>
    </row>
    <row r="266" spans="1:134" ht="21">
      <c r="A266" s="101"/>
      <c r="B266" s="101"/>
      <c r="C266" s="63"/>
      <c r="D266" s="63"/>
      <c r="F266" s="64"/>
      <c r="G266" s="59"/>
      <c r="H266" s="508"/>
      <c r="J266" s="2553"/>
    </row>
    <row r="267" spans="1:134" ht="21">
      <c r="A267" s="101">
        <f>+A265+1</f>
        <v>160</v>
      </c>
      <c r="B267" s="101"/>
      <c r="C267" s="69" t="s">
        <v>352</v>
      </c>
      <c r="D267" s="63"/>
      <c r="E267" s="85"/>
      <c r="F267" s="64" t="str">
        <f>"(Line "&amp;A250&amp;")"</f>
        <v>(Line 148)</v>
      </c>
      <c r="G267" s="59"/>
      <c r="H267" s="968">
        <f>H250</f>
        <v>715306864.16222477</v>
      </c>
      <c r="J267" s="2553"/>
    </row>
    <row r="268" spans="1:134" ht="21">
      <c r="A268" s="101">
        <f>+A267+1</f>
        <v>161</v>
      </c>
      <c r="B268" s="101"/>
      <c r="C268" s="63" t="s">
        <v>737</v>
      </c>
      <c r="D268" s="63"/>
      <c r="E268" s="80"/>
      <c r="F268" s="146" t="s">
        <v>822</v>
      </c>
      <c r="G268" s="59"/>
      <c r="H268" s="1144">
        <v>-516813</v>
      </c>
      <c r="J268" s="2553"/>
    </row>
    <row r="269" spans="1:134" ht="21">
      <c r="A269" s="101">
        <f>+A268+1</f>
        <v>162</v>
      </c>
      <c r="B269" s="101"/>
      <c r="C269" s="63" t="s">
        <v>377</v>
      </c>
      <c r="D269" s="63"/>
      <c r="E269" s="80"/>
      <c r="F269" s="146" t="s">
        <v>732</v>
      </c>
      <c r="G269" s="59"/>
      <c r="H269" s="968">
        <f>+'7 -TEC'!GL57</f>
        <v>6845882.6296377778</v>
      </c>
      <c r="J269" s="2553"/>
    </row>
    <row r="270" spans="1:134" ht="21">
      <c r="A270" s="101">
        <f>+A269+1</f>
        <v>163</v>
      </c>
      <c r="B270" s="101"/>
      <c r="C270" s="57" t="s">
        <v>4</v>
      </c>
      <c r="D270" s="245"/>
      <c r="E270" s="102"/>
      <c r="F270" s="57" t="s">
        <v>19</v>
      </c>
      <c r="G270" s="59"/>
      <c r="H270" s="968">
        <f>+'5 - Cost Support'!S206</f>
        <v>0</v>
      </c>
      <c r="J270" s="2553"/>
      <c r="ED270" s="61">
        <f>SUM(A270:EC270)</f>
        <v>163</v>
      </c>
    </row>
    <row r="271" spans="1:134" ht="21">
      <c r="A271" s="101">
        <f>+A270+1</f>
        <v>164</v>
      </c>
      <c r="B271" s="101"/>
      <c r="C271" s="69" t="s">
        <v>693</v>
      </c>
      <c r="D271" s="63"/>
      <c r="E271" s="85"/>
      <c r="F271" s="64" t="str">
        <f>"(Line "&amp;A267&amp;" + "&amp;A268&amp;" + "&amp;A269&amp;" + "&amp;A270&amp;")"</f>
        <v>(Line 160 + 161 + 162 + 163)</v>
      </c>
      <c r="G271" s="59"/>
      <c r="H271" s="968">
        <f>(H267+H268+H269+H270)</f>
        <v>721635933.79186249</v>
      </c>
      <c r="J271" s="2553"/>
    </row>
    <row r="272" spans="1:134" ht="21">
      <c r="A272" s="101"/>
      <c r="B272" s="83"/>
      <c r="C272" s="63"/>
      <c r="D272" s="63"/>
      <c r="F272" s="64"/>
      <c r="G272" s="59"/>
      <c r="H272" s="518"/>
      <c r="J272" s="2553"/>
    </row>
    <row r="273" spans="1:10" ht="21">
      <c r="A273" s="101"/>
      <c r="B273" s="179" t="s">
        <v>692</v>
      </c>
      <c r="C273" s="63"/>
      <c r="D273" s="63"/>
      <c r="F273" s="64"/>
      <c r="G273" s="59"/>
      <c r="H273" s="518"/>
      <c r="J273" s="2553"/>
    </row>
    <row r="274" spans="1:10" ht="21">
      <c r="A274" s="101">
        <f>+A271+1</f>
        <v>165</v>
      </c>
      <c r="B274" s="83"/>
      <c r="C274" s="59" t="s">
        <v>250</v>
      </c>
      <c r="E274" s="102" t="str">
        <f>"(Note "&amp;B$295&amp;")"</f>
        <v>(Note L)</v>
      </c>
      <c r="F274" s="63" t="s">
        <v>825</v>
      </c>
      <c r="G274" s="63"/>
      <c r="H274" s="970">
        <f>+'5 - Cost Support'!S214</f>
        <v>10414.4</v>
      </c>
      <c r="J274" s="2553"/>
    </row>
    <row r="275" spans="1:10" ht="21">
      <c r="A275" s="101">
        <f>+A274+1</f>
        <v>166</v>
      </c>
      <c r="B275" s="83"/>
      <c r="C275" s="59" t="s">
        <v>249</v>
      </c>
      <c r="D275" s="502"/>
      <c r="E275" s="374"/>
      <c r="F275" s="93" t="str">
        <f>"(Line "&amp;A271&amp;" / "&amp;A274&amp;")"</f>
        <v>(Line 164 / 165)</v>
      </c>
      <c r="G275" s="503"/>
      <c r="H275" s="521">
        <f>H271/H274</f>
        <v>69292.12761098695</v>
      </c>
      <c r="J275" s="2553"/>
    </row>
    <row r="276" spans="1:10" ht="21.6" thickBot="1">
      <c r="A276" s="83"/>
      <c r="B276" s="83"/>
      <c r="E276" s="504"/>
      <c r="F276" s="375"/>
      <c r="G276" s="503"/>
      <c r="H276" s="971"/>
      <c r="J276" s="2553"/>
    </row>
    <row r="277" spans="1:10" s="110" customFormat="1" ht="21.6" thickBot="1">
      <c r="A277" s="231">
        <f>+A275+1</f>
        <v>167</v>
      </c>
      <c r="B277" s="246"/>
      <c r="C277" s="240" t="s">
        <v>362</v>
      </c>
      <c r="D277" s="246"/>
      <c r="E277" s="246"/>
      <c r="F277" s="246" t="str">
        <f>"(Line "&amp;A275&amp;")"</f>
        <v>(Line 166)</v>
      </c>
      <c r="G277" s="246"/>
      <c r="H277" s="522">
        <f>H275</f>
        <v>69292.12761098695</v>
      </c>
      <c r="J277" s="2553"/>
    </row>
    <row r="278" spans="1:10" s="110" customFormat="1" ht="21">
      <c r="A278" s="55"/>
      <c r="B278" s="56" t="s">
        <v>346</v>
      </c>
      <c r="C278" s="57"/>
      <c r="D278" s="57"/>
      <c r="E278" s="374"/>
      <c r="F278" s="375"/>
      <c r="G278" s="375"/>
      <c r="H278" s="518"/>
      <c r="J278" s="2553"/>
    </row>
    <row r="279" spans="1:10" s="63" customFormat="1" ht="27.9" customHeight="1">
      <c r="A279" s="55"/>
      <c r="B279" s="181" t="s">
        <v>123</v>
      </c>
      <c r="C279" s="57" t="s">
        <v>354</v>
      </c>
      <c r="D279" s="57"/>
      <c r="E279" s="374"/>
      <c r="F279" s="375"/>
      <c r="G279" s="375"/>
      <c r="H279" s="972"/>
      <c r="J279" s="2553"/>
    </row>
    <row r="280" spans="1:10" s="63" customFormat="1" ht="27.9" customHeight="1">
      <c r="A280" s="55"/>
      <c r="B280" s="181" t="s">
        <v>331</v>
      </c>
      <c r="C280" s="57" t="s">
        <v>279</v>
      </c>
      <c r="D280" s="57"/>
      <c r="E280" s="374"/>
      <c r="F280" s="375"/>
      <c r="G280" s="375"/>
      <c r="H280" s="972"/>
      <c r="J280" s="2553"/>
    </row>
    <row r="281" spans="1:10" s="63" customFormat="1" ht="27.9" customHeight="1">
      <c r="A281" s="55"/>
      <c r="B281" s="181" t="s">
        <v>108</v>
      </c>
      <c r="C281" s="146" t="s">
        <v>444</v>
      </c>
      <c r="D281" s="57"/>
      <c r="E281" s="374"/>
      <c r="F281" s="375"/>
      <c r="G281" s="375"/>
      <c r="H281" s="972"/>
      <c r="J281" s="2553"/>
    </row>
    <row r="282" spans="1:10" s="63" customFormat="1" ht="27.9" customHeight="1">
      <c r="A282" s="55"/>
      <c r="B282" s="181" t="s">
        <v>124</v>
      </c>
      <c r="C282" s="213" t="s">
        <v>663</v>
      </c>
      <c r="D282" s="57"/>
      <c r="E282" s="374"/>
      <c r="F282" s="375"/>
      <c r="G282" s="375"/>
      <c r="H282" s="972"/>
      <c r="J282" s="2553"/>
    </row>
    <row r="283" spans="1:10" s="63" customFormat="1" ht="27.9" customHeight="1">
      <c r="A283" s="55"/>
      <c r="B283" s="181" t="s">
        <v>122</v>
      </c>
      <c r="C283" s="64" t="s">
        <v>381</v>
      </c>
      <c r="D283" s="57"/>
      <c r="E283" s="374"/>
      <c r="F283" s="375"/>
      <c r="G283" s="375"/>
      <c r="H283" s="972"/>
      <c r="J283" s="2553"/>
    </row>
    <row r="284" spans="1:10" s="63" customFormat="1" ht="27.9" customHeight="1">
      <c r="A284" s="55"/>
      <c r="B284" s="181" t="s">
        <v>730</v>
      </c>
      <c r="C284" s="213" t="s">
        <v>380</v>
      </c>
      <c r="D284" s="57"/>
      <c r="E284" s="374"/>
      <c r="F284" s="375"/>
      <c r="G284" s="375"/>
      <c r="H284" s="972"/>
      <c r="J284" s="2553"/>
    </row>
    <row r="285" spans="1:10" s="63" customFormat="1" ht="27.9" customHeight="1">
      <c r="A285" s="55"/>
      <c r="B285" s="181" t="s">
        <v>125</v>
      </c>
      <c r="C285" s="213" t="s">
        <v>378</v>
      </c>
      <c r="D285" s="57"/>
      <c r="E285" s="374"/>
      <c r="F285" s="375"/>
      <c r="G285" s="375"/>
      <c r="H285" s="972"/>
      <c r="J285" s="2553"/>
    </row>
    <row r="286" spans="1:10" s="63" customFormat="1" ht="27.9" customHeight="1">
      <c r="A286" s="55"/>
      <c r="B286" s="181" t="s">
        <v>518</v>
      </c>
      <c r="C286" s="213" t="s">
        <v>677</v>
      </c>
      <c r="D286" s="57"/>
      <c r="E286" s="374"/>
      <c r="F286" s="375"/>
      <c r="G286" s="375"/>
      <c r="H286" s="972"/>
      <c r="J286" s="2553"/>
    </row>
    <row r="287" spans="1:10" s="63" customFormat="1" ht="27.9" customHeight="1">
      <c r="A287" s="55"/>
      <c r="B287" s="181" t="s">
        <v>523</v>
      </c>
      <c r="C287" s="213" t="s">
        <v>406</v>
      </c>
      <c r="D287" s="57"/>
      <c r="E287" s="374"/>
      <c r="F287" s="375"/>
      <c r="G287" s="375"/>
      <c r="H287" s="972"/>
      <c r="J287" s="2553"/>
    </row>
    <row r="288" spans="1:10" s="63" customFormat="1" ht="27.9" customHeight="1">
      <c r="A288" s="55"/>
      <c r="B288" s="181"/>
      <c r="C288" s="213" t="s">
        <v>664</v>
      </c>
      <c r="D288" s="57"/>
      <c r="E288" s="374"/>
      <c r="F288" s="375"/>
      <c r="G288" s="375"/>
      <c r="H288" s="972"/>
      <c r="J288" s="2553"/>
    </row>
    <row r="289" spans="1:10" s="63" customFormat="1" ht="27.9" customHeight="1">
      <c r="A289" s="55"/>
      <c r="B289" s="181" t="s">
        <v>113</v>
      </c>
      <c r="C289" s="57" t="s">
        <v>416</v>
      </c>
      <c r="D289" s="57"/>
      <c r="E289" s="374"/>
      <c r="F289" s="375"/>
      <c r="G289" s="375"/>
      <c r="H289" s="972"/>
      <c r="J289" s="2553"/>
    </row>
    <row r="290" spans="1:10" s="63" customFormat="1" ht="27.9" customHeight="1">
      <c r="A290" s="55"/>
      <c r="B290" s="181"/>
      <c r="C290" s="57" t="s">
        <v>738</v>
      </c>
      <c r="D290" s="57"/>
      <c r="E290" s="374"/>
      <c r="F290" s="375"/>
      <c r="G290" s="375"/>
      <c r="H290" s="972"/>
      <c r="J290" s="2553"/>
    </row>
    <row r="291" spans="1:10" s="63" customFormat="1" ht="27.9" customHeight="1">
      <c r="A291" s="55"/>
      <c r="B291" s="181"/>
      <c r="C291" s="57" t="s">
        <v>684</v>
      </c>
      <c r="D291" s="57"/>
      <c r="E291" s="374"/>
      <c r="F291" s="375"/>
      <c r="G291" s="375"/>
      <c r="H291" s="972"/>
      <c r="J291" s="2553"/>
    </row>
    <row r="292" spans="1:10" s="63" customFormat="1" ht="27.9" customHeight="1">
      <c r="A292" s="55"/>
      <c r="B292" s="181"/>
      <c r="C292" s="57" t="s">
        <v>685</v>
      </c>
      <c r="D292" s="57"/>
      <c r="E292" s="374"/>
      <c r="F292" s="375"/>
      <c r="G292" s="375"/>
      <c r="H292" s="972"/>
      <c r="J292" s="2553"/>
    </row>
    <row r="293" spans="1:10" s="63" customFormat="1" ht="27.9" customHeight="1">
      <c r="A293" s="55"/>
      <c r="B293" s="181"/>
      <c r="C293" s="57" t="s">
        <v>216</v>
      </c>
      <c r="D293" s="57"/>
      <c r="E293" s="374"/>
      <c r="F293" s="375"/>
      <c r="G293" s="375"/>
      <c r="H293" s="972"/>
      <c r="J293" s="2553"/>
    </row>
    <row r="294" spans="1:10" s="63" customFormat="1" ht="27.9" customHeight="1">
      <c r="A294" s="55"/>
      <c r="B294" s="181" t="s">
        <v>127</v>
      </c>
      <c r="C294" s="57" t="s">
        <v>549</v>
      </c>
      <c r="D294" s="57"/>
      <c r="E294" s="374"/>
      <c r="F294" s="375"/>
      <c r="G294" s="375"/>
      <c r="H294" s="972"/>
      <c r="J294" s="2553"/>
    </row>
    <row r="295" spans="1:10" s="63" customFormat="1" ht="27.9" customHeight="1">
      <c r="A295" s="55"/>
      <c r="B295" s="181" t="s">
        <v>256</v>
      </c>
      <c r="C295" s="57" t="s">
        <v>445</v>
      </c>
      <c r="D295" s="57"/>
      <c r="E295" s="374"/>
      <c r="F295" s="375"/>
      <c r="G295" s="375"/>
      <c r="H295" s="972"/>
      <c r="J295" s="2553"/>
    </row>
    <row r="296" spans="1:10" s="62" customFormat="1" ht="27.9" customHeight="1">
      <c r="A296" s="101"/>
      <c r="B296" s="101" t="s">
        <v>257</v>
      </c>
      <c r="C296" s="64" t="s">
        <v>373</v>
      </c>
      <c r="D296" s="64"/>
      <c r="E296" s="374"/>
      <c r="F296" s="375"/>
      <c r="G296" s="375"/>
      <c r="H296" s="972"/>
      <c r="J296" s="2553"/>
    </row>
    <row r="297" spans="1:10" s="62" customFormat="1" ht="27.9" customHeight="1">
      <c r="A297" s="101"/>
      <c r="B297" s="101" t="s">
        <v>731</v>
      </c>
      <c r="C297" s="523" t="s">
        <v>865</v>
      </c>
      <c r="D297" s="64"/>
      <c r="E297" s="374"/>
      <c r="F297" s="375"/>
      <c r="G297" s="375"/>
      <c r="H297" s="972"/>
      <c r="J297" s="2553"/>
    </row>
    <row r="298" spans="1:10" s="62" customFormat="1" ht="27.9" customHeight="1">
      <c r="A298" s="101"/>
      <c r="B298" s="101"/>
      <c r="C298" s="523" t="s">
        <v>866</v>
      </c>
      <c r="D298" s="64"/>
      <c r="E298" s="374"/>
      <c r="F298" s="375"/>
      <c r="G298" s="375"/>
      <c r="H298" s="972"/>
      <c r="J298" s="2553"/>
    </row>
    <row r="299" spans="1:10" s="62" customFormat="1" ht="27.9" customHeight="1">
      <c r="A299" s="101"/>
      <c r="B299" s="101"/>
      <c r="C299" s="523" t="s">
        <v>867</v>
      </c>
      <c r="D299" s="64"/>
      <c r="E299" s="374"/>
      <c r="F299" s="375"/>
      <c r="G299" s="375"/>
      <c r="H299" s="972"/>
      <c r="J299" s="2553"/>
    </row>
    <row r="300" spans="1:10" s="63" customFormat="1" ht="27.9" customHeight="1">
      <c r="A300" s="524"/>
      <c r="B300" s="181" t="s">
        <v>499</v>
      </c>
      <c r="C300" s="57" t="s">
        <v>419</v>
      </c>
      <c r="D300" s="57"/>
      <c r="E300" s="374"/>
      <c r="F300" s="375"/>
      <c r="G300" s="55"/>
      <c r="H300" s="973"/>
      <c r="J300" s="2553"/>
    </row>
    <row r="301" spans="1:10" s="62" customFormat="1" ht="27.9" customHeight="1">
      <c r="A301" s="146"/>
      <c r="B301" s="64" t="s">
        <v>500</v>
      </c>
      <c r="C301" s="146" t="s">
        <v>217</v>
      </c>
      <c r="D301" s="146"/>
      <c r="E301" s="146"/>
      <c r="F301" s="146"/>
      <c r="G301" s="146"/>
      <c r="H301" s="974"/>
      <c r="J301" s="2553"/>
    </row>
    <row r="302" spans="1:10" s="62" customFormat="1" ht="27.9" customHeight="1">
      <c r="B302" s="64"/>
      <c r="C302" s="146" t="s">
        <v>218</v>
      </c>
      <c r="D302" s="146"/>
      <c r="E302" s="146"/>
      <c r="F302" s="146"/>
      <c r="G302" s="146"/>
      <c r="H302" s="974"/>
      <c r="J302" s="2553"/>
    </row>
    <row r="303" spans="1:10" s="62" customFormat="1" ht="27.9" customHeight="1">
      <c r="B303" s="64"/>
      <c r="C303" s="146" t="s">
        <v>396</v>
      </c>
      <c r="D303" s="146"/>
      <c r="E303" s="146"/>
      <c r="F303" s="146"/>
      <c r="G303" s="146"/>
      <c r="H303" s="974"/>
      <c r="J303" s="2553"/>
    </row>
    <row r="304" spans="1:10" s="63" customFormat="1" ht="27.9" customHeight="1">
      <c r="A304" s="55"/>
      <c r="B304" s="181" t="s">
        <v>422</v>
      </c>
      <c r="C304" s="57" t="s">
        <v>173</v>
      </c>
      <c r="D304" s="57"/>
      <c r="E304" s="374"/>
      <c r="F304" s="375"/>
      <c r="G304" s="375"/>
      <c r="H304" s="972"/>
      <c r="J304" s="2553"/>
    </row>
    <row r="305" spans="1:10" s="62" customFormat="1" ht="21">
      <c r="A305" s="55" t="s">
        <v>106</v>
      </c>
      <c r="B305" s="181" t="s">
        <v>608</v>
      </c>
      <c r="C305" s="57" t="s">
        <v>414</v>
      </c>
      <c r="D305" s="57"/>
      <c r="E305" s="374"/>
      <c r="F305" s="375"/>
      <c r="G305" s="375"/>
      <c r="H305" s="975"/>
      <c r="J305" s="2553"/>
    </row>
    <row r="306" spans="1:10" s="62" customFormat="1">
      <c r="A306" s="146"/>
      <c r="B306" s="64"/>
      <c r="C306" s="64"/>
      <c r="D306" s="64"/>
      <c r="E306" s="525"/>
      <c r="F306" s="77"/>
      <c r="H306" s="917"/>
      <c r="J306" s="2553"/>
    </row>
    <row r="307" spans="1:10" s="62" customFormat="1">
      <c r="A307" s="146"/>
      <c r="B307" s="64"/>
      <c r="C307" s="64"/>
      <c r="D307" s="64"/>
      <c r="E307" s="77"/>
      <c r="F307" s="77"/>
      <c r="H307" s="917"/>
      <c r="J307" s="2553"/>
    </row>
    <row r="308" spans="1:10" s="62" customFormat="1">
      <c r="A308" s="146"/>
      <c r="B308" s="64"/>
      <c r="C308" s="64"/>
      <c r="D308" s="64"/>
      <c r="E308" s="77"/>
      <c r="F308" s="77"/>
      <c r="H308" s="917"/>
      <c r="J308" s="2553"/>
    </row>
    <row r="309" spans="1:10" s="62" customFormat="1">
      <c r="A309" s="146"/>
      <c r="B309" s="64"/>
      <c r="C309" s="64"/>
      <c r="D309" s="64"/>
      <c r="E309" s="77"/>
      <c r="F309" s="77"/>
      <c r="H309" s="917"/>
      <c r="J309" s="2553"/>
    </row>
    <row r="310" spans="1:10" s="62" customFormat="1">
      <c r="A310" s="146"/>
      <c r="B310" s="64"/>
      <c r="C310" s="64"/>
      <c r="D310" s="64"/>
      <c r="E310" s="77"/>
      <c r="F310" s="77"/>
      <c r="H310" s="917"/>
      <c r="J310" s="2553"/>
    </row>
    <row r="311" spans="1:10" s="62" customFormat="1">
      <c r="A311" s="146"/>
      <c r="B311" s="64"/>
      <c r="C311" s="64"/>
      <c r="D311" s="64"/>
      <c r="E311" s="77"/>
      <c r="F311" s="77"/>
      <c r="H311" s="917"/>
      <c r="J311" s="2553"/>
    </row>
    <row r="312" spans="1:10" s="62" customFormat="1">
      <c r="A312" s="146"/>
      <c r="B312" s="64"/>
      <c r="C312" s="64"/>
      <c r="D312" s="64"/>
      <c r="E312" s="85"/>
      <c r="H312" s="917"/>
      <c r="J312" s="2553"/>
    </row>
    <row r="313" spans="1:10" s="62" customFormat="1">
      <c r="A313" s="146"/>
      <c r="B313" s="64"/>
      <c r="C313" s="64"/>
      <c r="D313" s="64"/>
      <c r="E313" s="85"/>
      <c r="H313" s="917"/>
      <c r="J313" s="2553"/>
    </row>
    <row r="314" spans="1:10" s="62" customFormat="1">
      <c r="A314" s="146"/>
      <c r="B314" s="64"/>
      <c r="C314" s="64"/>
      <c r="D314" s="64"/>
      <c r="E314" s="85"/>
      <c r="H314" s="917"/>
      <c r="J314" s="2553"/>
    </row>
    <row r="315" spans="1:10" s="62" customFormat="1">
      <c r="A315" s="146"/>
      <c r="B315" s="64"/>
      <c r="C315" s="64"/>
      <c r="D315" s="64"/>
      <c r="E315" s="85"/>
      <c r="H315" s="917"/>
      <c r="J315" s="2553"/>
    </row>
    <row r="316" spans="1:10" s="62" customFormat="1">
      <c r="A316" s="146"/>
      <c r="B316" s="64"/>
      <c r="C316" s="64"/>
      <c r="D316" s="64"/>
      <c r="E316" s="85"/>
      <c r="H316" s="917"/>
      <c r="J316" s="2553"/>
    </row>
    <row r="317" spans="1:10" s="62" customFormat="1">
      <c r="A317" s="146"/>
      <c r="B317" s="64"/>
      <c r="C317" s="64"/>
      <c r="D317" s="64"/>
      <c r="E317" s="85"/>
      <c r="H317" s="917"/>
      <c r="J317" s="2553"/>
    </row>
    <row r="318" spans="1:10" s="62" customFormat="1">
      <c r="A318" s="146"/>
      <c r="B318" s="64"/>
      <c r="C318" s="64"/>
      <c r="D318" s="64"/>
      <c r="E318" s="85"/>
      <c r="H318" s="917"/>
      <c r="J318" s="2553"/>
    </row>
    <row r="319" spans="1:10" s="62" customFormat="1">
      <c r="A319" s="146"/>
      <c r="B319" s="64"/>
      <c r="C319" s="64"/>
      <c r="D319" s="64"/>
      <c r="E319" s="85"/>
      <c r="H319" s="917"/>
      <c r="J319" s="2553"/>
    </row>
    <row r="320" spans="1:10" s="62" customFormat="1">
      <c r="A320" s="146"/>
      <c r="B320" s="64"/>
      <c r="C320" s="64"/>
      <c r="D320" s="64"/>
      <c r="E320" s="85"/>
      <c r="H320" s="917"/>
      <c r="J320" s="2553"/>
    </row>
    <row r="321" spans="1:10" s="62" customFormat="1">
      <c r="A321" s="146"/>
      <c r="B321" s="64"/>
      <c r="C321" s="64"/>
      <c r="D321" s="64"/>
      <c r="E321" s="85"/>
      <c r="H321" s="917"/>
      <c r="J321" s="2553"/>
    </row>
    <row r="322" spans="1:10" s="62" customFormat="1">
      <c r="A322" s="146"/>
      <c r="B322" s="64"/>
      <c r="C322" s="64"/>
      <c r="D322" s="64"/>
      <c r="E322" s="85"/>
      <c r="H322" s="917"/>
      <c r="J322" s="2553"/>
    </row>
    <row r="323" spans="1:10" s="62" customFormat="1">
      <c r="A323" s="146"/>
      <c r="B323" s="64"/>
      <c r="C323" s="64"/>
      <c r="D323" s="64"/>
      <c r="E323" s="85"/>
      <c r="H323" s="917"/>
      <c r="J323" s="2553"/>
    </row>
    <row r="324" spans="1:10" s="62" customFormat="1">
      <c r="A324" s="146"/>
      <c r="B324" s="64"/>
      <c r="C324" s="64"/>
      <c r="D324" s="64"/>
      <c r="E324" s="85"/>
      <c r="H324" s="917"/>
      <c r="J324" s="2553"/>
    </row>
    <row r="325" spans="1:10" s="62" customFormat="1">
      <c r="A325" s="146"/>
      <c r="B325" s="64"/>
      <c r="C325" s="64"/>
      <c r="D325" s="64"/>
      <c r="E325" s="85"/>
      <c r="H325" s="917"/>
      <c r="J325" s="2553"/>
    </row>
    <row r="326" spans="1:10" s="62" customFormat="1">
      <c r="A326" s="146"/>
      <c r="B326" s="64"/>
      <c r="C326" s="64"/>
      <c r="D326" s="64"/>
      <c r="E326" s="85"/>
      <c r="H326" s="917"/>
      <c r="J326" s="2553"/>
    </row>
    <row r="327" spans="1:10" s="62" customFormat="1">
      <c r="A327" s="146"/>
      <c r="B327" s="64"/>
      <c r="C327" s="64"/>
      <c r="D327" s="64"/>
      <c r="E327" s="85"/>
      <c r="H327" s="917"/>
      <c r="J327" s="2553"/>
    </row>
    <row r="328" spans="1:10" s="62" customFormat="1">
      <c r="A328" s="146"/>
      <c r="B328" s="64"/>
      <c r="C328" s="64"/>
      <c r="D328" s="64"/>
      <c r="E328" s="85"/>
      <c r="H328" s="917"/>
      <c r="J328" s="2553"/>
    </row>
    <row r="329" spans="1:10" s="62" customFormat="1">
      <c r="A329" s="146"/>
      <c r="B329" s="64"/>
      <c r="C329" s="64"/>
      <c r="D329" s="64"/>
      <c r="E329" s="85"/>
      <c r="H329" s="917"/>
      <c r="J329" s="2553"/>
    </row>
    <row r="330" spans="1:10" s="62" customFormat="1">
      <c r="A330" s="146"/>
      <c r="B330" s="64"/>
      <c r="C330" s="64"/>
      <c r="D330" s="64"/>
      <c r="E330" s="85"/>
      <c r="H330" s="917"/>
      <c r="J330" s="2553"/>
    </row>
    <row r="331" spans="1:10" s="62" customFormat="1">
      <c r="A331" s="146"/>
      <c r="B331" s="64"/>
      <c r="C331" s="64"/>
      <c r="D331" s="64"/>
      <c r="E331" s="85"/>
      <c r="H331" s="917"/>
      <c r="J331" s="2553"/>
    </row>
    <row r="332" spans="1:10" s="62" customFormat="1">
      <c r="A332" s="146"/>
      <c r="B332" s="64"/>
      <c r="C332" s="64"/>
      <c r="D332" s="64"/>
      <c r="E332" s="85"/>
      <c r="H332" s="917"/>
      <c r="J332" s="2553"/>
    </row>
    <row r="333" spans="1:10" s="62" customFormat="1">
      <c r="A333" s="146"/>
      <c r="B333" s="64"/>
      <c r="C333" s="64"/>
      <c r="D333" s="64"/>
      <c r="E333" s="85"/>
      <c r="H333" s="917"/>
      <c r="J333" s="2553"/>
    </row>
    <row r="334" spans="1:10" s="62" customFormat="1">
      <c r="A334" s="146"/>
      <c r="B334" s="64"/>
      <c r="C334" s="64"/>
      <c r="D334" s="64"/>
      <c r="E334" s="85"/>
      <c r="H334" s="917"/>
      <c r="J334" s="2553"/>
    </row>
    <row r="335" spans="1:10" s="62" customFormat="1">
      <c r="A335" s="146"/>
      <c r="B335" s="64"/>
      <c r="C335" s="64"/>
      <c r="D335" s="64"/>
      <c r="E335" s="85"/>
      <c r="H335" s="917"/>
      <c r="J335" s="2553"/>
    </row>
    <row r="336" spans="1:10" s="62" customFormat="1">
      <c r="A336" s="146"/>
      <c r="B336" s="64"/>
      <c r="C336" s="64"/>
      <c r="D336" s="64"/>
      <c r="E336" s="85"/>
      <c r="H336" s="917"/>
      <c r="J336" s="2553"/>
    </row>
    <row r="337" spans="1:10" s="62" customFormat="1">
      <c r="A337" s="146"/>
      <c r="B337" s="64"/>
      <c r="C337" s="64"/>
      <c r="D337" s="64"/>
      <c r="E337" s="85"/>
      <c r="H337" s="917"/>
      <c r="J337" s="2553"/>
    </row>
    <row r="338" spans="1:10" s="62" customFormat="1">
      <c r="A338" s="146"/>
      <c r="B338" s="64"/>
      <c r="C338" s="64"/>
      <c r="D338" s="64"/>
      <c r="E338" s="85"/>
      <c r="H338" s="917"/>
      <c r="J338" s="2553"/>
    </row>
    <row r="339" spans="1:10" s="62" customFormat="1">
      <c r="A339" s="146"/>
      <c r="B339" s="64"/>
      <c r="C339" s="64"/>
      <c r="D339" s="64"/>
      <c r="E339" s="85"/>
      <c r="H339" s="917"/>
      <c r="J339" s="2553"/>
    </row>
    <row r="340" spans="1:10" s="62" customFormat="1">
      <c r="A340" s="146"/>
      <c r="B340" s="64"/>
      <c r="C340" s="64"/>
      <c r="D340" s="64"/>
      <c r="E340" s="85"/>
      <c r="H340" s="917"/>
      <c r="J340" s="2553"/>
    </row>
    <row r="341" spans="1:10" s="62" customFormat="1">
      <c r="A341" s="146"/>
      <c r="B341" s="64"/>
      <c r="C341" s="64"/>
      <c r="D341" s="64"/>
      <c r="E341" s="85"/>
      <c r="H341" s="917"/>
      <c r="J341" s="2553"/>
    </row>
    <row r="342" spans="1:10" s="62" customFormat="1">
      <c r="A342" s="146"/>
      <c r="B342" s="64"/>
      <c r="C342" s="64"/>
      <c r="D342" s="64"/>
      <c r="E342" s="85"/>
      <c r="H342" s="917"/>
      <c r="J342" s="2553"/>
    </row>
    <row r="343" spans="1:10" s="62" customFormat="1">
      <c r="A343" s="146"/>
      <c r="B343" s="64"/>
      <c r="C343" s="64"/>
      <c r="D343" s="64"/>
      <c r="E343" s="85"/>
      <c r="H343" s="917"/>
      <c r="J343" s="2553"/>
    </row>
    <row r="344" spans="1:10" s="62" customFormat="1">
      <c r="A344" s="146"/>
      <c r="B344" s="64"/>
      <c r="C344" s="64"/>
      <c r="D344" s="64"/>
      <c r="E344" s="85"/>
      <c r="H344" s="917"/>
      <c r="J344" s="2553"/>
    </row>
    <row r="345" spans="1:10" s="62" customFormat="1">
      <c r="A345" s="146"/>
      <c r="B345" s="64"/>
      <c r="C345" s="64"/>
      <c r="D345" s="64"/>
      <c r="E345" s="85"/>
      <c r="H345" s="917"/>
      <c r="J345" s="2553"/>
    </row>
    <row r="346" spans="1:10" s="62" customFormat="1">
      <c r="A346" s="146"/>
      <c r="B346" s="64"/>
      <c r="C346" s="64"/>
      <c r="D346" s="64"/>
      <c r="E346" s="85"/>
      <c r="H346" s="917"/>
      <c r="J346" s="2553"/>
    </row>
    <row r="347" spans="1:10" s="62" customFormat="1">
      <c r="A347" s="146"/>
      <c r="B347" s="64"/>
      <c r="C347" s="64"/>
      <c r="D347" s="64"/>
      <c r="E347" s="85"/>
      <c r="H347" s="917"/>
      <c r="J347" s="2553"/>
    </row>
    <row r="348" spans="1:10" s="62" customFormat="1">
      <c r="A348" s="146"/>
      <c r="B348" s="64"/>
      <c r="C348" s="64"/>
      <c r="D348" s="64"/>
      <c r="E348" s="85"/>
      <c r="H348" s="917"/>
      <c r="J348" s="2553"/>
    </row>
    <row r="349" spans="1:10" s="62" customFormat="1">
      <c r="A349" s="146"/>
      <c r="B349" s="64"/>
      <c r="C349" s="64"/>
      <c r="D349" s="64"/>
      <c r="E349" s="85"/>
      <c r="H349" s="917"/>
      <c r="J349" s="2553"/>
    </row>
    <row r="350" spans="1:10" s="62" customFormat="1">
      <c r="A350" s="146"/>
      <c r="B350" s="64"/>
      <c r="C350" s="64"/>
      <c r="D350" s="64"/>
      <c r="E350" s="85"/>
      <c r="H350" s="917"/>
      <c r="J350" s="2553"/>
    </row>
    <row r="351" spans="1:10" s="62" customFormat="1">
      <c r="A351" s="146"/>
      <c r="B351" s="64"/>
      <c r="C351" s="64"/>
      <c r="D351" s="64"/>
      <c r="E351" s="85"/>
      <c r="H351" s="917"/>
      <c r="J351" s="2553"/>
    </row>
    <row r="352" spans="1:10" s="62" customFormat="1">
      <c r="A352" s="146"/>
      <c r="B352" s="64"/>
      <c r="C352" s="64"/>
      <c r="D352" s="64"/>
      <c r="E352" s="85"/>
      <c r="H352" s="917"/>
      <c r="J352" s="2553"/>
    </row>
    <row r="353" spans="1:10" s="62" customFormat="1">
      <c r="A353" s="146"/>
      <c r="B353" s="64"/>
      <c r="C353" s="64"/>
      <c r="D353" s="64"/>
      <c r="E353" s="85"/>
      <c r="H353" s="917"/>
      <c r="J353" s="2553"/>
    </row>
    <row r="354" spans="1:10" s="62" customFormat="1">
      <c r="A354" s="146"/>
      <c r="B354" s="64"/>
      <c r="C354" s="64"/>
      <c r="D354" s="64"/>
      <c r="E354" s="85"/>
      <c r="H354" s="917"/>
      <c r="J354" s="2553"/>
    </row>
    <row r="355" spans="1:10" s="62" customFormat="1">
      <c r="A355" s="146"/>
      <c r="B355" s="64"/>
      <c r="C355" s="64"/>
      <c r="D355" s="64"/>
      <c r="E355" s="85"/>
      <c r="H355" s="917"/>
      <c r="J355" s="2553"/>
    </row>
    <row r="356" spans="1:10" s="62" customFormat="1">
      <c r="A356" s="146"/>
      <c r="B356" s="64"/>
      <c r="C356" s="64"/>
      <c r="D356" s="64"/>
      <c r="E356" s="85"/>
      <c r="H356" s="917"/>
      <c r="J356" s="2553"/>
    </row>
    <row r="357" spans="1:10" s="62" customFormat="1">
      <c r="A357" s="146"/>
      <c r="B357" s="64"/>
      <c r="C357" s="64"/>
      <c r="D357" s="64"/>
      <c r="E357" s="85"/>
      <c r="H357" s="917"/>
      <c r="J357" s="2553"/>
    </row>
    <row r="358" spans="1:10" s="62" customFormat="1">
      <c r="A358" s="146"/>
      <c r="B358" s="64"/>
      <c r="C358" s="64"/>
      <c r="D358" s="64"/>
      <c r="E358" s="85"/>
      <c r="H358" s="917"/>
      <c r="J358" s="2553"/>
    </row>
    <row r="359" spans="1:10" s="62" customFormat="1">
      <c r="A359" s="146"/>
      <c r="B359" s="64"/>
      <c r="C359" s="64"/>
      <c r="D359" s="64"/>
      <c r="E359" s="85"/>
      <c r="H359" s="917"/>
      <c r="J359" s="2553"/>
    </row>
    <row r="360" spans="1:10" s="62" customFormat="1">
      <c r="A360" s="146"/>
      <c r="B360" s="64"/>
      <c r="C360" s="64"/>
      <c r="D360" s="64"/>
      <c r="E360" s="85"/>
      <c r="H360" s="917"/>
      <c r="J360" s="2553"/>
    </row>
    <row r="361" spans="1:10" s="62" customFormat="1">
      <c r="A361" s="146"/>
      <c r="B361" s="64"/>
      <c r="C361" s="64"/>
      <c r="D361" s="64"/>
      <c r="E361" s="85"/>
      <c r="H361" s="917"/>
      <c r="J361" s="2553"/>
    </row>
    <row r="362" spans="1:10" s="62" customFormat="1">
      <c r="A362" s="146"/>
      <c r="B362" s="64"/>
      <c r="C362" s="64"/>
      <c r="D362" s="64"/>
      <c r="E362" s="85"/>
      <c r="H362" s="917"/>
      <c r="J362" s="2553"/>
    </row>
    <row r="363" spans="1:10" s="62" customFormat="1">
      <c r="A363" s="146"/>
      <c r="B363" s="64"/>
      <c r="C363" s="64"/>
      <c r="D363" s="64"/>
      <c r="E363" s="85"/>
      <c r="H363" s="917"/>
      <c r="J363" s="2553"/>
    </row>
    <row r="364" spans="1:10" s="62" customFormat="1">
      <c r="A364" s="146"/>
      <c r="B364" s="64"/>
      <c r="C364" s="64"/>
      <c r="D364" s="64"/>
      <c r="E364" s="85"/>
      <c r="H364" s="917"/>
      <c r="J364" s="2553"/>
    </row>
    <row r="365" spans="1:10" s="62" customFormat="1">
      <c r="A365" s="146"/>
      <c r="B365" s="64"/>
      <c r="C365" s="64"/>
      <c r="D365" s="64"/>
      <c r="E365" s="85"/>
      <c r="H365" s="917"/>
      <c r="J365" s="2553"/>
    </row>
    <row r="366" spans="1:10" s="62" customFormat="1">
      <c r="A366" s="146"/>
      <c r="B366" s="64"/>
      <c r="C366" s="64"/>
      <c r="D366" s="64"/>
      <c r="E366" s="85"/>
      <c r="H366" s="917"/>
      <c r="J366" s="2553"/>
    </row>
    <row r="367" spans="1:10" s="62" customFormat="1">
      <c r="A367" s="146"/>
      <c r="B367" s="64"/>
      <c r="C367" s="64"/>
      <c r="D367" s="64"/>
      <c r="E367" s="85"/>
      <c r="H367" s="917"/>
      <c r="J367" s="2553"/>
    </row>
    <row r="368" spans="1:10" s="62" customFormat="1">
      <c r="A368" s="146"/>
      <c r="B368" s="64"/>
      <c r="C368" s="64"/>
      <c r="D368" s="64"/>
      <c r="E368" s="85"/>
      <c r="H368" s="917"/>
      <c r="J368" s="2553"/>
    </row>
    <row r="369" spans="1:10" s="62" customFormat="1">
      <c r="A369" s="146"/>
      <c r="B369" s="64"/>
      <c r="C369" s="64"/>
      <c r="D369" s="64"/>
      <c r="E369" s="85"/>
      <c r="H369" s="917"/>
      <c r="J369" s="2553"/>
    </row>
    <row r="370" spans="1:10" s="62" customFormat="1">
      <c r="A370" s="146"/>
      <c r="B370" s="64"/>
      <c r="C370" s="64"/>
      <c r="D370" s="64"/>
      <c r="E370" s="85"/>
      <c r="H370" s="917"/>
      <c r="J370" s="2553"/>
    </row>
    <row r="371" spans="1:10" s="62" customFormat="1">
      <c r="A371" s="146"/>
      <c r="B371" s="64"/>
      <c r="C371" s="64"/>
      <c r="D371" s="64"/>
      <c r="E371" s="85"/>
      <c r="H371" s="917"/>
      <c r="J371" s="2553"/>
    </row>
    <row r="372" spans="1:10" s="62" customFormat="1">
      <c r="A372" s="146"/>
      <c r="B372" s="64"/>
      <c r="C372" s="64"/>
      <c r="D372" s="64"/>
      <c r="E372" s="85"/>
      <c r="H372" s="917"/>
      <c r="J372" s="2553"/>
    </row>
    <row r="373" spans="1:10" s="62" customFormat="1">
      <c r="A373" s="146"/>
      <c r="B373" s="64"/>
      <c r="C373" s="64"/>
      <c r="D373" s="64"/>
      <c r="E373" s="85"/>
      <c r="H373" s="917"/>
      <c r="J373" s="2553"/>
    </row>
    <row r="374" spans="1:10" s="62" customFormat="1">
      <c r="A374" s="146"/>
      <c r="B374" s="64"/>
      <c r="C374" s="64"/>
      <c r="D374" s="64"/>
      <c r="E374" s="85"/>
      <c r="H374" s="917"/>
      <c r="J374" s="2553"/>
    </row>
    <row r="375" spans="1:10" s="62" customFormat="1">
      <c r="A375" s="146"/>
      <c r="B375" s="64"/>
      <c r="C375" s="64"/>
      <c r="D375" s="64"/>
      <c r="E375" s="85"/>
      <c r="H375" s="917"/>
      <c r="J375" s="2553"/>
    </row>
    <row r="376" spans="1:10" s="62" customFormat="1">
      <c r="A376" s="146"/>
      <c r="B376" s="64"/>
      <c r="C376" s="64"/>
      <c r="D376" s="64"/>
      <c r="E376" s="85"/>
      <c r="H376" s="917"/>
      <c r="J376" s="2553"/>
    </row>
    <row r="377" spans="1:10" s="62" customFormat="1">
      <c r="A377" s="146"/>
      <c r="B377" s="64"/>
      <c r="C377" s="64"/>
      <c r="D377" s="64"/>
      <c r="E377" s="85"/>
      <c r="H377" s="917"/>
      <c r="J377" s="2553"/>
    </row>
    <row r="378" spans="1:10" s="62" customFormat="1">
      <c r="A378" s="146"/>
      <c r="B378" s="64"/>
      <c r="C378" s="64"/>
      <c r="D378" s="64"/>
      <c r="E378" s="85"/>
      <c r="H378" s="917"/>
      <c r="J378" s="2553"/>
    </row>
    <row r="379" spans="1:10" s="62" customFormat="1">
      <c r="A379" s="146"/>
      <c r="B379" s="64"/>
      <c r="C379" s="64"/>
      <c r="D379" s="64"/>
      <c r="E379" s="85"/>
      <c r="H379" s="917"/>
      <c r="J379" s="2553"/>
    </row>
    <row r="380" spans="1:10" s="62" customFormat="1">
      <c r="A380" s="146"/>
      <c r="B380" s="64"/>
      <c r="C380" s="64"/>
      <c r="D380" s="64"/>
      <c r="E380" s="85"/>
      <c r="H380" s="917"/>
      <c r="J380" s="2553"/>
    </row>
    <row r="381" spans="1:10" s="62" customFormat="1">
      <c r="A381" s="146"/>
      <c r="B381" s="64"/>
      <c r="C381" s="64"/>
      <c r="D381" s="64"/>
      <c r="E381" s="85"/>
      <c r="H381" s="917"/>
      <c r="J381" s="2553"/>
    </row>
    <row r="382" spans="1:10" s="62" customFormat="1">
      <c r="A382" s="146"/>
      <c r="B382" s="64"/>
      <c r="C382" s="64"/>
      <c r="D382" s="64"/>
      <c r="E382" s="85"/>
      <c r="H382" s="917"/>
      <c r="J382" s="2553"/>
    </row>
    <row r="383" spans="1:10" s="62" customFormat="1">
      <c r="A383" s="146"/>
      <c r="B383" s="64"/>
      <c r="C383" s="64"/>
      <c r="D383" s="64"/>
      <c r="E383" s="85"/>
      <c r="H383" s="917"/>
      <c r="J383" s="2553"/>
    </row>
    <row r="384" spans="1:10" s="62" customFormat="1">
      <c r="A384" s="146"/>
      <c r="B384" s="64"/>
      <c r="C384" s="64"/>
      <c r="D384" s="64"/>
      <c r="E384" s="85"/>
      <c r="H384" s="917"/>
      <c r="J384" s="2553"/>
    </row>
    <row r="385" spans="1:10" s="62" customFormat="1">
      <c r="A385" s="146"/>
      <c r="B385" s="64"/>
      <c r="C385" s="64"/>
      <c r="D385" s="64"/>
      <c r="E385" s="85"/>
      <c r="H385" s="917"/>
      <c r="J385" s="2553"/>
    </row>
    <row r="386" spans="1:10" s="62" customFormat="1">
      <c r="A386" s="146"/>
      <c r="B386" s="64"/>
      <c r="C386" s="64"/>
      <c r="D386" s="64"/>
      <c r="E386" s="85"/>
      <c r="H386" s="917"/>
      <c r="J386" s="2553"/>
    </row>
    <row r="387" spans="1:10" s="62" customFormat="1">
      <c r="A387" s="146"/>
      <c r="B387" s="64"/>
      <c r="C387" s="64"/>
      <c r="D387" s="64"/>
      <c r="E387" s="85"/>
      <c r="H387" s="917"/>
      <c r="J387" s="2553"/>
    </row>
    <row r="388" spans="1:10" s="62" customFormat="1">
      <c r="A388" s="146"/>
      <c r="B388" s="64"/>
      <c r="C388" s="64"/>
      <c r="D388" s="64"/>
      <c r="E388" s="85"/>
      <c r="H388" s="917"/>
      <c r="J388" s="2553"/>
    </row>
    <row r="389" spans="1:10" s="62" customFormat="1">
      <c r="A389" s="146"/>
      <c r="B389" s="64"/>
      <c r="C389" s="64"/>
      <c r="D389" s="64"/>
      <c r="E389" s="85"/>
      <c r="H389" s="917"/>
      <c r="J389" s="2553"/>
    </row>
    <row r="390" spans="1:10" s="62" customFormat="1">
      <c r="A390" s="146"/>
      <c r="B390" s="64"/>
      <c r="C390" s="64"/>
      <c r="D390" s="64"/>
      <c r="E390" s="85"/>
      <c r="H390" s="917"/>
      <c r="J390" s="2553"/>
    </row>
    <row r="391" spans="1:10" s="62" customFormat="1">
      <c r="A391" s="146"/>
      <c r="B391" s="64"/>
      <c r="C391" s="64"/>
      <c r="D391" s="64"/>
      <c r="E391" s="85"/>
      <c r="H391" s="917"/>
      <c r="J391" s="2553"/>
    </row>
    <row r="392" spans="1:10" s="62" customFormat="1">
      <c r="A392" s="146"/>
      <c r="B392" s="64"/>
      <c r="C392" s="64"/>
      <c r="D392" s="64"/>
      <c r="E392" s="85"/>
      <c r="H392" s="917"/>
      <c r="J392" s="2553"/>
    </row>
    <row r="393" spans="1:10" s="62" customFormat="1">
      <c r="A393" s="146"/>
      <c r="B393" s="64"/>
      <c r="C393" s="64"/>
      <c r="D393" s="64"/>
      <c r="E393" s="85"/>
      <c r="H393" s="917"/>
      <c r="J393" s="2553"/>
    </row>
    <row r="394" spans="1:10" s="62" customFormat="1">
      <c r="A394" s="146"/>
      <c r="B394" s="64"/>
      <c r="C394" s="64"/>
      <c r="D394" s="64"/>
      <c r="E394" s="85"/>
      <c r="H394" s="917"/>
      <c r="J394" s="2553"/>
    </row>
    <row r="395" spans="1:10" s="62" customFormat="1">
      <c r="A395" s="146"/>
      <c r="B395" s="64"/>
      <c r="C395" s="64"/>
      <c r="D395" s="64"/>
      <c r="E395" s="85"/>
      <c r="H395" s="917"/>
      <c r="J395" s="2553"/>
    </row>
    <row r="396" spans="1:10" s="62" customFormat="1">
      <c r="A396" s="146"/>
      <c r="B396" s="64"/>
      <c r="C396" s="64"/>
      <c r="D396" s="64"/>
      <c r="E396" s="85"/>
      <c r="H396" s="917"/>
      <c r="J396" s="2553"/>
    </row>
    <row r="397" spans="1:10" s="62" customFormat="1">
      <c r="A397" s="146"/>
      <c r="B397" s="64"/>
      <c r="C397" s="64"/>
      <c r="D397" s="64"/>
      <c r="E397" s="85"/>
      <c r="H397" s="917"/>
      <c r="J397" s="2553"/>
    </row>
    <row r="398" spans="1:10" s="62" customFormat="1">
      <c r="A398" s="146"/>
      <c r="B398" s="64"/>
      <c r="C398" s="64"/>
      <c r="D398" s="64"/>
      <c r="E398" s="85"/>
      <c r="H398" s="917"/>
      <c r="J398" s="2553"/>
    </row>
    <row r="399" spans="1:10" s="62" customFormat="1">
      <c r="A399" s="146"/>
      <c r="B399" s="64"/>
      <c r="C399" s="64"/>
      <c r="D399" s="64"/>
      <c r="E399" s="85"/>
      <c r="H399" s="917"/>
      <c r="J399" s="2553"/>
    </row>
    <row r="400" spans="1:10" s="62" customFormat="1">
      <c r="A400" s="146"/>
      <c r="B400" s="64"/>
      <c r="C400" s="64"/>
      <c r="D400" s="64"/>
      <c r="E400" s="85"/>
      <c r="H400" s="917"/>
      <c r="J400" s="2553"/>
    </row>
    <row r="401" spans="1:10" s="62" customFormat="1">
      <c r="A401" s="146"/>
      <c r="B401" s="64"/>
      <c r="C401" s="64"/>
      <c r="D401" s="64"/>
      <c r="E401" s="85"/>
      <c r="H401" s="917"/>
      <c r="J401" s="2553"/>
    </row>
    <row r="402" spans="1:10" s="62" customFormat="1">
      <c r="A402" s="146"/>
      <c r="B402" s="64"/>
      <c r="C402" s="64"/>
      <c r="D402" s="64"/>
      <c r="E402" s="85"/>
      <c r="H402" s="917"/>
      <c r="J402" s="2553"/>
    </row>
    <row r="403" spans="1:10" s="62" customFormat="1">
      <c r="A403" s="146"/>
      <c r="B403" s="64"/>
      <c r="C403" s="64"/>
      <c r="D403" s="64"/>
      <c r="E403" s="85"/>
      <c r="H403" s="917"/>
      <c r="J403" s="2553"/>
    </row>
    <row r="404" spans="1:10" s="62" customFormat="1">
      <c r="A404" s="146"/>
      <c r="B404" s="64"/>
      <c r="C404" s="64"/>
      <c r="D404" s="64"/>
      <c r="E404" s="85"/>
      <c r="H404" s="917"/>
      <c r="J404" s="2553"/>
    </row>
    <row r="405" spans="1:10" s="62" customFormat="1">
      <c r="A405" s="146"/>
      <c r="B405" s="64"/>
      <c r="C405" s="64"/>
      <c r="D405" s="64"/>
      <c r="E405" s="85"/>
      <c r="H405" s="917"/>
      <c r="J405" s="2553"/>
    </row>
    <row r="406" spans="1:10" s="62" customFormat="1">
      <c r="A406" s="146"/>
      <c r="B406" s="64"/>
      <c r="C406" s="64"/>
      <c r="D406" s="64"/>
      <c r="E406" s="85"/>
      <c r="H406" s="917"/>
      <c r="J406" s="2553"/>
    </row>
    <row r="407" spans="1:10" s="62" customFormat="1">
      <c r="A407" s="146"/>
      <c r="B407" s="64"/>
      <c r="C407" s="64"/>
      <c r="D407" s="64"/>
      <c r="E407" s="85"/>
      <c r="H407" s="917"/>
      <c r="J407" s="2553"/>
    </row>
    <row r="408" spans="1:10" s="62" customFormat="1">
      <c r="A408" s="146"/>
      <c r="B408" s="64"/>
      <c r="C408" s="64"/>
      <c r="D408" s="64"/>
      <c r="E408" s="85"/>
      <c r="H408" s="917"/>
      <c r="J408" s="2553"/>
    </row>
    <row r="409" spans="1:10" s="62" customFormat="1">
      <c r="A409" s="146"/>
      <c r="B409" s="64"/>
      <c r="C409" s="64"/>
      <c r="D409" s="64"/>
      <c r="E409" s="85"/>
      <c r="H409" s="917"/>
      <c r="J409" s="2553"/>
    </row>
    <row r="410" spans="1:10" s="62" customFormat="1">
      <c r="A410" s="146"/>
      <c r="B410" s="64"/>
      <c r="C410" s="64"/>
      <c r="D410" s="64"/>
      <c r="E410" s="85"/>
      <c r="H410" s="917"/>
      <c r="J410" s="2553"/>
    </row>
    <row r="411" spans="1:10" s="62" customFormat="1">
      <c r="A411" s="146"/>
      <c r="B411" s="64"/>
      <c r="C411" s="64"/>
      <c r="D411" s="64"/>
      <c r="E411" s="85"/>
      <c r="H411" s="917"/>
      <c r="J411" s="2553"/>
    </row>
    <row r="412" spans="1:10" s="62" customFormat="1">
      <c r="A412" s="146"/>
      <c r="B412" s="64"/>
      <c r="C412" s="64"/>
      <c r="D412" s="64"/>
      <c r="E412" s="85"/>
      <c r="H412" s="917"/>
      <c r="J412" s="2553"/>
    </row>
    <row r="413" spans="1:10" s="62" customFormat="1">
      <c r="A413" s="146"/>
      <c r="B413" s="64"/>
      <c r="C413" s="64"/>
      <c r="D413" s="64"/>
      <c r="E413" s="85"/>
      <c r="H413" s="917"/>
      <c r="J413" s="2553"/>
    </row>
    <row r="414" spans="1:10" s="62" customFormat="1">
      <c r="A414" s="146"/>
      <c r="B414" s="64"/>
      <c r="C414" s="64"/>
      <c r="D414" s="64"/>
      <c r="E414" s="85"/>
      <c r="H414" s="917"/>
      <c r="J414" s="2553"/>
    </row>
    <row r="415" spans="1:10" s="62" customFormat="1">
      <c r="A415" s="146"/>
      <c r="B415" s="64"/>
      <c r="C415" s="64"/>
      <c r="D415" s="64"/>
      <c r="E415" s="85"/>
      <c r="H415" s="917"/>
      <c r="J415" s="2553"/>
    </row>
    <row r="416" spans="1:10" s="62" customFormat="1">
      <c r="A416" s="146"/>
      <c r="B416" s="64"/>
      <c r="C416" s="64"/>
      <c r="D416" s="64"/>
      <c r="E416" s="85"/>
      <c r="H416" s="917"/>
      <c r="J416" s="2553"/>
    </row>
    <row r="417" spans="1:10" s="62" customFormat="1">
      <c r="A417" s="146"/>
      <c r="B417" s="64"/>
      <c r="C417" s="64"/>
      <c r="D417" s="64"/>
      <c r="E417" s="85"/>
      <c r="H417" s="917"/>
      <c r="J417" s="2553"/>
    </row>
    <row r="418" spans="1:10" s="62" customFormat="1">
      <c r="A418" s="146"/>
      <c r="B418" s="64"/>
      <c r="C418" s="64"/>
      <c r="D418" s="64"/>
      <c r="E418" s="85"/>
      <c r="H418" s="917"/>
      <c r="J418" s="2553"/>
    </row>
    <row r="419" spans="1:10" s="62" customFormat="1">
      <c r="A419" s="146"/>
      <c r="B419" s="64"/>
      <c r="C419" s="64"/>
      <c r="D419" s="64"/>
      <c r="E419" s="85"/>
      <c r="H419" s="917"/>
      <c r="J419" s="2553"/>
    </row>
    <row r="420" spans="1:10" s="62" customFormat="1">
      <c r="A420" s="146"/>
      <c r="B420" s="64"/>
      <c r="C420" s="64"/>
      <c r="D420" s="64"/>
      <c r="E420" s="85"/>
      <c r="H420" s="917"/>
      <c r="J420" s="2553"/>
    </row>
    <row r="421" spans="1:10" s="62" customFormat="1">
      <c r="A421" s="146"/>
      <c r="B421" s="64"/>
      <c r="C421" s="64"/>
      <c r="D421" s="64"/>
      <c r="E421" s="85"/>
      <c r="H421" s="917"/>
      <c r="J421" s="2553"/>
    </row>
    <row r="422" spans="1:10" s="62" customFormat="1">
      <c r="A422" s="146"/>
      <c r="B422" s="64"/>
      <c r="C422" s="64"/>
      <c r="D422" s="64"/>
      <c r="E422" s="85"/>
      <c r="H422" s="917"/>
      <c r="J422" s="2553"/>
    </row>
    <row r="423" spans="1:10" s="62" customFormat="1">
      <c r="A423" s="146"/>
      <c r="B423" s="64"/>
      <c r="C423" s="64"/>
      <c r="D423" s="64"/>
      <c r="E423" s="85"/>
      <c r="H423" s="917"/>
      <c r="J423" s="2553"/>
    </row>
    <row r="424" spans="1:10" s="62" customFormat="1">
      <c r="A424" s="146"/>
      <c r="B424" s="64"/>
      <c r="C424" s="64"/>
      <c r="D424" s="64"/>
      <c r="E424" s="85"/>
      <c r="H424" s="917"/>
      <c r="J424" s="2553"/>
    </row>
    <row r="425" spans="1:10" s="62" customFormat="1">
      <c r="A425" s="146"/>
      <c r="B425" s="64"/>
      <c r="C425" s="64"/>
      <c r="D425" s="64"/>
      <c r="E425" s="85"/>
      <c r="H425" s="917"/>
      <c r="J425" s="2553"/>
    </row>
    <row r="426" spans="1:10" s="62" customFormat="1">
      <c r="A426" s="146"/>
      <c r="B426" s="64"/>
      <c r="C426" s="64"/>
      <c r="D426" s="64"/>
      <c r="E426" s="85"/>
      <c r="H426" s="917"/>
      <c r="J426" s="2553"/>
    </row>
    <row r="427" spans="1:10" s="62" customFormat="1">
      <c r="A427" s="146"/>
      <c r="B427" s="64"/>
      <c r="C427" s="64"/>
      <c r="D427" s="64"/>
      <c r="E427" s="85"/>
      <c r="H427" s="917"/>
      <c r="J427" s="2553"/>
    </row>
    <row r="428" spans="1:10" s="62" customFormat="1">
      <c r="A428" s="146"/>
      <c r="B428" s="64"/>
      <c r="C428" s="64"/>
      <c r="D428" s="64"/>
      <c r="E428" s="85"/>
      <c r="H428" s="917"/>
      <c r="J428" s="2553"/>
    </row>
    <row r="429" spans="1:10" s="62" customFormat="1">
      <c r="A429" s="146"/>
      <c r="B429" s="64"/>
      <c r="C429" s="64"/>
      <c r="D429" s="64"/>
      <c r="E429" s="85"/>
      <c r="H429" s="917"/>
      <c r="J429" s="2553"/>
    </row>
    <row r="430" spans="1:10" s="62" customFormat="1">
      <c r="A430" s="146"/>
      <c r="B430" s="64"/>
      <c r="C430" s="64"/>
      <c r="D430" s="64"/>
      <c r="E430" s="85"/>
      <c r="H430" s="917"/>
    </row>
    <row r="431" spans="1:10" s="62" customFormat="1">
      <c r="A431" s="146"/>
      <c r="B431" s="64"/>
      <c r="C431" s="64"/>
      <c r="D431" s="64"/>
      <c r="E431" s="85"/>
      <c r="H431" s="917"/>
    </row>
    <row r="432" spans="1:10" s="62" customFormat="1">
      <c r="A432" s="146"/>
      <c r="B432" s="64"/>
      <c r="C432" s="64"/>
      <c r="D432" s="64"/>
      <c r="E432" s="85"/>
      <c r="H432" s="917"/>
    </row>
    <row r="433" spans="1:8" s="62" customFormat="1">
      <c r="A433" s="146"/>
      <c r="B433" s="64"/>
      <c r="C433" s="64"/>
      <c r="D433" s="64"/>
      <c r="E433" s="85"/>
      <c r="H433" s="917"/>
    </row>
    <row r="434" spans="1:8" s="62" customFormat="1">
      <c r="A434" s="146"/>
      <c r="B434" s="64"/>
      <c r="C434" s="64"/>
      <c r="D434" s="64"/>
      <c r="E434" s="85"/>
      <c r="H434" s="917"/>
    </row>
    <row r="435" spans="1:8" s="62" customFormat="1">
      <c r="A435" s="146"/>
      <c r="B435" s="64"/>
      <c r="C435" s="64"/>
      <c r="D435" s="64"/>
      <c r="E435" s="85"/>
      <c r="H435" s="917"/>
    </row>
    <row r="436" spans="1:8" s="62" customFormat="1">
      <c r="A436" s="146"/>
      <c r="B436" s="64"/>
      <c r="C436" s="64"/>
      <c r="D436" s="64"/>
      <c r="E436" s="85"/>
      <c r="H436" s="917"/>
    </row>
    <row r="437" spans="1:8" s="62" customFormat="1">
      <c r="A437" s="146"/>
      <c r="B437" s="64"/>
      <c r="C437" s="64"/>
      <c r="D437" s="64"/>
      <c r="E437" s="85"/>
      <c r="H437" s="917"/>
    </row>
    <row r="438" spans="1:8" s="62" customFormat="1">
      <c r="A438" s="146"/>
      <c r="B438" s="64"/>
      <c r="C438" s="64"/>
      <c r="D438" s="64"/>
      <c r="E438" s="85"/>
      <c r="H438" s="917"/>
    </row>
    <row r="439" spans="1:8" s="62" customFormat="1">
      <c r="A439" s="146"/>
      <c r="B439" s="64"/>
      <c r="C439" s="64"/>
      <c r="D439" s="64"/>
      <c r="E439" s="85"/>
      <c r="H439" s="917"/>
    </row>
    <row r="440" spans="1:8" s="62" customFormat="1">
      <c r="A440" s="146"/>
      <c r="B440" s="64"/>
      <c r="C440" s="64"/>
      <c r="D440" s="64"/>
      <c r="E440" s="85"/>
      <c r="H440" s="917"/>
    </row>
    <row r="441" spans="1:8" s="62" customFormat="1">
      <c r="A441" s="146"/>
      <c r="B441" s="64"/>
      <c r="C441" s="64"/>
      <c r="D441" s="64"/>
      <c r="E441" s="85"/>
      <c r="H441" s="917"/>
    </row>
    <row r="442" spans="1:8" s="62" customFormat="1">
      <c r="A442" s="146"/>
      <c r="B442" s="64"/>
      <c r="C442" s="64"/>
      <c r="D442" s="64"/>
      <c r="E442" s="85"/>
      <c r="H442" s="917"/>
    </row>
    <row r="443" spans="1:8" s="62" customFormat="1">
      <c r="A443" s="146"/>
      <c r="B443" s="64"/>
      <c r="C443" s="64"/>
      <c r="D443" s="64"/>
      <c r="E443" s="85"/>
      <c r="H443" s="917"/>
    </row>
    <row r="444" spans="1:8" s="62" customFormat="1">
      <c r="A444" s="146"/>
      <c r="B444" s="64"/>
      <c r="C444" s="64"/>
      <c r="D444" s="64"/>
      <c r="E444" s="85"/>
      <c r="H444" s="917"/>
    </row>
    <row r="445" spans="1:8" s="62" customFormat="1">
      <c r="A445" s="146"/>
      <c r="B445" s="64"/>
      <c r="C445" s="64"/>
      <c r="D445" s="64"/>
      <c r="E445" s="85"/>
      <c r="H445" s="917"/>
    </row>
    <row r="446" spans="1:8" s="62" customFormat="1">
      <c r="A446" s="146"/>
      <c r="B446" s="64"/>
      <c r="C446" s="64"/>
      <c r="D446" s="64"/>
      <c r="E446" s="85"/>
      <c r="H446" s="917"/>
    </row>
    <row r="447" spans="1:8" s="62" customFormat="1">
      <c r="A447" s="146"/>
      <c r="B447" s="64"/>
      <c r="C447" s="64"/>
      <c r="D447" s="64"/>
      <c r="E447" s="85"/>
      <c r="H447" s="917"/>
    </row>
    <row r="448" spans="1:8" s="62" customFormat="1">
      <c r="A448" s="146"/>
      <c r="B448" s="64"/>
      <c r="C448" s="64"/>
      <c r="D448" s="64"/>
      <c r="E448" s="85"/>
      <c r="H448" s="917"/>
    </row>
    <row r="449" spans="1:8" s="62" customFormat="1">
      <c r="A449" s="146"/>
      <c r="B449" s="64"/>
      <c r="C449" s="64"/>
      <c r="D449" s="64"/>
      <c r="E449" s="85"/>
      <c r="H449" s="917"/>
    </row>
    <row r="450" spans="1:8" s="62" customFormat="1">
      <c r="A450" s="146"/>
      <c r="B450" s="64"/>
      <c r="C450" s="64"/>
      <c r="D450" s="64"/>
      <c r="E450" s="85"/>
      <c r="H450" s="917"/>
    </row>
    <row r="451" spans="1:8" s="62" customFormat="1">
      <c r="A451" s="146"/>
      <c r="B451" s="64"/>
      <c r="C451" s="64"/>
      <c r="D451" s="64"/>
      <c r="E451" s="85"/>
      <c r="H451" s="917"/>
    </row>
    <row r="452" spans="1:8" s="62" customFormat="1">
      <c r="A452" s="146"/>
      <c r="B452" s="64"/>
      <c r="C452" s="64"/>
      <c r="D452" s="64"/>
      <c r="E452" s="85"/>
      <c r="H452" s="917"/>
    </row>
    <row r="453" spans="1:8" s="62" customFormat="1">
      <c r="A453" s="146"/>
      <c r="B453" s="64"/>
      <c r="C453" s="64"/>
      <c r="D453" s="64"/>
      <c r="E453" s="85"/>
      <c r="H453" s="917"/>
    </row>
    <row r="454" spans="1:8" s="62" customFormat="1">
      <c r="A454" s="146"/>
      <c r="B454" s="64"/>
      <c r="C454" s="64"/>
      <c r="D454" s="64"/>
      <c r="E454" s="85"/>
      <c r="H454" s="917"/>
    </row>
    <row r="455" spans="1:8" s="62" customFormat="1">
      <c r="A455" s="146"/>
      <c r="B455" s="64"/>
      <c r="C455" s="64"/>
      <c r="D455" s="64"/>
      <c r="E455" s="85"/>
      <c r="H455" s="917"/>
    </row>
    <row r="456" spans="1:8" s="62" customFormat="1">
      <c r="A456" s="146"/>
      <c r="B456" s="64"/>
      <c r="C456" s="64"/>
      <c r="D456" s="64"/>
      <c r="E456" s="85"/>
      <c r="H456" s="917"/>
    </row>
    <row r="457" spans="1:8" s="62" customFormat="1">
      <c r="A457" s="146"/>
      <c r="B457" s="64"/>
      <c r="C457" s="64"/>
      <c r="D457" s="64"/>
      <c r="E457" s="85"/>
      <c r="H457" s="917"/>
    </row>
    <row r="458" spans="1:8" s="62" customFormat="1">
      <c r="A458" s="146"/>
      <c r="B458" s="64"/>
      <c r="C458" s="64"/>
      <c r="D458" s="64"/>
      <c r="E458" s="85"/>
      <c r="H458" s="917"/>
    </row>
    <row r="459" spans="1:8" s="62" customFormat="1">
      <c r="A459" s="146"/>
      <c r="B459" s="64"/>
      <c r="C459" s="64"/>
      <c r="D459" s="64"/>
      <c r="E459" s="85"/>
      <c r="H459" s="917"/>
    </row>
    <row r="460" spans="1:8" s="62" customFormat="1">
      <c r="A460" s="146"/>
      <c r="B460" s="64"/>
      <c r="C460" s="64"/>
      <c r="D460" s="64"/>
      <c r="E460" s="85"/>
      <c r="H460" s="917"/>
    </row>
    <row r="461" spans="1:8" s="62" customFormat="1">
      <c r="A461" s="146"/>
      <c r="B461" s="64"/>
      <c r="C461" s="64"/>
      <c r="D461" s="64"/>
      <c r="E461" s="85"/>
      <c r="H461" s="917"/>
    </row>
    <row r="462" spans="1:8" s="62" customFormat="1">
      <c r="A462" s="146"/>
      <c r="B462" s="64"/>
      <c r="C462" s="64"/>
      <c r="D462" s="64"/>
      <c r="E462" s="85"/>
      <c r="H462" s="917"/>
    </row>
    <row r="463" spans="1:8" s="62" customFormat="1">
      <c r="A463" s="146"/>
      <c r="B463" s="64"/>
      <c r="C463" s="64"/>
      <c r="D463" s="64"/>
      <c r="E463" s="85"/>
      <c r="H463" s="917"/>
    </row>
    <row r="464" spans="1:8" s="62" customFormat="1">
      <c r="A464" s="146"/>
      <c r="B464" s="64"/>
      <c r="C464" s="64"/>
      <c r="D464" s="64"/>
      <c r="E464" s="85"/>
      <c r="H464" s="917"/>
    </row>
    <row r="465" spans="1:8" s="62" customFormat="1">
      <c r="A465" s="146"/>
      <c r="B465" s="64"/>
      <c r="C465" s="64"/>
      <c r="D465" s="64"/>
      <c r="E465" s="85"/>
      <c r="H465" s="917"/>
    </row>
    <row r="466" spans="1:8" s="62" customFormat="1">
      <c r="A466" s="146"/>
      <c r="B466" s="64"/>
      <c r="C466" s="64"/>
      <c r="D466" s="64"/>
      <c r="E466" s="85"/>
      <c r="H466" s="917"/>
    </row>
    <row r="467" spans="1:8" s="62" customFormat="1">
      <c r="A467" s="146"/>
      <c r="B467" s="64"/>
      <c r="C467" s="64"/>
      <c r="D467" s="64"/>
      <c r="E467" s="85"/>
      <c r="H467" s="917"/>
    </row>
    <row r="468" spans="1:8" s="62" customFormat="1">
      <c r="A468" s="146"/>
      <c r="B468" s="64"/>
      <c r="C468" s="64"/>
      <c r="D468" s="64"/>
      <c r="E468" s="85"/>
      <c r="H468" s="917"/>
    </row>
    <row r="469" spans="1:8" s="62" customFormat="1">
      <c r="A469" s="146"/>
      <c r="B469" s="64"/>
      <c r="C469" s="64"/>
      <c r="D469" s="64"/>
      <c r="E469" s="85"/>
      <c r="H469" s="917"/>
    </row>
    <row r="470" spans="1:8" s="62" customFormat="1">
      <c r="A470" s="146"/>
      <c r="B470" s="64"/>
      <c r="C470" s="64"/>
      <c r="D470" s="64"/>
      <c r="E470" s="85"/>
      <c r="H470" s="917"/>
    </row>
    <row r="471" spans="1:8" s="62" customFormat="1">
      <c r="A471" s="146"/>
      <c r="B471" s="64"/>
      <c r="C471" s="64"/>
      <c r="D471" s="64"/>
      <c r="E471" s="85"/>
      <c r="H471" s="917"/>
    </row>
    <row r="472" spans="1:8" s="62" customFormat="1">
      <c r="A472" s="146"/>
      <c r="B472" s="64"/>
      <c r="C472" s="64"/>
      <c r="D472" s="64"/>
      <c r="E472" s="85"/>
      <c r="H472" s="917"/>
    </row>
    <row r="473" spans="1:8" s="62" customFormat="1">
      <c r="A473" s="146"/>
      <c r="B473" s="64"/>
      <c r="C473" s="64"/>
      <c r="D473" s="64"/>
      <c r="E473" s="85"/>
      <c r="H473" s="917"/>
    </row>
    <row r="474" spans="1:8" s="62" customFormat="1">
      <c r="A474" s="146"/>
      <c r="B474" s="64"/>
      <c r="C474" s="64"/>
      <c r="D474" s="64"/>
      <c r="E474" s="85"/>
      <c r="H474" s="917"/>
    </row>
    <row r="475" spans="1:8" s="62" customFormat="1">
      <c r="A475" s="146"/>
      <c r="B475" s="64"/>
      <c r="C475" s="64"/>
      <c r="D475" s="64"/>
      <c r="E475" s="85"/>
      <c r="H475" s="917"/>
    </row>
    <row r="476" spans="1:8" s="62" customFormat="1">
      <c r="A476" s="146"/>
      <c r="B476" s="64"/>
      <c r="C476" s="64"/>
      <c r="D476" s="64"/>
      <c r="E476" s="85"/>
      <c r="H476" s="917"/>
    </row>
    <row r="477" spans="1:8" s="62" customFormat="1">
      <c r="A477" s="146"/>
      <c r="B477" s="64"/>
      <c r="C477" s="64"/>
      <c r="D477" s="64"/>
      <c r="E477" s="85"/>
      <c r="H477" s="917"/>
    </row>
    <row r="478" spans="1:8" s="62" customFormat="1">
      <c r="A478" s="146"/>
      <c r="B478" s="64"/>
      <c r="C478" s="64"/>
      <c r="D478" s="64"/>
      <c r="E478" s="85"/>
      <c r="H478" s="917"/>
    </row>
    <row r="479" spans="1:8" s="62" customFormat="1">
      <c r="A479" s="146"/>
      <c r="B479" s="64"/>
      <c r="C479" s="64"/>
      <c r="D479" s="64"/>
      <c r="E479" s="85"/>
      <c r="H479" s="917"/>
    </row>
    <row r="480" spans="1:8" s="62" customFormat="1">
      <c r="A480" s="146"/>
      <c r="B480" s="64"/>
      <c r="C480" s="64"/>
      <c r="D480" s="64"/>
      <c r="E480" s="85"/>
      <c r="H480" s="917"/>
    </row>
    <row r="481" spans="1:8" s="62" customFormat="1">
      <c r="A481" s="146"/>
      <c r="B481" s="64"/>
      <c r="C481" s="64"/>
      <c r="D481" s="64"/>
      <c r="E481" s="85"/>
      <c r="H481" s="917"/>
    </row>
    <row r="482" spans="1:8" s="62" customFormat="1">
      <c r="A482" s="146"/>
      <c r="B482" s="64"/>
      <c r="C482" s="64"/>
      <c r="D482" s="64"/>
      <c r="E482" s="85"/>
      <c r="H482" s="917"/>
    </row>
    <row r="483" spans="1:8" s="62" customFormat="1">
      <c r="A483" s="146"/>
      <c r="B483" s="64"/>
      <c r="C483" s="64"/>
      <c r="D483" s="64"/>
      <c r="E483" s="85"/>
      <c r="H483" s="917"/>
    </row>
    <row r="484" spans="1:8" s="62" customFormat="1">
      <c r="A484" s="146"/>
      <c r="B484" s="64"/>
      <c r="C484" s="64"/>
      <c r="D484" s="64"/>
      <c r="E484" s="85"/>
      <c r="H484" s="917"/>
    </row>
    <row r="485" spans="1:8" s="62" customFormat="1">
      <c r="A485" s="146"/>
      <c r="B485" s="64"/>
      <c r="C485" s="64"/>
      <c r="D485" s="64"/>
      <c r="E485" s="85"/>
      <c r="H485" s="917"/>
    </row>
    <row r="486" spans="1:8" s="62" customFormat="1">
      <c r="A486" s="146"/>
      <c r="B486" s="64"/>
      <c r="C486" s="64"/>
      <c r="D486" s="64"/>
      <c r="E486" s="85"/>
      <c r="H486" s="917"/>
    </row>
    <row r="487" spans="1:8" s="62" customFormat="1">
      <c r="A487" s="146"/>
      <c r="B487" s="64"/>
      <c r="C487" s="64"/>
      <c r="D487" s="64"/>
      <c r="E487" s="85"/>
      <c r="H487" s="917"/>
    </row>
    <row r="488" spans="1:8" s="62" customFormat="1">
      <c r="A488" s="146"/>
      <c r="B488" s="64"/>
      <c r="C488" s="64"/>
      <c r="D488" s="64"/>
      <c r="E488" s="85"/>
      <c r="H488" s="917"/>
    </row>
    <row r="489" spans="1:8" s="62" customFormat="1">
      <c r="A489" s="146"/>
      <c r="B489" s="64"/>
      <c r="C489" s="64"/>
      <c r="D489" s="64"/>
      <c r="E489" s="85"/>
      <c r="H489" s="917"/>
    </row>
    <row r="490" spans="1:8" s="62" customFormat="1">
      <c r="A490" s="146"/>
      <c r="B490" s="64"/>
      <c r="C490" s="64"/>
      <c r="D490" s="64"/>
      <c r="E490" s="85"/>
      <c r="H490" s="917"/>
    </row>
    <row r="491" spans="1:8" s="62" customFormat="1">
      <c r="A491" s="146"/>
      <c r="B491" s="64"/>
      <c r="C491" s="64"/>
      <c r="D491" s="64"/>
      <c r="E491" s="85"/>
      <c r="H491" s="917"/>
    </row>
    <row r="492" spans="1:8" s="62" customFormat="1">
      <c r="A492" s="146"/>
      <c r="B492" s="64"/>
      <c r="C492" s="64"/>
      <c r="D492" s="64"/>
      <c r="E492" s="85"/>
      <c r="H492" s="917"/>
    </row>
    <row r="493" spans="1:8" s="62" customFormat="1">
      <c r="A493" s="146"/>
      <c r="B493" s="64"/>
      <c r="C493" s="64"/>
      <c r="D493" s="64"/>
      <c r="E493" s="85"/>
      <c r="H493" s="917"/>
    </row>
    <row r="494" spans="1:8" s="62" customFormat="1">
      <c r="A494" s="146"/>
      <c r="B494" s="64"/>
      <c r="C494" s="64"/>
      <c r="D494" s="64"/>
      <c r="E494" s="85"/>
      <c r="H494" s="917"/>
    </row>
    <row r="495" spans="1:8" s="62" customFormat="1">
      <c r="A495" s="146"/>
      <c r="B495" s="64"/>
      <c r="C495" s="64"/>
      <c r="D495" s="64"/>
      <c r="E495" s="85"/>
      <c r="H495" s="917"/>
    </row>
    <row r="496" spans="1:8" s="62" customFormat="1">
      <c r="A496" s="146"/>
      <c r="B496" s="64"/>
      <c r="C496" s="64"/>
      <c r="D496" s="64"/>
      <c r="E496" s="85"/>
      <c r="H496" s="917"/>
    </row>
    <row r="497" spans="1:8" s="62" customFormat="1">
      <c r="A497" s="146"/>
      <c r="B497" s="64"/>
      <c r="C497" s="64"/>
      <c r="D497" s="64"/>
      <c r="E497" s="85"/>
      <c r="H497" s="917"/>
    </row>
    <row r="498" spans="1:8" s="62" customFormat="1">
      <c r="A498" s="146"/>
      <c r="B498" s="64"/>
      <c r="C498" s="64"/>
      <c r="D498" s="64"/>
      <c r="E498" s="85"/>
      <c r="H498" s="917"/>
    </row>
    <row r="499" spans="1:8" s="62" customFormat="1">
      <c r="A499" s="146"/>
      <c r="B499" s="64"/>
      <c r="C499" s="64"/>
      <c r="D499" s="64"/>
      <c r="E499" s="85"/>
      <c r="H499" s="917"/>
    </row>
    <row r="500" spans="1:8" s="62" customFormat="1">
      <c r="A500" s="146"/>
      <c r="B500" s="64"/>
      <c r="C500" s="64"/>
      <c r="D500" s="64"/>
      <c r="E500" s="85"/>
      <c r="H500" s="917"/>
    </row>
    <row r="501" spans="1:8" s="62" customFormat="1">
      <c r="A501" s="146"/>
      <c r="B501" s="64"/>
      <c r="C501" s="64"/>
      <c r="D501" s="64"/>
      <c r="E501" s="85"/>
      <c r="H501" s="917"/>
    </row>
    <row r="502" spans="1:8" s="62" customFormat="1">
      <c r="A502" s="146"/>
      <c r="B502" s="64"/>
      <c r="C502" s="64"/>
      <c r="D502" s="64"/>
      <c r="E502" s="85"/>
      <c r="H502" s="917"/>
    </row>
    <row r="503" spans="1:8" s="62" customFormat="1">
      <c r="A503" s="146"/>
      <c r="B503" s="64"/>
      <c r="C503" s="64"/>
      <c r="D503" s="64"/>
      <c r="E503" s="85"/>
      <c r="H503" s="917"/>
    </row>
    <row r="504" spans="1:8" s="62" customFormat="1">
      <c r="A504" s="146"/>
      <c r="B504" s="64"/>
      <c r="C504" s="64"/>
      <c r="D504" s="64"/>
      <c r="E504" s="85"/>
      <c r="H504" s="917"/>
    </row>
    <row r="505" spans="1:8" s="62" customFormat="1">
      <c r="A505" s="146"/>
      <c r="B505" s="64"/>
      <c r="C505" s="64"/>
      <c r="D505" s="64"/>
      <c r="E505" s="85"/>
      <c r="H505" s="917"/>
    </row>
    <row r="506" spans="1:8" s="62" customFormat="1">
      <c r="A506" s="146"/>
      <c r="B506" s="64"/>
      <c r="C506" s="64"/>
      <c r="D506" s="64"/>
      <c r="E506" s="85"/>
      <c r="H506" s="917"/>
    </row>
    <row r="507" spans="1:8" s="62" customFormat="1">
      <c r="A507" s="146"/>
      <c r="B507" s="64"/>
      <c r="C507" s="64"/>
      <c r="D507" s="64"/>
      <c r="E507" s="85"/>
      <c r="H507" s="917"/>
    </row>
    <row r="508" spans="1:8" s="62" customFormat="1">
      <c r="A508" s="146"/>
      <c r="B508" s="64"/>
      <c r="C508" s="64"/>
      <c r="D508" s="64"/>
      <c r="E508" s="85"/>
      <c r="H508" s="917"/>
    </row>
    <row r="509" spans="1:8" s="62" customFormat="1">
      <c r="A509" s="146"/>
      <c r="B509" s="64"/>
      <c r="C509" s="64"/>
      <c r="D509" s="64"/>
      <c r="E509" s="85"/>
      <c r="H509" s="917"/>
    </row>
    <row r="510" spans="1:8" s="62" customFormat="1">
      <c r="A510" s="146"/>
      <c r="B510" s="64"/>
      <c r="C510" s="64"/>
      <c r="D510" s="64"/>
      <c r="E510" s="85"/>
      <c r="H510" s="917"/>
    </row>
    <row r="511" spans="1:8" s="62" customFormat="1">
      <c r="A511" s="146"/>
      <c r="B511" s="64"/>
      <c r="C511" s="64"/>
      <c r="D511" s="64"/>
      <c r="E511" s="85"/>
      <c r="H511" s="917"/>
    </row>
    <row r="512" spans="1:8" s="62" customFormat="1">
      <c r="A512" s="146"/>
      <c r="B512" s="64"/>
      <c r="C512" s="64"/>
      <c r="D512" s="64"/>
      <c r="E512" s="85"/>
      <c r="H512" s="917"/>
    </row>
    <row r="513" spans="1:8" s="62" customFormat="1">
      <c r="A513" s="146"/>
      <c r="B513" s="64"/>
      <c r="C513" s="64"/>
      <c r="D513" s="64"/>
      <c r="E513" s="85"/>
      <c r="H513" s="917"/>
    </row>
    <row r="514" spans="1:8" s="62" customFormat="1">
      <c r="A514" s="146"/>
      <c r="B514" s="64"/>
      <c r="C514" s="64"/>
      <c r="D514" s="64"/>
      <c r="E514" s="85"/>
      <c r="H514" s="917"/>
    </row>
    <row r="515" spans="1:8" s="62" customFormat="1">
      <c r="A515" s="146"/>
      <c r="B515" s="64"/>
      <c r="C515" s="64"/>
      <c r="D515" s="64"/>
      <c r="E515" s="85"/>
      <c r="H515" s="917"/>
    </row>
    <row r="516" spans="1:8" s="62" customFormat="1">
      <c r="A516" s="146"/>
      <c r="B516" s="64"/>
      <c r="C516" s="64"/>
      <c r="D516" s="64"/>
      <c r="E516" s="85"/>
      <c r="H516" s="917"/>
    </row>
    <row r="517" spans="1:8" s="62" customFormat="1">
      <c r="A517" s="146"/>
      <c r="B517" s="64"/>
      <c r="C517" s="64"/>
      <c r="D517" s="64"/>
      <c r="E517" s="85"/>
      <c r="H517" s="917"/>
    </row>
    <row r="518" spans="1:8" s="62" customFormat="1">
      <c r="A518" s="146"/>
      <c r="B518" s="64"/>
      <c r="C518" s="64"/>
      <c r="D518" s="64"/>
      <c r="E518" s="85"/>
      <c r="H518" s="917"/>
    </row>
    <row r="519" spans="1:8" s="62" customFormat="1">
      <c r="A519" s="146"/>
      <c r="B519" s="64"/>
      <c r="C519" s="64"/>
      <c r="D519" s="64"/>
      <c r="E519" s="85"/>
      <c r="H519" s="917"/>
    </row>
    <row r="520" spans="1:8" s="62" customFormat="1">
      <c r="A520" s="146"/>
      <c r="B520" s="64"/>
      <c r="C520" s="64"/>
      <c r="D520" s="64"/>
      <c r="E520" s="85"/>
      <c r="H520" s="917"/>
    </row>
    <row r="521" spans="1:8" s="62" customFormat="1">
      <c r="A521" s="146"/>
      <c r="B521" s="64"/>
      <c r="C521" s="64"/>
      <c r="D521" s="64"/>
      <c r="E521" s="85"/>
      <c r="H521" s="917"/>
    </row>
    <row r="522" spans="1:8" s="62" customFormat="1">
      <c r="A522" s="146"/>
      <c r="B522" s="64"/>
      <c r="C522" s="64"/>
      <c r="D522" s="64"/>
      <c r="E522" s="85"/>
      <c r="H522" s="917"/>
    </row>
    <row r="523" spans="1:8" s="62" customFormat="1">
      <c r="A523" s="146"/>
      <c r="B523" s="64"/>
      <c r="C523" s="64"/>
      <c r="D523" s="64"/>
      <c r="E523" s="85"/>
      <c r="H523" s="917"/>
    </row>
    <row r="524" spans="1:8" s="62" customFormat="1">
      <c r="A524" s="146"/>
      <c r="B524" s="64"/>
      <c r="C524" s="64"/>
      <c r="D524" s="64"/>
      <c r="E524" s="85"/>
      <c r="H524" s="917"/>
    </row>
    <row r="525" spans="1:8" s="62" customFormat="1">
      <c r="A525" s="146"/>
      <c r="B525" s="64"/>
      <c r="C525" s="64"/>
      <c r="D525" s="64"/>
      <c r="E525" s="85"/>
      <c r="H525" s="917"/>
    </row>
    <row r="526" spans="1:8" s="62" customFormat="1">
      <c r="A526" s="146"/>
      <c r="B526" s="64"/>
      <c r="C526" s="64"/>
      <c r="D526" s="64"/>
      <c r="E526" s="85"/>
      <c r="H526" s="917"/>
    </row>
    <row r="527" spans="1:8" s="62" customFormat="1">
      <c r="A527" s="146"/>
      <c r="B527" s="64"/>
      <c r="C527" s="64"/>
      <c r="D527" s="64"/>
      <c r="E527" s="85"/>
      <c r="H527" s="917"/>
    </row>
    <row r="528" spans="1:8" s="62" customFormat="1">
      <c r="A528" s="146"/>
      <c r="B528" s="64"/>
      <c r="C528" s="64"/>
      <c r="D528" s="64"/>
      <c r="E528" s="85"/>
      <c r="H528" s="917"/>
    </row>
    <row r="529" spans="1:8" s="62" customFormat="1">
      <c r="A529" s="146"/>
      <c r="B529" s="64"/>
      <c r="C529" s="64"/>
      <c r="D529" s="64"/>
      <c r="E529" s="85"/>
      <c r="H529" s="917"/>
    </row>
    <row r="530" spans="1:8">
      <c r="A530" s="146"/>
      <c r="B530" s="64"/>
      <c r="C530" s="64"/>
      <c r="D530" s="64"/>
      <c r="E530" s="85"/>
      <c r="F530" s="62"/>
    </row>
    <row r="531" spans="1:8">
      <c r="A531" s="146"/>
      <c r="B531" s="64"/>
      <c r="C531" s="64"/>
      <c r="D531" s="64"/>
      <c r="E531" s="85"/>
      <c r="F531" s="62"/>
    </row>
    <row r="532" spans="1:8">
      <c r="A532" s="146"/>
      <c r="B532" s="64"/>
      <c r="C532" s="64"/>
      <c r="D532" s="64"/>
      <c r="E532" s="85"/>
      <c r="F532" s="62"/>
    </row>
    <row r="533" spans="1:8">
      <c r="A533" s="146"/>
      <c r="B533" s="64"/>
      <c r="C533" s="64"/>
      <c r="D533" s="64"/>
      <c r="E533" s="85"/>
      <c r="F533" s="62"/>
    </row>
    <row r="534" spans="1:8">
      <c r="A534" s="146"/>
      <c r="B534" s="64"/>
      <c r="C534" s="64"/>
      <c r="D534" s="64"/>
      <c r="E534" s="85"/>
      <c r="F534" s="62"/>
    </row>
    <row r="535" spans="1:8">
      <c r="A535" s="146"/>
      <c r="B535" s="64"/>
      <c r="C535" s="64"/>
      <c r="D535" s="64"/>
      <c r="E535" s="85"/>
      <c r="F535" s="62"/>
    </row>
    <row r="536" spans="1:8">
      <c r="A536" s="146"/>
      <c r="B536" s="64"/>
      <c r="C536" s="64"/>
      <c r="D536" s="64"/>
      <c r="E536" s="85"/>
      <c r="F536" s="62"/>
    </row>
    <row r="537" spans="1:8">
      <c r="A537" s="146"/>
      <c r="B537" s="64"/>
      <c r="C537" s="64"/>
      <c r="D537" s="64"/>
      <c r="E537" s="85"/>
      <c r="F537" s="62"/>
    </row>
    <row r="538" spans="1:8">
      <c r="A538" s="146"/>
      <c r="B538" s="64"/>
      <c r="C538" s="64"/>
      <c r="D538" s="64"/>
      <c r="E538" s="85"/>
      <c r="F538" s="62"/>
    </row>
    <row r="539" spans="1:8">
      <c r="A539" s="146"/>
      <c r="B539" s="64"/>
      <c r="C539" s="64"/>
      <c r="D539" s="64"/>
      <c r="E539" s="85"/>
      <c r="F539" s="62"/>
    </row>
    <row r="540" spans="1:8">
      <c r="A540" s="146"/>
      <c r="B540" s="64"/>
      <c r="C540" s="64"/>
      <c r="D540" s="64"/>
      <c r="E540" s="85"/>
      <c r="F540" s="62"/>
    </row>
    <row r="541" spans="1:8">
      <c r="A541" s="146"/>
      <c r="B541" s="64"/>
      <c r="C541" s="64"/>
      <c r="D541" s="64"/>
      <c r="E541" s="85"/>
      <c r="F541" s="62"/>
    </row>
    <row r="542" spans="1:8">
      <c r="A542" s="146"/>
      <c r="B542" s="64"/>
      <c r="C542" s="64"/>
      <c r="D542" s="64"/>
      <c r="E542" s="85"/>
      <c r="F542" s="62"/>
    </row>
    <row r="543" spans="1:8">
      <c r="A543" s="146"/>
      <c r="B543" s="64"/>
      <c r="C543" s="64"/>
      <c r="D543" s="64"/>
      <c r="E543" s="85"/>
      <c r="F543" s="62"/>
    </row>
    <row r="544" spans="1:8">
      <c r="A544" s="146"/>
      <c r="B544" s="64"/>
      <c r="C544" s="64"/>
      <c r="D544" s="64"/>
      <c r="E544" s="85"/>
      <c r="F544" s="62"/>
    </row>
    <row r="545" spans="1:6">
      <c r="A545" s="146"/>
      <c r="B545" s="64"/>
      <c r="C545" s="64"/>
      <c r="D545" s="64"/>
      <c r="E545" s="85"/>
      <c r="F545" s="62"/>
    </row>
    <row r="546" spans="1:6">
      <c r="A546" s="146"/>
      <c r="B546" s="64"/>
      <c r="C546" s="64"/>
      <c r="D546" s="64"/>
      <c r="E546" s="85"/>
      <c r="F546" s="62"/>
    </row>
    <row r="547" spans="1:6">
      <c r="A547" s="146"/>
      <c r="B547" s="64"/>
      <c r="C547" s="64"/>
      <c r="D547" s="64"/>
      <c r="E547" s="85"/>
      <c r="F547" s="62"/>
    </row>
    <row r="548" spans="1:6">
      <c r="A548" s="146"/>
      <c r="B548" s="64"/>
      <c r="C548" s="64"/>
      <c r="D548" s="64"/>
      <c r="E548" s="85"/>
      <c r="F548" s="62"/>
    </row>
    <row r="549" spans="1:6">
      <c r="A549" s="146"/>
      <c r="B549" s="64"/>
      <c r="C549" s="64"/>
      <c r="D549" s="64"/>
      <c r="E549" s="85"/>
      <c r="F549" s="62"/>
    </row>
    <row r="550" spans="1:6">
      <c r="A550" s="146"/>
      <c r="B550" s="64"/>
      <c r="C550" s="64"/>
      <c r="D550" s="64"/>
      <c r="E550" s="85"/>
      <c r="F550" s="62"/>
    </row>
    <row r="551" spans="1:6">
      <c r="A551" s="146"/>
      <c r="B551" s="64"/>
      <c r="C551" s="64"/>
      <c r="D551" s="64"/>
      <c r="E551" s="85"/>
      <c r="F551" s="62"/>
    </row>
    <row r="552" spans="1:6">
      <c r="A552" s="146"/>
      <c r="B552" s="64"/>
      <c r="C552" s="64"/>
      <c r="D552" s="64"/>
      <c r="E552" s="85"/>
      <c r="F552" s="62"/>
    </row>
    <row r="553" spans="1:6">
      <c r="A553" s="146"/>
      <c r="B553" s="64"/>
      <c r="C553" s="64"/>
      <c r="D553" s="64"/>
      <c r="E553" s="85"/>
      <c r="F553" s="62"/>
    </row>
    <row r="554" spans="1:6">
      <c r="A554" s="146"/>
      <c r="B554" s="64"/>
      <c r="C554" s="64"/>
      <c r="D554" s="64"/>
      <c r="E554" s="85"/>
      <c r="F554" s="62"/>
    </row>
    <row r="555" spans="1:6">
      <c r="A555" s="146"/>
      <c r="B555" s="64"/>
      <c r="C555" s="64"/>
      <c r="D555" s="64"/>
      <c r="E555" s="85"/>
      <c r="F555" s="62"/>
    </row>
    <row r="556" spans="1:6">
      <c r="A556" s="146"/>
      <c r="B556" s="64"/>
      <c r="C556" s="64"/>
      <c r="D556" s="64"/>
      <c r="E556" s="85"/>
      <c r="F556" s="62"/>
    </row>
    <row r="557" spans="1:6">
      <c r="A557" s="146"/>
      <c r="B557" s="64"/>
      <c r="C557" s="64"/>
      <c r="D557" s="64"/>
      <c r="E557" s="85"/>
      <c r="F557" s="62"/>
    </row>
    <row r="558" spans="1:6">
      <c r="A558" s="146"/>
      <c r="B558" s="64"/>
      <c r="C558" s="64"/>
      <c r="D558" s="64"/>
      <c r="E558" s="85"/>
      <c r="F558" s="62"/>
    </row>
    <row r="559" spans="1:6">
      <c r="A559" s="146"/>
      <c r="B559" s="64"/>
      <c r="C559" s="64"/>
      <c r="D559" s="64"/>
      <c r="E559" s="85"/>
      <c r="F559" s="62"/>
    </row>
    <row r="560" spans="1:6">
      <c r="A560" s="146"/>
      <c r="B560" s="64"/>
      <c r="C560" s="64"/>
      <c r="D560" s="64"/>
      <c r="E560" s="85"/>
      <c r="F560" s="62"/>
    </row>
    <row r="561" spans="1:6">
      <c r="A561" s="146"/>
      <c r="B561" s="64"/>
      <c r="C561" s="64"/>
      <c r="D561" s="64"/>
      <c r="E561" s="85"/>
      <c r="F561" s="62"/>
    </row>
    <row r="562" spans="1:6">
      <c r="A562" s="146"/>
      <c r="B562" s="64"/>
      <c r="C562" s="64"/>
      <c r="D562" s="64"/>
      <c r="E562" s="85"/>
      <c r="F562" s="62"/>
    </row>
    <row r="563" spans="1:6">
      <c r="A563" s="146"/>
      <c r="B563" s="64"/>
      <c r="C563" s="64"/>
      <c r="D563" s="64"/>
      <c r="E563" s="85"/>
      <c r="F563" s="62"/>
    </row>
    <row r="564" spans="1:6">
      <c r="A564" s="146"/>
      <c r="B564" s="64"/>
      <c r="C564" s="64"/>
      <c r="D564" s="64"/>
      <c r="E564" s="85"/>
      <c r="F564" s="62"/>
    </row>
    <row r="565" spans="1:6">
      <c r="A565" s="146"/>
      <c r="B565" s="64"/>
      <c r="C565" s="64"/>
      <c r="D565" s="64"/>
      <c r="E565" s="85"/>
      <c r="F565" s="62"/>
    </row>
    <row r="566" spans="1:6">
      <c r="A566" s="146"/>
      <c r="B566" s="64"/>
      <c r="C566" s="64"/>
      <c r="D566" s="64"/>
      <c r="E566" s="85"/>
      <c r="F566" s="62"/>
    </row>
    <row r="567" spans="1:6">
      <c r="A567" s="146"/>
      <c r="B567" s="64"/>
      <c r="C567" s="64"/>
      <c r="D567" s="64"/>
      <c r="E567" s="85"/>
      <c r="F567" s="62"/>
    </row>
    <row r="568" spans="1:6">
      <c r="A568" s="146"/>
      <c r="B568" s="64"/>
      <c r="C568" s="64"/>
      <c r="D568" s="64"/>
      <c r="E568" s="85"/>
      <c r="F568" s="62"/>
    </row>
    <row r="569" spans="1:6">
      <c r="A569" s="146"/>
      <c r="B569" s="64"/>
      <c r="C569" s="64"/>
      <c r="D569" s="64"/>
      <c r="E569" s="85"/>
      <c r="F569" s="62"/>
    </row>
    <row r="570" spans="1:6">
      <c r="A570" s="146"/>
      <c r="B570" s="64"/>
      <c r="C570" s="64"/>
      <c r="D570" s="64"/>
      <c r="E570" s="85"/>
      <c r="F570" s="62"/>
    </row>
    <row r="571" spans="1:6">
      <c r="A571" s="146"/>
      <c r="B571" s="64"/>
      <c r="C571" s="64"/>
      <c r="D571" s="64"/>
      <c r="E571" s="85"/>
      <c r="F571" s="62"/>
    </row>
    <row r="572" spans="1:6">
      <c r="A572" s="146"/>
      <c r="B572" s="64"/>
      <c r="C572" s="64"/>
      <c r="D572" s="64"/>
      <c r="E572" s="85"/>
      <c r="F572" s="62"/>
    </row>
    <row r="573" spans="1:6">
      <c r="A573" s="146"/>
      <c r="B573" s="64"/>
      <c r="C573" s="64"/>
      <c r="D573" s="64"/>
      <c r="E573" s="85"/>
      <c r="F573" s="62"/>
    </row>
    <row r="574" spans="1:6">
      <c r="A574" s="146"/>
      <c r="B574" s="64"/>
      <c r="C574" s="64"/>
      <c r="D574" s="64"/>
      <c r="E574" s="85"/>
      <c r="F574" s="62"/>
    </row>
    <row r="575" spans="1:6">
      <c r="A575" s="146"/>
      <c r="B575" s="64"/>
      <c r="C575" s="64"/>
      <c r="D575" s="64"/>
      <c r="E575" s="85"/>
      <c r="F575" s="62"/>
    </row>
    <row r="576" spans="1:6">
      <c r="A576" s="146"/>
      <c r="B576" s="64"/>
      <c r="C576" s="64"/>
      <c r="D576" s="64"/>
      <c r="E576" s="85"/>
      <c r="F576" s="62"/>
    </row>
    <row r="577" spans="1:6">
      <c r="A577" s="146"/>
      <c r="B577" s="64"/>
      <c r="C577" s="64"/>
      <c r="D577" s="64"/>
      <c r="E577" s="85"/>
      <c r="F577" s="62"/>
    </row>
    <row r="578" spans="1:6">
      <c r="A578" s="146"/>
      <c r="B578" s="64"/>
      <c r="C578" s="64"/>
      <c r="D578" s="64"/>
      <c r="E578" s="85"/>
      <c r="F578" s="62"/>
    </row>
    <row r="579" spans="1:6">
      <c r="A579" s="146"/>
      <c r="B579" s="64"/>
      <c r="C579" s="64"/>
      <c r="D579" s="64"/>
      <c r="E579" s="85"/>
      <c r="F579" s="62"/>
    </row>
    <row r="580" spans="1:6">
      <c r="A580" s="146"/>
      <c r="B580" s="64"/>
      <c r="C580" s="64"/>
      <c r="D580" s="64"/>
      <c r="E580" s="85"/>
      <c r="F580" s="62"/>
    </row>
    <row r="581" spans="1:6">
      <c r="A581" s="146"/>
      <c r="B581" s="64"/>
      <c r="C581" s="64"/>
      <c r="D581" s="64"/>
      <c r="E581" s="85"/>
      <c r="F581" s="62"/>
    </row>
    <row r="582" spans="1:6">
      <c r="A582" s="146"/>
      <c r="B582" s="64"/>
      <c r="C582" s="64"/>
      <c r="D582" s="64"/>
      <c r="E582" s="85"/>
      <c r="F582" s="62"/>
    </row>
    <row r="583" spans="1:6">
      <c r="A583" s="146"/>
      <c r="B583" s="64"/>
      <c r="C583" s="64"/>
      <c r="D583" s="64"/>
      <c r="E583" s="85"/>
      <c r="F583" s="62"/>
    </row>
    <row r="584" spans="1:6">
      <c r="A584" s="146"/>
      <c r="B584" s="64"/>
      <c r="C584" s="64"/>
      <c r="D584" s="64"/>
      <c r="E584" s="85"/>
      <c r="F584" s="62"/>
    </row>
    <row r="585" spans="1:6">
      <c r="A585" s="146"/>
      <c r="B585" s="64"/>
      <c r="C585" s="64"/>
      <c r="D585" s="64"/>
      <c r="E585" s="85"/>
      <c r="F585" s="62"/>
    </row>
    <row r="586" spans="1:6">
      <c r="A586" s="146"/>
      <c r="B586" s="64"/>
      <c r="C586" s="64"/>
      <c r="D586" s="64"/>
      <c r="E586" s="85"/>
      <c r="F586" s="62"/>
    </row>
    <row r="587" spans="1:6">
      <c r="A587" s="146"/>
      <c r="B587" s="64"/>
      <c r="C587" s="64"/>
      <c r="D587" s="64"/>
      <c r="E587" s="85"/>
      <c r="F587" s="62"/>
    </row>
    <row r="588" spans="1:6">
      <c r="A588" s="146"/>
      <c r="B588" s="64"/>
      <c r="C588" s="64"/>
      <c r="D588" s="64"/>
      <c r="E588" s="85"/>
      <c r="F588" s="62"/>
    </row>
    <row r="589" spans="1:6">
      <c r="A589" s="146"/>
      <c r="B589" s="64"/>
      <c r="C589" s="64"/>
      <c r="D589" s="64"/>
      <c r="E589" s="85"/>
      <c r="F589" s="62"/>
    </row>
    <row r="590" spans="1:6">
      <c r="A590" s="146"/>
      <c r="B590" s="64"/>
      <c r="C590" s="64"/>
      <c r="D590" s="64"/>
      <c r="E590" s="85"/>
      <c r="F590" s="62"/>
    </row>
    <row r="591" spans="1:6">
      <c r="A591" s="146"/>
      <c r="B591" s="64"/>
      <c r="C591" s="64"/>
      <c r="D591" s="64"/>
      <c r="E591" s="85"/>
      <c r="F591" s="62"/>
    </row>
    <row r="592" spans="1:6">
      <c r="A592" s="146"/>
      <c r="B592" s="64"/>
      <c r="C592" s="64"/>
      <c r="D592" s="64"/>
      <c r="E592" s="85"/>
      <c r="F592" s="62"/>
    </row>
    <row r="593" spans="1:6">
      <c r="A593" s="146"/>
      <c r="B593" s="64"/>
      <c r="C593" s="64"/>
      <c r="D593" s="64"/>
      <c r="E593" s="85"/>
      <c r="F593" s="62"/>
    </row>
    <row r="594" spans="1:6">
      <c r="A594" s="146"/>
      <c r="B594" s="64"/>
      <c r="C594" s="64"/>
      <c r="D594" s="64"/>
      <c r="E594" s="85"/>
      <c r="F594" s="62"/>
    </row>
    <row r="595" spans="1:6">
      <c r="A595" s="146"/>
      <c r="B595" s="64"/>
      <c r="C595" s="64"/>
      <c r="D595" s="64"/>
      <c r="E595" s="85"/>
      <c r="F595" s="62"/>
    </row>
    <row r="596" spans="1:6">
      <c r="A596" s="146"/>
      <c r="B596" s="64"/>
      <c r="C596" s="64"/>
      <c r="D596" s="64"/>
      <c r="E596" s="85"/>
      <c r="F596" s="62"/>
    </row>
    <row r="597" spans="1:6">
      <c r="A597" s="146"/>
      <c r="B597" s="64"/>
      <c r="C597" s="64"/>
      <c r="D597" s="64"/>
      <c r="E597" s="85"/>
      <c r="F597" s="62"/>
    </row>
    <row r="598" spans="1:6">
      <c r="A598" s="146"/>
      <c r="B598" s="64"/>
      <c r="C598" s="64"/>
      <c r="D598" s="64"/>
      <c r="E598" s="85"/>
      <c r="F598" s="62"/>
    </row>
    <row r="599" spans="1:6">
      <c r="A599" s="146"/>
      <c r="B599" s="64"/>
      <c r="C599" s="64"/>
      <c r="D599" s="64"/>
      <c r="E599" s="85"/>
      <c r="F599" s="62"/>
    </row>
    <row r="600" spans="1:6">
      <c r="A600" s="146"/>
      <c r="B600" s="64"/>
      <c r="C600" s="64"/>
      <c r="D600" s="64"/>
      <c r="E600" s="85"/>
      <c r="F600" s="62"/>
    </row>
    <row r="601" spans="1:6">
      <c r="A601" s="146"/>
      <c r="B601" s="64"/>
      <c r="C601" s="64"/>
      <c r="D601" s="64"/>
      <c r="E601" s="85"/>
      <c r="F601" s="62"/>
    </row>
    <row r="602" spans="1:6">
      <c r="A602" s="146"/>
      <c r="B602" s="64"/>
      <c r="C602" s="64"/>
      <c r="D602" s="64"/>
      <c r="E602" s="85"/>
      <c r="F602" s="62"/>
    </row>
    <row r="603" spans="1:6">
      <c r="A603" s="146"/>
      <c r="B603" s="64"/>
      <c r="C603" s="64"/>
      <c r="D603" s="64"/>
      <c r="E603" s="85"/>
      <c r="F603" s="62"/>
    </row>
    <row r="604" spans="1:6">
      <c r="A604" s="146"/>
      <c r="B604" s="64"/>
      <c r="C604" s="64"/>
      <c r="D604" s="64"/>
      <c r="E604" s="85"/>
      <c r="F604" s="62"/>
    </row>
    <row r="605" spans="1:6">
      <c r="A605" s="146"/>
      <c r="B605" s="64"/>
      <c r="C605" s="64"/>
      <c r="D605" s="64"/>
      <c r="E605" s="85"/>
      <c r="F605" s="62"/>
    </row>
    <row r="606" spans="1:6">
      <c r="A606" s="146"/>
      <c r="B606" s="64"/>
      <c r="C606" s="64"/>
      <c r="D606" s="64"/>
      <c r="E606" s="85"/>
      <c r="F606" s="62"/>
    </row>
    <row r="607" spans="1:6">
      <c r="A607" s="146"/>
      <c r="B607" s="64"/>
      <c r="C607" s="64"/>
      <c r="D607" s="64"/>
      <c r="E607" s="85"/>
      <c r="F607" s="62"/>
    </row>
    <row r="608" spans="1:6">
      <c r="A608" s="146"/>
      <c r="B608" s="64"/>
      <c r="C608" s="64"/>
      <c r="D608" s="64"/>
      <c r="E608" s="85"/>
      <c r="F608" s="62"/>
    </row>
    <row r="609" spans="1:6">
      <c r="A609" s="146"/>
      <c r="B609" s="64"/>
      <c r="C609" s="64"/>
      <c r="D609" s="64"/>
      <c r="E609" s="85"/>
      <c r="F609" s="62"/>
    </row>
    <row r="610" spans="1:6">
      <c r="A610" s="146"/>
      <c r="B610" s="64"/>
      <c r="C610" s="64"/>
      <c r="D610" s="64"/>
      <c r="E610" s="85"/>
      <c r="F610" s="62"/>
    </row>
    <row r="611" spans="1:6">
      <c r="A611" s="146"/>
      <c r="B611" s="64"/>
      <c r="C611" s="64"/>
      <c r="D611" s="64"/>
      <c r="E611" s="85"/>
      <c r="F611" s="62"/>
    </row>
    <row r="612" spans="1:6">
      <c r="A612" s="146"/>
      <c r="B612" s="64"/>
      <c r="C612" s="64"/>
      <c r="D612" s="64"/>
      <c r="E612" s="85"/>
      <c r="F612" s="62"/>
    </row>
    <row r="613" spans="1:6">
      <c r="A613" s="146"/>
      <c r="B613" s="64"/>
      <c r="C613" s="64"/>
      <c r="D613" s="64"/>
      <c r="E613" s="85"/>
      <c r="F613" s="62"/>
    </row>
    <row r="614" spans="1:6">
      <c r="A614" s="146"/>
      <c r="B614" s="64"/>
      <c r="C614" s="64"/>
      <c r="D614" s="64"/>
      <c r="E614" s="85"/>
      <c r="F614" s="62"/>
    </row>
    <row r="615" spans="1:6">
      <c r="A615" s="146"/>
      <c r="B615" s="64"/>
      <c r="C615" s="64"/>
      <c r="D615" s="64"/>
      <c r="E615" s="85"/>
      <c r="F615" s="62"/>
    </row>
    <row r="616" spans="1:6">
      <c r="A616" s="146"/>
      <c r="B616" s="64"/>
      <c r="C616" s="64"/>
      <c r="D616" s="64"/>
      <c r="E616" s="85"/>
      <c r="F616" s="62"/>
    </row>
    <row r="617" spans="1:6">
      <c r="A617" s="146"/>
      <c r="B617" s="64"/>
      <c r="C617" s="64"/>
      <c r="D617" s="64"/>
      <c r="E617" s="85"/>
      <c r="F617" s="62"/>
    </row>
    <row r="618" spans="1:6">
      <c r="A618" s="146"/>
      <c r="B618" s="64"/>
      <c r="C618" s="64"/>
      <c r="D618" s="64"/>
      <c r="E618" s="85"/>
      <c r="F618" s="62"/>
    </row>
    <row r="619" spans="1:6">
      <c r="A619" s="146"/>
      <c r="B619" s="64"/>
      <c r="C619" s="64"/>
      <c r="D619" s="64"/>
      <c r="E619" s="85"/>
      <c r="F619" s="62"/>
    </row>
    <row r="620" spans="1:6">
      <c r="A620" s="146"/>
      <c r="B620" s="64"/>
      <c r="C620" s="64"/>
      <c r="D620" s="64"/>
      <c r="E620" s="85"/>
      <c r="F620" s="62"/>
    </row>
    <row r="621" spans="1:6">
      <c r="A621" s="146"/>
      <c r="B621" s="64"/>
      <c r="C621" s="64"/>
      <c r="D621" s="64"/>
      <c r="E621" s="85"/>
      <c r="F621" s="62"/>
    </row>
    <row r="622" spans="1:6">
      <c r="A622" s="146"/>
      <c r="B622" s="64"/>
      <c r="C622" s="64"/>
      <c r="D622" s="64"/>
      <c r="E622" s="85"/>
      <c r="F622" s="62"/>
    </row>
    <row r="623" spans="1:6">
      <c r="A623" s="146"/>
      <c r="B623" s="64"/>
      <c r="C623" s="64"/>
      <c r="D623" s="64"/>
      <c r="E623" s="85"/>
      <c r="F623" s="62"/>
    </row>
    <row r="624" spans="1:6">
      <c r="A624" s="146"/>
      <c r="B624" s="64"/>
      <c r="C624" s="64"/>
      <c r="D624" s="64"/>
      <c r="E624" s="85"/>
      <c r="F624" s="62"/>
    </row>
    <row r="625" spans="1:6">
      <c r="A625" s="146"/>
      <c r="B625" s="64"/>
      <c r="C625" s="64"/>
      <c r="D625" s="64"/>
      <c r="E625" s="85"/>
      <c r="F625" s="62"/>
    </row>
    <row r="626" spans="1:6">
      <c r="A626" s="146"/>
      <c r="B626" s="64"/>
      <c r="C626" s="64"/>
      <c r="D626" s="64"/>
      <c r="E626" s="85"/>
      <c r="F626" s="62"/>
    </row>
    <row r="627" spans="1:6">
      <c r="A627" s="146"/>
      <c r="B627" s="64"/>
      <c r="C627" s="64"/>
      <c r="D627" s="64"/>
      <c r="E627" s="85"/>
      <c r="F627" s="62"/>
    </row>
    <row r="628" spans="1:6">
      <c r="A628" s="146"/>
      <c r="B628" s="64"/>
      <c r="C628" s="64"/>
      <c r="D628" s="64"/>
      <c r="E628" s="85"/>
      <c r="F628" s="62"/>
    </row>
    <row r="629" spans="1:6">
      <c r="A629" s="146"/>
      <c r="B629" s="64"/>
      <c r="C629" s="64"/>
      <c r="D629" s="64"/>
      <c r="E629" s="85"/>
      <c r="F629" s="62"/>
    </row>
    <row r="630" spans="1:6">
      <c r="A630" s="146"/>
      <c r="B630" s="64"/>
      <c r="C630" s="64"/>
      <c r="D630" s="64"/>
      <c r="E630" s="85"/>
      <c r="F630" s="62"/>
    </row>
    <row r="631" spans="1:6">
      <c r="A631" s="146"/>
      <c r="B631" s="64"/>
      <c r="C631" s="64"/>
      <c r="D631" s="64"/>
      <c r="E631" s="85"/>
      <c r="F631" s="62"/>
    </row>
    <row r="632" spans="1:6">
      <c r="A632" s="146"/>
      <c r="B632" s="64"/>
      <c r="C632" s="64"/>
      <c r="D632" s="64"/>
      <c r="E632" s="85"/>
      <c r="F632" s="62"/>
    </row>
    <row r="633" spans="1:6">
      <c r="A633" s="146"/>
      <c r="B633" s="64"/>
      <c r="C633" s="64"/>
      <c r="D633" s="64"/>
      <c r="E633" s="85"/>
      <c r="F633" s="62"/>
    </row>
    <row r="634" spans="1:6">
      <c r="A634" s="146"/>
      <c r="B634" s="64"/>
      <c r="C634" s="64"/>
      <c r="D634" s="64"/>
      <c r="E634" s="85"/>
      <c r="F634" s="62"/>
    </row>
    <row r="635" spans="1:6">
      <c r="A635" s="146"/>
      <c r="B635" s="64"/>
      <c r="C635" s="64"/>
      <c r="D635" s="64"/>
      <c r="E635" s="85"/>
      <c r="F635" s="62"/>
    </row>
    <row r="636" spans="1:6">
      <c r="A636" s="146"/>
      <c r="B636" s="64"/>
      <c r="C636" s="64"/>
      <c r="D636" s="64"/>
      <c r="E636" s="85"/>
      <c r="F636" s="62"/>
    </row>
    <row r="637" spans="1:6">
      <c r="A637" s="146"/>
      <c r="B637" s="64"/>
      <c r="C637" s="64"/>
      <c r="D637" s="64"/>
      <c r="E637" s="85"/>
      <c r="F637" s="62"/>
    </row>
    <row r="638" spans="1:6">
      <c r="A638" s="146"/>
      <c r="B638" s="64"/>
      <c r="C638" s="64"/>
      <c r="D638" s="64"/>
      <c r="E638" s="85"/>
      <c r="F638" s="62"/>
    </row>
    <row r="639" spans="1:6">
      <c r="A639" s="146"/>
      <c r="B639" s="64"/>
      <c r="C639" s="64"/>
      <c r="D639" s="64"/>
      <c r="E639" s="85"/>
      <c r="F639" s="62"/>
    </row>
    <row r="640" spans="1:6">
      <c r="A640" s="146"/>
      <c r="B640" s="64"/>
      <c r="C640" s="64"/>
      <c r="D640" s="64"/>
      <c r="E640" s="85"/>
      <c r="F640" s="62"/>
    </row>
    <row r="641" spans="1:6">
      <c r="A641" s="146"/>
      <c r="B641" s="64"/>
      <c r="C641" s="64"/>
      <c r="D641" s="64"/>
      <c r="E641" s="85"/>
      <c r="F641" s="62"/>
    </row>
    <row r="642" spans="1:6">
      <c r="A642" s="146"/>
      <c r="B642" s="64"/>
      <c r="C642" s="64"/>
      <c r="D642" s="64"/>
      <c r="E642" s="85"/>
      <c r="F642" s="62"/>
    </row>
    <row r="643" spans="1:6">
      <c r="A643" s="146"/>
      <c r="B643" s="64"/>
      <c r="C643" s="64"/>
      <c r="D643" s="64"/>
      <c r="E643" s="85"/>
      <c r="F643" s="62"/>
    </row>
    <row r="644" spans="1:6">
      <c r="A644" s="146"/>
      <c r="B644" s="64"/>
      <c r="C644" s="64"/>
      <c r="D644" s="64"/>
      <c r="E644" s="85"/>
      <c r="F644" s="62"/>
    </row>
    <row r="645" spans="1:6">
      <c r="A645" s="146"/>
      <c r="B645" s="64"/>
      <c r="C645" s="64"/>
      <c r="D645" s="64"/>
      <c r="E645" s="85"/>
      <c r="F645" s="62"/>
    </row>
    <row r="646" spans="1:6">
      <c r="A646" s="146"/>
      <c r="B646" s="64"/>
      <c r="C646" s="64"/>
      <c r="D646" s="64"/>
      <c r="E646" s="85"/>
      <c r="F646" s="62"/>
    </row>
    <row r="647" spans="1:6">
      <c r="A647" s="146"/>
      <c r="B647" s="64"/>
      <c r="C647" s="64"/>
      <c r="D647" s="64"/>
      <c r="E647" s="85"/>
      <c r="F647" s="62"/>
    </row>
    <row r="648" spans="1:6">
      <c r="A648" s="146"/>
      <c r="B648" s="64"/>
      <c r="C648" s="64"/>
      <c r="D648" s="64"/>
      <c r="E648" s="85"/>
      <c r="F648" s="62"/>
    </row>
    <row r="649" spans="1:6">
      <c r="A649" s="146"/>
      <c r="B649" s="64"/>
      <c r="C649" s="64"/>
      <c r="D649" s="64"/>
      <c r="E649" s="85"/>
      <c r="F649" s="62"/>
    </row>
    <row r="650" spans="1:6">
      <c r="A650" s="146"/>
      <c r="B650" s="64"/>
      <c r="C650" s="64"/>
      <c r="D650" s="64"/>
      <c r="E650" s="85"/>
      <c r="F650" s="62"/>
    </row>
    <row r="651" spans="1:6">
      <c r="A651" s="146"/>
      <c r="B651" s="64"/>
      <c r="C651" s="64"/>
      <c r="D651" s="64"/>
      <c r="E651" s="85"/>
      <c r="F651" s="62"/>
    </row>
    <row r="652" spans="1:6">
      <c r="A652" s="146"/>
      <c r="B652" s="64"/>
      <c r="C652" s="64"/>
      <c r="D652" s="64"/>
      <c r="E652" s="85"/>
      <c r="F652" s="62"/>
    </row>
    <row r="653" spans="1:6">
      <c r="A653" s="146"/>
      <c r="B653" s="64"/>
      <c r="C653" s="64"/>
      <c r="D653" s="64"/>
      <c r="E653" s="85"/>
      <c r="F653" s="62"/>
    </row>
    <row r="654" spans="1:6">
      <c r="A654" s="146"/>
      <c r="B654" s="64"/>
      <c r="C654" s="64"/>
      <c r="D654" s="64"/>
      <c r="E654" s="85"/>
      <c r="F654" s="62"/>
    </row>
    <row r="655" spans="1:6">
      <c r="A655" s="146"/>
      <c r="B655" s="64"/>
      <c r="C655" s="64"/>
      <c r="D655" s="64"/>
      <c r="E655" s="85"/>
      <c r="F655" s="62"/>
    </row>
    <row r="656" spans="1:6">
      <c r="A656" s="146"/>
      <c r="B656" s="64"/>
      <c r="C656" s="64"/>
      <c r="D656" s="64"/>
      <c r="E656" s="85"/>
      <c r="F656" s="62"/>
    </row>
    <row r="657" spans="1:6">
      <c r="A657" s="146"/>
      <c r="B657" s="64"/>
      <c r="C657" s="64"/>
      <c r="D657" s="64"/>
      <c r="E657" s="85"/>
      <c r="F657" s="62"/>
    </row>
    <row r="658" spans="1:6">
      <c r="A658" s="146"/>
      <c r="B658" s="64"/>
      <c r="C658" s="64"/>
      <c r="D658" s="64"/>
      <c r="E658" s="85"/>
      <c r="F658" s="62"/>
    </row>
    <row r="659" spans="1:6">
      <c r="A659" s="146"/>
      <c r="B659" s="64"/>
      <c r="C659" s="64"/>
      <c r="D659" s="64"/>
      <c r="E659" s="85"/>
      <c r="F659" s="62"/>
    </row>
    <row r="660" spans="1:6">
      <c r="A660" s="146"/>
      <c r="B660" s="64"/>
      <c r="C660" s="64"/>
      <c r="D660" s="64"/>
      <c r="E660" s="85"/>
      <c r="F660" s="62"/>
    </row>
    <row r="661" spans="1:6">
      <c r="A661" s="146"/>
      <c r="B661" s="64"/>
      <c r="C661" s="64"/>
      <c r="D661" s="64"/>
      <c r="E661" s="85"/>
      <c r="F661" s="62"/>
    </row>
    <row r="662" spans="1:6">
      <c r="A662" s="146"/>
      <c r="B662" s="64"/>
      <c r="C662" s="64"/>
      <c r="D662" s="64"/>
      <c r="E662" s="85"/>
      <c r="F662" s="62"/>
    </row>
    <row r="663" spans="1:6">
      <c r="A663" s="146"/>
      <c r="B663" s="64"/>
      <c r="C663" s="64"/>
      <c r="D663" s="64"/>
      <c r="E663" s="85"/>
      <c r="F663" s="62"/>
    </row>
    <row r="664" spans="1:6">
      <c r="A664" s="146"/>
      <c r="B664" s="64"/>
      <c r="C664" s="64"/>
      <c r="D664" s="64"/>
      <c r="E664" s="85"/>
      <c r="F664" s="62"/>
    </row>
    <row r="665" spans="1:6">
      <c r="A665" s="146"/>
      <c r="B665" s="64"/>
      <c r="C665" s="64"/>
      <c r="D665" s="64"/>
      <c r="E665" s="85"/>
      <c r="F665" s="62"/>
    </row>
    <row r="666" spans="1:6">
      <c r="A666" s="146"/>
      <c r="B666" s="64"/>
      <c r="C666" s="64"/>
      <c r="D666" s="64"/>
      <c r="E666" s="85"/>
      <c r="F666" s="62"/>
    </row>
    <row r="667" spans="1:6">
      <c r="A667" s="146"/>
      <c r="B667" s="64"/>
      <c r="C667" s="64"/>
      <c r="D667" s="64"/>
      <c r="E667" s="85"/>
      <c r="F667" s="62"/>
    </row>
    <row r="668" spans="1:6">
      <c r="A668" s="146"/>
      <c r="B668" s="64"/>
      <c r="C668" s="64"/>
      <c r="D668" s="64"/>
      <c r="E668" s="85"/>
      <c r="F668" s="62"/>
    </row>
    <row r="669" spans="1:6">
      <c r="A669" s="146"/>
      <c r="B669" s="64"/>
      <c r="C669" s="64"/>
      <c r="D669" s="64"/>
      <c r="E669" s="85"/>
      <c r="F669" s="62"/>
    </row>
    <row r="670" spans="1:6">
      <c r="A670" s="146"/>
      <c r="B670" s="64"/>
      <c r="C670" s="64"/>
      <c r="D670" s="64"/>
      <c r="E670" s="85"/>
      <c r="F670" s="62"/>
    </row>
    <row r="671" spans="1:6">
      <c r="A671" s="146"/>
      <c r="B671" s="64"/>
      <c r="C671" s="64"/>
      <c r="D671" s="64"/>
      <c r="E671" s="85"/>
      <c r="F671" s="62"/>
    </row>
    <row r="672" spans="1:6">
      <c r="A672" s="146"/>
      <c r="B672" s="64"/>
      <c r="C672" s="64"/>
      <c r="D672" s="64"/>
      <c r="E672" s="85"/>
      <c r="F672" s="62"/>
    </row>
    <row r="673" spans="1:6">
      <c r="A673" s="146"/>
      <c r="B673" s="64"/>
      <c r="C673" s="64"/>
      <c r="D673" s="64"/>
      <c r="E673" s="85"/>
      <c r="F673" s="62"/>
    </row>
    <row r="674" spans="1:6">
      <c r="A674" s="146"/>
      <c r="B674" s="64"/>
      <c r="C674" s="64"/>
      <c r="D674" s="64"/>
      <c r="E674" s="85"/>
      <c r="F674" s="62"/>
    </row>
    <row r="675" spans="1:6">
      <c r="A675" s="146"/>
      <c r="B675" s="64"/>
      <c r="C675" s="64"/>
      <c r="D675" s="64"/>
      <c r="E675" s="85"/>
      <c r="F675" s="62"/>
    </row>
    <row r="676" spans="1:6">
      <c r="A676" s="146"/>
      <c r="B676" s="64"/>
      <c r="C676" s="64"/>
      <c r="D676" s="64"/>
      <c r="E676" s="85"/>
      <c r="F676" s="62"/>
    </row>
    <row r="677" spans="1:6">
      <c r="A677" s="146"/>
      <c r="B677" s="64"/>
      <c r="C677" s="64"/>
      <c r="D677" s="64"/>
      <c r="E677" s="85"/>
      <c r="F677" s="62"/>
    </row>
    <row r="678" spans="1:6">
      <c r="A678" s="146"/>
      <c r="B678" s="64"/>
      <c r="C678" s="64"/>
      <c r="D678" s="64"/>
      <c r="E678" s="85"/>
      <c r="F678" s="62"/>
    </row>
    <row r="679" spans="1:6">
      <c r="A679" s="146"/>
      <c r="B679" s="64"/>
      <c r="C679" s="64"/>
      <c r="D679" s="64"/>
      <c r="E679" s="85"/>
      <c r="F679" s="62"/>
    </row>
    <row r="680" spans="1:6">
      <c r="A680" s="146"/>
      <c r="B680" s="64"/>
      <c r="C680" s="64"/>
      <c r="D680" s="64"/>
      <c r="E680" s="85"/>
      <c r="F680" s="62"/>
    </row>
    <row r="681" spans="1:6">
      <c r="A681" s="146"/>
      <c r="B681" s="64"/>
      <c r="C681" s="64"/>
      <c r="D681" s="64"/>
      <c r="E681" s="85"/>
      <c r="F681" s="62"/>
    </row>
    <row r="682" spans="1:6">
      <c r="A682" s="146"/>
      <c r="B682" s="64"/>
      <c r="C682" s="64"/>
      <c r="D682" s="64"/>
      <c r="E682" s="85"/>
      <c r="F682" s="62"/>
    </row>
    <row r="683" spans="1:6">
      <c r="A683" s="146"/>
      <c r="B683" s="64"/>
      <c r="C683" s="64"/>
      <c r="D683" s="64"/>
      <c r="E683" s="85"/>
      <c r="F683" s="62"/>
    </row>
    <row r="684" spans="1:6">
      <c r="A684" s="146"/>
      <c r="B684" s="64"/>
      <c r="C684" s="64"/>
      <c r="D684" s="64"/>
      <c r="E684" s="85"/>
      <c r="F684" s="62"/>
    </row>
    <row r="685" spans="1:6">
      <c r="A685" s="146"/>
      <c r="B685" s="64"/>
      <c r="C685" s="64"/>
      <c r="D685" s="64"/>
      <c r="E685" s="85"/>
      <c r="F685" s="62"/>
    </row>
    <row r="686" spans="1:6">
      <c r="A686" s="146"/>
      <c r="B686" s="64"/>
      <c r="C686" s="64"/>
      <c r="D686" s="64"/>
      <c r="E686" s="85"/>
      <c r="F686" s="62"/>
    </row>
    <row r="687" spans="1:6">
      <c r="A687" s="146"/>
      <c r="B687" s="64"/>
      <c r="C687" s="64"/>
      <c r="D687" s="64"/>
      <c r="E687" s="85"/>
      <c r="F687" s="62"/>
    </row>
    <row r="688" spans="1:6">
      <c r="A688" s="146"/>
      <c r="B688" s="64"/>
      <c r="C688" s="64"/>
      <c r="D688" s="64"/>
      <c r="E688" s="85"/>
      <c r="F688" s="62"/>
    </row>
    <row r="689" spans="1:6">
      <c r="A689" s="146"/>
      <c r="B689" s="64"/>
      <c r="C689" s="64"/>
      <c r="D689" s="64"/>
      <c r="E689" s="85"/>
      <c r="F689" s="62"/>
    </row>
    <row r="690" spans="1:6">
      <c r="A690" s="146"/>
      <c r="B690" s="64"/>
      <c r="C690" s="64"/>
      <c r="D690" s="64"/>
      <c r="E690" s="85"/>
      <c r="F690" s="62"/>
    </row>
    <row r="691" spans="1:6">
      <c r="A691" s="146"/>
      <c r="B691" s="64"/>
      <c r="C691" s="64"/>
      <c r="D691" s="64"/>
      <c r="E691" s="85"/>
      <c r="F691" s="62"/>
    </row>
    <row r="692" spans="1:6">
      <c r="A692" s="146"/>
      <c r="B692" s="64"/>
      <c r="C692" s="64"/>
      <c r="D692" s="64"/>
      <c r="E692" s="85"/>
      <c r="F692" s="62"/>
    </row>
    <row r="693" spans="1:6">
      <c r="A693" s="146"/>
      <c r="B693" s="64"/>
      <c r="C693" s="64"/>
      <c r="D693" s="64"/>
      <c r="E693" s="85"/>
      <c r="F693" s="62"/>
    </row>
    <row r="694" spans="1:6">
      <c r="A694" s="146"/>
      <c r="B694" s="64"/>
      <c r="C694" s="64"/>
      <c r="D694" s="64"/>
      <c r="E694" s="85"/>
      <c r="F694" s="62"/>
    </row>
    <row r="695" spans="1:6">
      <c r="A695" s="146"/>
      <c r="B695" s="64"/>
      <c r="C695" s="64"/>
      <c r="D695" s="64"/>
      <c r="E695" s="85"/>
      <c r="F695" s="62"/>
    </row>
    <row r="696" spans="1:6">
      <c r="A696" s="146"/>
      <c r="B696" s="64"/>
      <c r="C696" s="64"/>
      <c r="D696" s="64"/>
      <c r="E696" s="85"/>
      <c r="F696" s="62"/>
    </row>
    <row r="697" spans="1:6">
      <c r="A697" s="146"/>
      <c r="B697" s="64"/>
      <c r="C697" s="64"/>
      <c r="D697" s="64"/>
      <c r="E697" s="85"/>
      <c r="F697" s="62"/>
    </row>
    <row r="698" spans="1:6">
      <c r="A698" s="146"/>
      <c r="B698" s="64"/>
      <c r="C698" s="64"/>
      <c r="D698" s="64"/>
      <c r="E698" s="85"/>
      <c r="F698" s="62"/>
    </row>
    <row r="699" spans="1:6">
      <c r="A699" s="146"/>
      <c r="B699" s="64"/>
      <c r="C699" s="64"/>
      <c r="D699" s="64"/>
      <c r="E699" s="85"/>
      <c r="F699" s="62"/>
    </row>
    <row r="700" spans="1:6">
      <c r="A700" s="146"/>
      <c r="B700" s="64"/>
      <c r="C700" s="64"/>
      <c r="D700" s="64"/>
      <c r="E700" s="85"/>
      <c r="F700" s="62"/>
    </row>
    <row r="701" spans="1:6">
      <c r="A701" s="146"/>
      <c r="B701" s="64"/>
      <c r="C701" s="64"/>
      <c r="D701" s="64"/>
      <c r="E701" s="85"/>
      <c r="F701" s="62"/>
    </row>
    <row r="702" spans="1:6">
      <c r="A702" s="146"/>
      <c r="B702" s="64"/>
      <c r="C702" s="64"/>
      <c r="D702" s="64"/>
      <c r="E702" s="85"/>
      <c r="F702" s="62"/>
    </row>
    <row r="703" spans="1:6">
      <c r="A703" s="146"/>
      <c r="B703" s="64"/>
      <c r="C703" s="64"/>
      <c r="D703" s="64"/>
      <c r="E703" s="85"/>
      <c r="F703" s="62"/>
    </row>
    <row r="704" spans="1:6">
      <c r="A704" s="146"/>
      <c r="B704" s="64"/>
      <c r="C704" s="64"/>
      <c r="D704" s="64"/>
      <c r="E704" s="85"/>
      <c r="F704" s="62"/>
    </row>
    <row r="705" spans="1:6">
      <c r="A705" s="146"/>
      <c r="B705" s="64"/>
      <c r="C705" s="64"/>
      <c r="D705" s="64"/>
      <c r="E705" s="85"/>
      <c r="F705" s="62"/>
    </row>
    <row r="706" spans="1:6">
      <c r="A706" s="146"/>
      <c r="B706" s="64"/>
      <c r="C706" s="64"/>
      <c r="D706" s="64"/>
      <c r="E706" s="85"/>
      <c r="F706" s="62"/>
    </row>
    <row r="707" spans="1:6">
      <c r="A707" s="146"/>
      <c r="B707" s="64"/>
      <c r="C707" s="64"/>
      <c r="D707" s="64"/>
      <c r="E707" s="85"/>
      <c r="F707" s="62"/>
    </row>
    <row r="708" spans="1:6">
      <c r="A708" s="146"/>
      <c r="B708" s="64"/>
      <c r="C708" s="64"/>
      <c r="D708" s="64"/>
      <c r="E708" s="85"/>
      <c r="F708" s="62"/>
    </row>
    <row r="709" spans="1:6">
      <c r="A709" s="146"/>
      <c r="B709" s="64"/>
      <c r="C709" s="64"/>
      <c r="D709" s="64"/>
      <c r="E709" s="85"/>
      <c r="F709" s="62"/>
    </row>
    <row r="710" spans="1:6">
      <c r="A710" s="146"/>
      <c r="B710" s="64"/>
      <c r="C710" s="64"/>
      <c r="D710" s="64"/>
      <c r="E710" s="85"/>
      <c r="F710" s="62"/>
    </row>
    <row r="711" spans="1:6">
      <c r="A711" s="146"/>
      <c r="B711" s="64"/>
      <c r="C711" s="64"/>
      <c r="D711" s="64"/>
      <c r="E711" s="85"/>
      <c r="F711" s="62"/>
    </row>
    <row r="712" spans="1:6">
      <c r="A712" s="146"/>
      <c r="B712" s="64"/>
      <c r="C712" s="64"/>
      <c r="D712" s="64"/>
      <c r="E712" s="85"/>
      <c r="F712" s="62"/>
    </row>
    <row r="713" spans="1:6">
      <c r="A713" s="146"/>
      <c r="B713" s="64"/>
      <c r="C713" s="64"/>
      <c r="D713" s="64"/>
      <c r="E713" s="85"/>
      <c r="F713" s="62"/>
    </row>
    <row r="714" spans="1:6">
      <c r="A714" s="146"/>
      <c r="B714" s="64"/>
      <c r="C714" s="64"/>
      <c r="D714" s="64"/>
      <c r="E714" s="85"/>
      <c r="F714" s="62"/>
    </row>
    <row r="715" spans="1:6">
      <c r="A715" s="146"/>
      <c r="B715" s="64"/>
      <c r="C715" s="64"/>
      <c r="D715" s="64"/>
      <c r="E715" s="85"/>
      <c r="F715" s="62"/>
    </row>
    <row r="716" spans="1:6">
      <c r="A716" s="146"/>
      <c r="B716" s="64"/>
      <c r="C716" s="64"/>
      <c r="D716" s="64"/>
      <c r="E716" s="85"/>
      <c r="F716" s="62"/>
    </row>
    <row r="717" spans="1:6">
      <c r="A717" s="146"/>
      <c r="B717" s="64"/>
      <c r="C717" s="64"/>
      <c r="D717" s="64"/>
      <c r="E717" s="85"/>
      <c r="F717" s="62"/>
    </row>
    <row r="718" spans="1:6">
      <c r="A718" s="146"/>
      <c r="B718" s="64"/>
      <c r="C718" s="64"/>
      <c r="D718" s="64"/>
      <c r="E718" s="85"/>
      <c r="F718" s="62"/>
    </row>
    <row r="719" spans="1:6">
      <c r="A719" s="146"/>
      <c r="B719" s="64"/>
      <c r="C719" s="64"/>
      <c r="D719" s="64"/>
      <c r="E719" s="85"/>
      <c r="F719" s="62"/>
    </row>
    <row r="720" spans="1:6">
      <c r="A720" s="146"/>
      <c r="B720" s="64"/>
      <c r="C720" s="64"/>
      <c r="D720" s="64"/>
      <c r="E720" s="85"/>
      <c r="F720" s="62"/>
    </row>
    <row r="721" spans="1:6">
      <c r="A721" s="146"/>
      <c r="B721" s="64"/>
      <c r="C721" s="64"/>
      <c r="D721" s="64"/>
      <c r="E721" s="85"/>
      <c r="F721" s="62"/>
    </row>
    <row r="722" spans="1:6">
      <c r="A722" s="146"/>
      <c r="B722" s="64"/>
      <c r="C722" s="64"/>
      <c r="D722" s="64"/>
      <c r="E722" s="85"/>
      <c r="F722" s="62"/>
    </row>
    <row r="723" spans="1:6">
      <c r="A723" s="146"/>
      <c r="B723" s="64"/>
      <c r="C723" s="64"/>
      <c r="D723" s="64"/>
      <c r="E723" s="85"/>
      <c r="F723" s="62"/>
    </row>
    <row r="724" spans="1:6">
      <c r="A724" s="146"/>
      <c r="B724" s="64"/>
      <c r="C724" s="64"/>
      <c r="D724" s="64"/>
      <c r="E724" s="85"/>
      <c r="F724" s="62"/>
    </row>
    <row r="725" spans="1:6">
      <c r="A725" s="146"/>
      <c r="B725" s="64"/>
      <c r="C725" s="64"/>
      <c r="D725" s="64"/>
      <c r="E725" s="85"/>
      <c r="F725" s="62"/>
    </row>
    <row r="726" spans="1:6">
      <c r="A726" s="146"/>
      <c r="B726" s="64"/>
      <c r="C726" s="64"/>
      <c r="D726" s="64"/>
      <c r="E726" s="85"/>
      <c r="F726" s="62"/>
    </row>
    <row r="727" spans="1:6">
      <c r="A727" s="146"/>
      <c r="B727" s="64"/>
      <c r="C727" s="64"/>
      <c r="D727" s="64"/>
      <c r="E727" s="85"/>
      <c r="F727" s="62"/>
    </row>
    <row r="728" spans="1:6">
      <c r="A728" s="146"/>
      <c r="B728" s="64"/>
      <c r="C728" s="64"/>
      <c r="D728" s="64"/>
      <c r="E728" s="85"/>
      <c r="F728" s="62"/>
    </row>
    <row r="729" spans="1:6">
      <c r="A729" s="146"/>
      <c r="B729" s="64"/>
      <c r="C729" s="64"/>
      <c r="D729" s="64"/>
      <c r="E729" s="85"/>
      <c r="F729" s="62"/>
    </row>
    <row r="730" spans="1:6">
      <c r="A730" s="146"/>
      <c r="B730" s="64"/>
      <c r="C730" s="64"/>
      <c r="D730" s="64"/>
      <c r="E730" s="85"/>
      <c r="F730" s="62"/>
    </row>
    <row r="731" spans="1:6">
      <c r="A731" s="146"/>
      <c r="B731" s="64"/>
      <c r="C731" s="64"/>
      <c r="D731" s="64"/>
      <c r="E731" s="85"/>
      <c r="F731" s="62"/>
    </row>
    <row r="732" spans="1:6">
      <c r="A732" s="146"/>
      <c r="B732" s="64"/>
      <c r="C732" s="64"/>
      <c r="D732" s="64"/>
      <c r="E732" s="85"/>
      <c r="F732" s="62"/>
    </row>
    <row r="733" spans="1:6">
      <c r="A733" s="146"/>
      <c r="B733" s="64"/>
      <c r="C733" s="64"/>
      <c r="D733" s="64"/>
      <c r="E733" s="85"/>
      <c r="F733" s="62"/>
    </row>
    <row r="734" spans="1:6">
      <c r="A734" s="146"/>
      <c r="B734" s="64"/>
      <c r="C734" s="64"/>
      <c r="D734" s="64"/>
      <c r="E734" s="85"/>
      <c r="F734" s="62"/>
    </row>
    <row r="735" spans="1:6">
      <c r="A735" s="146"/>
      <c r="B735" s="64"/>
      <c r="C735" s="64"/>
      <c r="D735" s="64"/>
      <c r="E735" s="85"/>
      <c r="F735" s="62"/>
    </row>
    <row r="736" spans="1:6">
      <c r="A736" s="146"/>
      <c r="B736" s="64"/>
      <c r="C736" s="64"/>
      <c r="D736" s="64"/>
      <c r="E736" s="85"/>
      <c r="F736" s="62"/>
    </row>
    <row r="737" spans="1:6">
      <c r="A737" s="146"/>
      <c r="B737" s="64"/>
      <c r="C737" s="64"/>
      <c r="D737" s="64"/>
      <c r="E737" s="85"/>
      <c r="F737" s="62"/>
    </row>
    <row r="738" spans="1:6">
      <c r="A738" s="146"/>
      <c r="B738" s="64"/>
      <c r="C738" s="64"/>
      <c r="D738" s="64"/>
      <c r="E738" s="85"/>
      <c r="F738" s="62"/>
    </row>
    <row r="739" spans="1:6">
      <c r="A739" s="146"/>
      <c r="B739" s="64"/>
      <c r="C739" s="64"/>
      <c r="D739" s="64"/>
      <c r="E739" s="85"/>
      <c r="F739" s="62"/>
    </row>
    <row r="740" spans="1:6">
      <c r="A740" s="146"/>
      <c r="B740" s="64"/>
      <c r="C740" s="64"/>
      <c r="D740" s="64"/>
      <c r="E740" s="85"/>
      <c r="F740" s="62"/>
    </row>
    <row r="741" spans="1:6">
      <c r="A741" s="146"/>
      <c r="B741" s="64"/>
      <c r="C741" s="64"/>
      <c r="D741" s="64"/>
      <c r="E741" s="85"/>
      <c r="F741" s="62"/>
    </row>
    <row r="742" spans="1:6">
      <c r="A742" s="146"/>
      <c r="B742" s="64"/>
      <c r="C742" s="64"/>
      <c r="D742" s="64"/>
      <c r="E742" s="85"/>
      <c r="F742" s="62"/>
    </row>
    <row r="743" spans="1:6">
      <c r="A743" s="146"/>
      <c r="B743" s="64"/>
      <c r="C743" s="64"/>
      <c r="D743" s="64"/>
      <c r="E743" s="85"/>
      <c r="F743" s="62"/>
    </row>
    <row r="744" spans="1:6">
      <c r="A744" s="146"/>
      <c r="B744" s="64"/>
      <c r="C744" s="64"/>
      <c r="D744" s="64"/>
      <c r="E744" s="85"/>
      <c r="F744" s="62"/>
    </row>
    <row r="745" spans="1:6">
      <c r="A745" s="146"/>
      <c r="B745" s="64"/>
      <c r="C745" s="64"/>
      <c r="D745" s="64"/>
      <c r="E745" s="85"/>
      <c r="F745" s="62"/>
    </row>
    <row r="746" spans="1:6">
      <c r="A746" s="146"/>
      <c r="B746" s="64"/>
      <c r="C746" s="64"/>
      <c r="D746" s="64"/>
      <c r="E746" s="85"/>
      <c r="F746" s="62"/>
    </row>
    <row r="747" spans="1:6">
      <c r="A747" s="146"/>
      <c r="B747" s="64"/>
      <c r="C747" s="64"/>
      <c r="D747" s="64"/>
      <c r="E747" s="85"/>
      <c r="F747" s="62"/>
    </row>
    <row r="748" spans="1:6">
      <c r="A748" s="146"/>
      <c r="B748" s="64"/>
      <c r="C748" s="64"/>
      <c r="D748" s="64"/>
      <c r="E748" s="85"/>
      <c r="F748" s="62"/>
    </row>
    <row r="749" spans="1:6">
      <c r="A749" s="146"/>
      <c r="B749" s="64"/>
      <c r="C749" s="64"/>
      <c r="D749" s="64"/>
      <c r="E749" s="85"/>
      <c r="F749" s="62"/>
    </row>
    <row r="750" spans="1:6">
      <c r="A750" s="146"/>
      <c r="B750" s="64"/>
      <c r="C750" s="64"/>
      <c r="D750" s="64"/>
      <c r="E750" s="85"/>
      <c r="F750" s="62"/>
    </row>
    <row r="751" spans="1:6">
      <c r="A751" s="146"/>
      <c r="B751" s="64"/>
      <c r="C751" s="64"/>
      <c r="D751" s="64"/>
      <c r="E751" s="85"/>
      <c r="F751" s="62"/>
    </row>
    <row r="752" spans="1:6">
      <c r="A752" s="146"/>
      <c r="B752" s="64"/>
      <c r="C752" s="64"/>
      <c r="D752" s="64"/>
      <c r="E752" s="85"/>
      <c r="F752" s="62"/>
    </row>
    <row r="753" spans="1:6">
      <c r="A753" s="146"/>
      <c r="B753" s="64"/>
      <c r="C753" s="64"/>
      <c r="D753" s="64"/>
      <c r="E753" s="85"/>
      <c r="F753" s="62"/>
    </row>
    <row r="754" spans="1:6">
      <c r="A754" s="146"/>
      <c r="B754" s="64"/>
      <c r="C754" s="64"/>
      <c r="D754" s="64"/>
      <c r="E754" s="85"/>
      <c r="F754" s="62"/>
    </row>
    <row r="755" spans="1:6">
      <c r="A755" s="146"/>
      <c r="B755" s="64"/>
      <c r="C755" s="64"/>
      <c r="D755" s="64"/>
      <c r="E755" s="85"/>
      <c r="F755" s="62"/>
    </row>
    <row r="756" spans="1:6">
      <c r="A756" s="146"/>
      <c r="B756" s="64"/>
      <c r="C756" s="64"/>
      <c r="D756" s="64"/>
      <c r="E756" s="85"/>
      <c r="F756" s="62"/>
    </row>
    <row r="757" spans="1:6">
      <c r="A757" s="146"/>
      <c r="B757" s="64"/>
      <c r="C757" s="64"/>
      <c r="D757" s="64"/>
      <c r="E757" s="85"/>
      <c r="F757" s="62"/>
    </row>
    <row r="758" spans="1:6">
      <c r="A758" s="146"/>
      <c r="B758" s="64"/>
      <c r="C758" s="64"/>
      <c r="D758" s="64"/>
      <c r="E758" s="85"/>
      <c r="F758" s="62"/>
    </row>
    <row r="759" spans="1:6">
      <c r="A759" s="146"/>
      <c r="B759" s="64"/>
      <c r="C759" s="64"/>
      <c r="D759" s="64"/>
      <c r="E759" s="85"/>
      <c r="F759" s="62"/>
    </row>
    <row r="760" spans="1:6">
      <c r="A760" s="146"/>
      <c r="B760" s="64"/>
      <c r="C760" s="64"/>
      <c r="D760" s="64"/>
      <c r="E760" s="85"/>
      <c r="F760" s="62"/>
    </row>
    <row r="761" spans="1:6">
      <c r="A761" s="146"/>
      <c r="B761" s="64"/>
      <c r="C761" s="64"/>
      <c r="D761" s="64"/>
      <c r="E761" s="85"/>
      <c r="F761" s="62"/>
    </row>
    <row r="762" spans="1:6">
      <c r="A762" s="146"/>
      <c r="B762" s="64"/>
      <c r="C762" s="64"/>
      <c r="D762" s="64"/>
      <c r="E762" s="85"/>
      <c r="F762" s="62"/>
    </row>
    <row r="763" spans="1:6">
      <c r="A763" s="146"/>
      <c r="B763" s="64"/>
      <c r="C763" s="64"/>
      <c r="D763" s="64"/>
      <c r="E763" s="85"/>
      <c r="F763" s="62"/>
    </row>
    <row r="764" spans="1:6">
      <c r="A764" s="146"/>
      <c r="B764" s="64"/>
      <c r="C764" s="64"/>
      <c r="D764" s="64"/>
      <c r="E764" s="85"/>
      <c r="F764" s="62"/>
    </row>
    <row r="765" spans="1:6">
      <c r="A765" s="146"/>
      <c r="B765" s="64"/>
      <c r="C765" s="64"/>
      <c r="D765" s="64"/>
      <c r="E765" s="85"/>
      <c r="F765" s="62"/>
    </row>
    <row r="766" spans="1:6">
      <c r="A766" s="146"/>
      <c r="B766" s="64"/>
      <c r="C766" s="64"/>
      <c r="D766" s="64"/>
      <c r="E766" s="85"/>
      <c r="F766" s="62"/>
    </row>
    <row r="767" spans="1:6">
      <c r="A767" s="146"/>
      <c r="B767" s="64"/>
      <c r="C767" s="64"/>
      <c r="D767" s="64"/>
      <c r="E767" s="85"/>
      <c r="F767" s="62"/>
    </row>
    <row r="768" spans="1:6">
      <c r="A768" s="146"/>
      <c r="B768" s="64"/>
      <c r="C768" s="64"/>
      <c r="D768" s="64"/>
      <c r="E768" s="85"/>
      <c r="F768" s="62"/>
    </row>
    <row r="769" spans="1:6">
      <c r="A769" s="146"/>
      <c r="B769" s="64"/>
      <c r="C769" s="64"/>
      <c r="D769" s="64"/>
      <c r="E769" s="85"/>
      <c r="F769" s="62"/>
    </row>
    <row r="770" spans="1:6">
      <c r="A770" s="146"/>
      <c r="B770" s="64"/>
      <c r="C770" s="64"/>
      <c r="D770" s="64"/>
      <c r="E770" s="85"/>
      <c r="F770" s="62"/>
    </row>
    <row r="771" spans="1:6">
      <c r="A771" s="146"/>
      <c r="B771" s="64"/>
      <c r="C771" s="64"/>
      <c r="D771" s="64"/>
      <c r="E771" s="85"/>
      <c r="F771" s="62"/>
    </row>
    <row r="772" spans="1:6">
      <c r="A772" s="146"/>
      <c r="B772" s="64"/>
      <c r="C772" s="64"/>
      <c r="D772" s="64"/>
      <c r="E772" s="85"/>
      <c r="F772" s="62"/>
    </row>
    <row r="773" spans="1:6">
      <c r="A773" s="146"/>
      <c r="B773" s="64"/>
      <c r="C773" s="64"/>
      <c r="D773" s="64"/>
      <c r="E773" s="85"/>
      <c r="F773" s="62"/>
    </row>
    <row r="774" spans="1:6">
      <c r="A774" s="146"/>
      <c r="B774" s="64"/>
      <c r="C774" s="64"/>
      <c r="D774" s="64"/>
      <c r="E774" s="85"/>
      <c r="F774" s="62"/>
    </row>
    <row r="775" spans="1:6">
      <c r="A775" s="146"/>
      <c r="B775" s="64"/>
      <c r="C775" s="64"/>
      <c r="D775" s="64"/>
      <c r="E775" s="85"/>
      <c r="F775" s="62"/>
    </row>
    <row r="776" spans="1:6">
      <c r="A776" s="146"/>
      <c r="B776" s="64"/>
      <c r="C776" s="64"/>
      <c r="D776" s="64"/>
      <c r="E776" s="85"/>
      <c r="F776" s="62"/>
    </row>
    <row r="777" spans="1:6">
      <c r="A777" s="146"/>
      <c r="B777" s="64"/>
      <c r="C777" s="64"/>
      <c r="D777" s="64"/>
      <c r="E777" s="85"/>
      <c r="F777" s="62"/>
    </row>
    <row r="778" spans="1:6">
      <c r="A778" s="146"/>
      <c r="B778" s="64"/>
      <c r="C778" s="64"/>
      <c r="D778" s="64"/>
      <c r="E778" s="85"/>
      <c r="F778" s="62"/>
    </row>
    <row r="779" spans="1:6">
      <c r="A779" s="146"/>
      <c r="B779" s="64"/>
      <c r="C779" s="64"/>
      <c r="D779" s="64"/>
      <c r="E779" s="85"/>
      <c r="F779" s="62"/>
    </row>
    <row r="780" spans="1:6">
      <c r="A780" s="146"/>
      <c r="B780" s="64"/>
      <c r="C780" s="64"/>
      <c r="D780" s="64"/>
      <c r="E780" s="85"/>
      <c r="F780" s="62"/>
    </row>
    <row r="781" spans="1:6">
      <c r="A781" s="146"/>
      <c r="B781" s="64"/>
      <c r="C781" s="64"/>
      <c r="D781" s="64"/>
      <c r="E781" s="85"/>
      <c r="F781" s="62"/>
    </row>
    <row r="782" spans="1:6">
      <c r="A782" s="146"/>
      <c r="B782" s="64"/>
      <c r="C782" s="64"/>
      <c r="D782" s="64"/>
      <c r="E782" s="85"/>
      <c r="F782" s="62"/>
    </row>
    <row r="783" spans="1:6">
      <c r="A783" s="146"/>
      <c r="B783" s="64"/>
      <c r="C783" s="64"/>
      <c r="D783" s="64"/>
      <c r="E783" s="85"/>
      <c r="F783" s="62"/>
    </row>
    <row r="784" spans="1:6">
      <c r="A784" s="146"/>
      <c r="B784" s="64"/>
      <c r="C784" s="64"/>
      <c r="D784" s="64"/>
      <c r="E784" s="85"/>
      <c r="F784" s="62"/>
    </row>
    <row r="785" spans="1:6">
      <c r="A785" s="146"/>
      <c r="B785" s="64"/>
      <c r="C785" s="64"/>
      <c r="D785" s="64"/>
      <c r="E785" s="85"/>
      <c r="F785" s="62"/>
    </row>
    <row r="786" spans="1:6">
      <c r="A786" s="146"/>
      <c r="B786" s="64"/>
      <c r="C786" s="64"/>
      <c r="D786" s="64"/>
      <c r="E786" s="85"/>
      <c r="F786" s="62"/>
    </row>
    <row r="787" spans="1:6">
      <c r="A787" s="146"/>
      <c r="B787" s="64"/>
      <c r="C787" s="64"/>
      <c r="D787" s="64"/>
      <c r="E787" s="85"/>
      <c r="F787" s="62"/>
    </row>
    <row r="788" spans="1:6">
      <c r="A788" s="146"/>
      <c r="B788" s="64"/>
      <c r="C788" s="64"/>
      <c r="D788" s="64"/>
      <c r="E788" s="85"/>
      <c r="F788" s="62"/>
    </row>
    <row r="789" spans="1:6">
      <c r="A789" s="146"/>
      <c r="B789" s="64"/>
      <c r="C789" s="64"/>
      <c r="D789" s="64"/>
      <c r="E789" s="85"/>
      <c r="F789" s="62"/>
    </row>
    <row r="790" spans="1:6">
      <c r="A790" s="146"/>
      <c r="B790" s="64"/>
      <c r="C790" s="64"/>
      <c r="D790" s="64"/>
      <c r="E790" s="85"/>
      <c r="F790" s="62"/>
    </row>
    <row r="791" spans="1:6">
      <c r="A791" s="146"/>
      <c r="B791" s="64"/>
      <c r="C791" s="64"/>
      <c r="D791" s="64"/>
      <c r="E791" s="85"/>
      <c r="F791" s="62"/>
    </row>
    <row r="792" spans="1:6">
      <c r="A792" s="146"/>
      <c r="B792" s="64"/>
      <c r="C792" s="64"/>
      <c r="D792" s="64"/>
      <c r="E792" s="85"/>
      <c r="F792" s="62"/>
    </row>
    <row r="793" spans="1:6">
      <c r="A793" s="146"/>
      <c r="B793" s="64"/>
      <c r="C793" s="64"/>
      <c r="D793" s="64"/>
      <c r="E793" s="85"/>
      <c r="F793" s="62"/>
    </row>
    <row r="794" spans="1:6">
      <c r="A794" s="146"/>
      <c r="B794" s="64"/>
      <c r="C794" s="64"/>
      <c r="D794" s="64"/>
      <c r="E794" s="85"/>
      <c r="F794" s="62"/>
    </row>
    <row r="795" spans="1:6">
      <c r="A795" s="146"/>
      <c r="B795" s="64"/>
      <c r="C795" s="64"/>
      <c r="D795" s="64"/>
      <c r="E795" s="85"/>
      <c r="F795" s="62"/>
    </row>
    <row r="796" spans="1:6">
      <c r="A796" s="146"/>
      <c r="B796" s="64"/>
      <c r="C796" s="64"/>
      <c r="D796" s="64"/>
      <c r="E796" s="85"/>
      <c r="F796" s="62"/>
    </row>
    <row r="797" spans="1:6">
      <c r="A797" s="146"/>
      <c r="B797" s="64"/>
      <c r="C797" s="64"/>
      <c r="D797" s="64"/>
      <c r="E797" s="85"/>
      <c r="F797" s="62"/>
    </row>
    <row r="798" spans="1:6">
      <c r="A798" s="146"/>
      <c r="B798" s="64"/>
      <c r="C798" s="64"/>
      <c r="D798" s="64"/>
      <c r="E798" s="85"/>
      <c r="F798" s="62"/>
    </row>
    <row r="799" spans="1:6">
      <c r="A799" s="146"/>
      <c r="B799" s="64"/>
      <c r="C799" s="64"/>
      <c r="D799" s="64"/>
      <c r="E799" s="85"/>
      <c r="F799" s="62"/>
    </row>
    <row r="800" spans="1:6">
      <c r="A800" s="146"/>
      <c r="B800" s="64"/>
      <c r="C800" s="64"/>
      <c r="D800" s="64"/>
      <c r="E800" s="85"/>
      <c r="F800" s="62"/>
    </row>
    <row r="801" spans="1:6">
      <c r="A801" s="146"/>
      <c r="B801" s="64"/>
      <c r="C801" s="64"/>
      <c r="D801" s="64"/>
      <c r="E801" s="85"/>
      <c r="F801" s="62"/>
    </row>
    <row r="802" spans="1:6">
      <c r="A802" s="146"/>
      <c r="B802" s="64"/>
      <c r="C802" s="64"/>
      <c r="D802" s="64"/>
      <c r="E802" s="85"/>
      <c r="F802" s="62"/>
    </row>
    <row r="803" spans="1:6">
      <c r="A803" s="146"/>
      <c r="B803" s="64"/>
      <c r="C803" s="64"/>
      <c r="D803" s="64"/>
      <c r="E803" s="85"/>
      <c r="F803" s="62"/>
    </row>
    <row r="804" spans="1:6">
      <c r="A804" s="146"/>
      <c r="B804" s="64"/>
      <c r="C804" s="64"/>
      <c r="D804" s="64"/>
      <c r="E804" s="85"/>
      <c r="F804" s="62"/>
    </row>
    <row r="805" spans="1:6">
      <c r="A805" s="146"/>
      <c r="B805" s="64"/>
      <c r="C805" s="64"/>
      <c r="D805" s="64"/>
      <c r="E805" s="85"/>
      <c r="F805" s="62"/>
    </row>
    <row r="806" spans="1:6">
      <c r="A806" s="146"/>
      <c r="B806" s="64"/>
      <c r="C806" s="64"/>
      <c r="D806" s="64"/>
      <c r="E806" s="85"/>
      <c r="F806" s="62"/>
    </row>
    <row r="807" spans="1:6">
      <c r="A807" s="146"/>
      <c r="B807" s="64"/>
      <c r="C807" s="64"/>
      <c r="D807" s="64"/>
      <c r="E807" s="85"/>
      <c r="F807" s="62"/>
    </row>
    <row r="808" spans="1:6">
      <c r="A808" s="146"/>
      <c r="B808" s="64"/>
      <c r="C808" s="64"/>
      <c r="D808" s="64"/>
      <c r="E808" s="85"/>
      <c r="F808" s="62"/>
    </row>
    <row r="809" spans="1:6">
      <c r="A809" s="146"/>
      <c r="B809" s="64"/>
      <c r="C809" s="64"/>
      <c r="D809" s="64"/>
      <c r="E809" s="85"/>
      <c r="F809" s="62"/>
    </row>
    <row r="810" spans="1:6">
      <c r="A810" s="146"/>
      <c r="B810" s="64"/>
      <c r="C810" s="64"/>
      <c r="D810" s="64"/>
      <c r="E810" s="85"/>
      <c r="F810" s="62"/>
    </row>
    <row r="811" spans="1:6">
      <c r="A811" s="146"/>
      <c r="B811" s="64"/>
      <c r="C811" s="64"/>
      <c r="D811" s="64"/>
      <c r="E811" s="85"/>
      <c r="F811" s="62"/>
    </row>
    <row r="812" spans="1:6">
      <c r="A812" s="146"/>
      <c r="B812" s="64"/>
      <c r="C812" s="64"/>
      <c r="D812" s="64"/>
      <c r="E812" s="85"/>
      <c r="F812" s="62"/>
    </row>
    <row r="813" spans="1:6">
      <c r="A813" s="146"/>
      <c r="B813" s="64"/>
      <c r="C813" s="64"/>
      <c r="D813" s="64"/>
      <c r="E813" s="85"/>
      <c r="F813" s="62"/>
    </row>
    <row r="814" spans="1:6">
      <c r="A814" s="146"/>
      <c r="B814" s="64"/>
      <c r="C814" s="64"/>
      <c r="D814" s="64"/>
      <c r="E814" s="85"/>
      <c r="F814" s="62"/>
    </row>
    <row r="815" spans="1:6">
      <c r="A815" s="146"/>
      <c r="B815" s="64"/>
      <c r="C815" s="64"/>
      <c r="D815" s="64"/>
      <c r="E815" s="85"/>
      <c r="F815" s="62"/>
    </row>
    <row r="816" spans="1:6">
      <c r="A816" s="146"/>
      <c r="B816" s="64"/>
      <c r="C816" s="64"/>
      <c r="D816" s="64"/>
      <c r="E816" s="85"/>
      <c r="F816" s="62"/>
    </row>
    <row r="817" spans="1:6">
      <c r="A817" s="146"/>
      <c r="B817" s="64"/>
      <c r="C817" s="64"/>
      <c r="D817" s="64"/>
      <c r="E817" s="85"/>
      <c r="F817" s="62"/>
    </row>
    <row r="818" spans="1:6">
      <c r="A818" s="146"/>
      <c r="B818" s="64"/>
      <c r="C818" s="64"/>
      <c r="D818" s="64"/>
      <c r="E818" s="85"/>
      <c r="F818" s="62"/>
    </row>
    <row r="819" spans="1:6">
      <c r="A819" s="146"/>
      <c r="B819" s="64"/>
      <c r="C819" s="64"/>
      <c r="D819" s="64"/>
      <c r="E819" s="85"/>
      <c r="F819" s="62"/>
    </row>
    <row r="820" spans="1:6">
      <c r="A820" s="146"/>
      <c r="B820" s="64"/>
      <c r="C820" s="64"/>
      <c r="D820" s="64"/>
      <c r="E820" s="85"/>
      <c r="F820" s="62"/>
    </row>
    <row r="821" spans="1:6">
      <c r="A821" s="146"/>
      <c r="B821" s="64"/>
      <c r="C821" s="64"/>
      <c r="D821" s="64"/>
      <c r="E821" s="85"/>
      <c r="F821" s="62"/>
    </row>
    <row r="822" spans="1:6">
      <c r="A822" s="146"/>
      <c r="B822" s="64"/>
      <c r="C822" s="64"/>
      <c r="D822" s="64"/>
      <c r="E822" s="85"/>
      <c r="F822" s="62"/>
    </row>
    <row r="823" spans="1:6">
      <c r="A823" s="146"/>
      <c r="B823" s="64"/>
      <c r="C823" s="64"/>
      <c r="D823" s="64"/>
      <c r="E823" s="85"/>
      <c r="F823" s="62"/>
    </row>
    <row r="824" spans="1:6">
      <c r="A824" s="146"/>
      <c r="B824" s="64"/>
      <c r="C824" s="64"/>
      <c r="D824" s="64"/>
      <c r="E824" s="85"/>
      <c r="F824" s="62"/>
    </row>
    <row r="825" spans="1:6">
      <c r="A825" s="146"/>
      <c r="B825" s="64"/>
      <c r="C825" s="64"/>
      <c r="D825" s="64"/>
      <c r="E825" s="85"/>
      <c r="F825" s="62"/>
    </row>
    <row r="826" spans="1:6">
      <c r="A826" s="146"/>
      <c r="B826" s="64"/>
      <c r="C826" s="64"/>
      <c r="D826" s="64"/>
      <c r="E826" s="85"/>
      <c r="F826" s="62"/>
    </row>
    <row r="827" spans="1:6">
      <c r="A827" s="146"/>
      <c r="B827" s="64"/>
      <c r="C827" s="64"/>
      <c r="D827" s="64"/>
      <c r="E827" s="85"/>
      <c r="F827" s="62"/>
    </row>
    <row r="828" spans="1:6">
      <c r="A828" s="146"/>
      <c r="B828" s="64"/>
      <c r="C828" s="64"/>
      <c r="D828" s="64"/>
      <c r="E828" s="85"/>
      <c r="F828" s="62"/>
    </row>
    <row r="829" spans="1:6">
      <c r="A829" s="146"/>
      <c r="B829" s="64"/>
      <c r="C829" s="64"/>
      <c r="D829" s="64"/>
      <c r="E829" s="85"/>
      <c r="F829" s="62"/>
    </row>
    <row r="830" spans="1:6">
      <c r="A830" s="146"/>
      <c r="B830" s="64"/>
      <c r="C830" s="64"/>
      <c r="D830" s="64"/>
      <c r="E830" s="85"/>
      <c r="F830" s="62"/>
    </row>
    <row r="831" spans="1:6">
      <c r="A831" s="146"/>
      <c r="B831" s="64"/>
      <c r="C831" s="64"/>
      <c r="D831" s="64"/>
      <c r="E831" s="85"/>
      <c r="F831" s="62"/>
    </row>
    <row r="832" spans="1:6">
      <c r="A832" s="146"/>
      <c r="B832" s="64"/>
      <c r="C832" s="64"/>
      <c r="D832" s="64"/>
      <c r="E832" s="85"/>
      <c r="F832" s="62"/>
    </row>
    <row r="833" spans="1:6">
      <c r="A833" s="146"/>
      <c r="B833" s="64"/>
      <c r="C833" s="64"/>
      <c r="D833" s="64"/>
      <c r="E833" s="85"/>
      <c r="F833" s="62"/>
    </row>
    <row r="834" spans="1:6">
      <c r="A834" s="146"/>
      <c r="B834" s="64"/>
      <c r="C834" s="64"/>
      <c r="D834" s="64"/>
      <c r="E834" s="85"/>
      <c r="F834" s="62"/>
    </row>
    <row r="835" spans="1:6">
      <c r="A835" s="146"/>
      <c r="B835" s="64"/>
      <c r="C835" s="64"/>
      <c r="D835" s="64"/>
      <c r="E835" s="85"/>
      <c r="F835" s="62"/>
    </row>
    <row r="836" spans="1:6">
      <c r="A836" s="146"/>
      <c r="B836" s="64"/>
      <c r="C836" s="64"/>
      <c r="D836" s="64"/>
      <c r="E836" s="85"/>
      <c r="F836" s="62"/>
    </row>
    <row r="837" spans="1:6">
      <c r="A837" s="146"/>
      <c r="B837" s="64"/>
      <c r="C837" s="64"/>
      <c r="D837" s="64"/>
      <c r="E837" s="85"/>
      <c r="F837" s="62"/>
    </row>
    <row r="838" spans="1:6">
      <c r="A838" s="146"/>
      <c r="B838" s="64"/>
      <c r="C838" s="64"/>
      <c r="D838" s="64"/>
      <c r="E838" s="85"/>
      <c r="F838" s="62"/>
    </row>
    <row r="839" spans="1:6">
      <c r="A839" s="146"/>
      <c r="B839" s="64"/>
      <c r="C839" s="64"/>
      <c r="D839" s="64"/>
      <c r="E839" s="85"/>
      <c r="F839" s="62"/>
    </row>
    <row r="840" spans="1:6">
      <c r="A840" s="146"/>
      <c r="B840" s="64"/>
      <c r="C840" s="64"/>
      <c r="D840" s="64"/>
      <c r="E840" s="85"/>
      <c r="F840" s="62"/>
    </row>
    <row r="841" spans="1:6">
      <c r="A841" s="146"/>
      <c r="B841" s="64"/>
      <c r="C841" s="64"/>
      <c r="D841" s="64"/>
      <c r="E841" s="85"/>
      <c r="F841" s="62"/>
    </row>
    <row r="842" spans="1:6">
      <c r="A842" s="146"/>
      <c r="B842" s="64"/>
      <c r="C842" s="64"/>
      <c r="D842" s="64"/>
      <c r="E842" s="85"/>
      <c r="F842" s="62"/>
    </row>
    <row r="843" spans="1:6">
      <c r="A843" s="146"/>
      <c r="B843" s="64"/>
      <c r="C843" s="64"/>
      <c r="D843" s="64"/>
      <c r="E843" s="85"/>
      <c r="F843" s="62"/>
    </row>
    <row r="844" spans="1:6">
      <c r="A844" s="146"/>
      <c r="B844" s="64"/>
      <c r="C844" s="64"/>
      <c r="D844" s="64"/>
      <c r="E844" s="85"/>
      <c r="F844" s="62"/>
    </row>
    <row r="845" spans="1:6">
      <c r="A845" s="146"/>
      <c r="B845" s="64"/>
      <c r="C845" s="64"/>
      <c r="D845" s="64"/>
      <c r="E845" s="85"/>
      <c r="F845" s="62"/>
    </row>
    <row r="846" spans="1:6">
      <c r="A846" s="146"/>
      <c r="B846" s="64"/>
      <c r="C846" s="64"/>
      <c r="D846" s="64"/>
      <c r="E846" s="85"/>
      <c r="F846" s="62"/>
    </row>
    <row r="847" spans="1:6">
      <c r="A847" s="146"/>
      <c r="B847" s="64"/>
      <c r="C847" s="64"/>
      <c r="D847" s="64"/>
      <c r="E847" s="85"/>
      <c r="F847" s="62"/>
    </row>
    <row r="848" spans="1:6">
      <c r="A848" s="146"/>
      <c r="B848" s="64"/>
      <c r="C848" s="64"/>
      <c r="D848" s="64"/>
      <c r="E848" s="85"/>
      <c r="F848" s="62"/>
    </row>
    <row r="849" spans="1:6">
      <c r="A849" s="146"/>
      <c r="B849" s="64"/>
      <c r="C849" s="64"/>
      <c r="D849" s="64"/>
      <c r="E849" s="85"/>
      <c r="F849" s="62"/>
    </row>
    <row r="850" spans="1:6">
      <c r="A850" s="146"/>
      <c r="B850" s="64"/>
      <c r="C850" s="64"/>
      <c r="D850" s="64"/>
      <c r="E850" s="85"/>
      <c r="F850" s="62"/>
    </row>
    <row r="851" spans="1:6">
      <c r="A851" s="146"/>
      <c r="B851" s="64"/>
      <c r="C851" s="64"/>
      <c r="D851" s="64"/>
      <c r="E851" s="85"/>
      <c r="F851" s="62"/>
    </row>
    <row r="852" spans="1:6">
      <c r="A852" s="146"/>
      <c r="B852" s="64"/>
      <c r="C852" s="64"/>
      <c r="D852" s="64"/>
      <c r="E852" s="85"/>
      <c r="F852" s="62"/>
    </row>
    <row r="853" spans="1:6">
      <c r="A853" s="146"/>
      <c r="B853" s="64"/>
      <c r="C853" s="64"/>
      <c r="D853" s="64"/>
      <c r="E853" s="85"/>
      <c r="F853" s="62"/>
    </row>
    <row r="854" spans="1:6">
      <c r="A854" s="146"/>
      <c r="B854" s="64"/>
      <c r="C854" s="64"/>
      <c r="D854" s="64"/>
      <c r="E854" s="85"/>
      <c r="F854" s="62"/>
    </row>
    <row r="855" spans="1:6">
      <c r="A855" s="146"/>
      <c r="B855" s="64"/>
      <c r="C855" s="64"/>
      <c r="D855" s="64"/>
      <c r="E855" s="85"/>
      <c r="F855" s="62"/>
    </row>
    <row r="856" spans="1:6">
      <c r="A856" s="146"/>
      <c r="B856" s="64"/>
      <c r="C856" s="64"/>
      <c r="D856" s="64"/>
      <c r="E856" s="85"/>
      <c r="F856" s="62"/>
    </row>
    <row r="857" spans="1:6">
      <c r="A857" s="146"/>
      <c r="B857" s="64"/>
      <c r="C857" s="64"/>
      <c r="D857" s="64"/>
      <c r="E857" s="85"/>
      <c r="F857" s="62"/>
    </row>
    <row r="858" spans="1:6">
      <c r="A858" s="146"/>
      <c r="B858" s="64"/>
      <c r="C858" s="64"/>
      <c r="D858" s="64"/>
      <c r="E858" s="85"/>
      <c r="F858" s="62"/>
    </row>
    <row r="859" spans="1:6">
      <c r="A859" s="146"/>
      <c r="B859" s="64"/>
      <c r="C859" s="64"/>
      <c r="D859" s="64"/>
      <c r="E859" s="85"/>
      <c r="F859" s="62"/>
    </row>
    <row r="860" spans="1:6">
      <c r="A860" s="146"/>
      <c r="B860" s="64"/>
      <c r="C860" s="64"/>
      <c r="D860" s="64"/>
      <c r="E860" s="85"/>
      <c r="F860" s="62"/>
    </row>
    <row r="861" spans="1:6">
      <c r="A861" s="146"/>
      <c r="B861" s="64"/>
      <c r="C861" s="64"/>
      <c r="D861" s="64"/>
      <c r="E861" s="85"/>
      <c r="F861" s="62"/>
    </row>
    <row r="862" spans="1:6">
      <c r="A862" s="146"/>
      <c r="B862" s="64"/>
      <c r="C862" s="64"/>
      <c r="D862" s="64"/>
      <c r="E862" s="85"/>
      <c r="F862" s="62"/>
    </row>
    <row r="863" spans="1:6">
      <c r="A863" s="146"/>
      <c r="B863" s="64"/>
      <c r="C863" s="64"/>
      <c r="D863" s="64"/>
      <c r="E863" s="85"/>
      <c r="F863" s="62"/>
    </row>
    <row r="864" spans="1:6">
      <c r="A864" s="146"/>
      <c r="B864" s="64"/>
      <c r="C864" s="64"/>
      <c r="D864" s="64"/>
      <c r="E864" s="85"/>
      <c r="F864" s="62"/>
    </row>
    <row r="865" spans="1:6">
      <c r="A865" s="146"/>
      <c r="B865" s="64"/>
      <c r="C865" s="64"/>
      <c r="D865" s="64"/>
      <c r="E865" s="85"/>
      <c r="F865" s="62"/>
    </row>
    <row r="866" spans="1:6">
      <c r="A866" s="146"/>
      <c r="B866" s="64"/>
      <c r="C866" s="64"/>
      <c r="D866" s="64"/>
      <c r="E866" s="85"/>
      <c r="F866" s="62"/>
    </row>
    <row r="867" spans="1:6">
      <c r="A867" s="146"/>
      <c r="B867" s="64"/>
      <c r="C867" s="64"/>
      <c r="D867" s="64"/>
      <c r="E867" s="85"/>
      <c r="F867" s="62"/>
    </row>
    <row r="868" spans="1:6">
      <c r="A868" s="146"/>
      <c r="B868" s="64"/>
      <c r="C868" s="64"/>
      <c r="D868" s="64"/>
      <c r="E868" s="85"/>
      <c r="F868" s="62"/>
    </row>
    <row r="869" spans="1:6">
      <c r="A869" s="146"/>
      <c r="B869" s="64"/>
      <c r="C869" s="64"/>
      <c r="D869" s="64"/>
      <c r="E869" s="85"/>
      <c r="F869" s="62"/>
    </row>
    <row r="870" spans="1:6">
      <c r="A870" s="146"/>
      <c r="B870" s="64"/>
      <c r="C870" s="64"/>
      <c r="D870" s="64"/>
      <c r="E870" s="85"/>
      <c r="F870" s="62"/>
    </row>
    <row r="871" spans="1:6">
      <c r="A871" s="146"/>
      <c r="B871" s="64"/>
      <c r="C871" s="64"/>
      <c r="D871" s="64"/>
      <c r="E871" s="85"/>
      <c r="F871" s="62"/>
    </row>
    <row r="872" spans="1:6">
      <c r="A872" s="146"/>
      <c r="B872" s="64"/>
      <c r="C872" s="64"/>
      <c r="D872" s="64"/>
      <c r="E872" s="85"/>
      <c r="F872" s="62"/>
    </row>
    <row r="873" spans="1:6">
      <c r="A873" s="146"/>
      <c r="B873" s="64"/>
      <c r="C873" s="64"/>
      <c r="D873" s="64"/>
      <c r="E873" s="85"/>
      <c r="F873" s="62"/>
    </row>
    <row r="874" spans="1:6">
      <c r="A874" s="146"/>
      <c r="B874" s="64"/>
      <c r="C874" s="64"/>
      <c r="D874" s="64"/>
      <c r="E874" s="85"/>
      <c r="F874" s="62"/>
    </row>
    <row r="875" spans="1:6">
      <c r="A875" s="146"/>
      <c r="B875" s="64"/>
      <c r="C875" s="64"/>
      <c r="D875" s="64"/>
      <c r="E875" s="85"/>
      <c r="F875" s="62"/>
    </row>
    <row r="876" spans="1:6">
      <c r="A876" s="146"/>
      <c r="B876" s="64"/>
      <c r="C876" s="64"/>
      <c r="D876" s="64"/>
      <c r="E876" s="85"/>
      <c r="F876" s="62"/>
    </row>
    <row r="877" spans="1:6">
      <c r="A877" s="146"/>
      <c r="B877" s="64"/>
      <c r="C877" s="64"/>
      <c r="D877" s="64"/>
      <c r="E877" s="85"/>
      <c r="F877" s="62"/>
    </row>
    <row r="878" spans="1:6">
      <c r="A878" s="146"/>
      <c r="B878" s="64"/>
      <c r="C878" s="64"/>
      <c r="D878" s="64"/>
      <c r="E878" s="85"/>
      <c r="F878" s="62"/>
    </row>
    <row r="879" spans="1:6">
      <c r="A879" s="146"/>
      <c r="B879" s="64"/>
      <c r="C879" s="64"/>
      <c r="D879" s="64"/>
      <c r="E879" s="85"/>
      <c r="F879" s="62"/>
    </row>
    <row r="880" spans="1:6">
      <c r="A880" s="146"/>
      <c r="B880" s="64"/>
      <c r="C880" s="64"/>
      <c r="D880" s="64"/>
      <c r="E880" s="85"/>
      <c r="F880" s="62"/>
    </row>
    <row r="881" spans="1:6">
      <c r="A881" s="146"/>
      <c r="B881" s="64"/>
      <c r="C881" s="64"/>
      <c r="D881" s="64"/>
      <c r="E881" s="85"/>
      <c r="F881" s="62"/>
    </row>
    <row r="882" spans="1:6">
      <c r="A882" s="146"/>
      <c r="B882" s="64"/>
      <c r="C882" s="64"/>
      <c r="D882" s="64"/>
      <c r="E882" s="85"/>
      <c r="F882" s="62"/>
    </row>
    <row r="883" spans="1:6">
      <c r="A883" s="146"/>
      <c r="B883" s="64"/>
      <c r="C883" s="64"/>
      <c r="D883" s="64"/>
      <c r="E883" s="85"/>
      <c r="F883" s="62"/>
    </row>
    <row r="884" spans="1:6">
      <c r="A884" s="146"/>
      <c r="B884" s="64"/>
      <c r="C884" s="64"/>
      <c r="D884" s="64"/>
      <c r="E884" s="85"/>
      <c r="F884" s="62"/>
    </row>
    <row r="885" spans="1:6">
      <c r="A885" s="146"/>
      <c r="B885" s="64"/>
      <c r="C885" s="64"/>
      <c r="D885" s="64"/>
      <c r="E885" s="85"/>
      <c r="F885" s="62"/>
    </row>
    <row r="886" spans="1:6">
      <c r="A886" s="146"/>
      <c r="B886" s="64"/>
      <c r="C886" s="64"/>
      <c r="D886" s="64"/>
      <c r="E886" s="85"/>
      <c r="F886" s="62"/>
    </row>
    <row r="887" spans="1:6">
      <c r="A887" s="146"/>
      <c r="B887" s="64"/>
      <c r="C887" s="64"/>
      <c r="D887" s="64"/>
      <c r="E887" s="85"/>
      <c r="F887" s="62"/>
    </row>
    <row r="888" spans="1:6">
      <c r="A888" s="146"/>
      <c r="B888" s="64"/>
      <c r="C888" s="64"/>
      <c r="D888" s="64"/>
      <c r="E888" s="85"/>
      <c r="F888" s="62"/>
    </row>
    <row r="889" spans="1:6">
      <c r="A889" s="146"/>
      <c r="B889" s="64"/>
      <c r="C889" s="64"/>
      <c r="D889" s="64"/>
      <c r="E889" s="85"/>
      <c r="F889" s="62"/>
    </row>
    <row r="890" spans="1:6">
      <c r="A890" s="146"/>
      <c r="B890" s="64"/>
      <c r="C890" s="64"/>
      <c r="D890" s="64"/>
      <c r="E890" s="85"/>
      <c r="F890" s="62"/>
    </row>
    <row r="891" spans="1:6">
      <c r="A891" s="146"/>
      <c r="B891" s="64"/>
      <c r="C891" s="64"/>
      <c r="D891" s="64"/>
      <c r="E891" s="85"/>
      <c r="F891" s="62"/>
    </row>
    <row r="892" spans="1:6">
      <c r="A892" s="146"/>
      <c r="B892" s="64"/>
      <c r="C892" s="64"/>
      <c r="D892" s="64"/>
      <c r="E892" s="85"/>
      <c r="F892" s="62"/>
    </row>
    <row r="893" spans="1:6">
      <c r="A893" s="146"/>
      <c r="B893" s="64"/>
      <c r="C893" s="64"/>
      <c r="D893" s="64"/>
      <c r="E893" s="85"/>
      <c r="F893" s="62"/>
    </row>
    <row r="894" spans="1:6">
      <c r="A894" s="146"/>
      <c r="B894" s="64"/>
      <c r="C894" s="64"/>
      <c r="D894" s="64"/>
      <c r="E894" s="85"/>
      <c r="F894" s="62"/>
    </row>
    <row r="895" spans="1:6">
      <c r="A895" s="146"/>
      <c r="B895" s="64"/>
      <c r="C895" s="64"/>
      <c r="D895" s="64"/>
      <c r="E895" s="85"/>
      <c r="F895" s="62"/>
    </row>
    <row r="896" spans="1:6">
      <c r="A896" s="146"/>
      <c r="B896" s="64"/>
      <c r="C896" s="64"/>
      <c r="D896" s="64"/>
      <c r="E896" s="85"/>
      <c r="F896" s="62"/>
    </row>
    <row r="897" spans="1:6">
      <c r="A897" s="146"/>
      <c r="B897" s="64"/>
      <c r="C897" s="64"/>
      <c r="D897" s="64"/>
      <c r="E897" s="85"/>
      <c r="F897" s="62"/>
    </row>
    <row r="898" spans="1:6">
      <c r="A898" s="146"/>
      <c r="B898" s="64"/>
      <c r="C898" s="64"/>
      <c r="D898" s="64"/>
      <c r="E898" s="85"/>
      <c r="F898" s="62"/>
    </row>
    <row r="899" spans="1:6">
      <c r="A899" s="146"/>
      <c r="B899" s="64"/>
      <c r="C899" s="64"/>
      <c r="D899" s="64"/>
      <c r="E899" s="85"/>
      <c r="F899" s="62"/>
    </row>
    <row r="900" spans="1:6">
      <c r="A900" s="146"/>
      <c r="B900" s="64"/>
      <c r="C900" s="64"/>
      <c r="D900" s="64"/>
      <c r="E900" s="85"/>
      <c r="F900" s="62"/>
    </row>
    <row r="901" spans="1:6">
      <c r="A901" s="146"/>
      <c r="B901" s="64"/>
      <c r="C901" s="64"/>
      <c r="D901" s="64"/>
      <c r="E901" s="85"/>
      <c r="F901" s="62"/>
    </row>
    <row r="902" spans="1:6">
      <c r="A902" s="146"/>
      <c r="B902" s="64"/>
      <c r="C902" s="64"/>
      <c r="D902" s="64"/>
      <c r="E902" s="85"/>
      <c r="F902" s="62"/>
    </row>
    <row r="903" spans="1:6">
      <c r="A903" s="146"/>
      <c r="B903" s="64"/>
      <c r="C903" s="64"/>
      <c r="D903" s="64"/>
      <c r="E903" s="85"/>
      <c r="F903" s="62"/>
    </row>
    <row r="904" spans="1:6">
      <c r="A904" s="146"/>
      <c r="B904" s="64"/>
      <c r="C904" s="64"/>
      <c r="D904" s="64"/>
      <c r="E904" s="85"/>
      <c r="F904" s="62"/>
    </row>
    <row r="905" spans="1:6">
      <c r="A905" s="146"/>
      <c r="B905" s="64"/>
      <c r="C905" s="64"/>
      <c r="D905" s="64"/>
      <c r="E905" s="85"/>
      <c r="F905" s="62"/>
    </row>
    <row r="906" spans="1:6">
      <c r="A906" s="146"/>
      <c r="B906" s="64"/>
      <c r="C906" s="64"/>
      <c r="D906" s="64"/>
      <c r="E906" s="85"/>
      <c r="F906" s="62"/>
    </row>
    <row r="907" spans="1:6">
      <c r="A907" s="146"/>
      <c r="B907" s="64"/>
      <c r="C907" s="64"/>
      <c r="D907" s="64"/>
      <c r="E907" s="85"/>
      <c r="F907" s="62"/>
    </row>
    <row r="908" spans="1:6">
      <c r="A908" s="146"/>
      <c r="B908" s="64"/>
      <c r="C908" s="64"/>
      <c r="D908" s="64"/>
      <c r="E908" s="85"/>
      <c r="F908" s="62"/>
    </row>
    <row r="909" spans="1:6">
      <c r="A909" s="146"/>
      <c r="B909" s="64"/>
      <c r="C909" s="64"/>
      <c r="D909" s="64"/>
      <c r="E909" s="85"/>
      <c r="F909" s="62"/>
    </row>
    <row r="910" spans="1:6">
      <c r="A910" s="146"/>
      <c r="B910" s="64"/>
      <c r="C910" s="64"/>
      <c r="D910" s="64"/>
      <c r="E910" s="85"/>
      <c r="F910" s="62"/>
    </row>
    <row r="911" spans="1:6">
      <c r="A911" s="146"/>
      <c r="B911" s="64"/>
      <c r="C911" s="64"/>
      <c r="D911" s="64"/>
      <c r="E911" s="85"/>
      <c r="F911" s="62"/>
    </row>
    <row r="912" spans="1:6">
      <c r="A912" s="146"/>
      <c r="B912" s="64"/>
      <c r="C912" s="64"/>
      <c r="D912" s="64"/>
      <c r="E912" s="85"/>
      <c r="F912" s="62"/>
    </row>
    <row r="913" spans="1:6">
      <c r="A913" s="146"/>
      <c r="B913" s="64"/>
      <c r="C913" s="64"/>
      <c r="D913" s="64"/>
      <c r="E913" s="85"/>
      <c r="F913" s="62"/>
    </row>
    <row r="914" spans="1:6">
      <c r="A914" s="146"/>
      <c r="B914" s="64"/>
      <c r="C914" s="64"/>
      <c r="D914" s="64"/>
      <c r="E914" s="85"/>
      <c r="F914" s="62"/>
    </row>
    <row r="915" spans="1:6">
      <c r="A915" s="146"/>
      <c r="B915" s="64"/>
      <c r="C915" s="64"/>
      <c r="D915" s="64"/>
      <c r="E915" s="85"/>
      <c r="F915" s="62"/>
    </row>
    <row r="916" spans="1:6">
      <c r="A916" s="146"/>
      <c r="B916" s="64"/>
      <c r="C916" s="64"/>
      <c r="D916" s="64"/>
      <c r="E916" s="85"/>
      <c r="F916" s="62"/>
    </row>
    <row r="917" spans="1:6">
      <c r="A917" s="146"/>
      <c r="B917" s="64"/>
      <c r="C917" s="64"/>
      <c r="D917" s="64"/>
      <c r="E917" s="85"/>
      <c r="F917" s="62"/>
    </row>
    <row r="918" spans="1:6">
      <c r="A918" s="146"/>
      <c r="B918" s="64"/>
      <c r="C918" s="64"/>
      <c r="D918" s="64"/>
      <c r="E918" s="85"/>
      <c r="F918" s="62"/>
    </row>
    <row r="919" spans="1:6">
      <c r="A919" s="146"/>
      <c r="B919" s="64"/>
      <c r="C919" s="64"/>
      <c r="D919" s="64"/>
      <c r="E919" s="85"/>
      <c r="F919" s="62"/>
    </row>
    <row r="920" spans="1:6">
      <c r="A920" s="146"/>
      <c r="B920" s="64"/>
      <c r="C920" s="64"/>
      <c r="D920" s="64"/>
      <c r="E920" s="85"/>
      <c r="F920" s="62"/>
    </row>
    <row r="921" spans="1:6">
      <c r="A921" s="146"/>
      <c r="B921" s="64"/>
      <c r="C921" s="64"/>
      <c r="D921" s="64"/>
      <c r="E921" s="85"/>
      <c r="F921" s="62"/>
    </row>
    <row r="922" spans="1:6">
      <c r="A922" s="146"/>
      <c r="B922" s="64"/>
      <c r="C922" s="64"/>
      <c r="D922" s="64"/>
      <c r="E922" s="85"/>
      <c r="F922" s="62"/>
    </row>
    <row r="923" spans="1:6">
      <c r="A923" s="146"/>
      <c r="B923" s="64"/>
      <c r="C923" s="64"/>
      <c r="D923" s="64"/>
      <c r="E923" s="85"/>
      <c r="F923" s="62"/>
    </row>
    <row r="924" spans="1:6">
      <c r="A924" s="146"/>
      <c r="B924" s="64"/>
      <c r="C924" s="64"/>
      <c r="D924" s="64"/>
      <c r="E924" s="85"/>
      <c r="F924" s="62"/>
    </row>
    <row r="925" spans="1:6">
      <c r="A925" s="146"/>
      <c r="B925" s="64"/>
      <c r="C925" s="64"/>
      <c r="D925" s="64"/>
      <c r="E925" s="85"/>
      <c r="F925" s="62"/>
    </row>
    <row r="926" spans="1:6">
      <c r="A926" s="146"/>
      <c r="B926" s="64"/>
      <c r="C926" s="64"/>
      <c r="D926" s="64"/>
      <c r="E926" s="85"/>
      <c r="F926" s="62"/>
    </row>
    <row r="927" spans="1:6">
      <c r="A927" s="146"/>
      <c r="B927" s="64"/>
      <c r="C927" s="64"/>
      <c r="D927" s="64"/>
      <c r="E927" s="85"/>
      <c r="F927" s="62"/>
    </row>
    <row r="928" spans="1:6">
      <c r="A928" s="146"/>
      <c r="B928" s="64"/>
      <c r="C928" s="64"/>
      <c r="D928" s="64"/>
      <c r="E928" s="85"/>
      <c r="F928" s="62"/>
    </row>
    <row r="929" spans="1:6">
      <c r="A929" s="146"/>
      <c r="B929" s="64"/>
      <c r="C929" s="64"/>
      <c r="D929" s="64"/>
      <c r="E929" s="85"/>
      <c r="F929" s="62"/>
    </row>
    <row r="930" spans="1:6">
      <c r="A930" s="146"/>
      <c r="B930" s="64"/>
      <c r="C930" s="64"/>
      <c r="D930" s="64"/>
      <c r="E930" s="85"/>
      <c r="F930" s="62"/>
    </row>
    <row r="931" spans="1:6">
      <c r="A931" s="146"/>
      <c r="B931" s="64"/>
      <c r="C931" s="64"/>
      <c r="D931" s="64"/>
      <c r="E931" s="85"/>
      <c r="F931" s="62"/>
    </row>
    <row r="932" spans="1:6">
      <c r="A932" s="146"/>
      <c r="B932" s="64"/>
      <c r="C932" s="64"/>
      <c r="D932" s="64"/>
      <c r="E932" s="85"/>
      <c r="F932" s="62"/>
    </row>
    <row r="933" spans="1:6">
      <c r="A933" s="146"/>
      <c r="B933" s="64"/>
      <c r="C933" s="64"/>
      <c r="D933" s="64"/>
      <c r="E933" s="85"/>
      <c r="F933" s="62"/>
    </row>
    <row r="934" spans="1:6">
      <c r="A934" s="146"/>
      <c r="B934" s="64"/>
      <c r="C934" s="64"/>
      <c r="D934" s="64"/>
      <c r="E934" s="85"/>
      <c r="F934" s="62"/>
    </row>
    <row r="935" spans="1:6">
      <c r="A935" s="146"/>
      <c r="B935" s="64"/>
      <c r="C935" s="64"/>
      <c r="D935" s="64"/>
      <c r="E935" s="85"/>
      <c r="F935" s="62"/>
    </row>
    <row r="936" spans="1:6">
      <c r="A936" s="146"/>
      <c r="B936" s="64"/>
      <c r="C936" s="64"/>
      <c r="D936" s="64"/>
      <c r="E936" s="85"/>
      <c r="F936" s="62"/>
    </row>
    <row r="937" spans="1:6">
      <c r="A937" s="146"/>
      <c r="B937" s="64"/>
      <c r="C937" s="64"/>
      <c r="D937" s="64"/>
      <c r="E937" s="85"/>
      <c r="F937" s="62"/>
    </row>
    <row r="938" spans="1:6">
      <c r="A938" s="146"/>
      <c r="B938" s="64"/>
      <c r="C938" s="64"/>
      <c r="D938" s="64"/>
      <c r="E938" s="85"/>
      <c r="F938" s="62"/>
    </row>
    <row r="939" spans="1:6">
      <c r="A939" s="146"/>
      <c r="B939" s="64"/>
      <c r="C939" s="64"/>
      <c r="D939" s="64"/>
      <c r="E939" s="85"/>
      <c r="F939" s="62"/>
    </row>
    <row r="940" spans="1:6">
      <c r="A940" s="146"/>
      <c r="B940" s="64"/>
      <c r="C940" s="64"/>
      <c r="D940" s="64"/>
      <c r="E940" s="85"/>
      <c r="F940" s="62"/>
    </row>
    <row r="941" spans="1:6">
      <c r="A941" s="146"/>
      <c r="B941" s="64"/>
      <c r="C941" s="64"/>
      <c r="D941" s="64"/>
      <c r="E941" s="85"/>
      <c r="F941" s="62"/>
    </row>
    <row r="942" spans="1:6">
      <c r="A942" s="146"/>
      <c r="B942" s="64"/>
      <c r="C942" s="64"/>
      <c r="D942" s="64"/>
      <c r="E942" s="85"/>
      <c r="F942" s="62"/>
    </row>
    <row r="943" spans="1:6">
      <c r="A943" s="146"/>
      <c r="B943" s="64"/>
      <c r="C943" s="64"/>
      <c r="D943" s="64"/>
      <c r="E943" s="85"/>
      <c r="F943" s="62"/>
    </row>
    <row r="944" spans="1:6">
      <c r="A944" s="146"/>
      <c r="B944" s="64"/>
      <c r="C944" s="64"/>
      <c r="D944" s="64"/>
      <c r="E944" s="85"/>
      <c r="F944" s="62"/>
    </row>
    <row r="945" spans="1:6">
      <c r="A945" s="146"/>
      <c r="B945" s="64"/>
      <c r="C945" s="64"/>
      <c r="D945" s="64"/>
      <c r="E945" s="85"/>
      <c r="F945" s="62"/>
    </row>
    <row r="946" spans="1:6">
      <c r="A946" s="146"/>
      <c r="B946" s="64"/>
      <c r="C946" s="64"/>
      <c r="D946" s="64"/>
      <c r="E946" s="85"/>
      <c r="F946" s="62"/>
    </row>
    <row r="947" spans="1:6">
      <c r="A947" s="146"/>
      <c r="B947" s="64"/>
      <c r="C947" s="64"/>
      <c r="D947" s="64"/>
      <c r="E947" s="85"/>
      <c r="F947" s="62"/>
    </row>
    <row r="948" spans="1:6">
      <c r="A948" s="146"/>
      <c r="B948" s="64"/>
      <c r="C948" s="64"/>
      <c r="D948" s="64"/>
      <c r="E948" s="85"/>
      <c r="F948" s="62"/>
    </row>
    <row r="949" spans="1:6">
      <c r="A949" s="146"/>
      <c r="B949" s="64"/>
      <c r="C949" s="64"/>
      <c r="D949" s="64"/>
      <c r="E949" s="85"/>
      <c r="F949" s="62"/>
    </row>
    <row r="950" spans="1:6">
      <c r="A950" s="146"/>
      <c r="B950" s="64"/>
      <c r="C950" s="64"/>
      <c r="D950" s="64"/>
      <c r="E950" s="85"/>
      <c r="F950" s="62"/>
    </row>
    <row r="951" spans="1:6">
      <c r="A951" s="146"/>
      <c r="B951" s="64"/>
      <c r="C951" s="64"/>
      <c r="D951" s="64"/>
      <c r="E951" s="85"/>
      <c r="F951" s="62"/>
    </row>
    <row r="952" spans="1:6">
      <c r="A952" s="146"/>
      <c r="B952" s="64"/>
      <c r="C952" s="64"/>
      <c r="D952" s="64"/>
      <c r="E952" s="85"/>
      <c r="F952" s="62"/>
    </row>
    <row r="953" spans="1:6">
      <c r="A953" s="146"/>
      <c r="B953" s="64"/>
      <c r="C953" s="64"/>
      <c r="D953" s="64"/>
      <c r="E953" s="85"/>
      <c r="F953" s="62"/>
    </row>
    <row r="954" spans="1:6">
      <c r="A954" s="146"/>
      <c r="B954" s="64"/>
      <c r="C954" s="64"/>
      <c r="D954" s="64"/>
      <c r="E954" s="85"/>
      <c r="F954" s="62"/>
    </row>
    <row r="955" spans="1:6">
      <c r="A955" s="146"/>
      <c r="B955" s="64"/>
      <c r="C955" s="64"/>
      <c r="D955" s="64"/>
      <c r="E955" s="85"/>
      <c r="F955" s="62"/>
    </row>
    <row r="956" spans="1:6">
      <c r="A956" s="146"/>
      <c r="B956" s="64"/>
      <c r="C956" s="64"/>
      <c r="D956" s="64"/>
      <c r="E956" s="85"/>
      <c r="F956" s="62"/>
    </row>
    <row r="957" spans="1:6">
      <c r="A957" s="146"/>
      <c r="B957" s="64"/>
      <c r="C957" s="64"/>
      <c r="D957" s="64"/>
      <c r="E957" s="85"/>
      <c r="F957" s="62"/>
    </row>
    <row r="958" spans="1:6">
      <c r="A958" s="146"/>
      <c r="B958" s="64"/>
      <c r="C958" s="64"/>
      <c r="D958" s="64"/>
      <c r="E958" s="85"/>
      <c r="F958" s="62"/>
    </row>
    <row r="959" spans="1:6">
      <c r="A959" s="146"/>
      <c r="B959" s="64"/>
      <c r="C959" s="64"/>
      <c r="D959" s="64"/>
      <c r="E959" s="85"/>
      <c r="F959" s="62"/>
    </row>
    <row r="960" spans="1:6">
      <c r="A960" s="146"/>
      <c r="B960" s="64"/>
      <c r="C960" s="64"/>
      <c r="D960" s="64"/>
      <c r="E960" s="85"/>
      <c r="F960" s="62"/>
    </row>
    <row r="961" spans="1:6">
      <c r="A961" s="146"/>
      <c r="B961" s="64"/>
      <c r="C961" s="64"/>
      <c r="D961" s="64"/>
      <c r="E961" s="85"/>
      <c r="F961" s="62"/>
    </row>
    <row r="962" spans="1:6">
      <c r="A962" s="146"/>
      <c r="B962" s="64"/>
      <c r="C962" s="64"/>
      <c r="D962" s="64"/>
      <c r="E962" s="85"/>
      <c r="F962" s="62"/>
    </row>
    <row r="963" spans="1:6">
      <c r="A963" s="146"/>
      <c r="B963" s="64"/>
      <c r="C963" s="64"/>
      <c r="D963" s="64"/>
      <c r="E963" s="85"/>
      <c r="F963" s="62"/>
    </row>
    <row r="964" spans="1:6">
      <c r="A964" s="146"/>
      <c r="B964" s="64"/>
      <c r="C964" s="64"/>
      <c r="D964" s="64"/>
      <c r="E964" s="85"/>
      <c r="F964" s="62"/>
    </row>
    <row r="965" spans="1:6">
      <c r="A965" s="146"/>
      <c r="B965" s="64"/>
      <c r="C965" s="64"/>
      <c r="D965" s="64"/>
      <c r="E965" s="85"/>
      <c r="F965" s="62"/>
    </row>
    <row r="966" spans="1:6">
      <c r="A966" s="146"/>
      <c r="B966" s="64"/>
      <c r="C966" s="64"/>
      <c r="D966" s="64"/>
      <c r="E966" s="85"/>
      <c r="F966" s="62"/>
    </row>
    <row r="967" spans="1:6">
      <c r="A967" s="146"/>
      <c r="B967" s="64"/>
      <c r="C967" s="64"/>
      <c r="D967" s="64"/>
      <c r="E967" s="85"/>
      <c r="F967" s="62"/>
    </row>
    <row r="968" spans="1:6">
      <c r="A968" s="146"/>
      <c r="B968" s="64"/>
      <c r="C968" s="64"/>
      <c r="D968" s="64"/>
      <c r="E968" s="85"/>
      <c r="F968" s="62"/>
    </row>
    <row r="969" spans="1:6">
      <c r="A969" s="146"/>
      <c r="B969" s="64"/>
      <c r="C969" s="64"/>
      <c r="D969" s="64"/>
      <c r="E969" s="85"/>
      <c r="F969" s="62"/>
    </row>
    <row r="970" spans="1:6">
      <c r="A970" s="146"/>
      <c r="B970" s="64"/>
      <c r="C970" s="64"/>
      <c r="D970" s="64"/>
      <c r="E970" s="85"/>
      <c r="F970" s="62"/>
    </row>
    <row r="971" spans="1:6">
      <c r="A971" s="146"/>
      <c r="B971" s="64"/>
      <c r="C971" s="64"/>
      <c r="D971" s="64"/>
      <c r="E971" s="85"/>
      <c r="F971" s="62"/>
    </row>
    <row r="972" spans="1:6">
      <c r="A972" s="146"/>
      <c r="B972" s="64"/>
      <c r="C972" s="64"/>
      <c r="D972" s="64"/>
      <c r="E972" s="85"/>
      <c r="F972" s="62"/>
    </row>
    <row r="973" spans="1:6">
      <c r="A973" s="146"/>
      <c r="B973" s="64"/>
      <c r="C973" s="64"/>
      <c r="D973" s="64"/>
      <c r="E973" s="85"/>
      <c r="F973" s="62"/>
    </row>
    <row r="974" spans="1:6">
      <c r="A974" s="146"/>
      <c r="B974" s="64"/>
      <c r="C974" s="64"/>
      <c r="D974" s="64"/>
      <c r="E974" s="85"/>
      <c r="F974" s="62"/>
    </row>
    <row r="975" spans="1:6">
      <c r="A975" s="146"/>
      <c r="B975" s="64"/>
      <c r="C975" s="64"/>
      <c r="D975" s="64"/>
      <c r="E975" s="85"/>
      <c r="F975" s="62"/>
    </row>
    <row r="976" spans="1:6">
      <c r="A976" s="146"/>
      <c r="B976" s="64"/>
      <c r="C976" s="64"/>
      <c r="D976" s="64"/>
      <c r="E976" s="85"/>
      <c r="F976" s="62"/>
    </row>
    <row r="977" spans="1:6">
      <c r="A977" s="146"/>
      <c r="B977" s="64"/>
      <c r="C977" s="64"/>
      <c r="D977" s="64"/>
      <c r="E977" s="85"/>
      <c r="F977" s="62"/>
    </row>
    <row r="978" spans="1:6">
      <c r="A978" s="146"/>
      <c r="B978" s="64"/>
      <c r="C978" s="64"/>
      <c r="D978" s="64"/>
      <c r="E978" s="85"/>
      <c r="F978" s="62"/>
    </row>
    <row r="979" spans="1:6">
      <c r="A979" s="146"/>
      <c r="B979" s="64"/>
      <c r="C979" s="64"/>
      <c r="D979" s="64"/>
      <c r="E979" s="85"/>
      <c r="F979" s="62"/>
    </row>
    <row r="980" spans="1:6">
      <c r="A980" s="146"/>
      <c r="B980" s="64"/>
      <c r="C980" s="64"/>
      <c r="D980" s="64"/>
      <c r="E980" s="85"/>
      <c r="F980" s="62"/>
    </row>
    <row r="981" spans="1:6">
      <c r="A981" s="146"/>
      <c r="B981" s="64"/>
      <c r="C981" s="64"/>
      <c r="D981" s="64"/>
      <c r="E981" s="85"/>
      <c r="F981" s="62"/>
    </row>
    <row r="982" spans="1:6">
      <c r="A982" s="146"/>
      <c r="B982" s="64"/>
      <c r="C982" s="64"/>
      <c r="D982" s="64"/>
      <c r="E982" s="85"/>
      <c r="F982" s="62"/>
    </row>
    <row r="983" spans="1:6">
      <c r="A983" s="146"/>
      <c r="B983" s="64"/>
      <c r="C983" s="64"/>
      <c r="D983" s="64"/>
      <c r="E983" s="85"/>
      <c r="F983" s="62"/>
    </row>
    <row r="984" spans="1:6">
      <c r="A984" s="146"/>
      <c r="B984" s="64"/>
      <c r="C984" s="64"/>
      <c r="D984" s="64"/>
      <c r="E984" s="85"/>
      <c r="F984" s="62"/>
    </row>
    <row r="985" spans="1:6">
      <c r="A985" s="146"/>
      <c r="B985" s="64"/>
      <c r="C985" s="64"/>
      <c r="D985" s="64"/>
      <c r="E985" s="85"/>
      <c r="F985" s="62"/>
    </row>
    <row r="986" spans="1:6">
      <c r="A986" s="146"/>
      <c r="B986" s="64"/>
      <c r="C986" s="64"/>
      <c r="D986" s="64"/>
      <c r="E986" s="85"/>
      <c r="F986" s="62"/>
    </row>
    <row r="987" spans="1:6">
      <c r="A987" s="146"/>
      <c r="B987" s="64"/>
      <c r="C987" s="64"/>
      <c r="D987" s="64"/>
      <c r="E987" s="85"/>
      <c r="F987" s="62"/>
    </row>
    <row r="988" spans="1:6">
      <c r="A988" s="146"/>
      <c r="B988" s="64"/>
      <c r="C988" s="64"/>
      <c r="D988" s="64"/>
      <c r="E988" s="85"/>
      <c r="F988" s="62"/>
    </row>
    <row r="989" spans="1:6">
      <c r="A989" s="146"/>
      <c r="B989" s="64"/>
      <c r="C989" s="64"/>
      <c r="D989" s="64"/>
      <c r="E989" s="85"/>
      <c r="F989" s="62"/>
    </row>
    <row r="990" spans="1:6">
      <c r="A990" s="146"/>
      <c r="B990" s="64"/>
      <c r="C990" s="64"/>
      <c r="D990" s="64"/>
      <c r="E990" s="85"/>
      <c r="F990" s="62"/>
    </row>
    <row r="991" spans="1:6">
      <c r="A991" s="146"/>
      <c r="B991" s="64"/>
      <c r="C991" s="64"/>
      <c r="D991" s="64"/>
      <c r="E991" s="85"/>
      <c r="F991" s="62"/>
    </row>
    <row r="992" spans="1:6">
      <c r="A992" s="146"/>
      <c r="B992" s="64"/>
      <c r="C992" s="64"/>
      <c r="D992" s="64"/>
      <c r="E992" s="85"/>
      <c r="F992" s="62"/>
    </row>
    <row r="993" spans="1:6">
      <c r="A993" s="146"/>
      <c r="B993" s="64"/>
      <c r="C993" s="64"/>
      <c r="D993" s="64"/>
      <c r="E993" s="85"/>
      <c r="F993" s="62"/>
    </row>
    <row r="994" spans="1:6">
      <c r="A994" s="146"/>
      <c r="B994" s="64"/>
      <c r="C994" s="64"/>
      <c r="D994" s="64"/>
      <c r="E994" s="85"/>
      <c r="F994" s="62"/>
    </row>
    <row r="995" spans="1:6">
      <c r="A995" s="146"/>
      <c r="B995" s="64"/>
      <c r="C995" s="64"/>
      <c r="D995" s="64"/>
      <c r="E995" s="85"/>
      <c r="F995" s="62"/>
    </row>
    <row r="996" spans="1:6">
      <c r="A996" s="146"/>
      <c r="B996" s="64"/>
      <c r="C996" s="64"/>
      <c r="D996" s="64"/>
      <c r="E996" s="85"/>
      <c r="F996" s="62"/>
    </row>
    <row r="997" spans="1:6">
      <c r="A997" s="146"/>
      <c r="B997" s="64"/>
      <c r="C997" s="64"/>
      <c r="D997" s="64"/>
      <c r="E997" s="85"/>
      <c r="F997" s="62"/>
    </row>
    <row r="998" spans="1:6">
      <c r="A998" s="146"/>
      <c r="B998" s="64"/>
      <c r="C998" s="64"/>
      <c r="D998" s="64"/>
      <c r="E998" s="85"/>
      <c r="F998" s="62"/>
    </row>
    <row r="999" spans="1:6">
      <c r="A999" s="146"/>
      <c r="B999" s="64"/>
      <c r="C999" s="64"/>
      <c r="D999" s="64"/>
      <c r="E999" s="85"/>
      <c r="F999" s="62"/>
    </row>
    <row r="1000" spans="1:6">
      <c r="A1000" s="146"/>
      <c r="B1000" s="64"/>
      <c r="C1000" s="64"/>
      <c r="D1000" s="64"/>
      <c r="E1000" s="85"/>
      <c r="F1000" s="62"/>
    </row>
    <row r="1001" spans="1:6">
      <c r="A1001" s="146"/>
      <c r="B1001" s="64"/>
      <c r="C1001" s="64"/>
      <c r="D1001" s="64"/>
      <c r="E1001" s="85"/>
      <c r="F1001" s="62"/>
    </row>
    <row r="1002" spans="1:6">
      <c r="A1002" s="146"/>
      <c r="B1002" s="64"/>
      <c r="C1002" s="64"/>
      <c r="D1002" s="64"/>
      <c r="E1002" s="85"/>
      <c r="F1002" s="62"/>
    </row>
    <row r="1003" spans="1:6">
      <c r="A1003" s="146"/>
      <c r="B1003" s="64"/>
      <c r="C1003" s="64"/>
      <c r="D1003" s="64"/>
      <c r="E1003" s="85"/>
      <c r="F1003" s="62"/>
    </row>
    <row r="1004" spans="1:6">
      <c r="A1004" s="146"/>
      <c r="B1004" s="64"/>
      <c r="C1004" s="64"/>
      <c r="D1004" s="64"/>
      <c r="E1004" s="85"/>
      <c r="F1004" s="62"/>
    </row>
    <row r="1005" spans="1:6">
      <c r="A1005" s="146"/>
      <c r="B1005" s="64"/>
      <c r="C1005" s="64"/>
      <c r="D1005" s="64"/>
      <c r="E1005" s="85"/>
      <c r="F1005" s="62"/>
    </row>
    <row r="1006" spans="1:6">
      <c r="A1006" s="146"/>
      <c r="B1006" s="64"/>
      <c r="C1006" s="64"/>
      <c r="D1006" s="64"/>
      <c r="E1006" s="85"/>
      <c r="F1006" s="62"/>
    </row>
    <row r="1007" spans="1:6">
      <c r="A1007" s="146"/>
      <c r="B1007" s="64"/>
      <c r="C1007" s="64"/>
      <c r="D1007" s="64"/>
      <c r="E1007" s="85"/>
      <c r="F1007" s="62"/>
    </row>
    <row r="1008" spans="1:6">
      <c r="A1008" s="146"/>
      <c r="B1008" s="64"/>
      <c r="C1008" s="64"/>
      <c r="D1008" s="64"/>
      <c r="E1008" s="85"/>
      <c r="F1008" s="62"/>
    </row>
    <row r="1009" spans="1:6">
      <c r="A1009" s="146"/>
      <c r="B1009" s="64"/>
      <c r="C1009" s="64"/>
      <c r="D1009" s="64"/>
      <c r="E1009" s="85"/>
      <c r="F1009" s="62"/>
    </row>
    <row r="1010" spans="1:6">
      <c r="A1010" s="146"/>
      <c r="B1010" s="64"/>
      <c r="C1010" s="64"/>
      <c r="D1010" s="64"/>
      <c r="E1010" s="85"/>
      <c r="F1010" s="62"/>
    </row>
    <row r="1011" spans="1:6">
      <c r="A1011" s="146"/>
      <c r="B1011" s="64"/>
      <c r="C1011" s="64"/>
      <c r="D1011" s="64"/>
      <c r="E1011" s="85"/>
      <c r="F1011" s="62"/>
    </row>
    <row r="1012" spans="1:6">
      <c r="A1012" s="146"/>
      <c r="B1012" s="64"/>
      <c r="C1012" s="64"/>
      <c r="D1012" s="64"/>
      <c r="E1012" s="85"/>
      <c r="F1012" s="62"/>
    </row>
    <row r="1013" spans="1:6">
      <c r="A1013" s="146"/>
      <c r="B1013" s="64"/>
      <c r="C1013" s="64"/>
      <c r="D1013" s="64"/>
      <c r="E1013" s="85"/>
      <c r="F1013" s="62"/>
    </row>
    <row r="1014" spans="1:6">
      <c r="A1014" s="146"/>
      <c r="B1014" s="64"/>
      <c r="C1014" s="64"/>
      <c r="D1014" s="64"/>
      <c r="E1014" s="85"/>
      <c r="F1014" s="62"/>
    </row>
    <row r="1015" spans="1:6">
      <c r="A1015" s="146"/>
      <c r="B1015" s="64"/>
      <c r="C1015" s="64"/>
      <c r="D1015" s="64"/>
      <c r="E1015" s="85"/>
      <c r="F1015" s="62"/>
    </row>
    <row r="1016" spans="1:6">
      <c r="A1016" s="146"/>
      <c r="B1016" s="64"/>
      <c r="C1016" s="64"/>
      <c r="D1016" s="64"/>
      <c r="E1016" s="85"/>
      <c r="F1016" s="62"/>
    </row>
    <row r="1017" spans="1:6">
      <c r="A1017" s="146"/>
      <c r="B1017" s="64"/>
      <c r="C1017" s="64"/>
      <c r="D1017" s="64"/>
      <c r="E1017" s="85"/>
      <c r="F1017" s="62"/>
    </row>
    <row r="1018" spans="1:6">
      <c r="A1018" s="146"/>
      <c r="B1018" s="64"/>
      <c r="C1018" s="64"/>
      <c r="D1018" s="64"/>
      <c r="E1018" s="85"/>
      <c r="F1018" s="62"/>
    </row>
    <row r="1019" spans="1:6">
      <c r="A1019" s="146"/>
      <c r="B1019" s="64"/>
      <c r="C1019" s="64"/>
      <c r="D1019" s="64"/>
      <c r="E1019" s="85"/>
      <c r="F1019" s="62"/>
    </row>
    <row r="1020" spans="1:6">
      <c r="A1020" s="146"/>
      <c r="B1020" s="64"/>
      <c r="C1020" s="64"/>
      <c r="D1020" s="64"/>
      <c r="E1020" s="85"/>
      <c r="F1020" s="62"/>
    </row>
    <row r="1021" spans="1:6">
      <c r="A1021" s="146"/>
      <c r="B1021" s="64"/>
      <c r="C1021" s="64"/>
      <c r="D1021" s="64"/>
      <c r="E1021" s="85"/>
      <c r="F1021" s="62"/>
    </row>
    <row r="1022" spans="1:6">
      <c r="A1022" s="146"/>
      <c r="B1022" s="64"/>
      <c r="C1022" s="64"/>
      <c r="D1022" s="64"/>
      <c r="E1022" s="85"/>
      <c r="F1022" s="62"/>
    </row>
    <row r="1023" spans="1:6">
      <c r="A1023" s="146"/>
      <c r="B1023" s="64"/>
      <c r="C1023" s="64"/>
      <c r="D1023" s="64"/>
      <c r="E1023" s="85"/>
      <c r="F1023" s="62"/>
    </row>
    <row r="1024" spans="1:6">
      <c r="A1024" s="146"/>
      <c r="B1024" s="64"/>
      <c r="C1024" s="64"/>
      <c r="D1024" s="64"/>
      <c r="E1024" s="85"/>
      <c r="F1024" s="62"/>
    </row>
    <row r="1025" spans="1:6">
      <c r="A1025" s="146"/>
      <c r="B1025" s="64"/>
      <c r="C1025" s="64"/>
      <c r="D1025" s="64"/>
      <c r="E1025" s="85"/>
      <c r="F1025" s="62"/>
    </row>
    <row r="1026" spans="1:6">
      <c r="A1026" s="146"/>
      <c r="B1026" s="64"/>
      <c r="C1026" s="64"/>
      <c r="D1026" s="64"/>
      <c r="E1026" s="85"/>
      <c r="F1026" s="62"/>
    </row>
    <row r="1027" spans="1:6">
      <c r="A1027" s="146"/>
      <c r="B1027" s="64"/>
      <c r="C1027" s="64"/>
      <c r="D1027" s="64"/>
      <c r="E1027" s="85"/>
      <c r="F1027" s="62"/>
    </row>
    <row r="1028" spans="1:6">
      <c r="A1028" s="146"/>
      <c r="B1028" s="64"/>
      <c r="C1028" s="64"/>
      <c r="D1028" s="64"/>
      <c r="E1028" s="85"/>
      <c r="F1028" s="62"/>
    </row>
    <row r="1029" spans="1:6">
      <c r="A1029" s="146"/>
      <c r="B1029" s="64"/>
      <c r="C1029" s="64"/>
      <c r="D1029" s="64"/>
      <c r="E1029" s="85"/>
      <c r="F1029" s="62"/>
    </row>
    <row r="1030" spans="1:6">
      <c r="A1030" s="146"/>
      <c r="B1030" s="64"/>
      <c r="C1030" s="64"/>
      <c r="D1030" s="64"/>
      <c r="E1030" s="85"/>
      <c r="F1030" s="62"/>
    </row>
    <row r="1031" spans="1:6">
      <c r="A1031" s="146"/>
      <c r="B1031" s="64"/>
      <c r="C1031" s="64"/>
      <c r="D1031" s="64"/>
      <c r="E1031" s="85"/>
      <c r="F1031" s="62"/>
    </row>
    <row r="1032" spans="1:6">
      <c r="A1032" s="146"/>
      <c r="B1032" s="64"/>
      <c r="C1032" s="64"/>
      <c r="D1032" s="64"/>
      <c r="E1032" s="85"/>
      <c r="F1032" s="62"/>
    </row>
    <row r="1033" spans="1:6">
      <c r="A1033" s="146"/>
      <c r="B1033" s="64"/>
      <c r="C1033" s="64"/>
      <c r="D1033" s="64"/>
      <c r="E1033" s="85"/>
      <c r="F1033" s="62"/>
    </row>
    <row r="1034" spans="1:6">
      <c r="A1034" s="146"/>
      <c r="B1034" s="64"/>
      <c r="C1034" s="64"/>
      <c r="D1034" s="64"/>
      <c r="E1034" s="85"/>
      <c r="F1034" s="62"/>
    </row>
    <row r="1035" spans="1:6">
      <c r="A1035" s="146"/>
      <c r="B1035" s="64"/>
      <c r="C1035" s="64"/>
      <c r="D1035" s="64"/>
      <c r="E1035" s="85"/>
      <c r="F1035" s="62"/>
    </row>
    <row r="1036" spans="1:6">
      <c r="A1036" s="146"/>
      <c r="B1036" s="64"/>
      <c r="C1036" s="64"/>
      <c r="D1036" s="64"/>
      <c r="E1036" s="85"/>
      <c r="F1036" s="62"/>
    </row>
    <row r="1037" spans="1:6">
      <c r="A1037" s="146"/>
      <c r="B1037" s="64"/>
      <c r="C1037" s="64"/>
      <c r="D1037" s="64"/>
      <c r="E1037" s="85"/>
      <c r="F1037" s="62"/>
    </row>
    <row r="1038" spans="1:6">
      <c r="A1038" s="146"/>
      <c r="B1038" s="64"/>
      <c r="C1038" s="64"/>
      <c r="D1038" s="64"/>
      <c r="E1038" s="85"/>
      <c r="F1038" s="62"/>
    </row>
    <row r="1039" spans="1:6">
      <c r="A1039" s="146"/>
      <c r="B1039" s="64"/>
      <c r="C1039" s="64"/>
      <c r="D1039" s="64"/>
      <c r="E1039" s="85"/>
      <c r="F1039" s="62"/>
    </row>
    <row r="1040" spans="1:6">
      <c r="A1040" s="146"/>
      <c r="B1040" s="64"/>
      <c r="C1040" s="64"/>
      <c r="D1040" s="64"/>
      <c r="E1040" s="85"/>
      <c r="F1040" s="62"/>
    </row>
    <row r="1041" spans="1:6">
      <c r="A1041" s="146"/>
      <c r="B1041" s="64"/>
      <c r="C1041" s="64"/>
      <c r="D1041" s="64"/>
      <c r="E1041" s="85"/>
      <c r="F1041" s="62"/>
    </row>
    <row r="1042" spans="1:6">
      <c r="A1042" s="146"/>
      <c r="B1042" s="64"/>
      <c r="C1042" s="64"/>
      <c r="D1042" s="64"/>
      <c r="E1042" s="85"/>
      <c r="F1042" s="62"/>
    </row>
    <row r="1043" spans="1:6">
      <c r="A1043" s="146"/>
      <c r="B1043" s="64"/>
      <c r="C1043" s="64"/>
      <c r="D1043" s="64"/>
      <c r="E1043" s="85"/>
      <c r="F1043" s="62"/>
    </row>
    <row r="1044" spans="1:6">
      <c r="A1044" s="146"/>
      <c r="B1044" s="64"/>
      <c r="C1044" s="64"/>
      <c r="D1044" s="64"/>
      <c r="E1044" s="85"/>
      <c r="F1044" s="62"/>
    </row>
    <row r="1045" spans="1:6">
      <c r="A1045" s="146"/>
      <c r="B1045" s="64"/>
      <c r="C1045" s="64"/>
      <c r="D1045" s="64"/>
      <c r="E1045" s="85"/>
      <c r="F1045" s="62"/>
    </row>
    <row r="1046" spans="1:6">
      <c r="A1046" s="146"/>
      <c r="B1046" s="64"/>
      <c r="C1046" s="64"/>
      <c r="D1046" s="64"/>
      <c r="E1046" s="85"/>
      <c r="F1046" s="62"/>
    </row>
    <row r="1047" spans="1:6">
      <c r="A1047" s="146"/>
      <c r="B1047" s="64"/>
      <c r="C1047" s="64"/>
      <c r="D1047" s="64"/>
      <c r="E1047" s="85"/>
      <c r="F1047" s="62"/>
    </row>
    <row r="1048" spans="1:6">
      <c r="A1048" s="146"/>
      <c r="B1048" s="64"/>
      <c r="C1048" s="64"/>
      <c r="D1048" s="64"/>
      <c r="E1048" s="85"/>
      <c r="F1048" s="62"/>
    </row>
    <row r="1049" spans="1:6">
      <c r="A1049" s="146"/>
      <c r="B1049" s="64"/>
      <c r="C1049" s="64"/>
      <c r="D1049" s="64"/>
      <c r="E1049" s="85"/>
      <c r="F1049" s="62"/>
    </row>
    <row r="1050" spans="1:6">
      <c r="A1050" s="146"/>
      <c r="B1050" s="64"/>
      <c r="C1050" s="64"/>
      <c r="D1050" s="64"/>
      <c r="E1050" s="85"/>
      <c r="F1050" s="62"/>
    </row>
    <row r="1051" spans="1:6">
      <c r="A1051" s="146"/>
      <c r="B1051" s="64"/>
      <c r="C1051" s="64"/>
      <c r="D1051" s="64"/>
      <c r="E1051" s="85"/>
      <c r="F1051" s="62"/>
    </row>
    <row r="1052" spans="1:6">
      <c r="A1052" s="146"/>
      <c r="B1052" s="64"/>
      <c r="C1052" s="64"/>
      <c r="D1052" s="64"/>
      <c r="E1052" s="85"/>
      <c r="F1052" s="62"/>
    </row>
    <row r="1053" spans="1:6">
      <c r="A1053" s="146"/>
      <c r="B1053" s="64"/>
      <c r="C1053" s="64"/>
      <c r="D1053" s="64"/>
      <c r="E1053" s="85"/>
      <c r="F1053" s="62"/>
    </row>
    <row r="1054" spans="1:6">
      <c r="A1054" s="146"/>
      <c r="B1054" s="64"/>
      <c r="C1054" s="64"/>
      <c r="D1054" s="64"/>
      <c r="E1054" s="85"/>
      <c r="F1054" s="62"/>
    </row>
    <row r="1055" spans="1:6">
      <c r="A1055" s="146"/>
      <c r="B1055" s="64"/>
      <c r="C1055" s="64"/>
      <c r="D1055" s="64"/>
      <c r="E1055" s="85"/>
      <c r="F1055" s="62"/>
    </row>
    <row r="1056" spans="1:6">
      <c r="A1056" s="146"/>
      <c r="B1056" s="64"/>
      <c r="C1056" s="64"/>
      <c r="D1056" s="64"/>
      <c r="E1056" s="85"/>
      <c r="F1056" s="62"/>
    </row>
    <row r="1057" spans="1:6">
      <c r="A1057" s="146"/>
      <c r="B1057" s="64"/>
      <c r="C1057" s="64"/>
      <c r="D1057" s="64"/>
      <c r="E1057" s="85"/>
      <c r="F1057" s="62"/>
    </row>
    <row r="1058" spans="1:6">
      <c r="A1058" s="146"/>
      <c r="B1058" s="64"/>
      <c r="C1058" s="64"/>
      <c r="D1058" s="64"/>
      <c r="E1058" s="85"/>
      <c r="F1058" s="62"/>
    </row>
    <row r="1059" spans="1:6">
      <c r="A1059" s="146"/>
      <c r="B1059" s="64"/>
      <c r="C1059" s="64"/>
      <c r="D1059" s="64"/>
      <c r="E1059" s="85"/>
      <c r="F1059" s="62"/>
    </row>
    <row r="1060" spans="1:6">
      <c r="A1060" s="146"/>
      <c r="B1060" s="64"/>
      <c r="C1060" s="64"/>
      <c r="D1060" s="64"/>
      <c r="E1060" s="85"/>
      <c r="F1060" s="62"/>
    </row>
    <row r="1061" spans="1:6">
      <c r="A1061" s="146"/>
      <c r="B1061" s="64"/>
      <c r="C1061" s="64"/>
      <c r="D1061" s="64"/>
      <c r="E1061" s="85"/>
      <c r="F1061" s="62"/>
    </row>
    <row r="1062" spans="1:6">
      <c r="A1062" s="146"/>
      <c r="B1062" s="64"/>
      <c r="C1062" s="64"/>
      <c r="D1062" s="64"/>
      <c r="E1062" s="85"/>
      <c r="F1062" s="62"/>
    </row>
    <row r="1063" spans="1:6">
      <c r="A1063" s="146"/>
      <c r="B1063" s="64"/>
      <c r="C1063" s="64"/>
      <c r="D1063" s="64"/>
      <c r="E1063" s="85"/>
      <c r="F1063" s="62"/>
    </row>
    <row r="1064" spans="1:6">
      <c r="A1064" s="146"/>
      <c r="B1064" s="64"/>
      <c r="C1064" s="64"/>
      <c r="D1064" s="64"/>
      <c r="E1064" s="85"/>
      <c r="F1064" s="62"/>
    </row>
    <row r="1065" spans="1:6">
      <c r="A1065" s="146"/>
      <c r="B1065" s="64"/>
      <c r="C1065" s="64"/>
      <c r="D1065" s="64"/>
      <c r="E1065" s="85"/>
      <c r="F1065" s="62"/>
    </row>
    <row r="1066" spans="1:6">
      <c r="A1066" s="146"/>
      <c r="B1066" s="64"/>
      <c r="C1066" s="64"/>
      <c r="D1066" s="64"/>
      <c r="E1066" s="85"/>
      <c r="F1066" s="62"/>
    </row>
    <row r="1067" spans="1:6">
      <c r="A1067" s="146"/>
      <c r="B1067" s="64"/>
      <c r="C1067" s="64"/>
      <c r="D1067" s="64"/>
      <c r="E1067" s="85"/>
      <c r="F1067" s="62"/>
    </row>
    <row r="1068" spans="1:6">
      <c r="A1068" s="146"/>
      <c r="B1068" s="64"/>
      <c r="C1068" s="64"/>
      <c r="D1068" s="64"/>
      <c r="E1068" s="85"/>
      <c r="F1068" s="62"/>
    </row>
    <row r="1069" spans="1:6">
      <c r="A1069" s="146"/>
      <c r="B1069" s="64"/>
      <c r="C1069" s="64"/>
      <c r="D1069" s="64"/>
      <c r="E1069" s="85"/>
      <c r="F1069" s="62"/>
    </row>
    <row r="1070" spans="1:6">
      <c r="A1070" s="146"/>
      <c r="B1070" s="64"/>
      <c r="C1070" s="64"/>
      <c r="D1070" s="64"/>
      <c r="E1070" s="85"/>
      <c r="F1070" s="62"/>
    </row>
    <row r="1071" spans="1:6">
      <c r="A1071" s="146"/>
      <c r="B1071" s="64"/>
      <c r="C1071" s="64"/>
      <c r="D1071" s="64"/>
      <c r="E1071" s="85"/>
      <c r="F1071" s="62"/>
    </row>
    <row r="1072" spans="1:6">
      <c r="A1072" s="146"/>
      <c r="B1072" s="64"/>
      <c r="C1072" s="64"/>
      <c r="D1072" s="64"/>
      <c r="E1072" s="85"/>
      <c r="F1072" s="62"/>
    </row>
    <row r="1073" spans="1:6">
      <c r="A1073" s="146"/>
      <c r="B1073" s="64"/>
      <c r="C1073" s="64"/>
      <c r="D1073" s="64"/>
      <c r="E1073" s="85"/>
      <c r="F1073" s="62"/>
    </row>
    <row r="1074" spans="1:6">
      <c r="A1074" s="146"/>
      <c r="B1074" s="64"/>
      <c r="C1074" s="64"/>
      <c r="D1074" s="64"/>
      <c r="E1074" s="85"/>
      <c r="F1074" s="62"/>
    </row>
    <row r="1075" spans="1:6">
      <c r="A1075" s="146"/>
      <c r="B1075" s="64"/>
      <c r="C1075" s="64"/>
      <c r="D1075" s="64"/>
      <c r="E1075" s="85"/>
      <c r="F1075" s="62"/>
    </row>
    <row r="1076" spans="1:6">
      <c r="A1076" s="146"/>
      <c r="B1076" s="64"/>
      <c r="C1076" s="64"/>
      <c r="D1076" s="64"/>
      <c r="E1076" s="85"/>
      <c r="F1076" s="62"/>
    </row>
    <row r="1077" spans="1:6">
      <c r="A1077" s="146"/>
      <c r="B1077" s="64"/>
      <c r="C1077" s="64"/>
      <c r="D1077" s="64"/>
      <c r="E1077" s="85"/>
      <c r="F1077" s="62"/>
    </row>
    <row r="1078" spans="1:6">
      <c r="A1078" s="146"/>
      <c r="B1078" s="64"/>
      <c r="C1078" s="64"/>
      <c r="D1078" s="64"/>
      <c r="E1078" s="85"/>
      <c r="F1078" s="62"/>
    </row>
    <row r="1079" spans="1:6">
      <c r="A1079" s="146"/>
      <c r="B1079" s="64"/>
      <c r="C1079" s="64"/>
      <c r="D1079" s="64"/>
      <c r="E1079" s="85"/>
      <c r="F1079" s="62"/>
    </row>
    <row r="1080" spans="1:6">
      <c r="A1080" s="146"/>
      <c r="B1080" s="64"/>
      <c r="C1080" s="64"/>
      <c r="D1080" s="64"/>
      <c r="E1080" s="85"/>
      <c r="F1080" s="62"/>
    </row>
    <row r="1081" spans="1:6">
      <c r="A1081" s="146"/>
      <c r="B1081" s="64"/>
      <c r="C1081" s="64"/>
      <c r="D1081" s="64"/>
      <c r="E1081" s="85"/>
      <c r="F1081" s="62"/>
    </row>
    <row r="1082" spans="1:6">
      <c r="A1082" s="146"/>
      <c r="B1082" s="64"/>
      <c r="C1082" s="64"/>
      <c r="D1082" s="64"/>
      <c r="E1082" s="85"/>
      <c r="F1082" s="62"/>
    </row>
    <row r="1083" spans="1:6">
      <c r="A1083" s="146"/>
      <c r="B1083" s="64"/>
      <c r="C1083" s="64"/>
      <c r="D1083" s="64"/>
      <c r="E1083" s="85"/>
      <c r="F1083" s="62"/>
    </row>
    <row r="1084" spans="1:6">
      <c r="A1084" s="146"/>
      <c r="B1084" s="64"/>
      <c r="C1084" s="64"/>
      <c r="D1084" s="64"/>
      <c r="E1084" s="85"/>
      <c r="F1084" s="62"/>
    </row>
    <row r="1085" spans="1:6">
      <c r="A1085" s="146"/>
      <c r="B1085" s="64"/>
      <c r="C1085" s="64"/>
      <c r="D1085" s="64"/>
      <c r="E1085" s="85"/>
      <c r="F1085" s="62"/>
    </row>
    <row r="1086" spans="1:6">
      <c r="A1086" s="146"/>
      <c r="B1086" s="64"/>
      <c r="C1086" s="64"/>
      <c r="D1086" s="64"/>
      <c r="E1086" s="85"/>
      <c r="F1086" s="62"/>
    </row>
    <row r="1087" spans="1:6">
      <c r="A1087" s="146"/>
      <c r="B1087" s="64"/>
      <c r="C1087" s="64"/>
      <c r="D1087" s="64"/>
      <c r="E1087" s="85"/>
      <c r="F1087" s="62"/>
    </row>
    <row r="1088" spans="1:6">
      <c r="A1088" s="146"/>
      <c r="B1088" s="64"/>
      <c r="C1088" s="64"/>
      <c r="D1088" s="64"/>
      <c r="E1088" s="85"/>
      <c r="F1088" s="62"/>
    </row>
    <row r="1089" spans="1:6">
      <c r="A1089" s="146"/>
      <c r="B1089" s="64"/>
      <c r="C1089" s="64"/>
      <c r="D1089" s="64"/>
      <c r="E1089" s="85"/>
      <c r="F1089" s="62"/>
    </row>
    <row r="1090" spans="1:6">
      <c r="A1090" s="146"/>
      <c r="B1090" s="64"/>
      <c r="C1090" s="64"/>
      <c r="D1090" s="64"/>
      <c r="E1090" s="85"/>
      <c r="F1090" s="62"/>
    </row>
    <row r="1091" spans="1:6">
      <c r="A1091" s="146"/>
      <c r="B1091" s="64"/>
      <c r="C1091" s="64"/>
      <c r="D1091" s="64"/>
      <c r="E1091" s="85"/>
      <c r="F1091" s="62"/>
    </row>
    <row r="1092" spans="1:6">
      <c r="A1092" s="146"/>
      <c r="B1092" s="64"/>
      <c r="C1092" s="64"/>
      <c r="D1092" s="64"/>
      <c r="E1092" s="85"/>
      <c r="F1092" s="62"/>
    </row>
    <row r="1093" spans="1:6">
      <c r="A1093" s="146"/>
      <c r="B1093" s="64"/>
      <c r="C1093" s="64"/>
      <c r="D1093" s="64"/>
      <c r="E1093" s="85"/>
      <c r="F1093" s="62"/>
    </row>
    <row r="1094" spans="1:6">
      <c r="A1094" s="146"/>
      <c r="B1094" s="64"/>
      <c r="C1094" s="64"/>
      <c r="D1094" s="64"/>
      <c r="E1094" s="85"/>
      <c r="F1094" s="62"/>
    </row>
    <row r="1095" spans="1:6">
      <c r="A1095" s="146"/>
      <c r="B1095" s="64"/>
      <c r="C1095" s="64"/>
      <c r="D1095" s="64"/>
      <c r="E1095" s="85"/>
      <c r="F1095" s="62"/>
    </row>
    <row r="1096" spans="1:6">
      <c r="A1096" s="146"/>
      <c r="B1096" s="64"/>
      <c r="C1096" s="64"/>
      <c r="D1096" s="64"/>
      <c r="E1096" s="85"/>
      <c r="F1096" s="62"/>
    </row>
    <row r="1097" spans="1:6">
      <c r="A1097" s="146"/>
      <c r="B1097" s="64"/>
      <c r="C1097" s="64"/>
      <c r="D1097" s="64"/>
      <c r="E1097" s="85"/>
      <c r="F1097" s="62"/>
    </row>
    <row r="1098" spans="1:6">
      <c r="A1098" s="146"/>
      <c r="B1098" s="64"/>
      <c r="C1098" s="64"/>
      <c r="D1098" s="64"/>
      <c r="E1098" s="85"/>
      <c r="F1098" s="62"/>
    </row>
    <row r="1099" spans="1:6">
      <c r="A1099" s="146"/>
      <c r="B1099" s="64"/>
      <c r="C1099" s="64"/>
      <c r="D1099" s="64"/>
      <c r="E1099" s="85"/>
      <c r="F1099" s="62"/>
    </row>
    <row r="1100" spans="1:6">
      <c r="A1100" s="146"/>
      <c r="B1100" s="64"/>
      <c r="C1100" s="64"/>
      <c r="D1100" s="64"/>
      <c r="E1100" s="85"/>
      <c r="F1100" s="62"/>
    </row>
    <row r="1101" spans="1:6">
      <c r="A1101" s="146"/>
      <c r="B1101" s="64"/>
      <c r="C1101" s="64"/>
      <c r="D1101" s="64"/>
      <c r="E1101" s="85"/>
      <c r="F1101" s="62"/>
    </row>
    <row r="1102" spans="1:6">
      <c r="A1102" s="146"/>
      <c r="B1102" s="64"/>
      <c r="C1102" s="64"/>
      <c r="D1102" s="64"/>
      <c r="E1102" s="85"/>
      <c r="F1102" s="62"/>
    </row>
    <row r="1103" spans="1:6">
      <c r="A1103" s="146"/>
      <c r="B1103" s="64"/>
      <c r="C1103" s="64"/>
      <c r="D1103" s="64"/>
      <c r="E1103" s="85"/>
      <c r="F1103" s="62"/>
    </row>
    <row r="1104" spans="1:6">
      <c r="A1104" s="146"/>
      <c r="B1104" s="64"/>
      <c r="C1104" s="64"/>
      <c r="D1104" s="64"/>
      <c r="E1104" s="85"/>
      <c r="F1104" s="62"/>
    </row>
    <row r="1105" spans="1:6">
      <c r="A1105" s="146"/>
      <c r="B1105" s="64"/>
      <c r="C1105" s="64"/>
      <c r="D1105" s="64"/>
      <c r="E1105" s="85"/>
      <c r="F1105" s="62"/>
    </row>
    <row r="1106" spans="1:6">
      <c r="A1106" s="146"/>
      <c r="B1106" s="64"/>
      <c r="C1106" s="64"/>
      <c r="D1106" s="64"/>
      <c r="E1106" s="85"/>
      <c r="F1106" s="62"/>
    </row>
    <row r="1107" spans="1:6">
      <c r="A1107" s="146"/>
      <c r="B1107" s="64"/>
      <c r="C1107" s="64"/>
      <c r="D1107" s="64"/>
      <c r="E1107" s="85"/>
      <c r="F1107" s="62"/>
    </row>
    <row r="1108" spans="1:6">
      <c r="A1108" s="146"/>
      <c r="B1108" s="64"/>
      <c r="C1108" s="64"/>
      <c r="D1108" s="64"/>
      <c r="E1108" s="85"/>
      <c r="F1108" s="62"/>
    </row>
    <row r="1109" spans="1:6">
      <c r="A1109" s="146"/>
      <c r="B1109" s="64"/>
      <c r="C1109" s="64"/>
      <c r="D1109" s="64"/>
      <c r="E1109" s="85"/>
      <c r="F1109" s="62"/>
    </row>
    <row r="1110" spans="1:6">
      <c r="A1110" s="146"/>
      <c r="B1110" s="64"/>
      <c r="C1110" s="64"/>
      <c r="D1110" s="64"/>
      <c r="E1110" s="85"/>
      <c r="F1110" s="62"/>
    </row>
    <row r="1111" spans="1:6">
      <c r="A1111" s="146"/>
      <c r="B1111" s="64"/>
      <c r="C1111" s="64"/>
      <c r="D1111" s="64"/>
      <c r="E1111" s="85"/>
      <c r="F1111" s="62"/>
    </row>
    <row r="1112" spans="1:6">
      <c r="A1112" s="146"/>
      <c r="B1112" s="64"/>
      <c r="C1112" s="64"/>
      <c r="D1112" s="64"/>
      <c r="E1112" s="85"/>
      <c r="F1112" s="62"/>
    </row>
    <row r="1113" spans="1:6">
      <c r="A1113" s="146"/>
      <c r="B1113" s="64"/>
      <c r="C1113" s="64"/>
      <c r="D1113" s="64"/>
      <c r="E1113" s="85"/>
      <c r="F1113" s="62"/>
    </row>
    <row r="1114" spans="1:6">
      <c r="A1114" s="146"/>
      <c r="B1114" s="64"/>
      <c r="C1114" s="64"/>
      <c r="D1114" s="64"/>
      <c r="E1114" s="85"/>
      <c r="F1114" s="62"/>
    </row>
    <row r="1115" spans="1:6">
      <c r="A1115" s="146"/>
      <c r="B1115" s="64"/>
      <c r="C1115" s="64"/>
      <c r="D1115" s="64"/>
      <c r="E1115" s="85"/>
      <c r="F1115" s="62"/>
    </row>
    <row r="1116" spans="1:6">
      <c r="A1116" s="146"/>
      <c r="B1116" s="64"/>
      <c r="C1116" s="64"/>
      <c r="D1116" s="64"/>
      <c r="E1116" s="85"/>
      <c r="F1116" s="62"/>
    </row>
    <row r="1117" spans="1:6">
      <c r="A1117" s="146"/>
      <c r="B1117" s="64"/>
      <c r="C1117" s="64"/>
      <c r="D1117" s="64"/>
      <c r="E1117" s="85"/>
      <c r="F1117" s="62"/>
    </row>
    <row r="1118" spans="1:6">
      <c r="A1118" s="146"/>
      <c r="B1118" s="64"/>
      <c r="C1118" s="64"/>
      <c r="D1118" s="64"/>
      <c r="E1118" s="85"/>
      <c r="F1118" s="62"/>
    </row>
    <row r="1119" spans="1:6">
      <c r="A1119" s="146"/>
      <c r="B1119" s="64"/>
      <c r="C1119" s="64"/>
      <c r="D1119" s="64"/>
      <c r="E1119" s="85"/>
      <c r="F1119" s="62"/>
    </row>
    <row r="1120" spans="1:6">
      <c r="A1120" s="146"/>
      <c r="B1120" s="64"/>
      <c r="C1120" s="64"/>
      <c r="D1120" s="64"/>
      <c r="E1120" s="85"/>
      <c r="F1120" s="62"/>
    </row>
    <row r="1121" spans="1:6">
      <c r="A1121" s="146"/>
      <c r="B1121" s="64"/>
      <c r="C1121" s="64"/>
      <c r="D1121" s="64"/>
      <c r="E1121" s="85"/>
      <c r="F1121" s="62"/>
    </row>
    <row r="1122" spans="1:6">
      <c r="A1122" s="146"/>
      <c r="B1122" s="64"/>
      <c r="C1122" s="64"/>
      <c r="D1122" s="64"/>
      <c r="E1122" s="85"/>
      <c r="F1122" s="62"/>
    </row>
    <row r="1123" spans="1:6">
      <c r="A1123" s="146"/>
      <c r="B1123" s="64"/>
      <c r="C1123" s="64"/>
      <c r="D1123" s="64"/>
      <c r="E1123" s="85"/>
      <c r="F1123" s="62"/>
    </row>
    <row r="1124" spans="1:6">
      <c r="A1124" s="146"/>
      <c r="B1124" s="64"/>
      <c r="C1124" s="64"/>
      <c r="D1124" s="64"/>
      <c r="E1124" s="85"/>
      <c r="F1124" s="62"/>
    </row>
    <row r="1125" spans="1:6">
      <c r="A1125" s="146"/>
      <c r="B1125" s="64"/>
      <c r="C1125" s="64"/>
      <c r="D1125" s="64"/>
      <c r="E1125" s="85"/>
      <c r="F1125" s="62"/>
    </row>
    <row r="1126" spans="1:6">
      <c r="A1126" s="146"/>
      <c r="B1126" s="64"/>
      <c r="C1126" s="64"/>
      <c r="D1126" s="64"/>
      <c r="E1126" s="85"/>
      <c r="F1126" s="62"/>
    </row>
    <row r="1127" spans="1:6">
      <c r="A1127" s="146"/>
      <c r="B1127" s="64"/>
      <c r="C1127" s="64"/>
      <c r="D1127" s="64"/>
      <c r="E1127" s="85"/>
      <c r="F1127" s="62"/>
    </row>
    <row r="1128" spans="1:6">
      <c r="A1128" s="146"/>
      <c r="B1128" s="64"/>
      <c r="C1128" s="64"/>
      <c r="D1128" s="64"/>
      <c r="E1128" s="85"/>
      <c r="F1128" s="62"/>
    </row>
    <row r="1129" spans="1:6">
      <c r="A1129" s="146"/>
      <c r="B1129" s="64"/>
      <c r="C1129" s="64"/>
      <c r="D1129" s="64"/>
      <c r="E1129" s="85"/>
      <c r="F1129" s="62"/>
    </row>
    <row r="1130" spans="1:6">
      <c r="A1130" s="146"/>
      <c r="B1130" s="64"/>
      <c r="C1130" s="64"/>
      <c r="D1130" s="64"/>
      <c r="E1130" s="85"/>
      <c r="F1130" s="62"/>
    </row>
    <row r="1131" spans="1:6">
      <c r="A1131" s="146"/>
      <c r="B1131" s="64"/>
      <c r="C1131" s="64"/>
      <c r="D1131" s="64"/>
      <c r="E1131" s="85"/>
      <c r="F1131" s="62"/>
    </row>
    <row r="1132" spans="1:6">
      <c r="A1132" s="146"/>
      <c r="B1132" s="64"/>
      <c r="C1132" s="64"/>
      <c r="D1132" s="64"/>
      <c r="E1132" s="85"/>
      <c r="F1132" s="62"/>
    </row>
    <row r="1133" spans="1:6">
      <c r="A1133" s="146"/>
      <c r="B1133" s="64"/>
      <c r="C1133" s="64"/>
      <c r="D1133" s="64"/>
      <c r="E1133" s="85"/>
      <c r="F1133" s="62"/>
    </row>
    <row r="1134" spans="1:6">
      <c r="A1134" s="146"/>
      <c r="B1134" s="64"/>
      <c r="C1134" s="64"/>
      <c r="D1134" s="64"/>
      <c r="E1134" s="85"/>
      <c r="F1134" s="62"/>
    </row>
    <row r="1135" spans="1:6">
      <c r="A1135" s="146"/>
      <c r="B1135" s="64"/>
      <c r="C1135" s="64"/>
      <c r="D1135" s="64"/>
      <c r="E1135" s="85"/>
      <c r="F1135" s="62"/>
    </row>
    <row r="1136" spans="1:6">
      <c r="A1136" s="146"/>
      <c r="B1136" s="64"/>
      <c r="C1136" s="64"/>
      <c r="D1136" s="64"/>
      <c r="E1136" s="85"/>
      <c r="F1136" s="62"/>
    </row>
    <row r="1137" spans="1:6">
      <c r="A1137" s="146"/>
      <c r="B1137" s="64"/>
      <c r="C1137" s="64"/>
      <c r="D1137" s="64"/>
      <c r="E1137" s="85"/>
      <c r="F1137" s="62"/>
    </row>
    <row r="1138" spans="1:6">
      <c r="A1138" s="146"/>
      <c r="B1138" s="64"/>
      <c r="C1138" s="64"/>
      <c r="D1138" s="64"/>
      <c r="E1138" s="85"/>
      <c r="F1138" s="62"/>
    </row>
    <row r="1139" spans="1:6">
      <c r="A1139" s="146"/>
      <c r="B1139" s="64"/>
      <c r="C1139" s="64"/>
      <c r="D1139" s="64"/>
      <c r="E1139" s="85"/>
      <c r="F1139" s="62"/>
    </row>
    <row r="1140" spans="1:6">
      <c r="A1140" s="146"/>
      <c r="B1140" s="64"/>
      <c r="C1140" s="64"/>
      <c r="D1140" s="64"/>
      <c r="E1140" s="85"/>
      <c r="F1140" s="62"/>
    </row>
    <row r="1141" spans="1:6">
      <c r="A1141" s="146"/>
      <c r="B1141" s="64"/>
      <c r="C1141" s="64"/>
      <c r="D1141" s="64"/>
      <c r="E1141" s="85"/>
      <c r="F1141" s="62"/>
    </row>
    <row r="1142" spans="1:6">
      <c r="A1142" s="146"/>
      <c r="B1142" s="64"/>
      <c r="C1142" s="64"/>
      <c r="D1142" s="64"/>
      <c r="E1142" s="85"/>
      <c r="F1142" s="62"/>
    </row>
    <row r="1143" spans="1:6">
      <c r="A1143" s="146"/>
      <c r="B1143" s="64"/>
      <c r="C1143" s="64"/>
      <c r="D1143" s="64"/>
      <c r="E1143" s="85"/>
      <c r="F1143" s="62"/>
    </row>
    <row r="1144" spans="1:6">
      <c r="A1144" s="146"/>
      <c r="B1144" s="64"/>
      <c r="C1144" s="64"/>
      <c r="D1144" s="64"/>
      <c r="E1144" s="85"/>
      <c r="F1144" s="62"/>
    </row>
    <row r="1145" spans="1:6">
      <c r="A1145" s="146"/>
      <c r="B1145" s="64"/>
      <c r="C1145" s="64"/>
      <c r="D1145" s="64"/>
      <c r="E1145" s="85"/>
      <c r="F1145" s="62"/>
    </row>
    <row r="1146" spans="1:6">
      <c r="A1146" s="146"/>
      <c r="B1146" s="64"/>
      <c r="C1146" s="64"/>
      <c r="D1146" s="64"/>
      <c r="E1146" s="85"/>
      <c r="F1146" s="62"/>
    </row>
    <row r="1147" spans="1:6">
      <c r="A1147" s="146"/>
      <c r="B1147" s="64"/>
      <c r="C1147" s="64"/>
      <c r="D1147" s="64"/>
      <c r="E1147" s="85"/>
      <c r="F1147" s="62"/>
    </row>
    <row r="1148" spans="1:6">
      <c r="A1148" s="146"/>
      <c r="B1148" s="64"/>
      <c r="C1148" s="64"/>
      <c r="D1148" s="64"/>
      <c r="E1148" s="85"/>
      <c r="F1148" s="62"/>
    </row>
    <row r="1149" spans="1:6">
      <c r="A1149" s="146"/>
      <c r="B1149" s="64"/>
      <c r="C1149" s="64"/>
      <c r="D1149" s="64"/>
      <c r="E1149" s="85"/>
      <c r="F1149" s="62"/>
    </row>
    <row r="1150" spans="1:6">
      <c r="A1150" s="146"/>
      <c r="B1150" s="64"/>
      <c r="C1150" s="64"/>
      <c r="D1150" s="64"/>
      <c r="E1150" s="85"/>
      <c r="F1150" s="62"/>
    </row>
    <row r="1151" spans="1:6">
      <c r="A1151" s="146"/>
      <c r="B1151" s="64"/>
      <c r="C1151" s="64"/>
      <c r="D1151" s="64"/>
      <c r="E1151" s="85"/>
      <c r="F1151" s="62"/>
    </row>
    <row r="1152" spans="1:6">
      <c r="A1152" s="146"/>
      <c r="B1152" s="64"/>
      <c r="C1152" s="64"/>
      <c r="D1152" s="64"/>
      <c r="E1152" s="85"/>
      <c r="F1152" s="62"/>
    </row>
    <row r="1153" spans="1:6">
      <c r="A1153" s="146"/>
      <c r="B1153" s="64"/>
      <c r="C1153" s="64"/>
      <c r="D1153" s="64"/>
      <c r="E1153" s="85"/>
      <c r="F1153" s="62"/>
    </row>
    <row r="1154" spans="1:6">
      <c r="A1154" s="146"/>
      <c r="B1154" s="64"/>
      <c r="C1154" s="64"/>
      <c r="D1154" s="64"/>
      <c r="E1154" s="85"/>
      <c r="F1154" s="62"/>
    </row>
    <row r="1155" spans="1:6">
      <c r="A1155" s="146"/>
      <c r="B1155" s="64"/>
      <c r="C1155" s="64"/>
      <c r="D1155" s="64"/>
      <c r="E1155" s="85"/>
      <c r="F1155" s="62"/>
    </row>
    <row r="1156" spans="1:6">
      <c r="A1156" s="146"/>
      <c r="B1156" s="64"/>
      <c r="C1156" s="64"/>
      <c r="D1156" s="64"/>
      <c r="E1156" s="85"/>
      <c r="F1156" s="62"/>
    </row>
    <row r="1157" spans="1:6">
      <c r="A1157" s="146"/>
      <c r="B1157" s="64"/>
      <c r="C1157" s="64"/>
      <c r="D1157" s="64"/>
      <c r="E1157" s="85"/>
      <c r="F1157" s="62"/>
    </row>
    <row r="1158" spans="1:6">
      <c r="A1158" s="146"/>
      <c r="B1158" s="64"/>
      <c r="C1158" s="64"/>
      <c r="D1158" s="64"/>
      <c r="E1158" s="85"/>
      <c r="F1158" s="62"/>
    </row>
    <row r="1159" spans="1:6">
      <c r="A1159" s="146"/>
      <c r="B1159" s="64"/>
      <c r="C1159" s="64"/>
      <c r="D1159" s="64"/>
      <c r="E1159" s="85"/>
      <c r="F1159" s="62"/>
    </row>
    <row r="1160" spans="1:6">
      <c r="A1160" s="146"/>
      <c r="B1160" s="64"/>
      <c r="C1160" s="64"/>
      <c r="D1160" s="64"/>
      <c r="E1160" s="85"/>
      <c r="F1160" s="62"/>
    </row>
    <row r="1161" spans="1:6">
      <c r="A1161" s="146"/>
      <c r="B1161" s="64"/>
      <c r="C1161" s="64"/>
      <c r="D1161" s="64"/>
      <c r="E1161" s="85"/>
      <c r="F1161" s="62"/>
    </row>
    <row r="1162" spans="1:6">
      <c r="A1162" s="146"/>
      <c r="B1162" s="64"/>
      <c r="C1162" s="64"/>
      <c r="D1162" s="64"/>
      <c r="E1162" s="85"/>
      <c r="F1162" s="62"/>
    </row>
    <row r="1163" spans="1:6">
      <c r="A1163" s="146"/>
      <c r="B1163" s="64"/>
      <c r="C1163" s="64"/>
      <c r="D1163" s="64"/>
      <c r="E1163" s="85"/>
      <c r="F1163" s="62"/>
    </row>
    <row r="1164" spans="1:6">
      <c r="A1164" s="146"/>
      <c r="B1164" s="64"/>
      <c r="C1164" s="64"/>
      <c r="D1164" s="64"/>
      <c r="E1164" s="85"/>
      <c r="F1164" s="62"/>
    </row>
    <row r="1165" spans="1:6">
      <c r="A1165" s="146"/>
      <c r="B1165" s="64"/>
      <c r="C1165" s="64"/>
      <c r="D1165" s="64"/>
      <c r="E1165" s="85"/>
      <c r="F1165" s="62"/>
    </row>
    <row r="1166" spans="1:6">
      <c r="A1166" s="146"/>
      <c r="B1166" s="64"/>
      <c r="C1166" s="64"/>
      <c r="D1166" s="64"/>
      <c r="E1166" s="85"/>
      <c r="F1166" s="62"/>
    </row>
    <row r="1167" spans="1:6">
      <c r="A1167" s="146"/>
      <c r="B1167" s="64"/>
      <c r="C1167" s="64"/>
      <c r="D1167" s="64"/>
      <c r="E1167" s="85"/>
      <c r="F1167" s="62"/>
    </row>
    <row r="1168" spans="1:6">
      <c r="A1168" s="146"/>
      <c r="B1168" s="64"/>
      <c r="C1168" s="64"/>
      <c r="D1168" s="64"/>
      <c r="E1168" s="85"/>
      <c r="F1168" s="62"/>
    </row>
    <row r="1169" spans="1:6">
      <c r="A1169" s="146"/>
      <c r="B1169" s="64"/>
      <c r="C1169" s="64"/>
      <c r="D1169" s="64"/>
      <c r="E1169" s="85"/>
      <c r="F1169" s="62"/>
    </row>
    <row r="1170" spans="1:6">
      <c r="A1170" s="146"/>
      <c r="B1170" s="64"/>
      <c r="C1170" s="64"/>
      <c r="D1170" s="64"/>
      <c r="E1170" s="85"/>
      <c r="F1170" s="62"/>
    </row>
    <row r="1171" spans="1:6">
      <c r="A1171" s="146"/>
      <c r="B1171" s="64"/>
      <c r="C1171" s="64"/>
      <c r="D1171" s="64"/>
      <c r="E1171" s="85"/>
      <c r="F1171" s="62"/>
    </row>
    <row r="1172" spans="1:6">
      <c r="A1172" s="146"/>
      <c r="B1172" s="64"/>
      <c r="C1172" s="64"/>
      <c r="D1172" s="64"/>
      <c r="E1172" s="85"/>
      <c r="F1172" s="62"/>
    </row>
    <row r="1173" spans="1:6">
      <c r="A1173" s="146"/>
      <c r="B1173" s="64"/>
      <c r="C1173" s="64"/>
      <c r="D1173" s="64"/>
      <c r="E1173" s="85"/>
      <c r="F1173" s="62"/>
    </row>
    <row r="1174" spans="1:6">
      <c r="A1174" s="146"/>
      <c r="B1174" s="64"/>
      <c r="C1174" s="64"/>
      <c r="D1174" s="64"/>
      <c r="E1174" s="85"/>
      <c r="F1174" s="62"/>
    </row>
    <row r="1175" spans="1:6">
      <c r="A1175" s="146"/>
      <c r="B1175" s="64"/>
      <c r="C1175" s="64"/>
      <c r="D1175" s="64"/>
      <c r="E1175" s="85"/>
      <c r="F1175" s="62"/>
    </row>
    <row r="1176" spans="1:6">
      <c r="A1176" s="146"/>
      <c r="B1176" s="64"/>
      <c r="C1176" s="64"/>
      <c r="D1176" s="64"/>
      <c r="E1176" s="85"/>
      <c r="F1176" s="62"/>
    </row>
    <row r="1177" spans="1:6">
      <c r="A1177" s="146"/>
      <c r="B1177" s="64"/>
      <c r="C1177" s="64"/>
      <c r="D1177" s="64"/>
      <c r="E1177" s="85"/>
      <c r="F1177" s="62"/>
    </row>
    <row r="1178" spans="1:6">
      <c r="A1178" s="146"/>
      <c r="B1178" s="64"/>
      <c r="C1178" s="64"/>
      <c r="D1178" s="64"/>
      <c r="E1178" s="85"/>
      <c r="F1178" s="62"/>
    </row>
    <row r="1179" spans="1:6">
      <c r="A1179" s="146"/>
      <c r="B1179" s="64"/>
      <c r="C1179" s="64"/>
      <c r="D1179" s="64"/>
      <c r="E1179" s="85"/>
      <c r="F1179" s="62"/>
    </row>
    <row r="1180" spans="1:6">
      <c r="A1180" s="146"/>
      <c r="B1180" s="64"/>
      <c r="C1180" s="64"/>
      <c r="D1180" s="64"/>
      <c r="E1180" s="85"/>
      <c r="F1180" s="62"/>
    </row>
    <row r="1181" spans="1:6">
      <c r="A1181" s="146"/>
      <c r="B1181" s="64"/>
      <c r="C1181" s="64"/>
      <c r="D1181" s="64"/>
      <c r="E1181" s="85"/>
      <c r="F1181" s="62"/>
    </row>
    <row r="1182" spans="1:6">
      <c r="A1182" s="146"/>
      <c r="B1182" s="64"/>
      <c r="C1182" s="64"/>
      <c r="D1182" s="64"/>
      <c r="E1182" s="85"/>
      <c r="F1182" s="62"/>
    </row>
    <row r="1183" spans="1:6">
      <c r="A1183" s="146"/>
      <c r="B1183" s="64"/>
      <c r="C1183" s="64"/>
      <c r="D1183" s="64"/>
      <c r="E1183" s="85"/>
      <c r="F1183" s="62"/>
    </row>
    <row r="1184" spans="1:6">
      <c r="A1184" s="146"/>
      <c r="B1184" s="64"/>
      <c r="C1184" s="64"/>
      <c r="D1184" s="64"/>
      <c r="E1184" s="85"/>
      <c r="F1184" s="62"/>
    </row>
    <row r="1185" spans="1:6">
      <c r="A1185" s="146"/>
      <c r="B1185" s="64"/>
      <c r="C1185" s="64"/>
      <c r="D1185" s="64"/>
      <c r="E1185" s="85"/>
      <c r="F1185" s="62"/>
    </row>
    <row r="1186" spans="1:6">
      <c r="A1186" s="146"/>
      <c r="B1186" s="64"/>
      <c r="C1186" s="64"/>
      <c r="D1186" s="64"/>
      <c r="E1186" s="85"/>
      <c r="F1186" s="62"/>
    </row>
    <row r="1187" spans="1:6">
      <c r="A1187" s="146"/>
      <c r="B1187" s="64"/>
      <c r="C1187" s="64"/>
      <c r="D1187" s="64"/>
      <c r="E1187" s="85"/>
      <c r="F1187" s="62"/>
    </row>
    <row r="1188" spans="1:6">
      <c r="A1188" s="146"/>
      <c r="B1188" s="64"/>
      <c r="C1188" s="64"/>
      <c r="D1188" s="64"/>
      <c r="E1188" s="85"/>
      <c r="F1188" s="62"/>
    </row>
    <row r="1189" spans="1:6">
      <c r="A1189" s="146"/>
      <c r="B1189" s="64"/>
      <c r="C1189" s="64"/>
      <c r="D1189" s="64"/>
      <c r="E1189" s="85"/>
      <c r="F1189" s="62"/>
    </row>
    <row r="1190" spans="1:6">
      <c r="A1190" s="146"/>
      <c r="B1190" s="64"/>
      <c r="C1190" s="64"/>
      <c r="D1190" s="64"/>
      <c r="E1190" s="85"/>
      <c r="F1190" s="62"/>
    </row>
    <row r="1191" spans="1:6">
      <c r="A1191" s="146"/>
      <c r="B1191" s="64"/>
      <c r="C1191" s="64"/>
      <c r="D1191" s="64"/>
      <c r="E1191" s="85"/>
      <c r="F1191" s="62"/>
    </row>
    <row r="1192" spans="1:6">
      <c r="A1192" s="146"/>
      <c r="B1192" s="64"/>
      <c r="C1192" s="64"/>
      <c r="D1192" s="64"/>
      <c r="E1192" s="85"/>
      <c r="F1192" s="62"/>
    </row>
    <row r="1193" spans="1:6">
      <c r="A1193" s="146"/>
      <c r="B1193" s="64"/>
      <c r="C1193" s="64"/>
      <c r="D1193" s="64"/>
      <c r="E1193" s="85"/>
      <c r="F1193" s="62"/>
    </row>
    <row r="1194" spans="1:6">
      <c r="A1194" s="146"/>
      <c r="B1194" s="64"/>
      <c r="C1194" s="64"/>
      <c r="D1194" s="64"/>
      <c r="E1194" s="85"/>
      <c r="F1194" s="62"/>
    </row>
    <row r="1195" spans="1:6">
      <c r="A1195" s="146"/>
      <c r="B1195" s="64"/>
      <c r="C1195" s="64"/>
      <c r="D1195" s="64"/>
      <c r="E1195" s="85"/>
      <c r="F1195" s="62"/>
    </row>
    <row r="1196" spans="1:6">
      <c r="A1196" s="146"/>
      <c r="B1196" s="64"/>
      <c r="C1196" s="64"/>
      <c r="D1196" s="64"/>
      <c r="E1196" s="85"/>
      <c r="F1196" s="62"/>
    </row>
    <row r="1197" spans="1:6">
      <c r="A1197" s="146"/>
      <c r="B1197" s="64"/>
      <c r="C1197" s="64"/>
      <c r="D1197" s="64"/>
      <c r="E1197" s="85"/>
      <c r="F1197" s="62"/>
    </row>
    <row r="1198" spans="1:6">
      <c r="A1198" s="146"/>
      <c r="B1198" s="64"/>
      <c r="C1198" s="64"/>
      <c r="D1198" s="64"/>
      <c r="E1198" s="85"/>
      <c r="F1198" s="62"/>
    </row>
    <row r="1199" spans="1:6">
      <c r="A1199" s="146"/>
      <c r="B1199" s="64"/>
      <c r="C1199" s="64"/>
      <c r="D1199" s="64"/>
      <c r="E1199" s="85"/>
      <c r="F1199" s="62"/>
    </row>
    <row r="1200" spans="1:6">
      <c r="A1200" s="146"/>
      <c r="B1200" s="64"/>
      <c r="C1200" s="64"/>
      <c r="D1200" s="64"/>
      <c r="E1200" s="85"/>
      <c r="F1200" s="62"/>
    </row>
    <row r="1201" spans="1:6">
      <c r="A1201" s="146"/>
      <c r="B1201" s="64"/>
      <c r="C1201" s="64"/>
      <c r="D1201" s="64"/>
      <c r="E1201" s="85"/>
      <c r="F1201" s="62"/>
    </row>
    <row r="1202" spans="1:6">
      <c r="A1202" s="146"/>
      <c r="B1202" s="64"/>
      <c r="C1202" s="64"/>
      <c r="D1202" s="64"/>
      <c r="E1202" s="85"/>
      <c r="F1202" s="62"/>
    </row>
    <row r="1203" spans="1:6">
      <c r="A1203" s="146"/>
      <c r="B1203" s="64"/>
      <c r="C1203" s="64"/>
      <c r="D1203" s="64"/>
      <c r="E1203" s="85"/>
      <c r="F1203" s="62"/>
    </row>
    <row r="1204" spans="1:6">
      <c r="A1204" s="146"/>
      <c r="B1204" s="64"/>
      <c r="C1204" s="64"/>
      <c r="D1204" s="64"/>
      <c r="E1204" s="85"/>
      <c r="F1204" s="62"/>
    </row>
    <row r="1205" spans="1:6">
      <c r="A1205" s="146"/>
      <c r="B1205" s="64"/>
      <c r="C1205" s="64"/>
      <c r="D1205" s="64"/>
      <c r="E1205" s="85"/>
      <c r="F1205" s="62"/>
    </row>
    <row r="1206" spans="1:6">
      <c r="A1206" s="146"/>
      <c r="B1206" s="64"/>
      <c r="C1206" s="64"/>
      <c r="D1206" s="64"/>
      <c r="E1206" s="85"/>
      <c r="F1206" s="62"/>
    </row>
    <row r="1207" spans="1:6">
      <c r="A1207" s="146"/>
      <c r="B1207" s="64"/>
      <c r="C1207" s="64"/>
      <c r="D1207" s="64"/>
      <c r="E1207" s="85"/>
      <c r="F1207" s="62"/>
    </row>
    <row r="1208" spans="1:6">
      <c r="A1208" s="146"/>
      <c r="B1208" s="64"/>
      <c r="C1208" s="64"/>
      <c r="D1208" s="64"/>
      <c r="E1208" s="85"/>
      <c r="F1208" s="62"/>
    </row>
    <row r="1209" spans="1:6">
      <c r="A1209" s="146"/>
      <c r="B1209" s="64"/>
      <c r="C1209" s="64"/>
      <c r="D1209" s="64"/>
      <c r="E1209" s="85"/>
      <c r="F1209" s="62"/>
    </row>
    <row r="1210" spans="1:6">
      <c r="A1210" s="146"/>
      <c r="B1210" s="64"/>
      <c r="C1210" s="64"/>
      <c r="D1210" s="64"/>
      <c r="E1210" s="85"/>
      <c r="F1210" s="62"/>
    </row>
    <row r="1211" spans="1:6">
      <c r="A1211" s="146"/>
      <c r="B1211" s="64"/>
      <c r="C1211" s="64"/>
      <c r="D1211" s="64"/>
      <c r="E1211" s="85"/>
      <c r="F1211" s="62"/>
    </row>
    <row r="1212" spans="1:6">
      <c r="A1212" s="146"/>
      <c r="B1212" s="64"/>
      <c r="C1212" s="64"/>
      <c r="D1212" s="64"/>
      <c r="E1212" s="85"/>
      <c r="F1212" s="62"/>
    </row>
    <row r="1213" spans="1:6">
      <c r="A1213" s="146"/>
      <c r="B1213" s="64"/>
      <c r="C1213" s="64"/>
      <c r="D1213" s="64"/>
      <c r="E1213" s="85"/>
      <c r="F1213" s="62"/>
    </row>
    <row r="1214" spans="1:6">
      <c r="A1214" s="146"/>
      <c r="B1214" s="64"/>
      <c r="C1214" s="64"/>
      <c r="D1214" s="64"/>
      <c r="E1214" s="85"/>
      <c r="F1214" s="62"/>
    </row>
    <row r="1215" spans="1:6">
      <c r="A1215" s="146"/>
      <c r="B1215" s="64"/>
      <c r="C1215" s="64"/>
      <c r="D1215" s="64"/>
      <c r="E1215" s="85"/>
      <c r="F1215" s="62"/>
    </row>
    <row r="1216" spans="1:6">
      <c r="A1216" s="146"/>
      <c r="B1216" s="64"/>
      <c r="C1216" s="64"/>
      <c r="D1216" s="64"/>
      <c r="E1216" s="85"/>
      <c r="F1216" s="62"/>
    </row>
    <row r="1217" spans="1:6">
      <c r="A1217" s="146"/>
      <c r="B1217" s="64"/>
      <c r="C1217" s="64"/>
      <c r="D1217" s="64"/>
      <c r="E1217" s="85"/>
      <c r="F1217" s="62"/>
    </row>
    <row r="1218" spans="1:6">
      <c r="A1218" s="146"/>
      <c r="B1218" s="64"/>
      <c r="C1218" s="64"/>
      <c r="D1218" s="64"/>
      <c r="E1218" s="85"/>
      <c r="F1218" s="62"/>
    </row>
    <row r="1219" spans="1:6">
      <c r="A1219" s="146"/>
      <c r="B1219" s="64"/>
      <c r="C1219" s="64"/>
      <c r="D1219" s="64"/>
      <c r="E1219" s="85"/>
      <c r="F1219" s="62"/>
    </row>
    <row r="1220" spans="1:6">
      <c r="A1220" s="146"/>
      <c r="B1220" s="64"/>
      <c r="C1220" s="64"/>
      <c r="D1220" s="64"/>
      <c r="E1220" s="85"/>
      <c r="F1220" s="62"/>
    </row>
    <row r="1221" spans="1:6">
      <c r="A1221" s="146"/>
      <c r="B1221" s="64"/>
      <c r="C1221" s="64"/>
      <c r="D1221" s="64"/>
      <c r="E1221" s="85"/>
      <c r="F1221" s="62"/>
    </row>
    <row r="1222" spans="1:6">
      <c r="A1222" s="146"/>
      <c r="B1222" s="64"/>
      <c r="C1222" s="64"/>
      <c r="D1222" s="64"/>
      <c r="E1222" s="85"/>
      <c r="F1222" s="62"/>
    </row>
    <row r="1223" spans="1:6">
      <c r="A1223" s="146"/>
      <c r="B1223" s="64"/>
      <c r="C1223" s="64"/>
      <c r="D1223" s="64"/>
      <c r="E1223" s="85"/>
      <c r="F1223" s="62"/>
    </row>
    <row r="1224" spans="1:6">
      <c r="A1224" s="146"/>
      <c r="B1224" s="64"/>
      <c r="C1224" s="64"/>
      <c r="D1224" s="64"/>
      <c r="E1224" s="85"/>
      <c r="F1224" s="62"/>
    </row>
    <row r="1225" spans="1:6">
      <c r="A1225" s="146"/>
      <c r="B1225" s="64"/>
      <c r="C1225" s="64"/>
      <c r="D1225" s="64"/>
      <c r="E1225" s="85"/>
      <c r="F1225" s="62"/>
    </row>
    <row r="1226" spans="1:6">
      <c r="A1226" s="146"/>
      <c r="B1226" s="64"/>
      <c r="C1226" s="64"/>
      <c r="D1226" s="64"/>
      <c r="E1226" s="85"/>
      <c r="F1226" s="62"/>
    </row>
    <row r="1227" spans="1:6">
      <c r="A1227" s="146"/>
      <c r="B1227" s="64"/>
      <c r="C1227" s="64"/>
      <c r="D1227" s="64"/>
      <c r="E1227" s="85"/>
      <c r="F1227" s="62"/>
    </row>
    <row r="1228" spans="1:6">
      <c r="A1228" s="146"/>
      <c r="B1228" s="64"/>
      <c r="C1228" s="64"/>
      <c r="D1228" s="64"/>
      <c r="E1228" s="85"/>
      <c r="F1228" s="62"/>
    </row>
    <row r="1229" spans="1:6">
      <c r="A1229" s="146"/>
      <c r="B1229" s="64"/>
      <c r="C1229" s="64"/>
      <c r="D1229" s="64"/>
      <c r="E1229" s="85"/>
      <c r="F1229" s="62"/>
    </row>
    <row r="1230" spans="1:6">
      <c r="A1230" s="146"/>
      <c r="B1230" s="64"/>
      <c r="C1230" s="64"/>
      <c r="D1230" s="64"/>
      <c r="E1230" s="85"/>
      <c r="F1230" s="62"/>
    </row>
    <row r="1231" spans="1:6">
      <c r="A1231" s="146"/>
      <c r="B1231" s="64"/>
      <c r="C1231" s="64"/>
      <c r="D1231" s="64"/>
      <c r="E1231" s="85"/>
      <c r="F1231" s="62"/>
    </row>
    <row r="1232" spans="1:6">
      <c r="A1232" s="146"/>
      <c r="B1232" s="64"/>
      <c r="C1232" s="64"/>
      <c r="D1232" s="64"/>
      <c r="E1232" s="85"/>
      <c r="F1232" s="62"/>
    </row>
    <row r="1233" spans="1:6">
      <c r="A1233" s="146"/>
      <c r="B1233" s="64"/>
      <c r="C1233" s="64"/>
      <c r="D1233" s="64"/>
      <c r="E1233" s="85"/>
      <c r="F1233" s="62"/>
    </row>
    <row r="1234" spans="1:6">
      <c r="A1234" s="146"/>
      <c r="B1234" s="64"/>
      <c r="C1234" s="64"/>
      <c r="D1234" s="64"/>
      <c r="E1234" s="85"/>
      <c r="F1234" s="62"/>
    </row>
    <row r="1235" spans="1:6">
      <c r="A1235" s="146"/>
      <c r="B1235" s="64"/>
      <c r="C1235" s="64"/>
      <c r="D1235" s="64"/>
      <c r="E1235" s="85"/>
      <c r="F1235" s="62"/>
    </row>
    <row r="1236" spans="1:6">
      <c r="A1236" s="146"/>
      <c r="B1236" s="64"/>
      <c r="C1236" s="64"/>
      <c r="D1236" s="64"/>
      <c r="E1236" s="85"/>
      <c r="F1236" s="62"/>
    </row>
    <row r="1237" spans="1:6">
      <c r="A1237" s="146"/>
      <c r="B1237" s="64"/>
      <c r="C1237" s="64"/>
      <c r="D1237" s="64"/>
      <c r="E1237" s="85"/>
      <c r="F1237" s="62"/>
    </row>
    <row r="1238" spans="1:6">
      <c r="A1238" s="146"/>
      <c r="B1238" s="64"/>
      <c r="C1238" s="64"/>
      <c r="D1238" s="64"/>
      <c r="E1238" s="85"/>
      <c r="F1238" s="62"/>
    </row>
    <row r="1239" spans="1:6">
      <c r="A1239" s="146"/>
      <c r="B1239" s="64"/>
      <c r="C1239" s="64"/>
      <c r="D1239" s="64"/>
      <c r="E1239" s="85"/>
      <c r="F1239" s="62"/>
    </row>
    <row r="1240" spans="1:6">
      <c r="A1240" s="146"/>
      <c r="B1240" s="64"/>
      <c r="C1240" s="64"/>
      <c r="D1240" s="64"/>
      <c r="E1240" s="85"/>
      <c r="F1240" s="62"/>
    </row>
    <row r="1241" spans="1:6">
      <c r="A1241" s="146"/>
      <c r="B1241" s="64"/>
      <c r="C1241" s="64"/>
      <c r="D1241" s="64"/>
      <c r="E1241" s="85"/>
      <c r="F1241" s="62"/>
    </row>
    <row r="1242" spans="1:6">
      <c r="A1242" s="146"/>
      <c r="B1242" s="64"/>
      <c r="C1242" s="64"/>
      <c r="D1242" s="64"/>
      <c r="E1242" s="85"/>
      <c r="F1242" s="62"/>
    </row>
    <row r="1243" spans="1:6">
      <c r="A1243" s="146"/>
      <c r="B1243" s="64"/>
      <c r="C1243" s="64"/>
      <c r="D1243" s="64"/>
      <c r="E1243" s="85"/>
      <c r="F1243" s="62"/>
    </row>
    <row r="1244" spans="1:6">
      <c r="A1244" s="146"/>
      <c r="B1244" s="64"/>
      <c r="C1244" s="64"/>
      <c r="D1244" s="64"/>
      <c r="E1244" s="85"/>
      <c r="F1244" s="62"/>
    </row>
    <row r="1245" spans="1:6">
      <c r="A1245" s="146"/>
      <c r="B1245" s="64"/>
      <c r="C1245" s="64"/>
      <c r="D1245" s="64"/>
      <c r="E1245" s="85"/>
      <c r="F1245" s="62"/>
    </row>
    <row r="1246" spans="1:6">
      <c r="A1246" s="146"/>
      <c r="B1246" s="64"/>
      <c r="C1246" s="64"/>
      <c r="D1246" s="64"/>
      <c r="E1246" s="85"/>
      <c r="F1246" s="62"/>
    </row>
    <row r="1247" spans="1:6">
      <c r="A1247" s="146"/>
      <c r="B1247" s="64"/>
      <c r="C1247" s="64"/>
      <c r="D1247" s="64"/>
      <c r="E1247" s="85"/>
      <c r="F1247" s="62"/>
    </row>
    <row r="1248" spans="1:6">
      <c r="A1248" s="146"/>
      <c r="B1248" s="64"/>
      <c r="C1248" s="64"/>
      <c r="D1248" s="64"/>
      <c r="E1248" s="85"/>
      <c r="F1248" s="62"/>
    </row>
    <row r="1249" spans="1:6">
      <c r="A1249" s="146"/>
      <c r="B1249" s="64"/>
      <c r="C1249" s="64"/>
      <c r="D1249" s="64"/>
      <c r="E1249" s="85"/>
      <c r="F1249" s="62"/>
    </row>
    <row r="1250" spans="1:6">
      <c r="A1250" s="146"/>
      <c r="B1250" s="64"/>
      <c r="C1250" s="64"/>
      <c r="D1250" s="64"/>
      <c r="E1250" s="85"/>
      <c r="F1250" s="62"/>
    </row>
    <row r="1251" spans="1:6">
      <c r="A1251" s="146"/>
      <c r="B1251" s="64"/>
      <c r="C1251" s="64"/>
      <c r="D1251" s="64"/>
      <c r="E1251" s="85"/>
      <c r="F1251" s="62"/>
    </row>
    <row r="1252" spans="1:6">
      <c r="A1252" s="146"/>
      <c r="B1252" s="64"/>
      <c r="C1252" s="64"/>
      <c r="D1252" s="64"/>
      <c r="E1252" s="85"/>
      <c r="F1252" s="62"/>
    </row>
    <row r="1253" spans="1:6">
      <c r="A1253" s="146"/>
      <c r="B1253" s="64"/>
      <c r="C1253" s="64"/>
      <c r="D1253" s="64"/>
      <c r="E1253" s="85"/>
      <c r="F1253" s="62"/>
    </row>
    <row r="1254" spans="1:6">
      <c r="A1254" s="146"/>
      <c r="B1254" s="64"/>
      <c r="C1254" s="64"/>
      <c r="D1254" s="64"/>
      <c r="E1254" s="85"/>
      <c r="F1254" s="62"/>
    </row>
    <row r="1255" spans="1:6">
      <c r="A1255" s="146"/>
      <c r="B1255" s="64"/>
      <c r="C1255" s="64"/>
      <c r="D1255" s="64"/>
      <c r="E1255" s="85"/>
      <c r="F1255" s="62"/>
    </row>
    <row r="1256" spans="1:6">
      <c r="A1256" s="146"/>
      <c r="B1256" s="64"/>
      <c r="C1256" s="64"/>
      <c r="D1256" s="64"/>
      <c r="E1256" s="85"/>
      <c r="F1256" s="62"/>
    </row>
    <row r="1257" spans="1:6">
      <c r="A1257" s="146"/>
      <c r="B1257" s="64"/>
      <c r="C1257" s="64"/>
      <c r="D1257" s="64"/>
      <c r="E1257" s="85"/>
      <c r="F1257" s="62"/>
    </row>
    <row r="1258" spans="1:6">
      <c r="A1258" s="146"/>
      <c r="B1258" s="64"/>
      <c r="C1258" s="64"/>
      <c r="D1258" s="64"/>
      <c r="E1258" s="85"/>
      <c r="F1258" s="62"/>
    </row>
    <row r="1259" spans="1:6">
      <c r="A1259" s="146"/>
      <c r="B1259" s="64"/>
      <c r="C1259" s="64"/>
      <c r="D1259" s="64"/>
      <c r="E1259" s="85"/>
      <c r="F1259" s="62"/>
    </row>
    <row r="1260" spans="1:6">
      <c r="A1260" s="146"/>
      <c r="B1260" s="64"/>
      <c r="C1260" s="64"/>
      <c r="D1260" s="64"/>
      <c r="E1260" s="85"/>
      <c r="F1260" s="62"/>
    </row>
    <row r="1261" spans="1:6">
      <c r="A1261" s="146"/>
      <c r="B1261" s="64"/>
      <c r="C1261" s="64"/>
      <c r="D1261" s="64"/>
      <c r="E1261" s="85"/>
      <c r="F1261" s="62"/>
    </row>
    <row r="1262" spans="1:6">
      <c r="A1262" s="146"/>
      <c r="B1262" s="64"/>
      <c r="C1262" s="64"/>
      <c r="D1262" s="64"/>
      <c r="E1262" s="85"/>
      <c r="F1262" s="62"/>
    </row>
    <row r="1263" spans="1:6">
      <c r="A1263" s="146"/>
      <c r="B1263" s="64"/>
      <c r="C1263" s="64"/>
      <c r="D1263" s="64"/>
      <c r="E1263" s="85"/>
      <c r="F1263" s="62"/>
    </row>
    <row r="1264" spans="1:6">
      <c r="A1264" s="146"/>
      <c r="B1264" s="64"/>
      <c r="C1264" s="64"/>
      <c r="D1264" s="64"/>
      <c r="E1264" s="85"/>
      <c r="F1264" s="62"/>
    </row>
    <row r="1265" spans="1:6">
      <c r="A1265" s="146"/>
      <c r="B1265" s="64"/>
      <c r="C1265" s="64"/>
      <c r="D1265" s="64"/>
      <c r="E1265" s="85"/>
      <c r="F1265" s="62"/>
    </row>
    <row r="1266" spans="1:6">
      <c r="A1266" s="146"/>
      <c r="B1266" s="64"/>
      <c r="C1266" s="64"/>
      <c r="D1266" s="64"/>
      <c r="E1266" s="85"/>
      <c r="F1266" s="62"/>
    </row>
    <row r="1267" spans="1:6">
      <c r="A1267" s="146"/>
      <c r="B1267" s="64"/>
      <c r="C1267" s="64"/>
      <c r="D1267" s="64"/>
      <c r="E1267" s="85"/>
      <c r="F1267" s="62"/>
    </row>
    <row r="1268" spans="1:6">
      <c r="A1268" s="146"/>
      <c r="B1268" s="64"/>
      <c r="C1268" s="64"/>
      <c r="D1268" s="64"/>
      <c r="E1268" s="85"/>
      <c r="F1268" s="62"/>
    </row>
    <row r="1269" spans="1:6">
      <c r="A1269" s="146"/>
      <c r="B1269" s="64"/>
      <c r="C1269" s="64"/>
      <c r="D1269" s="64"/>
      <c r="E1269" s="85"/>
      <c r="F1269" s="62"/>
    </row>
    <row r="1270" spans="1:6">
      <c r="A1270" s="146"/>
      <c r="B1270" s="64"/>
      <c r="C1270" s="64"/>
      <c r="D1270" s="64"/>
      <c r="E1270" s="85"/>
      <c r="F1270" s="62"/>
    </row>
    <row r="1271" spans="1:6">
      <c r="A1271" s="146"/>
      <c r="B1271" s="64"/>
      <c r="C1271" s="64"/>
      <c r="D1271" s="64"/>
      <c r="E1271" s="85"/>
      <c r="F1271" s="62"/>
    </row>
    <row r="1272" spans="1:6">
      <c r="A1272" s="146"/>
      <c r="B1272" s="64"/>
      <c r="C1272" s="64"/>
      <c r="D1272" s="64"/>
      <c r="E1272" s="85"/>
      <c r="F1272" s="62"/>
    </row>
    <row r="1273" spans="1:6">
      <c r="A1273" s="146"/>
      <c r="B1273" s="64"/>
      <c r="C1273" s="64"/>
      <c r="D1273" s="64"/>
      <c r="E1273" s="85"/>
      <c r="F1273" s="62"/>
    </row>
    <row r="1274" spans="1:6">
      <c r="A1274" s="146"/>
      <c r="B1274" s="64"/>
      <c r="C1274" s="64"/>
      <c r="D1274" s="64"/>
      <c r="E1274" s="85"/>
      <c r="F1274" s="62"/>
    </row>
    <row r="1275" spans="1:6">
      <c r="A1275" s="146"/>
      <c r="B1275" s="64"/>
      <c r="C1275" s="64"/>
      <c r="D1275" s="64"/>
      <c r="E1275" s="85"/>
      <c r="F1275" s="62"/>
    </row>
    <row r="1276" spans="1:6">
      <c r="A1276" s="146"/>
      <c r="B1276" s="64"/>
      <c r="C1276" s="64"/>
      <c r="D1276" s="64"/>
      <c r="E1276" s="85"/>
      <c r="F1276" s="62"/>
    </row>
    <row r="1277" spans="1:6">
      <c r="A1277" s="146"/>
      <c r="B1277" s="64"/>
      <c r="C1277" s="64"/>
      <c r="D1277" s="64"/>
      <c r="E1277" s="85"/>
      <c r="F1277" s="62"/>
    </row>
    <row r="1278" spans="1:6">
      <c r="A1278" s="146"/>
      <c r="B1278" s="64"/>
      <c r="C1278" s="64"/>
      <c r="D1278" s="64"/>
      <c r="E1278" s="85"/>
      <c r="F1278" s="62"/>
    </row>
    <row r="1279" spans="1:6">
      <c r="A1279" s="146"/>
      <c r="B1279" s="64"/>
      <c r="C1279" s="64"/>
      <c r="D1279" s="64"/>
      <c r="E1279" s="85"/>
      <c r="F1279" s="62"/>
    </row>
    <row r="1280" spans="1:6">
      <c r="A1280" s="146"/>
      <c r="B1280" s="64"/>
      <c r="C1280" s="64"/>
      <c r="D1280" s="64"/>
      <c r="E1280" s="85"/>
      <c r="F1280" s="62"/>
    </row>
    <row r="1281" spans="1:6">
      <c r="A1281" s="146"/>
      <c r="B1281" s="64"/>
      <c r="C1281" s="64"/>
      <c r="D1281" s="64"/>
      <c r="E1281" s="85"/>
      <c r="F1281" s="62"/>
    </row>
    <row r="1282" spans="1:6">
      <c r="A1282" s="146"/>
      <c r="B1282" s="64"/>
      <c r="C1282" s="64"/>
      <c r="D1282" s="64"/>
      <c r="E1282" s="85"/>
      <c r="F1282" s="62"/>
    </row>
    <row r="1283" spans="1:6">
      <c r="A1283" s="146"/>
      <c r="B1283" s="64"/>
      <c r="C1283" s="64"/>
      <c r="D1283" s="64"/>
      <c r="E1283" s="85"/>
      <c r="F1283" s="62"/>
    </row>
    <row r="1284" spans="1:6">
      <c r="A1284" s="146"/>
      <c r="B1284" s="64"/>
      <c r="C1284" s="64"/>
      <c r="D1284" s="64"/>
      <c r="E1284" s="85"/>
      <c r="F1284" s="62"/>
    </row>
    <row r="1285" spans="1:6">
      <c r="A1285" s="146"/>
      <c r="B1285" s="64"/>
      <c r="C1285" s="64"/>
      <c r="D1285" s="64"/>
      <c r="E1285" s="85"/>
      <c r="F1285" s="62"/>
    </row>
    <row r="1286" spans="1:6">
      <c r="A1286" s="146"/>
      <c r="B1286" s="64"/>
      <c r="C1286" s="64"/>
      <c r="D1286" s="64"/>
      <c r="E1286" s="85"/>
      <c r="F1286" s="62"/>
    </row>
    <row r="1287" spans="1:6">
      <c r="A1287" s="146"/>
      <c r="B1287" s="64"/>
      <c r="C1287" s="64"/>
      <c r="D1287" s="64"/>
      <c r="E1287" s="85"/>
      <c r="F1287" s="62"/>
    </row>
    <row r="1288" spans="1:6">
      <c r="A1288" s="146"/>
      <c r="B1288" s="64"/>
      <c r="C1288" s="64"/>
      <c r="D1288" s="64"/>
      <c r="E1288" s="85"/>
      <c r="F1288" s="62"/>
    </row>
    <row r="1289" spans="1:6">
      <c r="A1289" s="146"/>
      <c r="B1289" s="64"/>
      <c r="C1289" s="64"/>
      <c r="D1289" s="64"/>
      <c r="E1289" s="85"/>
      <c r="F1289" s="62"/>
    </row>
    <row r="1290" spans="1:6">
      <c r="A1290" s="146"/>
      <c r="B1290" s="64"/>
      <c r="C1290" s="64"/>
      <c r="D1290" s="64"/>
      <c r="E1290" s="85"/>
      <c r="F1290" s="62"/>
    </row>
    <row r="1291" spans="1:6">
      <c r="A1291" s="146"/>
      <c r="B1291" s="64"/>
      <c r="C1291" s="64"/>
      <c r="D1291" s="64"/>
      <c r="E1291" s="85"/>
      <c r="F1291" s="62"/>
    </row>
    <row r="1292" spans="1:6">
      <c r="A1292" s="146"/>
      <c r="B1292" s="64"/>
      <c r="C1292" s="64"/>
      <c r="D1292" s="64"/>
      <c r="E1292" s="85"/>
      <c r="F1292" s="62"/>
    </row>
    <row r="1293" spans="1:6">
      <c r="A1293" s="146"/>
      <c r="B1293" s="64"/>
      <c r="C1293" s="64"/>
      <c r="D1293" s="64"/>
      <c r="E1293" s="85"/>
      <c r="F1293" s="62"/>
    </row>
    <row r="1294" spans="1:6">
      <c r="A1294" s="146"/>
      <c r="B1294" s="64"/>
      <c r="C1294" s="64"/>
      <c r="D1294" s="64"/>
      <c r="E1294" s="85"/>
      <c r="F1294" s="62"/>
    </row>
    <row r="1295" spans="1:6">
      <c r="A1295" s="146"/>
      <c r="B1295" s="64"/>
      <c r="C1295" s="64"/>
      <c r="D1295" s="64"/>
      <c r="E1295" s="85"/>
      <c r="F1295" s="62"/>
    </row>
    <row r="1296" spans="1:6">
      <c r="A1296" s="146"/>
      <c r="B1296" s="64"/>
      <c r="C1296" s="64"/>
      <c r="D1296" s="64"/>
      <c r="E1296" s="85"/>
      <c r="F1296" s="62"/>
    </row>
    <row r="1297" spans="1:6">
      <c r="A1297" s="146"/>
      <c r="B1297" s="64"/>
      <c r="C1297" s="64"/>
      <c r="D1297" s="64"/>
      <c r="E1297" s="85"/>
      <c r="F1297" s="62"/>
    </row>
    <row r="1298" spans="1:6">
      <c r="A1298" s="146"/>
      <c r="B1298" s="64"/>
      <c r="C1298" s="64"/>
      <c r="D1298" s="64"/>
      <c r="E1298" s="85"/>
      <c r="F1298" s="62"/>
    </row>
    <row r="1299" spans="1:6">
      <c r="A1299" s="146"/>
      <c r="B1299" s="64"/>
      <c r="C1299" s="64"/>
      <c r="D1299" s="64"/>
      <c r="E1299" s="85"/>
      <c r="F1299" s="62"/>
    </row>
    <row r="1300" spans="1:6">
      <c r="A1300" s="146"/>
      <c r="B1300" s="64"/>
      <c r="C1300" s="64"/>
      <c r="D1300" s="64"/>
      <c r="E1300" s="85"/>
      <c r="F1300" s="62"/>
    </row>
    <row r="1301" spans="1:6">
      <c r="A1301" s="146"/>
      <c r="B1301" s="64"/>
      <c r="C1301" s="64"/>
      <c r="D1301" s="64"/>
      <c r="E1301" s="85"/>
      <c r="F1301" s="62"/>
    </row>
    <row r="1302" spans="1:6">
      <c r="A1302" s="146"/>
      <c r="B1302" s="64"/>
      <c r="C1302" s="64"/>
      <c r="D1302" s="64"/>
      <c r="E1302" s="85"/>
      <c r="F1302" s="62"/>
    </row>
    <row r="1303" spans="1:6">
      <c r="A1303" s="146"/>
      <c r="B1303" s="64"/>
      <c r="C1303" s="64"/>
      <c r="D1303" s="64"/>
      <c r="E1303" s="85"/>
      <c r="F1303" s="62"/>
    </row>
    <row r="1304" spans="1:6">
      <c r="A1304" s="146"/>
      <c r="B1304" s="64"/>
      <c r="C1304" s="64"/>
      <c r="D1304" s="64"/>
      <c r="E1304" s="85"/>
      <c r="F1304" s="62"/>
    </row>
    <row r="1305" spans="1:6">
      <c r="A1305" s="146"/>
      <c r="B1305" s="64"/>
      <c r="C1305" s="64"/>
      <c r="D1305" s="64"/>
      <c r="E1305" s="85"/>
      <c r="F1305" s="62"/>
    </row>
    <row r="1306" spans="1:6">
      <c r="A1306" s="146"/>
      <c r="B1306" s="64"/>
      <c r="C1306" s="64"/>
      <c r="D1306" s="64"/>
      <c r="E1306" s="85"/>
      <c r="F1306" s="62"/>
    </row>
    <row r="1307" spans="1:6">
      <c r="A1307" s="146"/>
      <c r="B1307" s="64"/>
      <c r="C1307" s="64"/>
      <c r="D1307" s="64"/>
      <c r="E1307" s="85"/>
      <c r="F1307" s="62"/>
    </row>
    <row r="1308" spans="1:6">
      <c r="A1308" s="146"/>
      <c r="B1308" s="64"/>
      <c r="C1308" s="64"/>
      <c r="D1308" s="64"/>
      <c r="E1308" s="85"/>
      <c r="F1308" s="62"/>
    </row>
    <row r="1309" spans="1:6">
      <c r="A1309" s="146"/>
      <c r="B1309" s="64"/>
      <c r="C1309" s="64"/>
      <c r="D1309" s="64"/>
      <c r="E1309" s="85"/>
      <c r="F1309" s="62"/>
    </row>
    <row r="1310" spans="1:6">
      <c r="A1310" s="146"/>
      <c r="B1310" s="64"/>
      <c r="C1310" s="64"/>
      <c r="D1310" s="64"/>
      <c r="E1310" s="85"/>
      <c r="F1310" s="62"/>
    </row>
    <row r="1311" spans="1:6">
      <c r="A1311" s="146"/>
      <c r="B1311" s="64"/>
      <c r="C1311" s="64"/>
      <c r="D1311" s="64"/>
      <c r="E1311" s="85"/>
      <c r="F1311" s="62"/>
    </row>
    <row r="1312" spans="1:6">
      <c r="A1312" s="146"/>
      <c r="B1312" s="64"/>
      <c r="C1312" s="64"/>
      <c r="D1312" s="64"/>
      <c r="E1312" s="85"/>
      <c r="F1312" s="62"/>
    </row>
    <row r="1313" spans="1:6">
      <c r="A1313" s="146"/>
      <c r="B1313" s="64"/>
      <c r="C1313" s="64"/>
      <c r="D1313" s="64"/>
      <c r="E1313" s="85"/>
      <c r="F1313" s="62"/>
    </row>
    <row r="1314" spans="1:6">
      <c r="A1314" s="146"/>
      <c r="B1314" s="64"/>
      <c r="C1314" s="64"/>
      <c r="D1314" s="64"/>
      <c r="E1314" s="85"/>
      <c r="F1314" s="62"/>
    </row>
    <row r="1315" spans="1:6">
      <c r="A1315" s="146"/>
      <c r="B1315" s="64"/>
      <c r="C1315" s="64"/>
      <c r="D1315" s="64"/>
      <c r="E1315" s="85"/>
      <c r="F1315" s="62"/>
    </row>
    <row r="1316" spans="1:6">
      <c r="A1316" s="146"/>
      <c r="B1316" s="64"/>
      <c r="C1316" s="64"/>
      <c r="D1316" s="64"/>
      <c r="E1316" s="85"/>
      <c r="F1316" s="62"/>
    </row>
    <row r="1317" spans="1:6">
      <c r="A1317" s="146"/>
      <c r="B1317" s="64"/>
      <c r="C1317" s="64"/>
      <c r="D1317" s="64"/>
      <c r="E1317" s="85"/>
      <c r="F1317" s="62"/>
    </row>
    <row r="1318" spans="1:6">
      <c r="A1318" s="146"/>
      <c r="B1318" s="64"/>
      <c r="C1318" s="64"/>
      <c r="D1318" s="64"/>
      <c r="E1318" s="85"/>
      <c r="F1318" s="62"/>
    </row>
    <row r="1319" spans="1:6">
      <c r="A1319" s="146"/>
      <c r="B1319" s="64"/>
      <c r="C1319" s="64"/>
      <c r="D1319" s="64"/>
      <c r="E1319" s="85"/>
      <c r="F1319" s="62"/>
    </row>
    <row r="1320" spans="1:6">
      <c r="A1320" s="146"/>
      <c r="B1320" s="64"/>
      <c r="C1320" s="64"/>
      <c r="D1320" s="64"/>
      <c r="E1320" s="85"/>
      <c r="F1320" s="62"/>
    </row>
    <row r="1321" spans="1:6">
      <c r="A1321" s="146"/>
      <c r="B1321" s="64"/>
      <c r="C1321" s="64"/>
      <c r="D1321" s="64"/>
      <c r="E1321" s="85"/>
      <c r="F1321" s="62"/>
    </row>
    <row r="1322" spans="1:6">
      <c r="A1322" s="146"/>
      <c r="B1322" s="64"/>
      <c r="C1322" s="64"/>
      <c r="D1322" s="64"/>
      <c r="E1322" s="85"/>
      <c r="F1322" s="62"/>
    </row>
    <row r="1323" spans="1:6">
      <c r="A1323" s="146"/>
      <c r="B1323" s="64"/>
      <c r="C1323" s="64"/>
      <c r="D1323" s="64"/>
      <c r="E1323" s="85"/>
      <c r="F1323" s="62"/>
    </row>
    <row r="1324" spans="1:6">
      <c r="A1324" s="146"/>
      <c r="B1324" s="64"/>
      <c r="C1324" s="64"/>
      <c r="D1324" s="64"/>
      <c r="E1324" s="85"/>
      <c r="F1324" s="62"/>
    </row>
    <row r="1325" spans="1:6">
      <c r="A1325" s="146"/>
      <c r="B1325" s="64"/>
      <c r="C1325" s="64"/>
      <c r="D1325" s="64"/>
      <c r="E1325" s="85"/>
      <c r="F1325" s="62"/>
    </row>
    <row r="1326" spans="1:6">
      <c r="A1326" s="146"/>
      <c r="B1326" s="64"/>
      <c r="C1326" s="64"/>
      <c r="D1326" s="64"/>
      <c r="E1326" s="85"/>
      <c r="F1326" s="62"/>
    </row>
    <row r="1327" spans="1:6">
      <c r="A1327" s="146"/>
      <c r="B1327" s="64"/>
      <c r="C1327" s="64"/>
      <c r="D1327" s="64"/>
      <c r="E1327" s="85"/>
      <c r="F1327" s="62"/>
    </row>
    <row r="1328" spans="1:6">
      <c r="A1328" s="146"/>
      <c r="B1328" s="64"/>
      <c r="C1328" s="64"/>
      <c r="D1328" s="64"/>
      <c r="E1328" s="85"/>
      <c r="F1328" s="62"/>
    </row>
    <row r="1329" spans="1:6">
      <c r="A1329" s="146"/>
      <c r="B1329" s="64"/>
      <c r="C1329" s="64"/>
      <c r="D1329" s="64"/>
      <c r="E1329" s="85"/>
      <c r="F1329" s="62"/>
    </row>
    <row r="1330" spans="1:6">
      <c r="A1330" s="146"/>
      <c r="B1330" s="64"/>
      <c r="C1330" s="64"/>
      <c r="D1330" s="64"/>
      <c r="E1330" s="85"/>
      <c r="F1330" s="62"/>
    </row>
    <row r="1331" spans="1:6">
      <c r="A1331" s="146"/>
      <c r="B1331" s="64"/>
      <c r="C1331" s="64"/>
      <c r="D1331" s="64"/>
      <c r="E1331" s="85"/>
      <c r="F1331" s="62"/>
    </row>
    <row r="1332" spans="1:6">
      <c r="A1332" s="146"/>
      <c r="B1332" s="64"/>
      <c r="C1332" s="64"/>
      <c r="D1332" s="64"/>
      <c r="E1332" s="85"/>
      <c r="F1332" s="62"/>
    </row>
    <row r="1333" spans="1:6">
      <c r="A1333" s="146"/>
      <c r="B1333" s="64"/>
      <c r="C1333" s="64"/>
      <c r="D1333" s="64"/>
      <c r="E1333" s="85"/>
      <c r="F1333" s="62"/>
    </row>
    <row r="1334" spans="1:6">
      <c r="A1334" s="146"/>
      <c r="B1334" s="64"/>
      <c r="C1334" s="64"/>
      <c r="D1334" s="64"/>
      <c r="E1334" s="85"/>
      <c r="F1334" s="62"/>
    </row>
    <row r="1335" spans="1:6">
      <c r="A1335" s="146"/>
      <c r="B1335" s="64"/>
      <c r="C1335" s="64"/>
      <c r="D1335" s="64"/>
      <c r="E1335" s="85"/>
      <c r="F1335" s="62"/>
    </row>
    <row r="1336" spans="1:6">
      <c r="A1336" s="146"/>
      <c r="B1336" s="64"/>
      <c r="C1336" s="64"/>
      <c r="D1336" s="64"/>
      <c r="E1336" s="85"/>
      <c r="F1336" s="62"/>
    </row>
    <row r="1337" spans="1:6">
      <c r="A1337" s="146"/>
      <c r="B1337" s="64"/>
      <c r="C1337" s="64"/>
      <c r="D1337" s="64"/>
      <c r="E1337" s="85"/>
      <c r="F1337" s="62"/>
    </row>
    <row r="1338" spans="1:6">
      <c r="A1338" s="146"/>
      <c r="B1338" s="64"/>
      <c r="C1338" s="64"/>
      <c r="D1338" s="64"/>
      <c r="E1338" s="85"/>
      <c r="F1338" s="62"/>
    </row>
    <row r="1339" spans="1:6">
      <c r="A1339" s="146"/>
      <c r="B1339" s="64"/>
      <c r="C1339" s="64"/>
      <c r="D1339" s="64"/>
      <c r="E1339" s="85"/>
      <c r="F1339" s="62"/>
    </row>
    <row r="1340" spans="1:6">
      <c r="A1340" s="146"/>
      <c r="B1340" s="64"/>
      <c r="C1340" s="64"/>
      <c r="D1340" s="64"/>
      <c r="E1340" s="85"/>
      <c r="F1340" s="62"/>
    </row>
    <row r="1341" spans="1:6">
      <c r="A1341" s="146"/>
      <c r="B1341" s="64"/>
      <c r="C1341" s="64"/>
      <c r="D1341" s="64"/>
      <c r="E1341" s="85"/>
      <c r="F1341" s="62"/>
    </row>
    <row r="1342" spans="1:6">
      <c r="A1342" s="146"/>
      <c r="B1342" s="64"/>
      <c r="C1342" s="64"/>
      <c r="D1342" s="64"/>
      <c r="E1342" s="85"/>
      <c r="F1342" s="62"/>
    </row>
    <row r="1343" spans="1:6">
      <c r="A1343" s="146"/>
      <c r="B1343" s="64"/>
      <c r="C1343" s="64"/>
      <c r="D1343" s="64"/>
      <c r="E1343" s="85"/>
      <c r="F1343" s="62"/>
    </row>
    <row r="1344" spans="1:6">
      <c r="A1344" s="146"/>
      <c r="B1344" s="64"/>
      <c r="C1344" s="64"/>
      <c r="D1344" s="64"/>
      <c r="E1344" s="85"/>
      <c r="F1344" s="62"/>
    </row>
    <row r="1345" spans="1:6">
      <c r="A1345" s="146"/>
      <c r="B1345" s="64"/>
      <c r="C1345" s="64"/>
      <c r="D1345" s="64"/>
      <c r="E1345" s="85"/>
      <c r="F1345" s="62"/>
    </row>
    <row r="1346" spans="1:6">
      <c r="A1346" s="146"/>
      <c r="B1346" s="64"/>
      <c r="C1346" s="64"/>
      <c r="D1346" s="64"/>
      <c r="E1346" s="85"/>
      <c r="F1346" s="62"/>
    </row>
    <row r="1347" spans="1:6">
      <c r="A1347" s="146"/>
      <c r="B1347" s="64"/>
      <c r="C1347" s="64"/>
      <c r="D1347" s="64"/>
      <c r="E1347" s="85"/>
      <c r="F1347" s="62"/>
    </row>
    <row r="1348" spans="1:6">
      <c r="A1348" s="146"/>
      <c r="B1348" s="64"/>
      <c r="C1348" s="64"/>
      <c r="D1348" s="64"/>
      <c r="E1348" s="85"/>
      <c r="F1348" s="62"/>
    </row>
    <row r="1349" spans="1:6">
      <c r="A1349" s="146"/>
      <c r="B1349" s="64"/>
      <c r="C1349" s="64"/>
      <c r="D1349" s="64"/>
      <c r="E1349" s="85"/>
      <c r="F1349" s="62"/>
    </row>
    <row r="1350" spans="1:6">
      <c r="A1350" s="146"/>
      <c r="B1350" s="64"/>
      <c r="C1350" s="64"/>
      <c r="D1350" s="64"/>
      <c r="E1350" s="85"/>
      <c r="F1350" s="62"/>
    </row>
    <row r="1351" spans="1:6">
      <c r="A1351" s="146"/>
      <c r="B1351" s="64"/>
      <c r="C1351" s="64"/>
      <c r="D1351" s="64"/>
      <c r="E1351" s="85"/>
      <c r="F1351" s="62"/>
    </row>
    <row r="1352" spans="1:6">
      <c r="A1352" s="146"/>
      <c r="B1352" s="64"/>
      <c r="C1352" s="64"/>
      <c r="D1352" s="64"/>
      <c r="E1352" s="85"/>
      <c r="F1352" s="62"/>
    </row>
    <row r="1353" spans="1:6">
      <c r="A1353" s="146"/>
      <c r="B1353" s="64"/>
      <c r="C1353" s="64"/>
      <c r="D1353" s="64"/>
      <c r="E1353" s="85"/>
      <c r="F1353" s="62"/>
    </row>
    <row r="1354" spans="1:6">
      <c r="A1354" s="146"/>
      <c r="B1354" s="64"/>
      <c r="C1354" s="64"/>
      <c r="D1354" s="64"/>
      <c r="E1354" s="85"/>
      <c r="F1354" s="62"/>
    </row>
    <row r="1355" spans="1:6">
      <c r="A1355" s="146"/>
      <c r="B1355" s="64"/>
      <c r="C1355" s="64"/>
      <c r="D1355" s="64"/>
      <c r="E1355" s="85"/>
      <c r="F1355" s="62"/>
    </row>
    <row r="1356" spans="1:6">
      <c r="A1356" s="146"/>
      <c r="B1356" s="64"/>
      <c r="C1356" s="64"/>
      <c r="D1356" s="64"/>
      <c r="E1356" s="85"/>
      <c r="F1356" s="62"/>
    </row>
    <row r="1357" spans="1:6">
      <c r="A1357" s="146"/>
      <c r="B1357" s="64"/>
      <c r="C1357" s="64"/>
      <c r="D1357" s="64"/>
      <c r="E1357" s="85"/>
      <c r="F1357" s="62"/>
    </row>
    <row r="1358" spans="1:6">
      <c r="A1358" s="146"/>
      <c r="B1358" s="64"/>
      <c r="C1358" s="64"/>
      <c r="D1358" s="64"/>
      <c r="E1358" s="85"/>
      <c r="F1358" s="62"/>
    </row>
    <row r="1359" spans="1:6">
      <c r="A1359" s="146"/>
      <c r="B1359" s="64"/>
      <c r="C1359" s="64"/>
      <c r="D1359" s="64"/>
      <c r="E1359" s="85"/>
      <c r="F1359" s="62"/>
    </row>
    <row r="1360" spans="1:6">
      <c r="A1360" s="146"/>
      <c r="B1360" s="64"/>
      <c r="C1360" s="64"/>
      <c r="D1360" s="64"/>
      <c r="E1360" s="85"/>
      <c r="F1360" s="62"/>
    </row>
    <row r="1361" spans="1:6">
      <c r="A1361" s="146"/>
      <c r="B1361" s="64"/>
      <c r="C1361" s="64"/>
      <c r="D1361" s="64"/>
      <c r="E1361" s="85"/>
      <c r="F1361" s="62"/>
    </row>
    <row r="1362" spans="1:6">
      <c r="A1362" s="146"/>
      <c r="B1362" s="64"/>
      <c r="C1362" s="64"/>
      <c r="D1362" s="64"/>
      <c r="E1362" s="85"/>
      <c r="F1362" s="62"/>
    </row>
    <row r="1363" spans="1:6">
      <c r="A1363" s="146"/>
      <c r="B1363" s="64"/>
      <c r="C1363" s="64"/>
      <c r="D1363" s="64"/>
      <c r="E1363" s="85"/>
      <c r="F1363" s="62"/>
    </row>
    <row r="1364" spans="1:6">
      <c r="A1364" s="146"/>
      <c r="B1364" s="64"/>
      <c r="C1364" s="64"/>
      <c r="D1364" s="64"/>
      <c r="E1364" s="85"/>
      <c r="F1364" s="62"/>
    </row>
    <row r="1365" spans="1:6">
      <c r="A1365" s="146"/>
      <c r="B1365" s="64"/>
      <c r="C1365" s="64"/>
      <c r="D1365" s="64"/>
      <c r="E1365" s="85"/>
      <c r="F1365" s="62"/>
    </row>
    <row r="1366" spans="1:6">
      <c r="A1366" s="146"/>
      <c r="B1366" s="64"/>
      <c r="C1366" s="64"/>
      <c r="D1366" s="64"/>
      <c r="E1366" s="85"/>
      <c r="F1366" s="62"/>
    </row>
    <row r="1367" spans="1:6">
      <c r="A1367" s="146"/>
      <c r="B1367" s="64"/>
      <c r="C1367" s="64"/>
      <c r="D1367" s="64"/>
      <c r="E1367" s="85"/>
      <c r="F1367" s="62"/>
    </row>
    <row r="1368" spans="1:6">
      <c r="A1368" s="146"/>
      <c r="B1368" s="64"/>
      <c r="C1368" s="64"/>
      <c r="D1368" s="64"/>
      <c r="E1368" s="85"/>
      <c r="F1368" s="62"/>
    </row>
    <row r="1369" spans="1:6">
      <c r="A1369" s="146"/>
      <c r="B1369" s="64"/>
      <c r="C1369" s="64"/>
      <c r="D1369" s="64"/>
      <c r="E1369" s="85"/>
      <c r="F1369" s="62"/>
    </row>
    <row r="1370" spans="1:6">
      <c r="A1370" s="146"/>
      <c r="B1370" s="64"/>
      <c r="C1370" s="64"/>
      <c r="D1370" s="64"/>
      <c r="E1370" s="85"/>
      <c r="F1370" s="62"/>
    </row>
    <row r="1371" spans="1:6">
      <c r="A1371" s="146"/>
      <c r="B1371" s="64"/>
      <c r="C1371" s="64"/>
      <c r="D1371" s="64"/>
      <c r="E1371" s="85"/>
      <c r="F1371" s="62"/>
    </row>
    <row r="1372" spans="1:6">
      <c r="A1372" s="146"/>
      <c r="B1372" s="64"/>
      <c r="C1372" s="64"/>
      <c r="D1372" s="64"/>
      <c r="E1372" s="85"/>
      <c r="F1372" s="62"/>
    </row>
    <row r="1373" spans="1:6">
      <c r="A1373" s="146"/>
      <c r="B1373" s="64"/>
      <c r="C1373" s="64"/>
      <c r="D1373" s="64"/>
      <c r="E1373" s="85"/>
      <c r="F1373" s="62"/>
    </row>
    <row r="1374" spans="1:6">
      <c r="A1374" s="146"/>
      <c r="B1374" s="64"/>
      <c r="C1374" s="64"/>
      <c r="D1374" s="64"/>
      <c r="E1374" s="85"/>
      <c r="F1374" s="62"/>
    </row>
    <row r="1375" spans="1:6">
      <c r="A1375" s="146"/>
      <c r="B1375" s="64"/>
      <c r="C1375" s="64"/>
      <c r="D1375" s="64"/>
      <c r="E1375" s="85"/>
      <c r="F1375" s="62"/>
    </row>
    <row r="1376" spans="1:6">
      <c r="A1376" s="146"/>
      <c r="B1376" s="64"/>
      <c r="C1376" s="64"/>
      <c r="D1376" s="64"/>
      <c r="E1376" s="85"/>
      <c r="F1376" s="62"/>
    </row>
    <row r="1377" spans="1:6">
      <c r="A1377" s="146"/>
      <c r="B1377" s="64"/>
      <c r="C1377" s="64"/>
      <c r="D1377" s="64"/>
      <c r="E1377" s="85"/>
      <c r="F1377" s="62"/>
    </row>
    <row r="1378" spans="1:6">
      <c r="A1378" s="146"/>
      <c r="B1378" s="64"/>
      <c r="C1378" s="64"/>
      <c r="D1378" s="64"/>
      <c r="E1378" s="85"/>
      <c r="F1378" s="62"/>
    </row>
    <row r="1379" spans="1:6">
      <c r="A1379" s="146"/>
      <c r="B1379" s="64"/>
      <c r="C1379" s="64"/>
      <c r="D1379" s="64"/>
      <c r="E1379" s="85"/>
      <c r="F1379" s="62"/>
    </row>
    <row r="1380" spans="1:6">
      <c r="A1380" s="146"/>
      <c r="B1380" s="64"/>
      <c r="C1380" s="64"/>
      <c r="D1380" s="64"/>
      <c r="E1380" s="85"/>
      <c r="F1380" s="62"/>
    </row>
    <row r="1381" spans="1:6">
      <c r="A1381" s="146"/>
      <c r="B1381" s="64"/>
      <c r="C1381" s="64"/>
      <c r="D1381" s="64"/>
      <c r="E1381" s="85"/>
      <c r="F1381" s="62"/>
    </row>
    <row r="1382" spans="1:6">
      <c r="A1382" s="146"/>
      <c r="B1382" s="64"/>
      <c r="C1382" s="64"/>
      <c r="D1382" s="64"/>
      <c r="E1382" s="85"/>
      <c r="F1382" s="62"/>
    </row>
    <row r="1383" spans="1:6">
      <c r="A1383" s="146"/>
      <c r="B1383" s="64"/>
      <c r="C1383" s="64"/>
      <c r="D1383" s="64"/>
      <c r="E1383" s="85"/>
      <c r="F1383" s="62"/>
    </row>
    <row r="1384" spans="1:6">
      <c r="A1384" s="146"/>
      <c r="B1384" s="64"/>
      <c r="C1384" s="64"/>
      <c r="D1384" s="64"/>
      <c r="E1384" s="85"/>
      <c r="F1384" s="62"/>
    </row>
    <row r="1385" spans="1:6">
      <c r="A1385" s="146"/>
      <c r="B1385" s="64"/>
      <c r="C1385" s="64"/>
      <c r="D1385" s="64"/>
      <c r="E1385" s="85"/>
      <c r="F1385" s="62"/>
    </row>
    <row r="1386" spans="1:6">
      <c r="A1386" s="146"/>
      <c r="B1386" s="64"/>
      <c r="C1386" s="64"/>
      <c r="D1386" s="64"/>
      <c r="E1386" s="85"/>
      <c r="F1386" s="62"/>
    </row>
    <row r="1387" spans="1:6">
      <c r="A1387" s="146"/>
      <c r="B1387" s="64"/>
      <c r="C1387" s="64"/>
      <c r="D1387" s="64"/>
      <c r="E1387" s="85"/>
      <c r="F1387" s="62"/>
    </row>
    <row r="1388" spans="1:6">
      <c r="A1388" s="146"/>
      <c r="B1388" s="64"/>
      <c r="C1388" s="64"/>
      <c r="D1388" s="64"/>
      <c r="E1388" s="85"/>
      <c r="F1388" s="62"/>
    </row>
    <row r="1389" spans="1:6">
      <c r="A1389" s="146"/>
      <c r="B1389" s="64"/>
      <c r="C1389" s="64"/>
      <c r="D1389" s="64"/>
      <c r="E1389" s="85"/>
      <c r="F1389" s="62"/>
    </row>
    <row r="1390" spans="1:6">
      <c r="A1390" s="146"/>
      <c r="B1390" s="64"/>
      <c r="C1390" s="64"/>
      <c r="D1390" s="64"/>
      <c r="E1390" s="85"/>
      <c r="F1390" s="62"/>
    </row>
    <row r="1391" spans="1:6">
      <c r="A1391" s="146"/>
      <c r="B1391" s="64"/>
      <c r="C1391" s="64"/>
      <c r="D1391" s="64"/>
      <c r="E1391" s="85"/>
      <c r="F1391" s="62"/>
    </row>
    <row r="1392" spans="1:6">
      <c r="A1392" s="146"/>
      <c r="B1392" s="64"/>
      <c r="C1392" s="64"/>
      <c r="D1392" s="64"/>
      <c r="E1392" s="85"/>
      <c r="F1392" s="62"/>
    </row>
    <row r="1393" spans="1:6">
      <c r="A1393" s="146"/>
      <c r="B1393" s="64"/>
      <c r="C1393" s="64"/>
      <c r="D1393" s="64"/>
      <c r="E1393" s="85"/>
      <c r="F1393" s="62"/>
    </row>
    <row r="1394" spans="1:6">
      <c r="A1394" s="146"/>
      <c r="B1394" s="64"/>
      <c r="C1394" s="64"/>
      <c r="D1394" s="64"/>
      <c r="E1394" s="85"/>
      <c r="F1394" s="62"/>
    </row>
    <row r="1395" spans="1:6">
      <c r="A1395" s="146"/>
      <c r="B1395" s="64"/>
      <c r="C1395" s="64"/>
      <c r="D1395" s="64"/>
      <c r="E1395" s="85"/>
      <c r="F1395" s="62"/>
    </row>
    <row r="1396" spans="1:6">
      <c r="A1396" s="146"/>
      <c r="B1396" s="64"/>
      <c r="C1396" s="64"/>
      <c r="D1396" s="64"/>
      <c r="E1396" s="85"/>
      <c r="F1396" s="62"/>
    </row>
    <row r="1397" spans="1:6">
      <c r="A1397" s="146"/>
      <c r="B1397" s="64"/>
      <c r="C1397" s="64"/>
      <c r="D1397" s="64"/>
      <c r="E1397" s="85"/>
      <c r="F1397" s="62"/>
    </row>
    <row r="1398" spans="1:6">
      <c r="A1398" s="146"/>
      <c r="B1398" s="64"/>
      <c r="C1398" s="64"/>
      <c r="D1398" s="64"/>
      <c r="E1398" s="85"/>
      <c r="F1398" s="62"/>
    </row>
    <row r="1399" spans="1:6">
      <c r="A1399" s="146"/>
      <c r="B1399" s="64"/>
      <c r="C1399" s="64"/>
      <c r="D1399" s="64"/>
      <c r="E1399" s="85"/>
      <c r="F1399" s="62"/>
    </row>
    <row r="1400" spans="1:6">
      <c r="A1400" s="146"/>
      <c r="B1400" s="64"/>
      <c r="C1400" s="64"/>
      <c r="D1400" s="64"/>
      <c r="E1400" s="85"/>
      <c r="F1400" s="62"/>
    </row>
    <row r="1401" spans="1:6">
      <c r="A1401" s="146"/>
      <c r="B1401" s="64"/>
      <c r="C1401" s="64"/>
      <c r="D1401" s="64"/>
      <c r="E1401" s="85"/>
      <c r="F1401" s="62"/>
    </row>
    <row r="1402" spans="1:6">
      <c r="A1402" s="146"/>
      <c r="B1402" s="64"/>
      <c r="C1402" s="64"/>
      <c r="D1402" s="64"/>
      <c r="E1402" s="85"/>
      <c r="F1402" s="62"/>
    </row>
    <row r="1403" spans="1:6">
      <c r="A1403" s="146"/>
      <c r="B1403" s="64"/>
      <c r="C1403" s="64"/>
      <c r="D1403" s="64"/>
      <c r="E1403" s="85"/>
      <c r="F1403" s="62"/>
    </row>
    <row r="1404" spans="1:6">
      <c r="A1404" s="146"/>
      <c r="B1404" s="64"/>
      <c r="C1404" s="64"/>
      <c r="D1404" s="64"/>
      <c r="E1404" s="85"/>
      <c r="F1404" s="62"/>
    </row>
    <row r="1405" spans="1:6">
      <c r="A1405" s="146"/>
      <c r="B1405" s="64"/>
      <c r="C1405" s="64"/>
      <c r="D1405" s="64"/>
      <c r="E1405" s="85"/>
      <c r="F1405" s="62"/>
    </row>
    <row r="1406" spans="1:6">
      <c r="A1406" s="146"/>
      <c r="B1406" s="64"/>
      <c r="C1406" s="64"/>
      <c r="D1406" s="64"/>
      <c r="E1406" s="85"/>
      <c r="F1406" s="62"/>
    </row>
    <row r="1407" spans="1:6">
      <c r="A1407" s="146"/>
      <c r="B1407" s="64"/>
      <c r="C1407" s="64"/>
      <c r="D1407" s="64"/>
      <c r="E1407" s="85"/>
      <c r="F1407" s="62"/>
    </row>
    <row r="1408" spans="1:6">
      <c r="A1408" s="146"/>
      <c r="B1408" s="64"/>
      <c r="C1408" s="64"/>
      <c r="D1408" s="64"/>
      <c r="E1408" s="85"/>
      <c r="F1408" s="62"/>
    </row>
    <row r="1409" spans="1:6">
      <c r="A1409" s="146"/>
      <c r="B1409" s="64"/>
      <c r="C1409" s="64"/>
      <c r="D1409" s="64"/>
      <c r="E1409" s="85"/>
      <c r="F1409" s="62"/>
    </row>
    <row r="1410" spans="1:6">
      <c r="A1410" s="146"/>
      <c r="B1410" s="64"/>
      <c r="C1410" s="64"/>
      <c r="D1410" s="64"/>
      <c r="E1410" s="85"/>
      <c r="F1410" s="62"/>
    </row>
    <row r="1411" spans="1:6">
      <c r="A1411" s="146"/>
      <c r="B1411" s="64"/>
      <c r="C1411" s="64"/>
      <c r="D1411" s="64"/>
      <c r="E1411" s="85"/>
      <c r="F1411" s="62"/>
    </row>
    <row r="1412" spans="1:6">
      <c r="A1412" s="146"/>
      <c r="B1412" s="64"/>
      <c r="C1412" s="64"/>
      <c r="D1412" s="64"/>
      <c r="E1412" s="85"/>
      <c r="F1412" s="62"/>
    </row>
    <row r="1413" spans="1:6">
      <c r="A1413" s="146"/>
      <c r="B1413" s="64"/>
      <c r="C1413" s="64"/>
      <c r="D1413" s="64"/>
      <c r="E1413" s="85"/>
      <c r="F1413" s="62"/>
    </row>
    <row r="1414" spans="1:6">
      <c r="A1414" s="146"/>
      <c r="B1414" s="64"/>
      <c r="C1414" s="64"/>
      <c r="D1414" s="64"/>
      <c r="E1414" s="85"/>
      <c r="F1414" s="62"/>
    </row>
    <row r="1415" spans="1:6">
      <c r="A1415" s="146"/>
      <c r="B1415" s="64"/>
      <c r="C1415" s="64"/>
      <c r="D1415" s="64"/>
      <c r="E1415" s="85"/>
      <c r="F1415" s="62"/>
    </row>
    <row r="1416" spans="1:6">
      <c r="A1416" s="146"/>
      <c r="B1416" s="64"/>
      <c r="C1416" s="64"/>
      <c r="D1416" s="64"/>
      <c r="E1416" s="85"/>
      <c r="F1416" s="62"/>
    </row>
    <row r="1417" spans="1:6">
      <c r="A1417" s="146"/>
      <c r="B1417" s="64"/>
      <c r="C1417" s="64"/>
      <c r="D1417" s="64"/>
      <c r="E1417" s="85"/>
      <c r="F1417" s="62"/>
    </row>
    <row r="1418" spans="1:6">
      <c r="A1418" s="146"/>
      <c r="B1418" s="64"/>
      <c r="C1418" s="64"/>
      <c r="D1418" s="64"/>
      <c r="E1418" s="85"/>
      <c r="F1418" s="62"/>
    </row>
    <row r="1419" spans="1:6">
      <c r="A1419" s="146"/>
      <c r="B1419" s="64"/>
      <c r="C1419" s="64"/>
      <c r="D1419" s="64"/>
      <c r="E1419" s="85"/>
      <c r="F1419" s="62"/>
    </row>
    <row r="1420" spans="1:6">
      <c r="A1420" s="146"/>
      <c r="B1420" s="64"/>
      <c r="C1420" s="64"/>
      <c r="D1420" s="64"/>
      <c r="E1420" s="85"/>
      <c r="F1420" s="62"/>
    </row>
    <row r="1421" spans="1:6">
      <c r="A1421" s="146"/>
      <c r="B1421" s="64"/>
      <c r="C1421" s="64"/>
      <c r="D1421" s="64"/>
      <c r="E1421" s="85"/>
      <c r="F1421" s="62"/>
    </row>
    <row r="1422" spans="1:6">
      <c r="A1422" s="146"/>
      <c r="B1422" s="64"/>
      <c r="C1422" s="64"/>
      <c r="D1422" s="64"/>
      <c r="E1422" s="85"/>
      <c r="F1422" s="62"/>
    </row>
    <row r="1423" spans="1:6">
      <c r="A1423" s="146"/>
      <c r="B1423" s="64"/>
      <c r="C1423" s="64"/>
      <c r="D1423" s="64"/>
      <c r="E1423" s="85"/>
      <c r="F1423" s="62"/>
    </row>
    <row r="1424" spans="1:6">
      <c r="A1424" s="146"/>
      <c r="B1424" s="64"/>
      <c r="C1424" s="64"/>
      <c r="D1424" s="64"/>
      <c r="E1424" s="85"/>
      <c r="F1424" s="62"/>
    </row>
    <row r="1425" spans="1:6">
      <c r="A1425" s="146"/>
      <c r="B1425" s="64"/>
      <c r="C1425" s="64"/>
      <c r="D1425" s="64"/>
      <c r="E1425" s="85"/>
      <c r="F1425" s="62"/>
    </row>
    <row r="1426" spans="1:6">
      <c r="A1426" s="146"/>
      <c r="B1426" s="64"/>
      <c r="C1426" s="64"/>
      <c r="D1426" s="64"/>
      <c r="E1426" s="85"/>
      <c r="F1426" s="62"/>
    </row>
    <row r="1427" spans="1:6">
      <c r="A1427" s="146"/>
      <c r="B1427" s="64"/>
      <c r="C1427" s="64"/>
      <c r="D1427" s="64"/>
      <c r="E1427" s="85"/>
      <c r="F1427" s="62"/>
    </row>
    <row r="1428" spans="1:6">
      <c r="A1428" s="146"/>
      <c r="B1428" s="64"/>
      <c r="C1428" s="64"/>
      <c r="D1428" s="64"/>
      <c r="E1428" s="85"/>
      <c r="F1428" s="62"/>
    </row>
    <row r="1429" spans="1:6">
      <c r="A1429" s="146"/>
      <c r="B1429" s="64"/>
      <c r="C1429" s="64"/>
      <c r="D1429" s="64"/>
      <c r="E1429" s="85"/>
      <c r="F1429" s="62"/>
    </row>
    <row r="1430" spans="1:6">
      <c r="A1430" s="146"/>
      <c r="B1430" s="64"/>
      <c r="C1430" s="64"/>
      <c r="D1430" s="64"/>
      <c r="E1430" s="85"/>
      <c r="F1430" s="62"/>
    </row>
    <row r="1431" spans="1:6">
      <c r="A1431" s="146"/>
      <c r="B1431" s="64"/>
      <c r="C1431" s="64"/>
      <c r="D1431" s="64"/>
      <c r="E1431" s="85"/>
      <c r="F1431" s="62"/>
    </row>
    <row r="1432" spans="1:6">
      <c r="A1432" s="146"/>
      <c r="B1432" s="64"/>
      <c r="C1432" s="64"/>
      <c r="D1432" s="64"/>
      <c r="E1432" s="85"/>
      <c r="F1432" s="62"/>
    </row>
    <row r="1433" spans="1:6">
      <c r="A1433" s="146"/>
      <c r="B1433" s="64"/>
      <c r="C1433" s="64"/>
      <c r="D1433" s="64"/>
      <c r="E1433" s="85"/>
      <c r="F1433" s="62"/>
    </row>
    <row r="1434" spans="1:6">
      <c r="A1434" s="146"/>
      <c r="B1434" s="64"/>
      <c r="C1434" s="64"/>
      <c r="D1434" s="64"/>
      <c r="E1434" s="85"/>
      <c r="F1434" s="62"/>
    </row>
    <row r="1435" spans="1:6">
      <c r="A1435" s="146"/>
      <c r="B1435" s="64"/>
      <c r="C1435" s="64"/>
      <c r="D1435" s="64"/>
      <c r="E1435" s="85"/>
      <c r="F1435" s="62"/>
    </row>
    <row r="1436" spans="1:6">
      <c r="A1436" s="146"/>
      <c r="B1436" s="64"/>
      <c r="C1436" s="64"/>
      <c r="D1436" s="64"/>
      <c r="E1436" s="85"/>
      <c r="F1436" s="62"/>
    </row>
    <row r="1437" spans="1:6">
      <c r="A1437" s="146"/>
      <c r="B1437" s="64"/>
      <c r="C1437" s="64"/>
      <c r="D1437" s="64"/>
      <c r="E1437" s="85"/>
      <c r="F1437" s="62"/>
    </row>
    <row r="1438" spans="1:6">
      <c r="A1438" s="146"/>
      <c r="B1438" s="64"/>
      <c r="C1438" s="64"/>
      <c r="D1438" s="64"/>
      <c r="E1438" s="85"/>
      <c r="F1438" s="62"/>
    </row>
    <row r="1439" spans="1:6">
      <c r="A1439" s="146"/>
      <c r="B1439" s="64"/>
      <c r="C1439" s="64"/>
      <c r="D1439" s="64"/>
      <c r="E1439" s="85"/>
      <c r="F1439" s="62"/>
    </row>
    <row r="1440" spans="1:6">
      <c r="A1440" s="146"/>
      <c r="B1440" s="64"/>
      <c r="C1440" s="64"/>
      <c r="D1440" s="64"/>
      <c r="E1440" s="85"/>
      <c r="F1440" s="62"/>
    </row>
    <row r="1441" spans="1:6">
      <c r="A1441" s="146"/>
      <c r="B1441" s="64"/>
      <c r="C1441" s="64"/>
      <c r="D1441" s="64"/>
      <c r="E1441" s="85"/>
      <c r="F1441" s="62"/>
    </row>
    <row r="1442" spans="1:6">
      <c r="A1442" s="146"/>
      <c r="B1442" s="64"/>
      <c r="C1442" s="64"/>
      <c r="D1442" s="64"/>
      <c r="E1442" s="85"/>
      <c r="F1442" s="62"/>
    </row>
    <row r="1443" spans="1:6">
      <c r="A1443" s="146"/>
      <c r="B1443" s="64"/>
      <c r="C1443" s="64"/>
      <c r="D1443" s="64"/>
      <c r="E1443" s="85"/>
      <c r="F1443" s="62"/>
    </row>
    <row r="1444" spans="1:6">
      <c r="A1444" s="146"/>
      <c r="B1444" s="64"/>
      <c r="C1444" s="64"/>
      <c r="D1444" s="64"/>
      <c r="E1444" s="85"/>
      <c r="F1444" s="62"/>
    </row>
    <row r="1445" spans="1:6">
      <c r="A1445" s="146"/>
      <c r="B1445" s="64"/>
      <c r="C1445" s="64"/>
      <c r="D1445" s="64"/>
      <c r="E1445" s="85"/>
      <c r="F1445" s="62"/>
    </row>
    <row r="1446" spans="1:6">
      <c r="A1446" s="146"/>
      <c r="B1446" s="64"/>
      <c r="C1446" s="64"/>
      <c r="D1446" s="64"/>
      <c r="E1446" s="85"/>
      <c r="F1446" s="62"/>
    </row>
    <row r="1447" spans="1:6">
      <c r="A1447" s="146"/>
      <c r="B1447" s="64"/>
      <c r="C1447" s="64"/>
      <c r="D1447" s="64"/>
      <c r="E1447" s="85"/>
      <c r="F1447" s="62"/>
    </row>
    <row r="1448" spans="1:6">
      <c r="A1448" s="146"/>
      <c r="B1448" s="64"/>
      <c r="C1448" s="64"/>
      <c r="D1448" s="64"/>
      <c r="E1448" s="85"/>
      <c r="F1448" s="62"/>
    </row>
    <row r="1449" spans="1:6">
      <c r="A1449" s="146"/>
      <c r="B1449" s="64"/>
      <c r="C1449" s="64"/>
      <c r="D1449" s="64"/>
      <c r="E1449" s="85"/>
      <c r="F1449" s="62"/>
    </row>
    <row r="1450" spans="1:6">
      <c r="A1450" s="146"/>
      <c r="B1450" s="64"/>
      <c r="C1450" s="64"/>
      <c r="D1450" s="64"/>
      <c r="E1450" s="85"/>
      <c r="F1450" s="62"/>
    </row>
    <row r="1451" spans="1:6">
      <c r="A1451" s="146"/>
      <c r="B1451" s="64"/>
      <c r="C1451" s="64"/>
      <c r="D1451" s="64"/>
      <c r="E1451" s="85"/>
      <c r="F1451" s="62"/>
    </row>
    <row r="1452" spans="1:6">
      <c r="A1452" s="146"/>
      <c r="B1452" s="64"/>
      <c r="C1452" s="64"/>
      <c r="D1452" s="64"/>
      <c r="E1452" s="85"/>
      <c r="F1452" s="62"/>
    </row>
    <row r="1453" spans="1:6">
      <c r="A1453" s="146"/>
      <c r="B1453" s="64"/>
      <c r="C1453" s="64"/>
      <c r="D1453" s="64"/>
      <c r="E1453" s="85"/>
      <c r="F1453" s="62"/>
    </row>
    <row r="1454" spans="1:6">
      <c r="A1454" s="146"/>
      <c r="B1454" s="64"/>
      <c r="C1454" s="64"/>
      <c r="D1454" s="64"/>
      <c r="E1454" s="85"/>
      <c r="F1454" s="62"/>
    </row>
    <row r="1455" spans="1:6">
      <c r="A1455" s="146"/>
      <c r="B1455" s="64"/>
      <c r="C1455" s="64"/>
      <c r="D1455" s="64"/>
      <c r="E1455" s="85"/>
      <c r="F1455" s="62"/>
    </row>
    <row r="1456" spans="1:6">
      <c r="A1456" s="146"/>
      <c r="B1456" s="64"/>
      <c r="C1456" s="64"/>
      <c r="D1456" s="64"/>
      <c r="E1456" s="85"/>
      <c r="F1456" s="62"/>
    </row>
    <row r="1457" spans="1:6">
      <c r="A1457" s="146"/>
      <c r="B1457" s="64"/>
      <c r="C1457" s="64"/>
      <c r="D1457" s="64"/>
      <c r="E1457" s="85"/>
      <c r="F1457" s="62"/>
    </row>
    <row r="1458" spans="1:6">
      <c r="A1458" s="146"/>
      <c r="B1458" s="64"/>
      <c r="C1458" s="64"/>
      <c r="D1458" s="64"/>
      <c r="E1458" s="85"/>
      <c r="F1458" s="62"/>
    </row>
    <row r="1459" spans="1:6">
      <c r="A1459" s="146"/>
      <c r="B1459" s="64"/>
      <c r="C1459" s="64"/>
      <c r="D1459" s="64"/>
      <c r="E1459" s="85"/>
      <c r="F1459" s="62"/>
    </row>
    <row r="1460" spans="1:6">
      <c r="A1460" s="146"/>
      <c r="B1460" s="64"/>
      <c r="C1460" s="64"/>
      <c r="D1460" s="64"/>
      <c r="E1460" s="85"/>
      <c r="F1460" s="62"/>
    </row>
    <row r="1461" spans="1:6">
      <c r="A1461" s="146"/>
      <c r="B1461" s="64"/>
      <c r="C1461" s="64"/>
      <c r="D1461" s="64"/>
      <c r="E1461" s="85"/>
      <c r="F1461" s="62"/>
    </row>
    <row r="1462" spans="1:6">
      <c r="A1462" s="146"/>
      <c r="B1462" s="64"/>
      <c r="C1462" s="64"/>
      <c r="D1462" s="64"/>
      <c r="E1462" s="85"/>
      <c r="F1462" s="62"/>
    </row>
    <row r="1463" spans="1:6">
      <c r="A1463" s="146"/>
      <c r="B1463" s="64"/>
      <c r="C1463" s="64"/>
      <c r="D1463" s="64"/>
      <c r="E1463" s="85"/>
      <c r="F1463" s="62"/>
    </row>
    <row r="1464" spans="1:6">
      <c r="A1464" s="146"/>
      <c r="B1464" s="64"/>
      <c r="C1464" s="64"/>
      <c r="D1464" s="64"/>
      <c r="E1464" s="85"/>
      <c r="F1464" s="62"/>
    </row>
    <row r="1465" spans="1:6">
      <c r="A1465" s="146"/>
      <c r="B1465" s="64"/>
      <c r="C1465" s="64"/>
      <c r="D1465" s="64"/>
      <c r="E1465" s="85"/>
      <c r="F1465" s="62"/>
    </row>
    <row r="1466" spans="1:6">
      <c r="A1466" s="146"/>
      <c r="B1466" s="64"/>
      <c r="C1466" s="64"/>
      <c r="D1466" s="64"/>
      <c r="E1466" s="85"/>
      <c r="F1466" s="62"/>
    </row>
    <row r="1467" spans="1:6">
      <c r="A1467" s="146"/>
      <c r="B1467" s="64"/>
      <c r="C1467" s="64"/>
      <c r="D1467" s="64"/>
      <c r="E1467" s="85"/>
      <c r="F1467" s="62"/>
    </row>
    <row r="1468" spans="1:6">
      <c r="A1468" s="146"/>
      <c r="B1468" s="64"/>
      <c r="C1468" s="64"/>
      <c r="D1468" s="64"/>
      <c r="E1468" s="85"/>
      <c r="F1468" s="62"/>
    </row>
    <row r="1469" spans="1:6">
      <c r="A1469" s="146"/>
      <c r="B1469" s="64"/>
      <c r="C1469" s="64"/>
      <c r="D1469" s="64"/>
      <c r="E1469" s="85"/>
      <c r="F1469" s="62"/>
    </row>
    <row r="1470" spans="1:6">
      <c r="A1470" s="146"/>
      <c r="B1470" s="64"/>
      <c r="C1470" s="64"/>
      <c r="D1470" s="64"/>
      <c r="E1470" s="85"/>
      <c r="F1470" s="62"/>
    </row>
    <row r="1471" spans="1:6">
      <c r="A1471" s="146"/>
      <c r="B1471" s="64"/>
      <c r="C1471" s="64"/>
      <c r="D1471" s="64"/>
      <c r="E1471" s="85"/>
      <c r="F1471" s="62"/>
    </row>
    <row r="1472" spans="1:6">
      <c r="A1472" s="146"/>
      <c r="B1472" s="64"/>
      <c r="C1472" s="64"/>
      <c r="D1472" s="64"/>
      <c r="E1472" s="85"/>
      <c r="F1472" s="62"/>
    </row>
    <row r="1473" spans="1:6">
      <c r="A1473" s="146"/>
      <c r="B1473" s="64"/>
      <c r="C1473" s="64"/>
      <c r="D1473" s="64"/>
      <c r="E1473" s="85"/>
      <c r="F1473" s="62"/>
    </row>
    <row r="1474" spans="1:6">
      <c r="A1474" s="146"/>
      <c r="B1474" s="64"/>
      <c r="C1474" s="64"/>
      <c r="D1474" s="64"/>
      <c r="E1474" s="85"/>
      <c r="F1474" s="62"/>
    </row>
    <row r="1475" spans="1:6">
      <c r="A1475" s="146"/>
      <c r="B1475" s="64"/>
      <c r="C1475" s="64"/>
      <c r="D1475" s="64"/>
      <c r="E1475" s="85"/>
      <c r="F1475" s="62"/>
    </row>
    <row r="1476" spans="1:6">
      <c r="A1476" s="146"/>
      <c r="B1476" s="64"/>
      <c r="C1476" s="64"/>
      <c r="D1476" s="64"/>
      <c r="E1476" s="85"/>
      <c r="F1476" s="62"/>
    </row>
    <row r="1477" spans="1:6">
      <c r="A1477" s="146"/>
      <c r="B1477" s="64"/>
      <c r="C1477" s="64"/>
      <c r="D1477" s="64"/>
      <c r="E1477" s="85"/>
      <c r="F1477" s="62"/>
    </row>
    <row r="1478" spans="1:6">
      <c r="A1478" s="146"/>
      <c r="B1478" s="64"/>
      <c r="C1478" s="64"/>
      <c r="D1478" s="64"/>
      <c r="E1478" s="85"/>
      <c r="F1478" s="62"/>
    </row>
    <row r="1479" spans="1:6">
      <c r="A1479" s="146"/>
      <c r="B1479" s="64"/>
      <c r="C1479" s="64"/>
      <c r="D1479" s="64"/>
      <c r="E1479" s="85"/>
      <c r="F1479" s="62"/>
    </row>
    <row r="1480" spans="1:6">
      <c r="A1480" s="146"/>
      <c r="B1480" s="64"/>
      <c r="C1480" s="64"/>
      <c r="D1480" s="64"/>
      <c r="E1480" s="85"/>
      <c r="F1480" s="62"/>
    </row>
    <row r="1481" spans="1:6">
      <c r="A1481" s="146"/>
      <c r="B1481" s="64"/>
      <c r="C1481" s="64"/>
      <c r="D1481" s="64"/>
      <c r="E1481" s="85"/>
      <c r="F1481" s="62"/>
    </row>
    <row r="1482" spans="1:6">
      <c r="A1482" s="146"/>
      <c r="B1482" s="64"/>
      <c r="C1482" s="64"/>
      <c r="D1482" s="64"/>
      <c r="E1482" s="85"/>
      <c r="F1482" s="62"/>
    </row>
    <row r="1483" spans="1:6">
      <c r="A1483" s="146"/>
      <c r="B1483" s="64"/>
      <c r="C1483" s="64"/>
      <c r="D1483" s="64"/>
      <c r="E1483" s="85"/>
      <c r="F1483" s="62"/>
    </row>
    <row r="1484" spans="1:6">
      <c r="A1484" s="146"/>
      <c r="B1484" s="64"/>
      <c r="C1484" s="64"/>
      <c r="D1484" s="64"/>
      <c r="E1484" s="85"/>
      <c r="F1484" s="62"/>
    </row>
    <row r="1485" spans="1:6">
      <c r="A1485" s="146"/>
      <c r="B1485" s="64"/>
      <c r="C1485" s="64"/>
      <c r="D1485" s="64"/>
      <c r="E1485" s="85"/>
      <c r="F1485" s="62"/>
    </row>
    <row r="1486" spans="1:6">
      <c r="A1486" s="146"/>
      <c r="B1486" s="64"/>
      <c r="C1486" s="64"/>
      <c r="D1486" s="64"/>
      <c r="E1486" s="85"/>
      <c r="F1486" s="62"/>
    </row>
    <row r="1487" spans="1:6">
      <c r="A1487" s="146"/>
      <c r="B1487" s="64"/>
      <c r="C1487" s="64"/>
      <c r="D1487" s="64"/>
      <c r="E1487" s="85"/>
      <c r="F1487" s="62"/>
    </row>
    <row r="1488" spans="1:6">
      <c r="A1488" s="146"/>
      <c r="B1488" s="64"/>
      <c r="C1488" s="64"/>
      <c r="D1488" s="64"/>
      <c r="E1488" s="85"/>
      <c r="F1488" s="62"/>
    </row>
    <row r="1489" spans="1:6">
      <c r="A1489" s="146"/>
      <c r="B1489" s="64"/>
      <c r="C1489" s="64"/>
      <c r="D1489" s="64"/>
      <c r="E1489" s="85"/>
      <c r="F1489" s="62"/>
    </row>
    <row r="1490" spans="1:6">
      <c r="A1490" s="146"/>
      <c r="B1490" s="64"/>
      <c r="C1490" s="64"/>
      <c r="D1490" s="64"/>
      <c r="E1490" s="85"/>
      <c r="F1490" s="62"/>
    </row>
    <row r="1491" spans="1:6">
      <c r="A1491" s="146"/>
      <c r="B1491" s="64"/>
      <c r="C1491" s="64"/>
      <c r="D1491" s="64"/>
      <c r="E1491" s="85"/>
      <c r="F1491" s="62"/>
    </row>
    <row r="1492" spans="1:6">
      <c r="A1492" s="146"/>
      <c r="B1492" s="64"/>
      <c r="C1492" s="64"/>
      <c r="D1492" s="64"/>
      <c r="E1492" s="85"/>
      <c r="F1492" s="62"/>
    </row>
    <row r="1493" spans="1:6">
      <c r="A1493" s="146"/>
      <c r="B1493" s="64"/>
      <c r="C1493" s="64"/>
      <c r="D1493" s="64"/>
      <c r="E1493" s="85"/>
      <c r="F1493" s="62"/>
    </row>
    <row r="1494" spans="1:6">
      <c r="A1494" s="146"/>
      <c r="B1494" s="64"/>
      <c r="C1494" s="64"/>
      <c r="D1494" s="64"/>
      <c r="E1494" s="85"/>
      <c r="F1494" s="62"/>
    </row>
    <row r="1495" spans="1:6">
      <c r="A1495" s="146"/>
      <c r="B1495" s="64"/>
      <c r="C1495" s="64"/>
      <c r="D1495" s="64"/>
      <c r="E1495" s="85"/>
      <c r="F1495" s="62"/>
    </row>
    <row r="1496" spans="1:6">
      <c r="A1496" s="146"/>
      <c r="B1496" s="64"/>
      <c r="C1496" s="64"/>
      <c r="D1496" s="64"/>
      <c r="E1496" s="85"/>
      <c r="F1496" s="62"/>
    </row>
    <row r="1497" spans="1:6">
      <c r="A1497" s="146"/>
      <c r="B1497" s="64"/>
      <c r="C1497" s="64"/>
      <c r="D1497" s="64"/>
      <c r="E1497" s="85"/>
      <c r="F1497" s="62"/>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17" right="0.17" top="1.56" bottom="1.24" header="0.5" footer="0.17"/>
      <printOptions horizontalCentered="1"/>
      <pageSetup scale="35" fitToHeight="0" orientation="portrait" r:id="rId9"/>
      <headerFooter alignWithMargins="0"/>
    </customSheetView>
  </customSheetViews>
  <mergeCells count="2">
    <mergeCell ref="D2:F2"/>
    <mergeCell ref="D3:F3"/>
  </mergeCells>
  <phoneticPr fontId="0" type="noConversion"/>
  <printOptions horizontalCentered="1"/>
  <pageMargins left="0.17" right="0.17" top="1.56" bottom="1.24" header="0.5" footer="0.17"/>
  <pageSetup scale="35" fitToHeight="0" orientation="portrait" r:id="rId10"/>
  <headerFooter alignWithMargins="0"/>
  <rowBreaks count="4" manualBreakCount="4">
    <brk id="73" max="7" man="1"/>
    <brk id="140" max="7" man="1"/>
    <brk id="202" max="7" man="1"/>
    <brk id="277" max="7" man="1"/>
  </rowBreaks>
  <ignoredErrors>
    <ignoredError sqref="H207" unlockedFormula="1"/>
    <ignoredError sqref="E24:E25 E118 E121 E14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HM101"/>
  <sheetViews>
    <sheetView view="pageBreakPreview" zoomScale="60" zoomScaleNormal="50" workbookViewId="0"/>
  </sheetViews>
  <sheetFormatPr defaultColWidth="9.109375" defaultRowHeight="13.2"/>
  <cols>
    <col min="1" max="1" width="9.109375" style="561"/>
    <col min="2" max="2" width="38.6640625" style="1600" customWidth="1"/>
    <col min="3" max="3" width="26.109375" style="560" customWidth="1"/>
    <col min="4" max="4" width="20" style="561" customWidth="1"/>
    <col min="5" max="5" width="28.109375" style="561" customWidth="1"/>
    <col min="6" max="6" width="20.44140625" style="560" customWidth="1"/>
    <col min="7" max="7" width="27.33203125" style="560" customWidth="1"/>
    <col min="8" max="8" width="24.6640625" style="560" customWidth="1"/>
    <col min="9" max="9" width="20.6640625" style="560" customWidth="1"/>
    <col min="10" max="10" width="20.6640625" style="1599" customWidth="1"/>
    <col min="11" max="11" width="23.33203125" style="1599" customWidth="1"/>
    <col min="12" max="12" width="20.6640625" style="1599" customWidth="1"/>
    <col min="13" max="13" width="22.44140625" style="1599" bestFit="1" customWidth="1"/>
    <col min="14" max="14" width="27.5546875" style="1599" bestFit="1" customWidth="1"/>
    <col min="15" max="15" width="20.6640625" style="1599" customWidth="1"/>
    <col min="16" max="16" width="20.44140625" style="1599" customWidth="1"/>
    <col min="17" max="17" width="23" style="1599" customWidth="1"/>
    <col min="18" max="18" width="20.6640625" style="1599" customWidth="1"/>
    <col min="19" max="19" width="27.88671875" style="1599" customWidth="1"/>
    <col min="20" max="20" width="22.33203125" style="1599" customWidth="1"/>
    <col min="21" max="21" width="23.33203125" style="1599" customWidth="1"/>
    <col min="22" max="22" width="20.88671875" style="1599" customWidth="1"/>
    <col min="23" max="23" width="21.6640625" style="1599" customWidth="1"/>
    <col min="24" max="24" width="20.6640625" style="1599" customWidth="1"/>
    <col min="25" max="25" width="24" style="1599" customWidth="1"/>
    <col min="26" max="26" width="20.6640625" style="1599" customWidth="1"/>
    <col min="27" max="27" width="20.44140625" style="1599" customWidth="1"/>
    <col min="28" max="28" width="18.6640625" style="1599" customWidth="1"/>
    <col min="29" max="29" width="22.6640625" style="1599" customWidth="1"/>
    <col min="30" max="30" width="22.109375" style="1599" customWidth="1"/>
    <col min="31" max="31" width="20.109375" style="1599" customWidth="1"/>
    <col min="32" max="32" width="19" style="1599" customWidth="1"/>
    <col min="33" max="33" width="21.109375" style="1599" customWidth="1"/>
    <col min="34" max="34" width="23.5546875" style="1599" customWidth="1"/>
    <col min="35" max="35" width="22.44140625" style="1599" bestFit="1" customWidth="1"/>
    <col min="36" max="36" width="21.5546875" style="1599" customWidth="1"/>
    <col min="37" max="37" width="25.33203125" style="1599" customWidth="1"/>
    <col min="38" max="38" width="22.44140625" style="1599" bestFit="1" customWidth="1"/>
    <col min="39" max="39" width="20.44140625" style="1599" customWidth="1"/>
    <col min="40" max="40" width="23.109375" style="1599" customWidth="1"/>
    <col min="41" max="41" width="21.33203125" style="1599" customWidth="1"/>
    <col min="42" max="42" width="21.6640625" style="560" customWidth="1"/>
    <col min="43" max="43" width="18.33203125" style="560" bestFit="1" customWidth="1"/>
    <col min="44" max="44" width="23.33203125" style="560" customWidth="1"/>
    <col min="45" max="45" width="20.6640625" style="560" customWidth="1"/>
    <col min="46" max="46" width="19.88671875" style="560" customWidth="1"/>
    <col min="47" max="47" width="22.109375" style="560" customWidth="1"/>
    <col min="48" max="48" width="19.5546875" style="560" customWidth="1"/>
    <col min="49" max="49" width="23" style="560" customWidth="1"/>
    <col min="50" max="50" width="21.5546875" style="560" customWidth="1"/>
    <col min="51" max="51" width="20.109375" style="560" customWidth="1"/>
    <col min="52" max="52" width="22.44140625" style="560" customWidth="1"/>
    <col min="53" max="53" width="19.33203125" style="560" customWidth="1"/>
    <col min="54" max="54" width="20.6640625" style="560" customWidth="1"/>
    <col min="55" max="55" width="18.109375" style="560" customWidth="1"/>
    <col min="56" max="56" width="24.5546875" style="560" bestFit="1" customWidth="1"/>
    <col min="57" max="57" width="20.109375" style="560" customWidth="1"/>
    <col min="58" max="58" width="19.33203125" style="560" customWidth="1"/>
    <col min="59" max="59" width="23.88671875" style="560" customWidth="1"/>
    <col min="60" max="60" width="20.44140625" style="560" customWidth="1"/>
    <col min="61" max="61" width="21.33203125" style="560" customWidth="1"/>
    <col min="62" max="62" width="21.88671875" style="560" customWidth="1"/>
    <col min="63" max="63" width="20.6640625" style="560" customWidth="1"/>
    <col min="64" max="65" width="17.33203125" style="560" customWidth="1"/>
    <col min="66" max="66" width="21.88671875" style="560" customWidth="1"/>
    <col min="67" max="68" width="17.33203125" style="560" customWidth="1"/>
    <col min="69" max="69" width="21.88671875" style="560" customWidth="1"/>
    <col min="70" max="70" width="11.88671875" style="560" customWidth="1"/>
    <col min="71" max="71" width="20.44140625" style="560" customWidth="1"/>
    <col min="72" max="72" width="25.33203125" style="560" customWidth="1"/>
    <col min="73" max="73" width="20.6640625" style="560" customWidth="1"/>
    <col min="74" max="74" width="22.44140625" style="560" customWidth="1"/>
    <col min="75" max="75" width="22.109375" style="560" customWidth="1"/>
    <col min="76" max="79" width="19.33203125" style="560" customWidth="1"/>
    <col min="80" max="80" width="23.88671875" style="560" customWidth="1"/>
    <col min="81" max="81" width="20.6640625" style="560" customWidth="1"/>
    <col min="82" max="82" width="19" style="560" bestFit="1" customWidth="1"/>
    <col min="83" max="83" width="22.109375" style="560" customWidth="1"/>
    <col min="84" max="84" width="20.88671875" style="560" customWidth="1"/>
    <col min="85" max="85" width="25.5546875" style="560" customWidth="1"/>
    <col min="86" max="86" width="27" style="560" customWidth="1"/>
    <col min="87" max="87" width="21" style="560" customWidth="1"/>
    <col min="88" max="88" width="21.33203125" style="560" customWidth="1"/>
    <col min="89" max="89" width="25.33203125" style="560" customWidth="1"/>
    <col min="90" max="90" width="20.44140625" style="560" customWidth="1"/>
    <col min="91" max="91" width="19" style="560" customWidth="1"/>
    <col min="92" max="92" width="23.109375" style="560" customWidth="1"/>
    <col min="93" max="93" width="23" style="560" customWidth="1"/>
    <col min="94" max="94" width="19.88671875" style="560" customWidth="1"/>
    <col min="95" max="95" width="23.5546875" style="560" customWidth="1"/>
    <col min="96" max="96" width="21.5546875" style="560" customWidth="1"/>
    <col min="97" max="97" width="21.88671875" style="560" customWidth="1"/>
    <col min="98" max="98" width="25" style="560" customWidth="1"/>
    <col min="99" max="99" width="22" style="560" customWidth="1"/>
    <col min="100" max="100" width="20.109375" style="560" customWidth="1"/>
    <col min="101" max="101" width="22.109375" style="560" customWidth="1"/>
    <col min="102" max="102" width="22.5546875" style="1598" customWidth="1"/>
    <col min="103" max="103" width="20.5546875" style="560" customWidth="1"/>
    <col min="104" max="104" width="24.109375" style="560" customWidth="1"/>
    <col min="105" max="105" width="21.109375" style="560" customWidth="1"/>
    <col min="106" max="106" width="20.33203125" style="560" customWidth="1"/>
    <col min="107" max="107" width="23.109375" style="560" customWidth="1"/>
    <col min="108" max="108" width="21.88671875" style="560" customWidth="1"/>
    <col min="109" max="109" width="23" style="560" customWidth="1"/>
    <col min="110" max="110" width="23.5546875" style="560" customWidth="1"/>
    <col min="111" max="111" width="23.6640625" style="560" customWidth="1"/>
    <col min="112" max="112" width="21" style="560" customWidth="1"/>
    <col min="113" max="113" width="24.44140625" style="560" bestFit="1" customWidth="1"/>
    <col min="114" max="114" width="23.33203125" style="560" customWidth="1"/>
    <col min="115" max="115" width="25.44140625" style="560" customWidth="1"/>
    <col min="116" max="116" width="23.109375" style="560" customWidth="1"/>
    <col min="117" max="117" width="20.6640625" style="694" customWidth="1"/>
    <col min="118" max="118" width="21" style="694" customWidth="1"/>
    <col min="119" max="119" width="23.5546875" style="694" customWidth="1"/>
    <col min="120" max="120" width="22.109375" style="694" customWidth="1"/>
    <col min="121" max="121" width="22.5546875" style="694" customWidth="1"/>
    <col min="122" max="122" width="23.5546875" style="694" customWidth="1"/>
    <col min="123" max="123" width="22.88671875" style="694" customWidth="1"/>
    <col min="124" max="124" width="23.6640625" style="694" customWidth="1"/>
    <col min="125" max="125" width="23.5546875" style="694" customWidth="1"/>
    <col min="126" max="126" width="23.44140625" style="694" customWidth="1"/>
    <col min="127" max="127" width="20.88671875" style="694" customWidth="1"/>
    <col min="128" max="128" width="20.33203125" style="694" customWidth="1"/>
    <col min="129" max="129" width="22.33203125" style="694" customWidth="1"/>
    <col min="130" max="130" width="20.33203125" style="694" customWidth="1"/>
    <col min="131" max="131" width="21.33203125" style="694" customWidth="1"/>
    <col min="132" max="132" width="24" style="694" customWidth="1"/>
    <col min="133" max="133" width="22.33203125" style="694" customWidth="1"/>
    <col min="134" max="134" width="23.5546875" style="694" customWidth="1"/>
    <col min="135" max="135" width="23" style="694" customWidth="1"/>
    <col min="136" max="136" width="17.5546875" style="694" bestFit="1" customWidth="1"/>
    <col min="137" max="137" width="20.6640625" style="694" customWidth="1"/>
    <col min="138" max="138" width="23.6640625" style="694" customWidth="1"/>
    <col min="139" max="139" width="16" style="694" customWidth="1"/>
    <col min="140" max="140" width="20.5546875" style="560" customWidth="1"/>
    <col min="141" max="141" width="20.88671875" style="560" customWidth="1"/>
    <col min="142" max="142" width="16" style="560" customWidth="1"/>
    <col min="143" max="143" width="22.88671875" style="560" customWidth="1"/>
    <col min="144" max="144" width="21.6640625" style="560" customWidth="1"/>
    <col min="145" max="145" width="24.88671875" style="560" customWidth="1"/>
    <col min="146" max="146" width="16.6640625" style="560" customWidth="1"/>
    <col min="147" max="147" width="22.88671875" style="560" customWidth="1"/>
    <col min="148" max="148" width="17.44140625" style="560" customWidth="1"/>
    <col min="149" max="149" width="19.88671875" style="560" customWidth="1"/>
    <col min="150" max="150" width="22.5546875" style="560" customWidth="1"/>
    <col min="151" max="151" width="15.44140625" style="560" customWidth="1"/>
    <col min="152" max="152" width="18.109375" style="560" bestFit="1" customWidth="1"/>
    <col min="153" max="153" width="20.5546875" style="560" customWidth="1"/>
    <col min="154" max="154" width="18.88671875" style="560" customWidth="1"/>
    <col min="155" max="155" width="18.109375" style="560" bestFit="1" customWidth="1"/>
    <col min="156" max="156" width="20.5546875" style="560" customWidth="1"/>
    <col min="157" max="157" width="24.33203125" style="560" customWidth="1"/>
    <col min="158" max="158" width="27.109375" style="560" customWidth="1"/>
    <col min="159" max="159" width="20.5546875" style="560" customWidth="1"/>
    <col min="160" max="160" width="15.44140625" style="560" customWidth="1"/>
    <col min="161" max="161" width="18.109375" style="560" bestFit="1" customWidth="1"/>
    <col min="162" max="162" width="22" style="560" customWidth="1"/>
    <col min="163" max="163" width="15.6640625" style="560" customWidth="1"/>
    <col min="164" max="164" width="18.109375" style="560" bestFit="1" customWidth="1"/>
    <col min="165" max="165" width="23.44140625" style="560" customWidth="1"/>
    <col min="166" max="166" width="17.109375" style="560" customWidth="1"/>
    <col min="167" max="167" width="20.5546875" style="560" customWidth="1"/>
    <col min="168" max="169" width="23.6640625" style="560" customWidth="1"/>
    <col min="170" max="170" width="23.5546875" style="560" customWidth="1"/>
    <col min="171" max="171" width="22.5546875" style="560" customWidth="1"/>
    <col min="172" max="172" width="17.44140625" style="560" customWidth="1"/>
    <col min="173" max="173" width="25.44140625" style="560" customWidth="1"/>
    <col min="174" max="174" width="21.109375" style="560" customWidth="1"/>
    <col min="175" max="175" width="19.6640625" style="560" customWidth="1"/>
    <col min="176" max="176" width="18.6640625" style="560" customWidth="1"/>
    <col min="177" max="177" width="22" style="560" customWidth="1"/>
    <col min="178" max="178" width="16.5546875" style="560" customWidth="1"/>
    <col min="179" max="179" width="22" style="560" customWidth="1"/>
    <col min="180" max="180" width="23.6640625" style="560" customWidth="1"/>
    <col min="181" max="181" width="26" style="560" customWidth="1"/>
    <col min="182" max="182" width="18.109375" style="560" bestFit="1" customWidth="1"/>
    <col min="183" max="183" width="23.6640625" style="560" customWidth="1"/>
    <col min="184" max="184" width="17.44140625" style="560" customWidth="1"/>
    <col min="185" max="185" width="18.88671875" style="560" bestFit="1" customWidth="1"/>
    <col min="186" max="186" width="21.88671875" style="560" customWidth="1"/>
    <col min="187" max="187" width="15" style="560" bestFit="1" customWidth="1"/>
    <col min="188" max="188" width="24.109375" style="560" customWidth="1"/>
    <col min="189" max="189" width="21" style="560" customWidth="1"/>
    <col min="190" max="190" width="18.109375" style="560" bestFit="1" customWidth="1"/>
    <col min="191" max="191" width="30.5546875" style="560" customWidth="1"/>
    <col min="192" max="193" width="23.5546875" style="560" bestFit="1" customWidth="1"/>
    <col min="194" max="194" width="24.44140625" style="560" bestFit="1" customWidth="1"/>
    <col min="195" max="195" width="27.6640625" style="560" customWidth="1"/>
    <col min="196" max="16384" width="9.109375" style="560"/>
  </cols>
  <sheetData>
    <row r="1" spans="1:194" ht="18.75" customHeight="1">
      <c r="A1" s="1483"/>
      <c r="B1" s="1483"/>
      <c r="C1" s="1483"/>
      <c r="D1" s="1483"/>
      <c r="E1" s="1483"/>
      <c r="F1" s="1483"/>
      <c r="G1" s="1483"/>
      <c r="J1" s="1483" t="s">
        <v>494</v>
      </c>
      <c r="K1" s="1483"/>
      <c r="L1" s="1483"/>
      <c r="M1" s="1483"/>
      <c r="N1" s="1483"/>
      <c r="Q1" s="1483"/>
      <c r="R1" s="1483"/>
      <c r="T1" s="1483" t="s">
        <v>494</v>
      </c>
      <c r="U1" s="473"/>
      <c r="W1" s="560"/>
      <c r="X1" s="560"/>
      <c r="Z1" s="1483"/>
      <c r="AA1" s="1483"/>
      <c r="AD1" s="1483" t="s">
        <v>494</v>
      </c>
      <c r="AF1" s="560"/>
      <c r="AG1" s="560"/>
      <c r="AI1" s="560"/>
      <c r="AJ1" s="1483"/>
      <c r="AK1" s="560"/>
      <c r="AL1" s="1483"/>
      <c r="AM1" s="1483"/>
      <c r="AP1" s="1483" t="s">
        <v>494</v>
      </c>
      <c r="AQ1" s="1599"/>
      <c r="AT1" s="1599"/>
      <c r="AV1" s="1483"/>
      <c r="AX1" s="1483"/>
      <c r="AY1" s="1483"/>
      <c r="AZ1" s="1599"/>
      <c r="BA1" s="1599"/>
      <c r="BB1" s="1483" t="s">
        <v>494</v>
      </c>
      <c r="BC1" s="1599"/>
      <c r="BF1" s="1599"/>
      <c r="BH1" s="1483"/>
      <c r="BJ1" s="2409"/>
      <c r="BK1" s="2409"/>
      <c r="BL1" s="1599"/>
      <c r="BM1" s="1599"/>
      <c r="BN1" s="2409" t="s">
        <v>494</v>
      </c>
      <c r="BO1" s="1599"/>
      <c r="BR1" s="1599"/>
      <c r="BT1" s="2409"/>
      <c r="BV1" s="2409"/>
      <c r="BW1" s="2409"/>
      <c r="BX1" s="1599"/>
      <c r="BY1" s="1599"/>
      <c r="BZ1" s="2409" t="s">
        <v>494</v>
      </c>
      <c r="CA1" s="1599"/>
      <c r="CD1" s="1599"/>
      <c r="CF1" s="2409"/>
      <c r="CH1" s="1483"/>
      <c r="CI1" s="1483"/>
      <c r="CJ1" s="1599"/>
      <c r="CL1" s="1599"/>
      <c r="CM1" s="1483" t="s">
        <v>494</v>
      </c>
      <c r="CN1" s="1483"/>
      <c r="CO1" s="1483"/>
      <c r="CP1" s="1599"/>
      <c r="CS1" s="1599"/>
      <c r="CT1" s="2409"/>
      <c r="CU1" s="2409"/>
      <c r="CV1" s="1599"/>
      <c r="CX1" s="1599"/>
      <c r="CY1" s="2409" t="s">
        <v>494</v>
      </c>
      <c r="CZ1" s="2409"/>
      <c r="DA1" s="2409"/>
      <c r="DB1" s="1599"/>
      <c r="DF1" s="2409"/>
      <c r="DG1" s="2409"/>
      <c r="DH1" s="1599"/>
      <c r="DJ1" s="1599"/>
      <c r="DK1" s="2409" t="s">
        <v>494</v>
      </c>
      <c r="DL1" s="2409"/>
      <c r="DM1" s="2409"/>
      <c r="DN1" s="1599"/>
      <c r="DO1" s="560"/>
      <c r="DP1" s="560"/>
      <c r="DQ1" s="560"/>
      <c r="DR1" s="2409"/>
      <c r="DS1" s="2409"/>
      <c r="DT1" s="1599"/>
      <c r="DU1" s="560"/>
      <c r="DV1" s="1599"/>
      <c r="DW1" s="2409" t="s">
        <v>494</v>
      </c>
      <c r="DX1" s="2409"/>
      <c r="DY1" s="2409"/>
      <c r="DZ1" s="1599"/>
      <c r="EA1" s="560"/>
      <c r="EB1" s="560"/>
      <c r="EC1" s="560"/>
      <c r="ED1" s="2409"/>
      <c r="EE1" s="2409"/>
      <c r="EF1" s="1599"/>
      <c r="EG1" s="560"/>
      <c r="EH1" s="1599"/>
      <c r="EI1" s="2409" t="s">
        <v>494</v>
      </c>
      <c r="EJ1" s="2409"/>
      <c r="EK1" s="2409"/>
      <c r="EL1" s="1599"/>
      <c r="EP1" s="2409"/>
      <c r="EQ1" s="2409"/>
      <c r="ER1" s="1599"/>
      <c r="ET1" s="1599"/>
      <c r="EU1" s="2409" t="s">
        <v>494</v>
      </c>
      <c r="EV1" s="2409"/>
      <c r="EW1" s="2409"/>
      <c r="EX1" s="1599"/>
      <c r="FB1" s="2409"/>
      <c r="FC1" s="2409"/>
      <c r="FD1" s="1599"/>
      <c r="FF1" s="1599"/>
      <c r="FG1" s="2409" t="s">
        <v>494</v>
      </c>
      <c r="FH1" s="2409"/>
      <c r="FI1" s="2409"/>
      <c r="FJ1" s="1599"/>
      <c r="FN1" s="2409"/>
      <c r="FO1" s="2409"/>
      <c r="FP1" s="1599"/>
      <c r="FR1" s="1599"/>
      <c r="FS1" s="2409" t="s">
        <v>494</v>
      </c>
      <c r="FT1" s="2409"/>
      <c r="FU1" s="2409"/>
      <c r="FV1" s="1599"/>
      <c r="FZ1" s="2409"/>
      <c r="GA1" s="2409"/>
      <c r="GB1" s="1599"/>
      <c r="GD1" s="1599"/>
      <c r="GE1" s="2409" t="s">
        <v>494</v>
      </c>
      <c r="GF1" s="2409"/>
      <c r="GG1" s="2409"/>
      <c r="GH1" s="1599"/>
    </row>
    <row r="2" spans="1:194" ht="17.399999999999999">
      <c r="B2" s="1483"/>
      <c r="C2" s="1483"/>
      <c r="D2" s="1483"/>
      <c r="E2" s="1483"/>
      <c r="F2" s="1483"/>
      <c r="G2" s="1483"/>
      <c r="J2" s="1483" t="s">
        <v>495</v>
      </c>
      <c r="K2" s="1483"/>
      <c r="L2" s="1483"/>
      <c r="M2" s="1483"/>
      <c r="N2" s="1483"/>
      <c r="Q2" s="1483"/>
      <c r="R2" s="1483"/>
      <c r="T2" s="1483" t="s">
        <v>495</v>
      </c>
      <c r="U2" s="473"/>
      <c r="W2" s="560"/>
      <c r="X2" s="560"/>
      <c r="Z2" s="1483"/>
      <c r="AA2" s="1483"/>
      <c r="AD2" s="1483" t="s">
        <v>495</v>
      </c>
      <c r="AF2" s="560"/>
      <c r="AG2" s="560"/>
      <c r="AI2" s="560"/>
      <c r="AJ2" s="1483"/>
      <c r="AK2" s="560"/>
      <c r="AL2" s="1483"/>
      <c r="AM2" s="1483"/>
      <c r="AP2" s="1483" t="s">
        <v>495</v>
      </c>
      <c r="AQ2" s="1599"/>
      <c r="AT2" s="1599"/>
      <c r="AV2" s="1483"/>
      <c r="AX2" s="1483"/>
      <c r="AY2" s="1483"/>
      <c r="AZ2" s="1599"/>
      <c r="BA2" s="1599"/>
      <c r="BB2" s="1483" t="s">
        <v>495</v>
      </c>
      <c r="BC2" s="1599"/>
      <c r="BF2" s="1599"/>
      <c r="BH2" s="1483"/>
      <c r="BJ2" s="2409"/>
      <c r="BK2" s="2409"/>
      <c r="BL2" s="1599"/>
      <c r="BM2" s="1599"/>
      <c r="BN2" s="2409" t="s">
        <v>495</v>
      </c>
      <c r="BO2" s="1599"/>
      <c r="BR2" s="1599"/>
      <c r="BT2" s="2409"/>
      <c r="BV2" s="2409"/>
      <c r="BW2" s="2409"/>
      <c r="BX2" s="1599"/>
      <c r="BY2" s="1599"/>
      <c r="BZ2" s="2409" t="s">
        <v>495</v>
      </c>
      <c r="CA2" s="1599"/>
      <c r="CD2" s="1599"/>
      <c r="CF2" s="2409"/>
      <c r="CH2" s="1483"/>
      <c r="CI2" s="1483"/>
      <c r="CJ2" s="1599"/>
      <c r="CL2" s="1599"/>
      <c r="CM2" s="1483" t="s">
        <v>495</v>
      </c>
      <c r="CN2" s="1483"/>
      <c r="CO2" s="1483"/>
      <c r="CP2" s="1599"/>
      <c r="CS2" s="1599"/>
      <c r="CT2" s="2409"/>
      <c r="CU2" s="2409"/>
      <c r="CV2" s="1599"/>
      <c r="CX2" s="1599"/>
      <c r="CY2" s="2409" t="s">
        <v>495</v>
      </c>
      <c r="CZ2" s="2409"/>
      <c r="DA2" s="2409"/>
      <c r="DB2" s="1599"/>
      <c r="DF2" s="2409"/>
      <c r="DG2" s="2409"/>
      <c r="DH2" s="1599"/>
      <c r="DJ2" s="1599"/>
      <c r="DK2" s="2409" t="s">
        <v>495</v>
      </c>
      <c r="DL2" s="2409"/>
      <c r="DM2" s="2409"/>
      <c r="DN2" s="1599"/>
      <c r="DO2" s="560"/>
      <c r="DP2" s="560"/>
      <c r="DQ2" s="560"/>
      <c r="DR2" s="2409"/>
      <c r="DS2" s="2409"/>
      <c r="DT2" s="1599"/>
      <c r="DU2" s="560"/>
      <c r="DV2" s="1599"/>
      <c r="DW2" s="2409" t="s">
        <v>495</v>
      </c>
      <c r="DX2" s="2409"/>
      <c r="DY2" s="2409"/>
      <c r="DZ2" s="1599"/>
      <c r="EA2" s="560"/>
      <c r="EB2" s="560"/>
      <c r="EC2" s="560"/>
      <c r="ED2" s="2409"/>
      <c r="EE2" s="2409"/>
      <c r="EF2" s="1599"/>
      <c r="EG2" s="560"/>
      <c r="EH2" s="1599"/>
      <c r="EI2" s="2409" t="s">
        <v>495</v>
      </c>
      <c r="EJ2" s="2409"/>
      <c r="EK2" s="2409"/>
      <c r="EL2" s="1599"/>
      <c r="EP2" s="2409"/>
      <c r="EQ2" s="2409"/>
      <c r="ER2" s="1599"/>
      <c r="ET2" s="1599"/>
      <c r="EU2" s="2409" t="s">
        <v>495</v>
      </c>
      <c r="EV2" s="2409"/>
      <c r="EW2" s="2409"/>
      <c r="EX2" s="1599"/>
      <c r="FB2" s="2409"/>
      <c r="FC2" s="2409"/>
      <c r="FD2" s="1599"/>
      <c r="FF2" s="1599"/>
      <c r="FG2" s="2409" t="s">
        <v>495</v>
      </c>
      <c r="FH2" s="2409"/>
      <c r="FI2" s="2409"/>
      <c r="FJ2" s="1599"/>
      <c r="FN2" s="2409"/>
      <c r="FO2" s="2409"/>
      <c r="FP2" s="1599"/>
      <c r="FR2" s="1599"/>
      <c r="FS2" s="2409" t="s">
        <v>495</v>
      </c>
      <c r="FT2" s="2409"/>
      <c r="FU2" s="2409"/>
      <c r="FV2" s="1599"/>
      <c r="FZ2" s="2409"/>
      <c r="GA2" s="2409"/>
      <c r="GB2" s="1599"/>
      <c r="GD2" s="1599"/>
      <c r="GE2" s="2409" t="s">
        <v>495</v>
      </c>
      <c r="GF2" s="2409"/>
      <c r="GG2" s="2409"/>
      <c r="GH2" s="1599"/>
    </row>
    <row r="3" spans="1:194" ht="17.399999999999999">
      <c r="B3" s="1483"/>
      <c r="C3" s="1483"/>
      <c r="D3" s="1483"/>
      <c r="E3" s="1483"/>
      <c r="F3" s="1483"/>
      <c r="G3" s="1483"/>
      <c r="J3" s="1483" t="s">
        <v>1081</v>
      </c>
      <c r="K3" s="1483"/>
      <c r="L3" s="1483"/>
      <c r="M3" s="1483"/>
      <c r="N3" s="1483"/>
      <c r="Q3" s="1483"/>
      <c r="R3" s="1483"/>
      <c r="T3" s="1483" t="str">
        <f>+J3</f>
        <v>Attachment 7 - Transmission Enhancement Charges Worksheet (TEC) - December 31, 2014</v>
      </c>
      <c r="U3" s="473"/>
      <c r="W3" s="560"/>
      <c r="X3" s="560"/>
      <c r="Z3" s="1483"/>
      <c r="AA3" s="1483"/>
      <c r="AD3" s="1483" t="str">
        <f>+T3</f>
        <v>Attachment 7 - Transmission Enhancement Charges Worksheet (TEC) - December 31, 2014</v>
      </c>
      <c r="AF3" s="560"/>
      <c r="AG3" s="560"/>
      <c r="AI3" s="560"/>
      <c r="AJ3" s="1483"/>
      <c r="AK3" s="560"/>
      <c r="AL3" s="1483"/>
      <c r="AM3" s="1483"/>
      <c r="AP3" s="1483" t="str">
        <f>+AD3</f>
        <v>Attachment 7 - Transmission Enhancement Charges Worksheet (TEC) - December 31, 2014</v>
      </c>
      <c r="AQ3" s="1599"/>
      <c r="AT3" s="1599"/>
      <c r="AV3" s="1483"/>
      <c r="AX3" s="1483"/>
      <c r="AY3" s="1483"/>
      <c r="AZ3" s="1599"/>
      <c r="BA3" s="1599"/>
      <c r="BB3" s="1483" t="str">
        <f>+AP3</f>
        <v>Attachment 7 - Transmission Enhancement Charges Worksheet (TEC) - December 31, 2014</v>
      </c>
      <c r="BC3" s="1599"/>
      <c r="BF3" s="1599"/>
      <c r="BH3" s="1483"/>
      <c r="BJ3" s="2409"/>
      <c r="BK3" s="2409"/>
      <c r="BL3" s="1599"/>
      <c r="BM3" s="1599"/>
      <c r="BN3" s="2409" t="str">
        <f>+BB3</f>
        <v>Attachment 7 - Transmission Enhancement Charges Worksheet (TEC) - December 31, 2014</v>
      </c>
      <c r="BO3" s="1599"/>
      <c r="BR3" s="1599"/>
      <c r="BT3" s="2409"/>
      <c r="BV3" s="2409"/>
      <c r="BW3" s="2409"/>
      <c r="BX3" s="1599"/>
      <c r="BY3" s="1599"/>
      <c r="BZ3" s="2409" t="str">
        <f>+BN3</f>
        <v>Attachment 7 - Transmission Enhancement Charges Worksheet (TEC) - December 31, 2014</v>
      </c>
      <c r="CA3" s="1599"/>
      <c r="CH3" s="1483"/>
      <c r="CI3" s="1483"/>
      <c r="CJ3" s="1483"/>
      <c r="CK3" s="1599"/>
      <c r="CL3" s="1599"/>
      <c r="CM3" s="1483" t="s">
        <v>1081</v>
      </c>
      <c r="CN3" s="1483"/>
      <c r="CO3" s="1483"/>
      <c r="CP3" s="473"/>
      <c r="CQ3" s="1599"/>
      <c r="CT3" s="2409"/>
      <c r="CU3" s="2409"/>
      <c r="CV3" s="2409"/>
      <c r="CW3" s="1599"/>
      <c r="CX3" s="1599"/>
      <c r="CY3" s="2409" t="s">
        <v>1081</v>
      </c>
      <c r="CZ3" s="2409"/>
      <c r="DA3" s="2409"/>
      <c r="DB3" s="473"/>
      <c r="DC3" s="1599"/>
      <c r="DF3" s="2409"/>
      <c r="DG3" s="2409"/>
      <c r="DH3" s="2409"/>
      <c r="DI3" s="1599"/>
      <c r="DJ3" s="1599"/>
      <c r="DK3" s="2409" t="s">
        <v>1081</v>
      </c>
      <c r="DL3" s="2409"/>
      <c r="DM3" s="2409"/>
      <c r="DN3" s="473"/>
      <c r="DO3" s="1599"/>
      <c r="DP3" s="560"/>
      <c r="DQ3" s="560"/>
      <c r="DR3" s="2409"/>
      <c r="DS3" s="2409"/>
      <c r="DT3" s="2409"/>
      <c r="DU3" s="1599"/>
      <c r="DV3" s="1599"/>
      <c r="DW3" s="2409" t="s">
        <v>1081</v>
      </c>
      <c r="DX3" s="2409"/>
      <c r="DY3" s="2409"/>
      <c r="DZ3" s="473"/>
      <c r="EA3" s="1599"/>
      <c r="EB3" s="560"/>
      <c r="EC3" s="560"/>
      <c r="ED3" s="2409"/>
      <c r="EE3" s="2409"/>
      <c r="EF3" s="2409"/>
      <c r="EG3" s="1599"/>
      <c r="EH3" s="1599"/>
      <c r="EI3" s="2409" t="s">
        <v>1081</v>
      </c>
      <c r="EJ3" s="2409"/>
      <c r="EK3" s="2409"/>
      <c r="EL3" s="473"/>
      <c r="EM3" s="1599"/>
      <c r="EP3" s="2409"/>
      <c r="EQ3" s="2409"/>
      <c r="ER3" s="2409"/>
      <c r="ES3" s="1599"/>
      <c r="ET3" s="1599"/>
      <c r="EU3" s="2409" t="s">
        <v>1081</v>
      </c>
      <c r="EV3" s="2409"/>
      <c r="EW3" s="2409"/>
      <c r="EX3" s="473"/>
      <c r="EY3" s="1599"/>
      <c r="FB3" s="2409"/>
      <c r="FC3" s="2409"/>
      <c r="FD3" s="2409"/>
      <c r="FE3" s="1599"/>
      <c r="FF3" s="1599"/>
      <c r="FG3" s="2409" t="s">
        <v>1081</v>
      </c>
      <c r="FH3" s="2409"/>
      <c r="FI3" s="2409"/>
      <c r="FJ3" s="473"/>
      <c r="FK3" s="1599"/>
      <c r="FN3" s="2409"/>
      <c r="FO3" s="2409"/>
      <c r="FP3" s="2409"/>
      <c r="FQ3" s="1599"/>
      <c r="FR3" s="1599"/>
      <c r="FS3" s="2409" t="s">
        <v>1081</v>
      </c>
      <c r="FT3" s="2409"/>
      <c r="FU3" s="2409"/>
      <c r="FV3" s="473"/>
      <c r="FW3" s="1599"/>
      <c r="FZ3" s="2409"/>
      <c r="GA3" s="2409"/>
      <c r="GB3" s="2409"/>
      <c r="GC3" s="1599"/>
      <c r="GD3" s="1599"/>
      <c r="GE3" s="2409" t="s">
        <v>1081</v>
      </c>
      <c r="GF3" s="2409"/>
      <c r="GG3" s="2409"/>
      <c r="GH3" s="473"/>
      <c r="GI3" s="1599"/>
    </row>
    <row r="4" spans="1:194" ht="17.399999999999999">
      <c r="B4" s="1483"/>
      <c r="C4" s="1483"/>
      <c r="D4" s="1483"/>
      <c r="E4" s="1483"/>
      <c r="F4" s="1483"/>
      <c r="G4" s="1483"/>
      <c r="H4" s="1483"/>
      <c r="I4" s="1483"/>
      <c r="J4" s="1483"/>
      <c r="K4" s="1483"/>
      <c r="L4" s="1483"/>
      <c r="M4" s="1483"/>
      <c r="N4" s="1483"/>
      <c r="O4" s="1483"/>
      <c r="P4" s="1483"/>
      <c r="Q4" s="473"/>
      <c r="R4" s="473"/>
      <c r="S4" s="473"/>
      <c r="T4" s="1483"/>
      <c r="U4" s="1483"/>
      <c r="V4" s="1483"/>
      <c r="W4" s="560"/>
      <c r="X4" s="560"/>
      <c r="Y4" s="560"/>
      <c r="Z4" s="473"/>
      <c r="AA4" s="473"/>
      <c r="AB4" s="473"/>
      <c r="AC4" s="1483"/>
      <c r="AD4" s="1483"/>
      <c r="AE4" s="1483"/>
      <c r="AF4" s="560"/>
      <c r="AG4" s="560"/>
      <c r="AH4" s="560"/>
      <c r="AI4" s="560"/>
      <c r="AJ4" s="560"/>
      <c r="AK4" s="560"/>
      <c r="AL4" s="473"/>
      <c r="AM4" s="473"/>
      <c r="AN4" s="473"/>
      <c r="AO4" s="1483"/>
      <c r="AP4" s="1483"/>
      <c r="AQ4" s="1483"/>
      <c r="AX4" s="473"/>
      <c r="AY4" s="473"/>
      <c r="AZ4" s="473"/>
      <c r="BA4" s="1483"/>
      <c r="BB4" s="1483"/>
      <c r="BC4" s="1483"/>
      <c r="BJ4" s="473"/>
      <c r="BK4" s="473"/>
      <c r="BL4" s="473"/>
      <c r="BM4" s="473"/>
      <c r="BN4" s="473"/>
      <c r="BO4" s="473"/>
      <c r="BP4" s="473"/>
      <c r="BQ4" s="473"/>
      <c r="BR4" s="473"/>
      <c r="BS4" s="1483"/>
      <c r="BT4" s="1483"/>
      <c r="BU4" s="1483"/>
      <c r="BV4" s="1483"/>
      <c r="BW4" s="1483"/>
      <c r="BX4" s="1483"/>
      <c r="BY4" s="1483"/>
      <c r="BZ4" s="1483"/>
      <c r="CA4" s="1483"/>
      <c r="CH4" s="473"/>
      <c r="CI4" s="473"/>
      <c r="CJ4" s="473"/>
      <c r="CK4" s="1483"/>
      <c r="CL4" s="1483"/>
      <c r="CM4" s="1483"/>
      <c r="CN4" s="473"/>
      <c r="CO4" s="473"/>
      <c r="CT4" s="473"/>
      <c r="CU4" s="473"/>
      <c r="CV4" s="473"/>
      <c r="CW4" s="2409"/>
      <c r="CX4" s="2409"/>
      <c r="CY4" s="2409"/>
      <c r="CZ4" s="473"/>
      <c r="DA4" s="473"/>
      <c r="DF4" s="473"/>
      <c r="DG4" s="473"/>
      <c r="DH4" s="473"/>
      <c r="DI4" s="2409"/>
      <c r="DJ4" s="2409"/>
      <c r="DK4" s="2409"/>
      <c r="DL4" s="473"/>
      <c r="DM4" s="473"/>
      <c r="DN4" s="560"/>
      <c r="DO4" s="560"/>
      <c r="DP4" s="560"/>
      <c r="DQ4" s="560"/>
      <c r="DR4" s="473"/>
      <c r="DS4" s="473"/>
      <c r="DT4" s="473"/>
      <c r="DU4" s="2409"/>
      <c r="DV4" s="2409"/>
      <c r="DW4" s="2409"/>
      <c r="DX4" s="473"/>
      <c r="DY4" s="473"/>
      <c r="DZ4" s="560"/>
      <c r="EA4" s="560"/>
      <c r="EB4" s="560"/>
      <c r="EC4" s="560"/>
      <c r="ED4" s="473"/>
      <c r="EE4" s="473"/>
      <c r="EF4" s="473"/>
      <c r="EG4" s="2409"/>
      <c r="EH4" s="2409"/>
      <c r="EI4" s="2409"/>
      <c r="EJ4" s="473"/>
      <c r="EK4" s="473"/>
      <c r="EP4" s="473"/>
      <c r="EQ4" s="473"/>
      <c r="ER4" s="473"/>
      <c r="ES4" s="2409"/>
      <c r="ET4" s="2409"/>
      <c r="EU4" s="2409"/>
      <c r="EV4" s="473"/>
      <c r="EW4" s="473"/>
      <c r="FB4" s="473"/>
      <c r="FC4" s="473"/>
      <c r="FD4" s="473"/>
      <c r="FE4" s="2409"/>
      <c r="FF4" s="2409"/>
      <c r="FG4" s="2409"/>
      <c r="FH4" s="473"/>
      <c r="FI4" s="473"/>
      <c r="FN4" s="473"/>
      <c r="FO4" s="473"/>
      <c r="FP4" s="473"/>
      <c r="FQ4" s="2409"/>
      <c r="FR4" s="2409"/>
      <c r="FS4" s="2409"/>
      <c r="FT4" s="473"/>
      <c r="FU4" s="473"/>
      <c r="FZ4" s="473"/>
      <c r="GA4" s="473"/>
      <c r="GB4" s="473"/>
      <c r="GC4" s="2409"/>
      <c r="GD4" s="2409"/>
      <c r="GE4" s="2409"/>
      <c r="GF4" s="473"/>
      <c r="GG4" s="473"/>
    </row>
    <row r="5" spans="1:194" ht="17.399999999999999">
      <c r="A5" s="1412"/>
      <c r="B5" s="2363"/>
      <c r="C5" s="739"/>
      <c r="D5" s="1412"/>
      <c r="E5" s="1412"/>
      <c r="F5" s="739"/>
      <c r="G5" s="739"/>
      <c r="H5" s="739"/>
      <c r="I5" s="739"/>
      <c r="Q5" s="473"/>
      <c r="R5" s="473"/>
      <c r="S5" s="473"/>
      <c r="T5" s="473"/>
      <c r="U5" s="473"/>
      <c r="V5" s="473"/>
      <c r="W5" s="560"/>
      <c r="X5" s="560"/>
      <c r="Y5" s="560"/>
      <c r="Z5" s="473"/>
      <c r="AA5" s="473"/>
      <c r="AB5" s="473"/>
      <c r="AC5" s="473"/>
      <c r="AD5" s="473"/>
      <c r="AE5" s="473"/>
      <c r="AF5" s="560"/>
      <c r="AG5" s="560"/>
      <c r="AH5" s="560"/>
      <c r="AI5" s="560"/>
      <c r="AJ5" s="560"/>
      <c r="AK5" s="560"/>
      <c r="AL5" s="473"/>
      <c r="AM5" s="473"/>
      <c r="AN5" s="473"/>
      <c r="AO5" s="473"/>
      <c r="AP5" s="473"/>
      <c r="AQ5" s="473"/>
      <c r="AX5" s="473"/>
      <c r="AY5" s="473"/>
      <c r="AZ5" s="473"/>
      <c r="BA5" s="473"/>
      <c r="BB5" s="473"/>
      <c r="BC5" s="473"/>
      <c r="BJ5" s="473"/>
      <c r="BK5" s="473"/>
      <c r="BL5" s="473"/>
      <c r="BM5" s="473"/>
      <c r="BN5" s="473"/>
      <c r="BO5" s="473"/>
      <c r="BP5" s="473"/>
      <c r="BQ5" s="473"/>
      <c r="BR5" s="473"/>
      <c r="BS5" s="473"/>
      <c r="BT5" s="473"/>
      <c r="BU5" s="473"/>
      <c r="BV5" s="473"/>
      <c r="BW5" s="473"/>
      <c r="BX5" s="473"/>
      <c r="BY5" s="473"/>
      <c r="BZ5" s="473"/>
      <c r="CA5" s="473"/>
      <c r="CH5" s="473"/>
      <c r="CI5" s="473"/>
      <c r="CJ5" s="473"/>
      <c r="CK5" s="473"/>
      <c r="CL5" s="473"/>
      <c r="CM5" s="473"/>
      <c r="CN5" s="473"/>
      <c r="CO5" s="473"/>
      <c r="CP5" s="473"/>
      <c r="CT5" s="473"/>
      <c r="CU5" s="473"/>
      <c r="CV5" s="473"/>
      <c r="CW5" s="473"/>
      <c r="CX5" s="473"/>
      <c r="CY5" s="473"/>
      <c r="CZ5" s="473"/>
      <c r="DA5" s="473"/>
      <c r="DB5" s="473"/>
      <c r="DF5" s="473"/>
      <c r="DG5" s="473"/>
      <c r="DH5" s="473"/>
      <c r="DI5" s="473"/>
      <c r="DJ5" s="473"/>
      <c r="DK5" s="473"/>
      <c r="DL5" s="473"/>
      <c r="DM5" s="473"/>
      <c r="DN5" s="473"/>
      <c r="DO5" s="560"/>
      <c r="DP5" s="560"/>
      <c r="DQ5" s="560"/>
      <c r="DR5" s="473"/>
      <c r="DS5" s="473"/>
      <c r="DT5" s="473"/>
      <c r="DU5" s="473"/>
      <c r="DV5" s="473"/>
      <c r="DW5" s="473"/>
      <c r="DX5" s="473"/>
      <c r="DY5" s="473"/>
      <c r="DZ5" s="473"/>
      <c r="EA5" s="560"/>
      <c r="EB5" s="560"/>
      <c r="EC5" s="560"/>
      <c r="ED5" s="473"/>
      <c r="EE5" s="473"/>
      <c r="EF5" s="473"/>
      <c r="EG5" s="473"/>
      <c r="EH5" s="473"/>
      <c r="EI5" s="473"/>
      <c r="EJ5" s="473"/>
      <c r="EK5" s="473"/>
      <c r="EL5" s="473"/>
      <c r="EP5" s="473"/>
      <c r="EQ5" s="473"/>
      <c r="ER5" s="473"/>
      <c r="ES5" s="473"/>
      <c r="ET5" s="473"/>
      <c r="EU5" s="473"/>
      <c r="EV5" s="473"/>
      <c r="EW5" s="473"/>
      <c r="EX5" s="473"/>
      <c r="FB5" s="473"/>
      <c r="FC5" s="473"/>
      <c r="FD5" s="473"/>
      <c r="FE5" s="473"/>
      <c r="FF5" s="473"/>
      <c r="FG5" s="473"/>
      <c r="FH5" s="473"/>
      <c r="FI5" s="473"/>
      <c r="FJ5" s="473"/>
      <c r="FN5" s="473"/>
      <c r="FO5" s="473"/>
      <c r="FP5" s="473"/>
      <c r="FQ5" s="473"/>
      <c r="FR5" s="473"/>
      <c r="FS5" s="473"/>
      <c r="FT5" s="473"/>
      <c r="FU5" s="473"/>
      <c r="FV5" s="473"/>
      <c r="FZ5" s="473"/>
      <c r="GA5" s="473"/>
      <c r="GB5" s="473"/>
      <c r="GC5" s="473"/>
      <c r="GD5" s="473"/>
      <c r="GE5" s="473"/>
      <c r="GF5" s="473"/>
      <c r="GG5" s="473"/>
      <c r="GH5" s="473"/>
    </row>
    <row r="6" spans="1:194" ht="30">
      <c r="C6" s="739"/>
      <c r="D6" s="1412"/>
      <c r="E6" s="2650"/>
      <c r="F6" s="2650"/>
      <c r="G6" s="2650"/>
      <c r="H6" s="739"/>
      <c r="I6" s="739"/>
      <c r="L6" s="2368"/>
      <c r="N6" s="451"/>
      <c r="O6" s="451"/>
      <c r="P6" s="451"/>
      <c r="Q6" s="473"/>
      <c r="R6" s="473"/>
      <c r="S6" s="473"/>
      <c r="T6" s="705"/>
      <c r="U6" s="705"/>
      <c r="V6" s="705"/>
      <c r="W6" s="560"/>
      <c r="X6" s="560"/>
      <c r="Y6" s="560"/>
      <c r="Z6" s="473"/>
      <c r="AA6" s="473"/>
      <c r="AB6" s="473"/>
      <c r="AC6" s="705"/>
      <c r="AD6" s="705"/>
      <c r="AE6" s="705"/>
      <c r="AF6" s="560"/>
      <c r="AG6" s="560"/>
      <c r="AH6" s="560"/>
      <c r="AI6" s="560"/>
      <c r="AJ6" s="560"/>
      <c r="AK6" s="560"/>
      <c r="AL6" s="473"/>
      <c r="AM6" s="473"/>
      <c r="AN6" s="473"/>
      <c r="AO6" s="705"/>
      <c r="AP6" s="705"/>
      <c r="AQ6" s="705"/>
      <c r="AX6" s="473"/>
      <c r="AY6" s="473"/>
      <c r="AZ6" s="473"/>
      <c r="BA6" s="705"/>
      <c r="BB6" s="705"/>
      <c r="BC6" s="705"/>
      <c r="BF6" s="2367"/>
      <c r="BJ6" s="473"/>
      <c r="BK6" s="473"/>
      <c r="BL6" s="473"/>
      <c r="BM6" s="473"/>
      <c r="BN6" s="473"/>
      <c r="BO6" s="473"/>
      <c r="BP6" s="473"/>
      <c r="BQ6" s="473"/>
      <c r="BR6" s="473"/>
      <c r="BS6" s="705"/>
      <c r="BT6" s="705"/>
      <c r="BU6" s="705"/>
      <c r="BV6" s="705"/>
      <c r="BW6" s="705"/>
      <c r="BX6" s="705"/>
      <c r="BY6" s="705"/>
      <c r="BZ6" s="705"/>
      <c r="CA6" s="705"/>
      <c r="CH6" s="473"/>
      <c r="CI6" s="473"/>
      <c r="CJ6" s="473"/>
      <c r="CK6" s="705"/>
      <c r="CL6" s="705"/>
      <c r="CM6" s="705"/>
      <c r="CN6" s="473"/>
      <c r="CO6" s="473"/>
      <c r="CP6" s="473"/>
      <c r="CT6" s="473"/>
      <c r="CU6" s="473"/>
      <c r="CV6" s="473"/>
      <c r="CW6" s="705"/>
      <c r="CX6" s="705"/>
      <c r="CY6" s="705"/>
      <c r="CZ6" s="473"/>
      <c r="DA6" s="473"/>
      <c r="DB6" s="473"/>
      <c r="DF6" s="473"/>
      <c r="DG6" s="473"/>
      <c r="DH6" s="473"/>
      <c r="DI6" s="705"/>
      <c r="DJ6" s="705"/>
      <c r="DK6" s="705"/>
      <c r="DL6" s="473"/>
      <c r="DM6" s="473"/>
      <c r="DN6" s="473"/>
      <c r="DO6" s="560"/>
      <c r="DP6" s="560"/>
      <c r="DQ6" s="560"/>
      <c r="DR6" s="473"/>
      <c r="DS6" s="473"/>
      <c r="DT6" s="473"/>
      <c r="DU6" s="705"/>
      <c r="DV6" s="705"/>
      <c r="DW6" s="705"/>
      <c r="DX6" s="473"/>
      <c r="DY6" s="473"/>
      <c r="DZ6" s="473"/>
      <c r="EA6" s="560"/>
      <c r="EB6" s="560"/>
      <c r="EC6" s="560"/>
      <c r="ED6" s="473"/>
      <c r="EE6" s="473"/>
      <c r="EF6" s="473"/>
      <c r="EG6" s="705"/>
      <c r="EH6" s="705"/>
      <c r="EI6" s="705"/>
      <c r="EJ6" s="473"/>
      <c r="EK6" s="473"/>
      <c r="EL6" s="473"/>
      <c r="EP6" s="473"/>
      <c r="EQ6" s="473"/>
      <c r="ER6" s="473"/>
      <c r="ES6" s="705"/>
      <c r="ET6" s="705"/>
      <c r="EU6" s="705"/>
      <c r="EV6" s="473"/>
      <c r="EW6" s="473"/>
      <c r="EX6" s="473"/>
      <c r="FB6" s="473"/>
      <c r="FC6" s="473"/>
      <c r="FD6" s="473"/>
      <c r="FE6" s="705"/>
      <c r="FF6" s="705"/>
      <c r="FG6" s="705"/>
      <c r="FH6" s="473"/>
      <c r="FI6" s="473"/>
      <c r="FJ6" s="473"/>
      <c r="FN6" s="473"/>
      <c r="FO6" s="473"/>
      <c r="FP6" s="473"/>
      <c r="FQ6" s="705"/>
      <c r="FR6" s="705"/>
      <c r="FS6" s="705"/>
      <c r="FT6" s="473"/>
      <c r="FU6" s="473"/>
      <c r="FV6" s="473"/>
      <c r="FZ6" s="473"/>
      <c r="GA6" s="473"/>
      <c r="GB6" s="473"/>
      <c r="GC6" s="705"/>
      <c r="GD6" s="705"/>
      <c r="GE6" s="705"/>
      <c r="GF6" s="473"/>
      <c r="GG6" s="473"/>
      <c r="GH6" s="473"/>
    </row>
    <row r="7" spans="1:194" ht="18">
      <c r="E7" s="2650"/>
      <c r="F7" s="2650"/>
      <c r="G7" s="2650"/>
      <c r="R7" s="473"/>
      <c r="S7" s="473"/>
      <c r="T7" s="705"/>
      <c r="U7" s="705"/>
      <c r="W7" s="560"/>
      <c r="AA7" s="473"/>
      <c r="AB7" s="473"/>
      <c r="AC7" s="705"/>
      <c r="AD7" s="705"/>
      <c r="AF7" s="560"/>
      <c r="AG7" s="560"/>
      <c r="AI7" s="560"/>
      <c r="AM7" s="473"/>
      <c r="AN7" s="473"/>
      <c r="AO7" s="705"/>
      <c r="AP7" s="705"/>
      <c r="AQ7" s="1599"/>
      <c r="AT7" s="1599"/>
      <c r="AX7" s="1599"/>
      <c r="AY7" s="473"/>
      <c r="AZ7" s="473"/>
      <c r="BA7" s="705"/>
      <c r="BB7" s="705"/>
      <c r="BC7" s="1599"/>
      <c r="BF7" s="1599"/>
      <c r="BJ7" s="1599"/>
      <c r="BK7" s="473"/>
      <c r="BL7" s="473"/>
      <c r="BM7" s="473"/>
      <c r="BN7" s="473"/>
      <c r="BO7" s="473"/>
      <c r="BP7" s="473"/>
      <c r="BQ7" s="473"/>
      <c r="BR7" s="473"/>
      <c r="BS7" s="705"/>
      <c r="BT7" s="705"/>
      <c r="BU7" s="1599"/>
      <c r="BV7" s="1599"/>
      <c r="BW7" s="1599"/>
      <c r="BX7" s="1599"/>
      <c r="BY7" s="1599"/>
      <c r="BZ7" s="1599"/>
      <c r="CA7" s="1599"/>
      <c r="CD7" s="1599"/>
      <c r="CH7" s="1599"/>
      <c r="CI7" s="473"/>
      <c r="CJ7" s="473"/>
      <c r="CK7" s="705"/>
      <c r="CL7" s="705"/>
      <c r="CM7" s="1599"/>
      <c r="CN7" s="1599"/>
      <c r="CO7" s="473"/>
      <c r="CP7" s="473"/>
      <c r="CS7" s="1599"/>
      <c r="CT7" s="1599"/>
      <c r="CU7" s="473"/>
      <c r="CV7" s="473"/>
      <c r="CW7" s="705"/>
      <c r="CX7" s="705"/>
      <c r="CY7" s="1599"/>
      <c r="CZ7" s="1599"/>
      <c r="DA7" s="473"/>
      <c r="DB7" s="473"/>
      <c r="DE7" s="1599"/>
      <c r="DF7" s="1599"/>
      <c r="DG7" s="473"/>
      <c r="DH7" s="473"/>
      <c r="DI7" s="705"/>
      <c r="DJ7" s="705"/>
      <c r="DK7" s="1599"/>
      <c r="DL7" s="1599"/>
      <c r="DM7" s="473"/>
      <c r="DN7" s="473"/>
      <c r="DO7" s="560"/>
      <c r="DP7" s="560"/>
      <c r="DQ7" s="1599"/>
      <c r="DR7" s="1599"/>
      <c r="DS7" s="473"/>
      <c r="DT7" s="473"/>
      <c r="DU7" s="705"/>
      <c r="DV7" s="705"/>
      <c r="DW7" s="1599"/>
      <c r="DX7" s="1599"/>
      <c r="DY7" s="473"/>
      <c r="DZ7" s="473"/>
      <c r="EA7" s="560"/>
      <c r="EB7" s="560"/>
      <c r="EC7" s="1599"/>
      <c r="ED7" s="1599"/>
      <c r="EE7" s="473"/>
      <c r="EF7" s="473"/>
      <c r="EG7" s="705"/>
      <c r="EH7" s="705"/>
      <c r="EI7" s="1599"/>
      <c r="EJ7" s="1599"/>
      <c r="EK7" s="473"/>
      <c r="EL7" s="473"/>
      <c r="EO7" s="1599"/>
      <c r="EP7" s="1599"/>
      <c r="EQ7" s="473"/>
      <c r="ER7" s="473"/>
      <c r="ES7" s="705"/>
      <c r="ET7" s="705"/>
      <c r="EU7" s="1599"/>
      <c r="EV7" s="1599"/>
      <c r="EW7" s="473"/>
      <c r="EX7" s="473"/>
      <c r="FA7" s="1599"/>
      <c r="FB7" s="1599"/>
      <c r="FC7" s="473"/>
      <c r="FD7" s="473"/>
      <c r="FE7" s="705"/>
      <c r="FF7" s="705"/>
      <c r="FG7" s="1599"/>
      <c r="FH7" s="1599"/>
      <c r="FI7" s="473"/>
      <c r="FJ7" s="473"/>
      <c r="FM7" s="1599"/>
      <c r="FN7" s="1599"/>
      <c r="FO7" s="473"/>
      <c r="FP7" s="473"/>
      <c r="FQ7" s="705"/>
      <c r="FR7" s="705"/>
      <c r="FS7" s="1599"/>
      <c r="FT7" s="1599"/>
      <c r="FU7" s="473"/>
      <c r="FV7" s="473"/>
      <c r="FY7" s="1599"/>
      <c r="FZ7" s="1599"/>
      <c r="GA7" s="473"/>
      <c r="GB7" s="473"/>
      <c r="GC7" s="705"/>
      <c r="GD7" s="705"/>
      <c r="GE7" s="1599"/>
      <c r="GF7" s="1599"/>
      <c r="GG7" s="473"/>
      <c r="GH7" s="473"/>
      <c r="GK7" s="1599"/>
    </row>
    <row r="8" spans="1:194" ht="18">
      <c r="A8" s="697">
        <v>1</v>
      </c>
      <c r="B8" s="1429"/>
      <c r="C8" s="739" t="s">
        <v>674</v>
      </c>
      <c r="D8" s="1412"/>
      <c r="E8" s="2650"/>
      <c r="F8" s="2650"/>
      <c r="G8" s="2650"/>
      <c r="H8" s="739"/>
      <c r="I8" s="739"/>
      <c r="J8" s="473"/>
      <c r="K8" s="473"/>
      <c r="L8" s="30"/>
      <c r="M8" s="30"/>
      <c r="N8" s="739"/>
      <c r="O8" s="1412"/>
      <c r="P8" s="1132" t="s">
        <v>1099</v>
      </c>
      <c r="Q8" s="739"/>
      <c r="R8" s="739"/>
      <c r="S8" s="739"/>
      <c r="T8" s="739"/>
      <c r="U8" s="739"/>
      <c r="V8" s="739"/>
      <c r="W8" s="739"/>
      <c r="X8" s="473"/>
      <c r="Y8" s="1133" t="s">
        <v>1098</v>
      </c>
      <c r="Z8" s="739"/>
      <c r="AA8" s="739"/>
      <c r="AB8" s="739"/>
      <c r="AC8" s="739"/>
      <c r="AD8" s="739"/>
      <c r="AE8" s="739"/>
      <c r="AF8" s="739"/>
      <c r="AG8" s="473"/>
      <c r="AH8" s="695"/>
      <c r="AI8" s="1412"/>
      <c r="AJ8" s="739"/>
      <c r="AK8" s="1133" t="s">
        <v>1097</v>
      </c>
      <c r="AL8" s="739"/>
      <c r="AM8" s="739"/>
      <c r="AN8" s="739"/>
      <c r="AO8" s="739"/>
      <c r="AP8" s="739"/>
      <c r="AQ8" s="739"/>
      <c r="AR8" s="739"/>
      <c r="AS8" s="473"/>
      <c r="AT8" s="695"/>
      <c r="AU8" s="1412"/>
      <c r="AV8" s="739"/>
      <c r="AW8" s="1133" t="s">
        <v>1096</v>
      </c>
      <c r="AX8" s="739"/>
      <c r="AY8" s="739"/>
      <c r="AZ8" s="739"/>
      <c r="BA8" s="739"/>
      <c r="BB8" s="739"/>
      <c r="BC8" s="739"/>
      <c r="BD8" s="739"/>
      <c r="BE8" s="473"/>
      <c r="BF8" s="695"/>
      <c r="BG8" s="1412"/>
      <c r="BI8" s="1133" t="s">
        <v>1095</v>
      </c>
      <c r="BJ8" s="739"/>
      <c r="BK8" s="739"/>
      <c r="BL8" s="739"/>
      <c r="BM8" s="739"/>
      <c r="BN8" s="739"/>
      <c r="BO8" s="739"/>
      <c r="BP8" s="739"/>
      <c r="BQ8" s="739"/>
      <c r="BR8" s="739"/>
      <c r="BS8" s="739"/>
      <c r="BU8" s="1133" t="s">
        <v>1094</v>
      </c>
      <c r="BV8" s="739"/>
      <c r="BW8" s="739"/>
      <c r="BX8" s="739"/>
      <c r="BY8" s="739"/>
      <c r="BZ8" s="739"/>
      <c r="CA8" s="739"/>
      <c r="CB8" s="739"/>
      <c r="CC8" s="473"/>
      <c r="CD8" s="695"/>
      <c r="CE8" s="1412"/>
      <c r="CF8" s="739"/>
      <c r="CG8" s="1133" t="s">
        <v>1093</v>
      </c>
      <c r="CH8" s="739"/>
      <c r="CI8" s="739"/>
      <c r="CJ8" s="739"/>
      <c r="CK8" s="739"/>
      <c r="CL8" s="739"/>
      <c r="CM8" s="739"/>
      <c r="CN8" s="739"/>
      <c r="CO8" s="739"/>
      <c r="CP8" s="739"/>
      <c r="CQ8" s="739"/>
      <c r="CS8" s="1133" t="s">
        <v>1092</v>
      </c>
      <c r="CT8" s="739"/>
      <c r="CU8" s="739"/>
      <c r="CV8" s="739"/>
      <c r="CW8" s="739"/>
      <c r="CX8" s="739"/>
      <c r="CY8" s="739"/>
      <c r="CZ8" s="739"/>
      <c r="DA8" s="739"/>
      <c r="DB8" s="739"/>
      <c r="DC8" s="739"/>
      <c r="DE8" s="1133" t="s">
        <v>1091</v>
      </c>
      <c r="DF8" s="739"/>
      <c r="DG8" s="739"/>
      <c r="DH8" s="739"/>
      <c r="DI8" s="739"/>
      <c r="DJ8" s="739"/>
      <c r="DK8" s="739"/>
      <c r="DL8" s="739"/>
      <c r="DM8" s="739"/>
      <c r="DN8" s="739"/>
      <c r="DO8" s="739"/>
      <c r="DQ8" s="1133" t="s">
        <v>1090</v>
      </c>
      <c r="DR8" s="739"/>
      <c r="DS8" s="739"/>
      <c r="DT8" s="739"/>
      <c r="DU8" s="739"/>
      <c r="DV8" s="739"/>
      <c r="DW8" s="739"/>
      <c r="DX8" s="739"/>
      <c r="DY8" s="739"/>
      <c r="DZ8" s="739"/>
      <c r="EA8" s="739"/>
      <c r="EC8" s="1133" t="s">
        <v>1089</v>
      </c>
      <c r="ED8" s="739"/>
      <c r="EE8" s="739"/>
      <c r="EF8" s="739"/>
      <c r="EG8" s="739"/>
      <c r="EH8" s="739"/>
      <c r="EI8" s="739"/>
      <c r="EJ8" s="739"/>
      <c r="EK8" s="739"/>
      <c r="EL8" s="739"/>
      <c r="EM8" s="739"/>
      <c r="EO8" s="1133" t="s">
        <v>1088</v>
      </c>
      <c r="EP8" s="739"/>
      <c r="EQ8" s="739"/>
      <c r="ER8" s="739"/>
      <c r="ES8" s="739"/>
      <c r="ET8" s="739"/>
      <c r="EU8" s="739"/>
      <c r="EV8" s="739"/>
      <c r="EW8" s="739"/>
      <c r="EX8" s="739"/>
      <c r="EY8" s="739"/>
      <c r="FA8" s="1133" t="s">
        <v>1087</v>
      </c>
      <c r="FB8" s="739"/>
      <c r="FC8" s="739"/>
      <c r="FD8" s="739"/>
      <c r="FE8" s="739"/>
      <c r="FF8" s="739"/>
      <c r="FG8" s="739"/>
      <c r="FH8" s="739"/>
      <c r="FI8" s="739"/>
      <c r="FJ8" s="739"/>
      <c r="FK8" s="739"/>
      <c r="FM8" s="1133" t="s">
        <v>1086</v>
      </c>
      <c r="FN8" s="739"/>
      <c r="FO8" s="739"/>
      <c r="FP8" s="739"/>
      <c r="FQ8" s="739"/>
      <c r="FR8" s="739"/>
      <c r="FS8" s="739"/>
      <c r="FT8" s="739"/>
      <c r="FU8" s="739"/>
      <c r="FV8" s="739"/>
      <c r="FW8" s="739"/>
      <c r="FY8" s="1133" t="s">
        <v>1085</v>
      </c>
      <c r="FZ8" s="739"/>
      <c r="GA8" s="739"/>
      <c r="GB8" s="739"/>
      <c r="GC8" s="739"/>
      <c r="GD8" s="739"/>
      <c r="GE8" s="739"/>
      <c r="GF8" s="739"/>
      <c r="GG8" s="739"/>
      <c r="GH8" s="739"/>
      <c r="GI8" s="739"/>
      <c r="GL8" s="1133" t="s">
        <v>1084</v>
      </c>
    </row>
    <row r="9" spans="1:194" ht="17.399999999999999">
      <c r="A9" s="697"/>
      <c r="B9" s="1429"/>
      <c r="C9" s="739"/>
      <c r="D9" s="1412"/>
      <c r="E9" s="1412"/>
      <c r="F9" s="739"/>
      <c r="G9" s="739"/>
      <c r="H9" s="739"/>
      <c r="I9" s="739"/>
      <c r="J9" s="473"/>
      <c r="K9" s="473"/>
      <c r="L9" s="30"/>
      <c r="M9" s="30"/>
      <c r="N9" s="739"/>
      <c r="O9" s="1412"/>
      <c r="P9" s="1412"/>
      <c r="Q9" s="739"/>
      <c r="R9" s="739"/>
      <c r="S9" s="739"/>
      <c r="T9" s="739"/>
      <c r="U9" s="739"/>
      <c r="V9" s="739"/>
      <c r="W9" s="739"/>
      <c r="X9" s="473"/>
      <c r="Y9" s="695"/>
      <c r="Z9" s="739"/>
      <c r="AA9" s="739"/>
      <c r="AB9" s="739"/>
      <c r="AC9" s="739"/>
      <c r="AD9" s="739"/>
      <c r="AE9" s="739"/>
      <c r="AF9" s="739"/>
      <c r="AG9" s="473"/>
      <c r="AH9" s="695"/>
      <c r="AI9" s="1412"/>
      <c r="AJ9" s="739"/>
      <c r="AK9" s="739"/>
      <c r="AL9" s="739"/>
      <c r="AM9" s="739"/>
      <c r="AN9" s="739"/>
      <c r="AO9" s="739"/>
      <c r="AP9" s="739"/>
      <c r="AQ9" s="739"/>
      <c r="AR9" s="739"/>
      <c r="AS9" s="473"/>
      <c r="AT9" s="695"/>
      <c r="AU9" s="1412"/>
      <c r="AV9" s="739"/>
      <c r="AW9" s="739"/>
      <c r="AX9" s="739"/>
      <c r="AY9" s="739"/>
      <c r="AZ9" s="739"/>
      <c r="BA9" s="739"/>
      <c r="BB9" s="739"/>
      <c r="BC9" s="739"/>
      <c r="BD9" s="739"/>
      <c r="BE9" s="473"/>
      <c r="BF9" s="695"/>
      <c r="BG9" s="1412"/>
      <c r="BH9" s="739"/>
      <c r="BI9" s="739"/>
      <c r="BJ9" s="739"/>
      <c r="BK9" s="739"/>
      <c r="BL9" s="739"/>
      <c r="BM9" s="739"/>
      <c r="BN9" s="739"/>
      <c r="BO9" s="739"/>
      <c r="BP9" s="739"/>
      <c r="BQ9" s="739"/>
      <c r="BR9" s="739"/>
      <c r="BS9" s="739"/>
      <c r="BT9" s="739"/>
      <c r="BU9" s="739"/>
      <c r="BV9" s="739"/>
      <c r="BW9" s="739"/>
      <c r="BX9" s="739"/>
      <c r="BY9" s="739"/>
      <c r="BZ9" s="739"/>
      <c r="CA9" s="739"/>
      <c r="CB9" s="739"/>
      <c r="CC9" s="739"/>
      <c r="CD9" s="739"/>
      <c r="CE9" s="739"/>
      <c r="CF9" s="473"/>
      <c r="CG9" s="739"/>
      <c r="CH9" s="739"/>
      <c r="CI9" s="739"/>
      <c r="CJ9" s="739"/>
      <c r="CK9" s="739"/>
      <c r="CL9" s="739"/>
      <c r="CM9" s="739"/>
      <c r="CN9" s="739"/>
      <c r="CO9" s="739"/>
      <c r="CP9" s="739"/>
      <c r="CQ9" s="739"/>
      <c r="CR9" s="473"/>
      <c r="CS9" s="695"/>
      <c r="CT9" s="739"/>
      <c r="CU9" s="739"/>
      <c r="CV9" s="739"/>
      <c r="CW9" s="739"/>
      <c r="CX9" s="739"/>
      <c r="CY9" s="739"/>
      <c r="CZ9" s="739"/>
      <c r="DA9" s="739"/>
      <c r="DB9" s="739"/>
      <c r="DC9" s="739"/>
      <c r="DD9" s="473"/>
      <c r="DE9" s="695"/>
      <c r="DF9" s="739"/>
      <c r="DG9" s="739"/>
      <c r="DH9" s="739"/>
      <c r="DI9" s="739"/>
      <c r="DJ9" s="739"/>
      <c r="DK9" s="739"/>
      <c r="DL9" s="739"/>
      <c r="DM9" s="739"/>
      <c r="DN9" s="739"/>
      <c r="DO9" s="739"/>
      <c r="DP9" s="473"/>
      <c r="DQ9" s="695"/>
      <c r="DR9" s="739"/>
      <c r="DS9" s="739"/>
      <c r="DT9" s="739"/>
      <c r="DU9" s="739"/>
      <c r="DV9" s="739"/>
      <c r="DW9" s="739"/>
      <c r="DX9" s="739"/>
      <c r="DY9" s="739"/>
      <c r="DZ9" s="739"/>
      <c r="EA9" s="739"/>
      <c r="EB9" s="473"/>
      <c r="EC9" s="695"/>
      <c r="ED9" s="739"/>
      <c r="EE9" s="739"/>
      <c r="EF9" s="739"/>
      <c r="EG9" s="739"/>
      <c r="EH9" s="739"/>
      <c r="EI9" s="739"/>
      <c r="EJ9" s="739"/>
      <c r="EK9" s="739"/>
      <c r="EL9" s="739"/>
      <c r="EM9" s="739"/>
      <c r="EN9" s="473"/>
      <c r="EO9" s="695"/>
      <c r="EP9" s="739"/>
      <c r="EQ9" s="739"/>
      <c r="ER9" s="739"/>
      <c r="ES9" s="739"/>
      <c r="ET9" s="739"/>
      <c r="EU9" s="739"/>
      <c r="EV9" s="739"/>
      <c r="EW9" s="739"/>
      <c r="EX9" s="739"/>
      <c r="EY9" s="739"/>
      <c r="EZ9" s="473"/>
      <c r="FA9" s="695"/>
      <c r="FB9" s="739"/>
      <c r="FC9" s="739"/>
      <c r="FD9" s="739"/>
      <c r="FE9" s="739"/>
      <c r="FF9" s="739"/>
      <c r="FG9" s="739"/>
      <c r="FH9" s="739"/>
      <c r="FI9" s="739"/>
      <c r="FJ9" s="739"/>
      <c r="FK9" s="739"/>
      <c r="FL9" s="473"/>
      <c r="FM9" s="695"/>
      <c r="FN9" s="739"/>
      <c r="FO9" s="739"/>
      <c r="FP9" s="739"/>
      <c r="FQ9" s="739"/>
      <c r="FR9" s="739"/>
      <c r="FS9" s="739"/>
      <c r="FT9" s="739"/>
      <c r="FU9" s="739"/>
      <c r="FV9" s="739"/>
      <c r="FW9" s="739"/>
      <c r="FX9" s="473"/>
      <c r="FY9" s="695"/>
      <c r="FZ9" s="739"/>
      <c r="GA9" s="739"/>
      <c r="GB9" s="739"/>
      <c r="GC9" s="739"/>
      <c r="GD9" s="739"/>
      <c r="GE9" s="739"/>
      <c r="GF9" s="739"/>
      <c r="GG9" s="739"/>
      <c r="GH9" s="739"/>
      <c r="GI9" s="739"/>
      <c r="GJ9" s="473"/>
      <c r="GK9" s="695"/>
    </row>
    <row r="10" spans="1:194" ht="17.399999999999999">
      <c r="A10" s="697">
        <v>2</v>
      </c>
      <c r="B10" s="1429"/>
      <c r="C10" s="2364" t="s">
        <v>854</v>
      </c>
      <c r="D10" s="1412"/>
      <c r="E10" s="1412"/>
      <c r="F10" s="739"/>
      <c r="G10" s="739"/>
      <c r="H10" s="739"/>
      <c r="I10" s="739"/>
      <c r="J10" s="473"/>
      <c r="K10" s="473"/>
      <c r="L10" s="30"/>
      <c r="M10" s="30"/>
      <c r="N10" s="2364"/>
      <c r="O10" s="1412"/>
      <c r="P10" s="1412"/>
      <c r="Q10" s="739"/>
      <c r="R10" s="739"/>
      <c r="S10" s="739"/>
      <c r="T10" s="739"/>
      <c r="U10" s="739"/>
      <c r="V10" s="739"/>
      <c r="W10" s="2364"/>
      <c r="X10" s="1412"/>
      <c r="Y10" s="1412"/>
      <c r="Z10" s="739"/>
      <c r="AA10" s="739"/>
      <c r="AB10" s="739"/>
      <c r="AC10" s="739"/>
      <c r="AD10" s="739"/>
      <c r="AE10" s="739"/>
      <c r="AF10" s="2364"/>
      <c r="AG10" s="1412"/>
      <c r="AH10" s="1412"/>
      <c r="AI10" s="739"/>
      <c r="AJ10" s="739"/>
      <c r="AK10" s="739"/>
      <c r="AL10" s="739"/>
      <c r="AM10" s="739"/>
      <c r="AN10" s="739"/>
      <c r="AO10" s="739"/>
      <c r="AP10" s="739"/>
      <c r="AQ10" s="739"/>
      <c r="AR10" s="2364"/>
      <c r="AS10" s="1412"/>
      <c r="AT10" s="1412"/>
      <c r="AU10" s="739"/>
      <c r="AV10" s="739"/>
      <c r="AW10" s="739"/>
      <c r="AX10" s="739"/>
      <c r="AY10" s="739"/>
      <c r="AZ10" s="739"/>
      <c r="BA10" s="739"/>
      <c r="BB10" s="739"/>
      <c r="BC10" s="739"/>
      <c r="BD10" s="2364"/>
      <c r="BE10" s="1412"/>
      <c r="BF10" s="1412"/>
      <c r="BG10" s="739"/>
      <c r="BH10" s="739"/>
      <c r="BI10" s="739"/>
      <c r="BJ10" s="739"/>
      <c r="BK10" s="739"/>
      <c r="BL10" s="739"/>
      <c r="BM10" s="739"/>
      <c r="BN10" s="739"/>
      <c r="BO10" s="739"/>
      <c r="BP10" s="739"/>
      <c r="BQ10" s="739"/>
      <c r="BR10" s="739"/>
      <c r="BS10" s="705"/>
      <c r="BT10" s="739"/>
      <c r="BU10" s="739"/>
      <c r="BV10" s="739"/>
      <c r="BW10" s="739"/>
      <c r="BX10" s="739"/>
      <c r="BY10" s="739"/>
      <c r="BZ10" s="739"/>
      <c r="CA10" s="739"/>
      <c r="CB10" s="739"/>
      <c r="CC10" s="739"/>
      <c r="CD10" s="739"/>
      <c r="CE10" s="2364"/>
      <c r="CF10" s="1412"/>
      <c r="CG10" s="739"/>
      <c r="CH10" s="739"/>
      <c r="CI10" s="739"/>
      <c r="CJ10" s="739"/>
      <c r="CK10" s="739"/>
      <c r="CL10" s="739"/>
      <c r="CM10" s="739"/>
      <c r="CN10" s="739"/>
      <c r="CO10" s="739"/>
      <c r="CP10" s="739"/>
      <c r="CQ10" s="2364"/>
      <c r="CR10" s="1412"/>
      <c r="CS10" s="1412"/>
      <c r="CT10" s="739"/>
      <c r="CU10" s="739"/>
      <c r="CV10" s="739"/>
      <c r="CW10" s="739"/>
      <c r="CX10" s="739"/>
      <c r="CY10" s="739"/>
      <c r="CZ10" s="739"/>
      <c r="DA10" s="739"/>
      <c r="DB10" s="739"/>
      <c r="DC10" s="2364"/>
      <c r="DD10" s="1412"/>
      <c r="DE10" s="1412"/>
      <c r="DF10" s="739"/>
      <c r="DG10" s="739"/>
      <c r="DH10" s="739"/>
      <c r="DI10" s="739"/>
      <c r="DJ10" s="739"/>
      <c r="DK10" s="739"/>
      <c r="DL10" s="739"/>
      <c r="DM10" s="739"/>
      <c r="DN10" s="739"/>
      <c r="DO10" s="2364"/>
      <c r="DP10" s="1412"/>
      <c r="DQ10" s="1412"/>
      <c r="DR10" s="739"/>
      <c r="DS10" s="739"/>
      <c r="DT10" s="739"/>
      <c r="DU10" s="739"/>
      <c r="DV10" s="739"/>
      <c r="DW10" s="739"/>
      <c r="DX10" s="739"/>
      <c r="DY10" s="739"/>
      <c r="DZ10" s="739"/>
      <c r="EA10" s="2364"/>
      <c r="EB10" s="1412"/>
      <c r="EC10" s="1412"/>
      <c r="ED10" s="739"/>
      <c r="EE10" s="739"/>
      <c r="EF10" s="739"/>
      <c r="EG10" s="739"/>
      <c r="EH10" s="739"/>
      <c r="EI10" s="739"/>
      <c r="EJ10" s="739"/>
      <c r="EK10" s="739"/>
      <c r="EL10" s="739"/>
      <c r="EM10" s="2364"/>
      <c r="EN10" s="1412"/>
      <c r="EO10" s="1412"/>
      <c r="EP10" s="739"/>
      <c r="EQ10" s="739"/>
      <c r="ER10" s="739"/>
      <c r="ES10" s="739"/>
      <c r="ET10" s="739"/>
      <c r="EU10" s="739"/>
      <c r="EV10" s="739"/>
      <c r="EW10" s="739"/>
      <c r="EX10" s="739"/>
      <c r="EY10" s="2364"/>
      <c r="EZ10" s="1412"/>
      <c r="FA10" s="1412"/>
      <c r="FB10" s="739"/>
      <c r="FC10" s="739"/>
      <c r="FD10" s="739"/>
      <c r="FE10" s="739"/>
      <c r="FF10" s="739"/>
      <c r="FG10" s="739"/>
      <c r="FH10" s="739"/>
      <c r="FI10" s="739"/>
      <c r="FJ10" s="739"/>
      <c r="FK10" s="2364"/>
      <c r="FL10" s="1412"/>
      <c r="FM10" s="1412"/>
      <c r="FN10" s="739"/>
      <c r="FO10" s="739"/>
      <c r="FP10" s="739"/>
      <c r="FQ10" s="739"/>
      <c r="FR10" s="739"/>
      <c r="FS10" s="739"/>
      <c r="FT10" s="739"/>
      <c r="FU10" s="739"/>
      <c r="FV10" s="739"/>
      <c r="FW10" s="2364"/>
      <c r="FX10" s="1412"/>
      <c r="FY10" s="1412"/>
      <c r="FZ10" s="739"/>
      <c r="GA10" s="739"/>
      <c r="GB10" s="739"/>
      <c r="GC10" s="739"/>
      <c r="GD10" s="739"/>
      <c r="GE10" s="739"/>
      <c r="GF10" s="739"/>
      <c r="GG10" s="739"/>
      <c r="GH10" s="739"/>
      <c r="GI10" s="2364"/>
      <c r="GJ10" s="1412"/>
      <c r="GK10" s="1412"/>
    </row>
    <row r="11" spans="1:194" ht="17.399999999999999">
      <c r="A11" s="697"/>
      <c r="B11" s="1429"/>
      <c r="C11" s="2364" t="s">
        <v>855</v>
      </c>
      <c r="D11" s="1412"/>
      <c r="E11" s="1412"/>
      <c r="F11" s="739"/>
      <c r="G11" s="739"/>
      <c r="H11" s="739"/>
      <c r="I11" s="739"/>
      <c r="J11" s="473"/>
      <c r="K11" s="473"/>
      <c r="L11" s="30"/>
      <c r="M11" s="30"/>
      <c r="N11" s="2364"/>
      <c r="O11" s="1412"/>
      <c r="P11" s="1412"/>
      <c r="Q11" s="739"/>
      <c r="R11" s="739"/>
      <c r="S11" s="739"/>
      <c r="T11" s="739"/>
      <c r="U11" s="739"/>
      <c r="V11" s="739"/>
      <c r="W11" s="2364"/>
      <c r="X11" s="1412"/>
      <c r="Y11" s="1412"/>
      <c r="Z11" s="739"/>
      <c r="AA11" s="739"/>
      <c r="AB11" s="739"/>
      <c r="AC11" s="739"/>
      <c r="AD11" s="739"/>
      <c r="AE11" s="739"/>
      <c r="AF11" s="2364"/>
      <c r="AG11" s="1412"/>
      <c r="AH11" s="1412"/>
      <c r="AI11" s="739"/>
      <c r="AJ11" s="739"/>
      <c r="AK11" s="739"/>
      <c r="AL11" s="739"/>
      <c r="AM11" s="739"/>
      <c r="AN11" s="739"/>
      <c r="AO11" s="739"/>
      <c r="AP11" s="739"/>
      <c r="AQ11" s="739"/>
      <c r="AR11" s="2364"/>
      <c r="AS11" s="1412"/>
      <c r="AT11" s="1412"/>
      <c r="AU11" s="739"/>
      <c r="AV11" s="739"/>
      <c r="AW11" s="739"/>
      <c r="AX11" s="739"/>
      <c r="AY11" s="739"/>
      <c r="AZ11" s="739"/>
      <c r="BA11" s="739"/>
      <c r="BB11" s="739"/>
      <c r="BC11" s="739"/>
      <c r="BD11" s="2364"/>
      <c r="BE11" s="1412"/>
      <c r="BF11" s="1412"/>
      <c r="BG11" s="739"/>
      <c r="BH11" s="739"/>
      <c r="BI11" s="739"/>
      <c r="BJ11" s="739"/>
      <c r="BK11" s="739"/>
      <c r="BL11" s="739"/>
      <c r="BM11" s="739"/>
      <c r="BN11" s="739"/>
      <c r="BO11" s="739"/>
      <c r="BP11" s="739"/>
      <c r="BQ11" s="739"/>
      <c r="BR11" s="739"/>
      <c r="BS11" s="705"/>
      <c r="BT11" s="739"/>
      <c r="BU11" s="739"/>
      <c r="BV11" s="739"/>
      <c r="BW11" s="739"/>
      <c r="BX11" s="739"/>
      <c r="BY11" s="739"/>
      <c r="BZ11" s="739"/>
      <c r="CA11" s="739"/>
      <c r="CB11" s="739"/>
      <c r="CC11" s="739"/>
      <c r="CD11" s="739"/>
      <c r="CE11" s="2364"/>
      <c r="CF11" s="1412"/>
      <c r="CG11" s="739"/>
      <c r="CH11" s="739"/>
      <c r="CI11" s="739"/>
      <c r="CJ11" s="739"/>
      <c r="CK11" s="739"/>
      <c r="CL11" s="739"/>
      <c r="CM11" s="739"/>
      <c r="CN11" s="739"/>
      <c r="CO11" s="739"/>
      <c r="CP11" s="739"/>
      <c r="CQ11" s="2364"/>
      <c r="CR11" s="1412"/>
      <c r="CS11" s="1412"/>
      <c r="CT11" s="739"/>
      <c r="CU11" s="739"/>
      <c r="CV11" s="739"/>
      <c r="CW11" s="739"/>
      <c r="CX11" s="739"/>
      <c r="CY11" s="739"/>
      <c r="CZ11" s="739"/>
      <c r="DA11" s="739"/>
      <c r="DB11" s="739"/>
      <c r="DC11" s="2364"/>
      <c r="DD11" s="1412"/>
      <c r="DE11" s="1412"/>
      <c r="DF11" s="739"/>
      <c r="DG11" s="739"/>
      <c r="DH11" s="739"/>
      <c r="DI11" s="739"/>
      <c r="DJ11" s="739"/>
      <c r="DK11" s="739"/>
      <c r="DL11" s="739"/>
      <c r="DM11" s="739"/>
      <c r="DN11" s="739"/>
      <c r="DO11" s="2364"/>
      <c r="DP11" s="1412"/>
      <c r="DQ11" s="1412"/>
      <c r="DR11" s="739"/>
      <c r="DS11" s="739"/>
      <c r="DT11" s="739"/>
      <c r="DU11" s="739"/>
      <c r="DV11" s="739"/>
      <c r="DW11" s="739"/>
      <c r="DX11" s="739"/>
      <c r="DY11" s="739"/>
      <c r="DZ11" s="739"/>
      <c r="EA11" s="2364"/>
      <c r="EB11" s="1412"/>
      <c r="EC11" s="1412"/>
      <c r="ED11" s="739"/>
      <c r="EE11" s="739"/>
      <c r="EF11" s="739"/>
      <c r="EG11" s="739"/>
      <c r="EH11" s="739"/>
      <c r="EI11" s="739"/>
      <c r="EJ11" s="739"/>
      <c r="EK11" s="739"/>
      <c r="EL11" s="739"/>
      <c r="EM11" s="2364"/>
      <c r="EN11" s="1412"/>
      <c r="EO11" s="1412"/>
      <c r="EP11" s="739"/>
      <c r="EQ11" s="739"/>
      <c r="ER11" s="739"/>
      <c r="ES11" s="739"/>
      <c r="ET11" s="739"/>
      <c r="EU11" s="739"/>
      <c r="EV11" s="739"/>
      <c r="EW11" s="739"/>
      <c r="EX11" s="739"/>
      <c r="EY11" s="2364"/>
      <c r="EZ11" s="1412"/>
      <c r="FA11" s="1412"/>
      <c r="FB11" s="739"/>
      <c r="FC11" s="739"/>
      <c r="FD11" s="739"/>
      <c r="FE11" s="739"/>
      <c r="FF11" s="739"/>
      <c r="FG11" s="739"/>
      <c r="FH11" s="739"/>
      <c r="FI11" s="739"/>
      <c r="FJ11" s="739"/>
      <c r="FK11" s="2364"/>
      <c r="FL11" s="1412"/>
      <c r="FM11" s="1412"/>
      <c r="FN11" s="739"/>
      <c r="FO11" s="739"/>
      <c r="FP11" s="739"/>
      <c r="FQ11" s="739"/>
      <c r="FR11" s="739"/>
      <c r="FS11" s="739"/>
      <c r="FT11" s="739"/>
      <c r="FU11" s="739"/>
      <c r="FV11" s="739"/>
      <c r="FW11" s="2364"/>
      <c r="FX11" s="1412"/>
      <c r="FY11" s="1412"/>
      <c r="FZ11" s="739"/>
      <c r="GA11" s="739"/>
      <c r="GB11" s="739"/>
      <c r="GC11" s="739"/>
      <c r="GD11" s="739"/>
      <c r="GE11" s="739"/>
      <c r="GF11" s="739"/>
      <c r="GG11" s="739"/>
      <c r="GH11" s="739"/>
      <c r="GI11" s="2364"/>
      <c r="GJ11" s="1412"/>
      <c r="GK11" s="1412"/>
    </row>
    <row r="12" spans="1:194" ht="17.399999999999999">
      <c r="A12" s="697"/>
      <c r="B12" s="1429"/>
      <c r="C12" s="2364"/>
      <c r="D12" s="1412" t="s">
        <v>673</v>
      </c>
      <c r="E12" s="1412"/>
      <c r="F12" s="739"/>
      <c r="G12" s="739"/>
      <c r="H12" s="739"/>
      <c r="I12" s="739"/>
      <c r="J12" s="473"/>
      <c r="K12" s="473"/>
      <c r="L12" s="30"/>
      <c r="M12" s="471"/>
      <c r="N12" s="2364"/>
      <c r="O12" s="1412"/>
      <c r="P12" s="1412"/>
      <c r="Q12" s="739"/>
      <c r="R12" s="739"/>
      <c r="S12" s="739"/>
      <c r="T12" s="739"/>
      <c r="U12" s="739"/>
      <c r="V12" s="739"/>
      <c r="W12" s="2364"/>
      <c r="X12" s="1412"/>
      <c r="Y12" s="1412"/>
      <c r="Z12" s="739"/>
      <c r="AA12" s="739"/>
      <c r="AB12" s="739"/>
      <c r="AC12" s="739"/>
      <c r="AD12" s="739"/>
      <c r="AE12" s="739"/>
      <c r="AF12" s="2364"/>
      <c r="AG12" s="1412"/>
      <c r="AH12" s="1412"/>
      <c r="AI12" s="739"/>
      <c r="AJ12" s="739"/>
      <c r="AK12" s="739"/>
      <c r="AL12" s="739"/>
      <c r="AM12" s="739"/>
      <c r="AN12" s="739"/>
      <c r="AO12" s="739"/>
      <c r="AP12" s="739"/>
      <c r="AQ12" s="739"/>
      <c r="AR12" s="2364"/>
      <c r="AS12" s="1412"/>
      <c r="AT12" s="1412"/>
      <c r="AU12" s="739"/>
      <c r="AV12" s="739"/>
      <c r="AW12" s="739"/>
      <c r="AX12" s="739"/>
      <c r="AY12" s="739"/>
      <c r="AZ12" s="739"/>
      <c r="BA12" s="739"/>
      <c r="BB12" s="739"/>
      <c r="BC12" s="739"/>
      <c r="BD12" s="2364"/>
      <c r="BE12" s="1412"/>
      <c r="BF12" s="1412"/>
      <c r="BG12" s="739"/>
      <c r="BH12" s="739"/>
      <c r="BI12" s="739"/>
      <c r="BJ12" s="739"/>
      <c r="BK12" s="739"/>
      <c r="BL12" s="739"/>
      <c r="BM12" s="739"/>
      <c r="BN12" s="739"/>
      <c r="BO12" s="739"/>
      <c r="BP12" s="739"/>
      <c r="BQ12" s="739"/>
      <c r="BR12" s="739"/>
      <c r="BS12" s="705"/>
      <c r="BT12" s="739"/>
      <c r="BU12" s="739"/>
      <c r="BV12" s="739"/>
      <c r="BW12" s="739"/>
      <c r="BX12" s="739"/>
      <c r="BY12" s="739"/>
      <c r="BZ12" s="739"/>
      <c r="CA12" s="739"/>
      <c r="CB12" s="739"/>
      <c r="CC12" s="739"/>
      <c r="CD12" s="739"/>
      <c r="CE12" s="2364"/>
      <c r="CF12" s="1412"/>
      <c r="CG12" s="739"/>
      <c r="CH12" s="739"/>
      <c r="CI12" s="739"/>
      <c r="CJ12" s="739"/>
      <c r="CK12" s="739"/>
      <c r="CL12" s="739"/>
      <c r="CM12" s="739"/>
      <c r="CN12" s="739"/>
      <c r="CO12" s="739"/>
      <c r="CP12" s="739"/>
      <c r="CQ12" s="2364"/>
      <c r="CR12" s="1412"/>
      <c r="CS12" s="1412"/>
      <c r="CT12" s="739"/>
      <c r="CU12" s="739"/>
      <c r="CV12" s="739"/>
      <c r="CW12" s="739"/>
      <c r="CX12" s="739"/>
      <c r="CY12" s="739"/>
      <c r="CZ12" s="739"/>
      <c r="DA12" s="739"/>
      <c r="DB12" s="739"/>
      <c r="DC12" s="2364"/>
      <c r="DD12" s="1412"/>
      <c r="DE12" s="1412"/>
      <c r="DF12" s="739"/>
      <c r="DG12" s="739"/>
      <c r="DH12" s="739"/>
      <c r="DI12" s="739"/>
      <c r="DJ12" s="739"/>
      <c r="DK12" s="739"/>
      <c r="DL12" s="739"/>
      <c r="DM12" s="739"/>
      <c r="DN12" s="739"/>
      <c r="DO12" s="2364"/>
      <c r="DP12" s="1412"/>
      <c r="DQ12" s="1412"/>
      <c r="DR12" s="739"/>
      <c r="DS12" s="739"/>
      <c r="DT12" s="739"/>
      <c r="DU12" s="739"/>
      <c r="DV12" s="739"/>
      <c r="DW12" s="739"/>
      <c r="DX12" s="739"/>
      <c r="DY12" s="739"/>
      <c r="DZ12" s="739"/>
      <c r="EA12" s="2364"/>
      <c r="EB12" s="1412"/>
      <c r="EC12" s="1412"/>
      <c r="ED12" s="739"/>
      <c r="EE12" s="739"/>
      <c r="EF12" s="739"/>
      <c r="EG12" s="739"/>
      <c r="EH12" s="739"/>
      <c r="EI12" s="739"/>
      <c r="EJ12" s="739"/>
      <c r="EK12" s="739"/>
      <c r="EL12" s="739"/>
      <c r="EM12" s="2364"/>
      <c r="EN12" s="1412"/>
      <c r="EO12" s="1412"/>
      <c r="EP12" s="739"/>
      <c r="EQ12" s="739"/>
      <c r="ER12" s="739"/>
      <c r="ES12" s="739"/>
      <c r="ET12" s="739"/>
      <c r="EU12" s="739"/>
      <c r="EV12" s="739"/>
      <c r="EW12" s="739"/>
      <c r="EX12" s="739"/>
      <c r="EY12" s="2364"/>
      <c r="EZ12" s="1412"/>
      <c r="FA12" s="1412"/>
      <c r="FB12" s="739"/>
      <c r="FC12" s="739"/>
      <c r="FD12" s="739"/>
      <c r="FE12" s="739"/>
      <c r="FF12" s="739"/>
      <c r="FG12" s="739"/>
      <c r="FH12" s="739"/>
      <c r="FI12" s="739"/>
      <c r="FJ12" s="739"/>
      <c r="FK12" s="2364"/>
      <c r="FL12" s="1412"/>
      <c r="FM12" s="1412"/>
      <c r="FN12" s="739"/>
      <c r="FO12" s="739"/>
      <c r="FP12" s="739"/>
      <c r="FQ12" s="739"/>
      <c r="FR12" s="739"/>
      <c r="FS12" s="739"/>
      <c r="FT12" s="739"/>
      <c r="FU12" s="739"/>
      <c r="FV12" s="739"/>
      <c r="FW12" s="2364"/>
      <c r="FX12" s="1412"/>
      <c r="FY12" s="1412"/>
      <c r="FZ12" s="739"/>
      <c r="GA12" s="739"/>
      <c r="GB12" s="739"/>
      <c r="GC12" s="739"/>
      <c r="GD12" s="739"/>
      <c r="GE12" s="739"/>
      <c r="GF12" s="739"/>
      <c r="GG12" s="739"/>
      <c r="GH12" s="739"/>
      <c r="GI12" s="2364"/>
      <c r="GJ12" s="1412"/>
      <c r="GK12" s="1412"/>
    </row>
    <row r="13" spans="1:194" ht="17.399999999999999">
      <c r="A13" s="697">
        <v>3</v>
      </c>
      <c r="B13" s="1429"/>
      <c r="C13" s="1412" t="s">
        <v>123</v>
      </c>
      <c r="D13" s="1412">
        <v>152</v>
      </c>
      <c r="E13" s="2363" t="s">
        <v>541</v>
      </c>
      <c r="F13" s="739"/>
      <c r="G13" s="739"/>
      <c r="H13" s="739"/>
      <c r="I13" s="475">
        <f>+'Appendix A'!H256</f>
        <v>0.12321383363679367</v>
      </c>
      <c r="K13" s="2366"/>
      <c r="L13" s="489"/>
      <c r="M13" s="489"/>
      <c r="Q13" s="2363" t="s">
        <v>541</v>
      </c>
      <c r="T13" s="739"/>
      <c r="U13" s="739"/>
      <c r="V13" s="475">
        <f>+I13</f>
        <v>0.12321383363679367</v>
      </c>
      <c r="Z13" s="2363" t="s">
        <v>541</v>
      </c>
      <c r="AC13" s="739"/>
      <c r="AD13" s="739"/>
      <c r="AE13" s="475">
        <f>+V13</f>
        <v>0.12321383363679367</v>
      </c>
      <c r="AI13" s="739"/>
      <c r="AJ13" s="475"/>
      <c r="AK13" s="697"/>
      <c r="AL13" s="2363" t="s">
        <v>541</v>
      </c>
      <c r="AO13" s="739"/>
      <c r="AP13" s="739"/>
      <c r="AQ13" s="475">
        <f>+AE13</f>
        <v>0.12321383363679367</v>
      </c>
      <c r="AR13" s="1599"/>
      <c r="AS13" s="1599"/>
      <c r="AT13" s="1599"/>
      <c r="AU13" s="739"/>
      <c r="AV13" s="475"/>
      <c r="AW13" s="697"/>
      <c r="AX13" s="2363" t="s">
        <v>541</v>
      </c>
      <c r="AY13" s="1599"/>
      <c r="AZ13" s="1599"/>
      <c r="BA13" s="739"/>
      <c r="BB13" s="739"/>
      <c r="BC13" s="475">
        <f>+AQ13</f>
        <v>0.12321383363679367</v>
      </c>
      <c r="BD13" s="1599"/>
      <c r="BE13" s="1599"/>
      <c r="BF13" s="1599"/>
      <c r="BG13" s="739"/>
      <c r="BH13" s="475"/>
      <c r="BI13" s="697"/>
      <c r="BJ13" s="2363" t="s">
        <v>541</v>
      </c>
      <c r="BK13" s="1599"/>
      <c r="BL13" s="1599"/>
      <c r="BM13" s="1599"/>
      <c r="BN13" s="1599"/>
      <c r="BO13" s="475">
        <f>+BC13</f>
        <v>0.12321383363679367</v>
      </c>
      <c r="BP13" s="1599"/>
      <c r="BQ13" s="1599"/>
      <c r="BR13" s="1599"/>
      <c r="BS13" s="705"/>
      <c r="BT13" s="739"/>
      <c r="BU13" s="475"/>
      <c r="BV13" s="2363" t="s">
        <v>541</v>
      </c>
      <c r="BW13" s="1599"/>
      <c r="BX13" s="1599"/>
      <c r="BY13" s="739"/>
      <c r="BZ13" s="739"/>
      <c r="CA13" s="475">
        <f>+BC13</f>
        <v>0.12321383363679367</v>
      </c>
      <c r="CB13" s="2363"/>
      <c r="CC13" s="1599"/>
      <c r="CD13" s="1599"/>
      <c r="CE13" s="1599"/>
      <c r="CF13" s="1599"/>
      <c r="CG13" s="697"/>
      <c r="CH13" s="2363" t="s">
        <v>541</v>
      </c>
      <c r="CI13" s="1599"/>
      <c r="CJ13" s="1599"/>
      <c r="CK13" s="739"/>
      <c r="CL13" s="739"/>
      <c r="CM13" s="475">
        <f>+BO13</f>
        <v>0.12321383363679367</v>
      </c>
      <c r="CN13" s="2363"/>
      <c r="CO13" s="1599"/>
      <c r="CP13" s="1599"/>
      <c r="CQ13" s="1599"/>
      <c r="CR13" s="1599"/>
      <c r="CS13" s="1599"/>
      <c r="CT13" s="2363" t="s">
        <v>541</v>
      </c>
      <c r="CU13" s="1599"/>
      <c r="CV13" s="1599"/>
      <c r="CW13" s="739"/>
      <c r="CX13" s="739"/>
      <c r="CY13" s="475">
        <f>+CA13</f>
        <v>0.12321383363679367</v>
      </c>
      <c r="CZ13" s="2363"/>
      <c r="DA13" s="1599"/>
      <c r="DB13" s="1599"/>
      <c r="DC13" s="1599"/>
      <c r="DD13" s="1599"/>
      <c r="DE13" s="1599"/>
      <c r="DF13" s="2363" t="s">
        <v>541</v>
      </c>
      <c r="DG13" s="1599"/>
      <c r="DH13" s="1599"/>
      <c r="DI13" s="739"/>
      <c r="DJ13" s="739"/>
      <c r="DK13" s="475">
        <f>+CM13</f>
        <v>0.12321383363679367</v>
      </c>
      <c r="DL13" s="2363"/>
      <c r="DM13" s="1599"/>
      <c r="DN13" s="1599"/>
      <c r="DO13" s="1599"/>
      <c r="DP13" s="1599"/>
      <c r="DQ13" s="1599"/>
      <c r="DR13" s="2363" t="s">
        <v>541</v>
      </c>
      <c r="DS13" s="1599"/>
      <c r="DT13" s="1599"/>
      <c r="DU13" s="739"/>
      <c r="DV13" s="739"/>
      <c r="DW13" s="475">
        <f>+CY13</f>
        <v>0.12321383363679367</v>
      </c>
      <c r="DX13" s="2363"/>
      <c r="DY13" s="1599"/>
      <c r="DZ13" s="1599"/>
      <c r="EA13" s="1599"/>
      <c r="EB13" s="1599"/>
      <c r="EC13" s="1599"/>
      <c r="ED13" s="2363" t="s">
        <v>541</v>
      </c>
      <c r="EE13" s="1599"/>
      <c r="EF13" s="1599"/>
      <c r="EG13" s="739"/>
      <c r="EH13" s="739"/>
      <c r="EI13" s="475">
        <f>+DK13</f>
        <v>0.12321383363679367</v>
      </c>
      <c r="EJ13" s="2363"/>
      <c r="EK13" s="1599"/>
      <c r="EL13" s="1599"/>
      <c r="EM13" s="1599"/>
      <c r="EN13" s="1599"/>
      <c r="EO13" s="1599"/>
      <c r="EP13" s="2363" t="s">
        <v>541</v>
      </c>
      <c r="EQ13" s="1599"/>
      <c r="ER13" s="1599"/>
      <c r="ES13" s="739"/>
      <c r="ET13" s="739"/>
      <c r="EU13" s="475">
        <f>+DW13</f>
        <v>0.12321383363679367</v>
      </c>
      <c r="EV13" s="2363"/>
      <c r="EW13" s="1599"/>
      <c r="EX13" s="1599"/>
      <c r="EY13" s="1599"/>
      <c r="EZ13" s="1599"/>
      <c r="FA13" s="1599"/>
      <c r="FB13" s="2363" t="s">
        <v>541</v>
      </c>
      <c r="FC13" s="1599"/>
      <c r="FD13" s="1599"/>
      <c r="FE13" s="739"/>
      <c r="FF13" s="739"/>
      <c r="FG13" s="475">
        <f>+EI13</f>
        <v>0.12321383363679367</v>
      </c>
      <c r="FH13" s="2363"/>
      <c r="FI13" s="1599"/>
      <c r="FJ13" s="1599"/>
      <c r="FK13" s="1599"/>
      <c r="FL13" s="1599"/>
      <c r="FM13" s="1599"/>
      <c r="FN13" s="2363" t="s">
        <v>541</v>
      </c>
      <c r="FO13" s="1599"/>
      <c r="FP13" s="1599"/>
      <c r="FQ13" s="739"/>
      <c r="FR13" s="739"/>
      <c r="FS13" s="475">
        <f>+EU13</f>
        <v>0.12321383363679367</v>
      </c>
      <c r="FT13" s="2363"/>
      <c r="FU13" s="1599"/>
      <c r="FV13" s="1599"/>
      <c r="FW13" s="1599"/>
      <c r="FX13" s="1599"/>
      <c r="FY13" s="1599"/>
      <c r="FZ13" s="2363" t="s">
        <v>541</v>
      </c>
      <c r="GA13" s="1599"/>
      <c r="GB13" s="1599"/>
      <c r="GC13" s="739"/>
      <c r="GD13" s="739"/>
      <c r="GE13" s="475">
        <f>+FG13</f>
        <v>0.12321383363679367</v>
      </c>
      <c r="GF13" s="2363"/>
      <c r="GG13" s="1599"/>
      <c r="GH13" s="1599"/>
      <c r="GI13" s="1599"/>
      <c r="GJ13" s="1599"/>
      <c r="GK13" s="1599"/>
    </row>
    <row r="14" spans="1:194" ht="17.399999999999999">
      <c r="A14" s="697">
        <v>4</v>
      </c>
      <c r="B14" s="1429"/>
      <c r="C14" s="1412" t="s">
        <v>331</v>
      </c>
      <c r="D14" s="1412">
        <v>159</v>
      </c>
      <c r="E14" s="2363" t="s">
        <v>539</v>
      </c>
      <c r="F14" s="739"/>
      <c r="G14" s="739"/>
      <c r="H14" s="739"/>
      <c r="I14" s="475">
        <f>+'Appendix A'!H265</f>
        <v>0.13022039771069202</v>
      </c>
      <c r="K14" s="2366"/>
      <c r="L14" s="489"/>
      <c r="M14" s="489"/>
      <c r="Q14" s="2363" t="s">
        <v>539</v>
      </c>
      <c r="T14" s="739"/>
      <c r="U14" s="739"/>
      <c r="V14" s="475">
        <f>+I14</f>
        <v>0.13022039771069202</v>
      </c>
      <c r="Z14" s="2363" t="s">
        <v>539</v>
      </c>
      <c r="AC14" s="739"/>
      <c r="AD14" s="739"/>
      <c r="AE14" s="475">
        <f>+V14</f>
        <v>0.13022039771069202</v>
      </c>
      <c r="AI14" s="739"/>
      <c r="AJ14" s="475"/>
      <c r="AK14" s="697"/>
      <c r="AL14" s="2363" t="s">
        <v>539</v>
      </c>
      <c r="AO14" s="739"/>
      <c r="AP14" s="739"/>
      <c r="AQ14" s="475">
        <f>+AE14</f>
        <v>0.13022039771069202</v>
      </c>
      <c r="AR14" s="1599"/>
      <c r="AS14" s="1599"/>
      <c r="AT14" s="1599"/>
      <c r="AU14" s="739"/>
      <c r="AV14" s="475"/>
      <c r="AW14" s="697"/>
      <c r="AX14" s="2363" t="s">
        <v>539</v>
      </c>
      <c r="AY14" s="1599"/>
      <c r="AZ14" s="1599"/>
      <c r="BA14" s="739"/>
      <c r="BB14" s="739"/>
      <c r="BC14" s="475">
        <f>+AQ14</f>
        <v>0.13022039771069202</v>
      </c>
      <c r="BD14" s="1599"/>
      <c r="BE14" s="1599"/>
      <c r="BF14" s="1599"/>
      <c r="BG14" s="739"/>
      <c r="BH14" s="475"/>
      <c r="BI14" s="697"/>
      <c r="BJ14" s="2363" t="s">
        <v>539</v>
      </c>
      <c r="BK14" s="1599"/>
      <c r="BL14" s="1599"/>
      <c r="BM14" s="1599"/>
      <c r="BN14" s="1599"/>
      <c r="BO14" s="475">
        <f>+BC14</f>
        <v>0.13022039771069202</v>
      </c>
      <c r="BP14" s="1599"/>
      <c r="BQ14" s="1599"/>
      <c r="BR14" s="1599"/>
      <c r="BS14" s="705"/>
      <c r="BT14" s="739"/>
      <c r="BU14" s="475"/>
      <c r="BV14" s="2363" t="s">
        <v>539</v>
      </c>
      <c r="BW14" s="1599"/>
      <c r="BX14" s="1599"/>
      <c r="BY14" s="739"/>
      <c r="BZ14" s="739"/>
      <c r="CA14" s="475">
        <f>+BC14</f>
        <v>0.13022039771069202</v>
      </c>
      <c r="CB14" s="2363"/>
      <c r="CC14" s="1599"/>
      <c r="CD14" s="1599"/>
      <c r="CE14" s="1599"/>
      <c r="CF14" s="1599"/>
      <c r="CG14" s="697"/>
      <c r="CH14" s="2363" t="s">
        <v>539</v>
      </c>
      <c r="CI14" s="1599"/>
      <c r="CJ14" s="1599"/>
      <c r="CK14" s="739"/>
      <c r="CL14" s="739"/>
      <c r="CM14" s="475">
        <f>+BO14</f>
        <v>0.13022039771069202</v>
      </c>
      <c r="CN14" s="2363"/>
      <c r="CO14" s="1599"/>
      <c r="CP14" s="1599"/>
      <c r="CQ14" s="1599"/>
      <c r="CR14" s="1599"/>
      <c r="CS14" s="1599"/>
      <c r="CT14" s="2363" t="s">
        <v>539</v>
      </c>
      <c r="CU14" s="1599"/>
      <c r="CV14" s="1599"/>
      <c r="CW14" s="739"/>
      <c r="CX14" s="739"/>
      <c r="CY14" s="475">
        <f>+CA14</f>
        <v>0.13022039771069202</v>
      </c>
      <c r="CZ14" s="2363"/>
      <c r="DA14" s="1599"/>
      <c r="DB14" s="1599"/>
      <c r="DC14" s="1599"/>
      <c r="DD14" s="1599"/>
      <c r="DE14" s="1599"/>
      <c r="DF14" s="2363" t="s">
        <v>539</v>
      </c>
      <c r="DG14" s="1599"/>
      <c r="DH14" s="1599"/>
      <c r="DI14" s="739"/>
      <c r="DJ14" s="739"/>
      <c r="DK14" s="475">
        <f>+CM14</f>
        <v>0.13022039771069202</v>
      </c>
      <c r="DL14" s="2363"/>
      <c r="DM14" s="1599"/>
      <c r="DN14" s="1599"/>
      <c r="DO14" s="1599"/>
      <c r="DP14" s="1599"/>
      <c r="DQ14" s="1599"/>
      <c r="DR14" s="2363" t="s">
        <v>539</v>
      </c>
      <c r="DS14" s="1599"/>
      <c r="DT14" s="1599"/>
      <c r="DU14" s="739"/>
      <c r="DV14" s="739"/>
      <c r="DW14" s="475">
        <f>+CY14</f>
        <v>0.13022039771069202</v>
      </c>
      <c r="DX14" s="2363"/>
      <c r="DY14" s="1599"/>
      <c r="DZ14" s="1599"/>
      <c r="EA14" s="1599"/>
      <c r="EB14" s="1599"/>
      <c r="EC14" s="1599"/>
      <c r="ED14" s="2363" t="s">
        <v>539</v>
      </c>
      <c r="EE14" s="1599"/>
      <c r="EF14" s="1599"/>
      <c r="EG14" s="739"/>
      <c r="EH14" s="739"/>
      <c r="EI14" s="475">
        <f>+DK14</f>
        <v>0.13022039771069202</v>
      </c>
      <c r="EJ14" s="2363"/>
      <c r="EK14" s="1599"/>
      <c r="EL14" s="1599"/>
      <c r="EM14" s="1599"/>
      <c r="EN14" s="1599"/>
      <c r="EO14" s="1599"/>
      <c r="EP14" s="2363" t="s">
        <v>539</v>
      </c>
      <c r="EQ14" s="1599"/>
      <c r="ER14" s="1599"/>
      <c r="ES14" s="739"/>
      <c r="ET14" s="739"/>
      <c r="EU14" s="475">
        <f>+DW14</f>
        <v>0.13022039771069202</v>
      </c>
      <c r="EV14" s="2363"/>
      <c r="EW14" s="1599"/>
      <c r="EX14" s="1599"/>
      <c r="EY14" s="1599"/>
      <c r="EZ14" s="1599"/>
      <c r="FA14" s="1599"/>
      <c r="FB14" s="2363" t="s">
        <v>539</v>
      </c>
      <c r="FC14" s="1599"/>
      <c r="FD14" s="1599"/>
      <c r="FE14" s="739"/>
      <c r="FF14" s="739"/>
      <c r="FG14" s="475">
        <f>+EI14</f>
        <v>0.13022039771069202</v>
      </c>
      <c r="FH14" s="2363"/>
      <c r="FI14" s="1599"/>
      <c r="FJ14" s="1599"/>
      <c r="FK14" s="1599"/>
      <c r="FL14" s="1599"/>
      <c r="FM14" s="1599"/>
      <c r="FN14" s="2363" t="s">
        <v>539</v>
      </c>
      <c r="FO14" s="1599"/>
      <c r="FP14" s="1599"/>
      <c r="FQ14" s="739"/>
      <c r="FR14" s="739"/>
      <c r="FS14" s="475">
        <f>+EU14</f>
        <v>0.13022039771069202</v>
      </c>
      <c r="FT14" s="2363"/>
      <c r="FU14" s="1599"/>
      <c r="FV14" s="1599"/>
      <c r="FW14" s="1599"/>
      <c r="FX14" s="1599"/>
      <c r="FY14" s="1599"/>
      <c r="FZ14" s="2363" t="s">
        <v>539</v>
      </c>
      <c r="GA14" s="1599"/>
      <c r="GB14" s="1599"/>
      <c r="GC14" s="739"/>
      <c r="GD14" s="739"/>
      <c r="GE14" s="475">
        <f>+FG14</f>
        <v>0.13022039771069202</v>
      </c>
      <c r="GF14" s="2363"/>
      <c r="GG14" s="1599"/>
      <c r="GH14" s="1599"/>
      <c r="GI14" s="1599"/>
      <c r="GJ14" s="1599"/>
      <c r="GK14" s="1599"/>
    </row>
    <row r="15" spans="1:194" ht="17.399999999999999">
      <c r="A15" s="697">
        <v>5</v>
      </c>
      <c r="B15" s="697"/>
      <c r="C15" s="1412" t="s">
        <v>108</v>
      </c>
      <c r="D15" s="1412"/>
      <c r="E15" s="739" t="s">
        <v>582</v>
      </c>
      <c r="F15" s="739"/>
      <c r="G15" s="739"/>
      <c r="H15" s="739"/>
      <c r="I15" s="475">
        <f>+I14-I13</f>
        <v>7.0065640738983526E-3</v>
      </c>
      <c r="K15" s="2366"/>
      <c r="L15" s="489"/>
      <c r="M15" s="489"/>
      <c r="Q15" s="739" t="s">
        <v>582</v>
      </c>
      <c r="T15" s="739"/>
      <c r="U15" s="739"/>
      <c r="V15" s="475">
        <f>+I15</f>
        <v>7.0065640738983526E-3</v>
      </c>
      <c r="Z15" s="739" t="s">
        <v>582</v>
      </c>
      <c r="AC15" s="739"/>
      <c r="AD15" s="739"/>
      <c r="AE15" s="475">
        <f>+V15</f>
        <v>7.0065640738983526E-3</v>
      </c>
      <c r="AI15" s="739"/>
      <c r="AJ15" s="475"/>
      <c r="AK15" s="697"/>
      <c r="AL15" s="739" t="s">
        <v>582</v>
      </c>
      <c r="AO15" s="739"/>
      <c r="AP15" s="739"/>
      <c r="AQ15" s="475">
        <f>+AE15</f>
        <v>7.0065640738983526E-3</v>
      </c>
      <c r="AR15" s="1599"/>
      <c r="AS15" s="1599"/>
      <c r="AT15" s="1599"/>
      <c r="AU15" s="739"/>
      <c r="AV15" s="475"/>
      <c r="AW15" s="697"/>
      <c r="AX15" s="739" t="s">
        <v>582</v>
      </c>
      <c r="AY15" s="1599"/>
      <c r="AZ15" s="1599"/>
      <c r="BA15" s="739"/>
      <c r="BB15" s="739"/>
      <c r="BC15" s="475">
        <f>+AQ15</f>
        <v>7.0065640738983526E-3</v>
      </c>
      <c r="BD15" s="1599"/>
      <c r="BE15" s="1599"/>
      <c r="BF15" s="1599"/>
      <c r="BG15" s="739"/>
      <c r="BH15" s="475"/>
      <c r="BI15" s="697"/>
      <c r="BJ15" s="739" t="s">
        <v>582</v>
      </c>
      <c r="BK15" s="1599"/>
      <c r="BL15" s="1599"/>
      <c r="BM15" s="1599"/>
      <c r="BN15" s="1599"/>
      <c r="BO15" s="475">
        <f>+BC15</f>
        <v>7.0065640738983526E-3</v>
      </c>
      <c r="BP15" s="1599"/>
      <c r="BQ15" s="1599"/>
      <c r="BR15" s="1599"/>
      <c r="BS15" s="705"/>
      <c r="BT15" s="739"/>
      <c r="BU15" s="475"/>
      <c r="BV15" s="739" t="s">
        <v>582</v>
      </c>
      <c r="BW15" s="1599"/>
      <c r="BX15" s="1599"/>
      <c r="BY15" s="739"/>
      <c r="BZ15" s="739"/>
      <c r="CA15" s="475">
        <f>+BC15</f>
        <v>7.0065640738983526E-3</v>
      </c>
      <c r="CB15" s="739"/>
      <c r="CC15" s="1599"/>
      <c r="CD15" s="1599"/>
      <c r="CE15" s="1599"/>
      <c r="CF15" s="1599"/>
      <c r="CG15" s="697"/>
      <c r="CH15" s="739" t="s">
        <v>582</v>
      </c>
      <c r="CI15" s="1599"/>
      <c r="CJ15" s="1599"/>
      <c r="CK15" s="739"/>
      <c r="CL15" s="739"/>
      <c r="CM15" s="475">
        <f>+BO15</f>
        <v>7.0065640738983526E-3</v>
      </c>
      <c r="CN15" s="739"/>
      <c r="CO15" s="1599"/>
      <c r="CP15" s="1599"/>
      <c r="CQ15" s="1599"/>
      <c r="CR15" s="1599"/>
      <c r="CS15" s="1599"/>
      <c r="CT15" s="739" t="s">
        <v>582</v>
      </c>
      <c r="CU15" s="1599"/>
      <c r="CV15" s="1599"/>
      <c r="CW15" s="739"/>
      <c r="CX15" s="739"/>
      <c r="CY15" s="475">
        <f>+CA15</f>
        <v>7.0065640738983526E-3</v>
      </c>
      <c r="CZ15" s="739"/>
      <c r="DA15" s="1599"/>
      <c r="DB15" s="1599"/>
      <c r="DC15" s="1599"/>
      <c r="DD15" s="1599"/>
      <c r="DE15" s="1599"/>
      <c r="DF15" s="739" t="s">
        <v>582</v>
      </c>
      <c r="DG15" s="1599"/>
      <c r="DH15" s="1599"/>
      <c r="DI15" s="739"/>
      <c r="DJ15" s="739"/>
      <c r="DK15" s="475">
        <f>+CM15</f>
        <v>7.0065640738983526E-3</v>
      </c>
      <c r="DL15" s="739"/>
      <c r="DM15" s="1599"/>
      <c r="DN15" s="1599"/>
      <c r="DO15" s="1599"/>
      <c r="DP15" s="1599"/>
      <c r="DQ15" s="1599"/>
      <c r="DR15" s="739" t="s">
        <v>582</v>
      </c>
      <c r="DS15" s="1599"/>
      <c r="DT15" s="1599"/>
      <c r="DU15" s="739"/>
      <c r="DV15" s="739"/>
      <c r="DW15" s="475">
        <f>+CY15</f>
        <v>7.0065640738983526E-3</v>
      </c>
      <c r="DX15" s="739"/>
      <c r="DY15" s="1599"/>
      <c r="DZ15" s="1599"/>
      <c r="EA15" s="1599"/>
      <c r="EB15" s="1599"/>
      <c r="EC15" s="1599"/>
      <c r="ED15" s="739" t="s">
        <v>582</v>
      </c>
      <c r="EE15" s="1599"/>
      <c r="EF15" s="1599"/>
      <c r="EG15" s="739"/>
      <c r="EH15" s="739"/>
      <c r="EI15" s="475">
        <f>+DK15</f>
        <v>7.0065640738983526E-3</v>
      </c>
      <c r="EJ15" s="739"/>
      <c r="EK15" s="1599"/>
      <c r="EL15" s="1599"/>
      <c r="EM15" s="1599"/>
      <c r="EN15" s="1599"/>
      <c r="EO15" s="1599"/>
      <c r="EP15" s="739" t="s">
        <v>582</v>
      </c>
      <c r="EQ15" s="1599"/>
      <c r="ER15" s="1599"/>
      <c r="ES15" s="739"/>
      <c r="ET15" s="739"/>
      <c r="EU15" s="475">
        <f>+DW15</f>
        <v>7.0065640738983526E-3</v>
      </c>
      <c r="EV15" s="739"/>
      <c r="EW15" s="1599"/>
      <c r="EX15" s="1599"/>
      <c r="EY15" s="1599"/>
      <c r="EZ15" s="1599"/>
      <c r="FA15" s="1599"/>
      <c r="FB15" s="739" t="s">
        <v>582</v>
      </c>
      <c r="FC15" s="1599"/>
      <c r="FD15" s="1599"/>
      <c r="FE15" s="739"/>
      <c r="FF15" s="739"/>
      <c r="FG15" s="475">
        <f>+EI15</f>
        <v>7.0065640738983526E-3</v>
      </c>
      <c r="FH15" s="739"/>
      <c r="FI15" s="1599"/>
      <c r="FJ15" s="1599"/>
      <c r="FK15" s="1599"/>
      <c r="FL15" s="1599"/>
      <c r="FM15" s="1599"/>
      <c r="FN15" s="739" t="s">
        <v>582</v>
      </c>
      <c r="FO15" s="1599"/>
      <c r="FP15" s="1599"/>
      <c r="FQ15" s="739"/>
      <c r="FR15" s="739"/>
      <c r="FS15" s="475">
        <f>+EU15</f>
        <v>7.0065640738983526E-3</v>
      </c>
      <c r="FT15" s="739"/>
      <c r="FU15" s="1599"/>
      <c r="FV15" s="1599"/>
      <c r="FW15" s="1599"/>
      <c r="FX15" s="1599"/>
      <c r="FY15" s="1599"/>
      <c r="FZ15" s="739" t="s">
        <v>582</v>
      </c>
      <c r="GA15" s="1599"/>
      <c r="GB15" s="1599"/>
      <c r="GC15" s="739"/>
      <c r="GD15" s="739"/>
      <c r="GE15" s="475">
        <f>+FG15</f>
        <v>7.0065640738983526E-3</v>
      </c>
      <c r="GF15" s="739"/>
      <c r="GG15" s="1599"/>
      <c r="GH15" s="1599"/>
      <c r="GI15" s="1599"/>
      <c r="GJ15" s="1599"/>
      <c r="GK15" s="1599"/>
    </row>
    <row r="16" spans="1:194" ht="17.399999999999999">
      <c r="A16" s="695"/>
      <c r="B16" s="697"/>
      <c r="C16" s="739"/>
      <c r="D16" s="1412"/>
      <c r="E16" s="739"/>
      <c r="F16" s="739"/>
      <c r="G16" s="739"/>
      <c r="H16" s="739"/>
      <c r="I16" s="476"/>
      <c r="L16" s="30"/>
      <c r="M16" s="30"/>
      <c r="Q16" s="739"/>
      <c r="T16" s="739"/>
      <c r="U16" s="739"/>
      <c r="V16" s="476"/>
      <c r="Z16" s="739"/>
      <c r="AC16" s="739"/>
      <c r="AD16" s="739"/>
      <c r="AE16" s="476"/>
      <c r="AI16" s="739"/>
      <c r="AJ16" s="476"/>
      <c r="AK16" s="697"/>
      <c r="AL16" s="739"/>
      <c r="AO16" s="739"/>
      <c r="AP16" s="739"/>
      <c r="AQ16" s="476"/>
      <c r="AR16" s="1599"/>
      <c r="AS16" s="1599"/>
      <c r="AT16" s="1599"/>
      <c r="AU16" s="739"/>
      <c r="AV16" s="476"/>
      <c r="AW16" s="697"/>
      <c r="AX16" s="739"/>
      <c r="AY16" s="1599"/>
      <c r="AZ16" s="1599"/>
      <c r="BA16" s="739"/>
      <c r="BB16" s="739"/>
      <c r="BC16" s="476"/>
      <c r="BD16" s="1599"/>
      <c r="BE16" s="1599"/>
      <c r="BF16" s="1599"/>
      <c r="BG16" s="739"/>
      <c r="BH16" s="476"/>
      <c r="BI16" s="697"/>
      <c r="BJ16" s="739"/>
      <c r="BK16" s="1599"/>
      <c r="BL16" s="1599"/>
      <c r="BM16" s="1599"/>
      <c r="BN16" s="1599"/>
      <c r="BO16" s="476"/>
      <c r="BP16" s="1599"/>
      <c r="BQ16" s="1599"/>
      <c r="BR16" s="1599"/>
      <c r="BS16" s="705"/>
      <c r="BT16" s="739"/>
      <c r="BU16" s="475"/>
      <c r="BV16" s="739"/>
      <c r="BW16" s="1599"/>
      <c r="BX16" s="1599"/>
      <c r="BY16" s="739"/>
      <c r="BZ16" s="739"/>
      <c r="CA16" s="475"/>
      <c r="CB16" s="739"/>
      <c r="CC16" s="1599"/>
      <c r="CD16" s="1599"/>
      <c r="CE16" s="1599"/>
      <c r="CF16" s="1599"/>
      <c r="CG16" s="697"/>
      <c r="CH16" s="739"/>
      <c r="CI16" s="1599"/>
      <c r="CJ16" s="1599"/>
      <c r="CK16" s="739"/>
      <c r="CL16" s="739"/>
      <c r="CM16" s="475"/>
      <c r="CN16" s="739"/>
      <c r="CO16" s="1599"/>
      <c r="CP16" s="1599"/>
      <c r="CQ16" s="1599"/>
      <c r="CR16" s="1599"/>
      <c r="CS16" s="1599"/>
      <c r="CT16" s="739"/>
      <c r="CU16" s="1599"/>
      <c r="CV16" s="1599"/>
      <c r="CW16" s="739"/>
      <c r="CX16" s="739"/>
      <c r="CY16" s="475"/>
      <c r="CZ16" s="739"/>
      <c r="DA16" s="1599"/>
      <c r="DB16" s="1599"/>
      <c r="DC16" s="1599"/>
      <c r="DD16" s="1599"/>
      <c r="DE16" s="1599"/>
      <c r="DF16" s="739"/>
      <c r="DG16" s="1599"/>
      <c r="DH16" s="1599"/>
      <c r="DI16" s="739"/>
      <c r="DJ16" s="739"/>
      <c r="DK16" s="475"/>
      <c r="DL16" s="739"/>
      <c r="DM16" s="1599"/>
      <c r="DN16" s="1599"/>
      <c r="DO16" s="1599"/>
      <c r="DP16" s="1599"/>
      <c r="DQ16" s="1599"/>
      <c r="DR16" s="739"/>
      <c r="DS16" s="1599"/>
      <c r="DT16" s="1599"/>
      <c r="DU16" s="739"/>
      <c r="DV16" s="739"/>
      <c r="DW16" s="475"/>
      <c r="DX16" s="739"/>
      <c r="DY16" s="1599"/>
      <c r="DZ16" s="1599"/>
      <c r="EA16" s="1599"/>
      <c r="EB16" s="1599"/>
      <c r="EC16" s="1599"/>
      <c r="ED16" s="739"/>
      <c r="EE16" s="1599"/>
      <c r="EF16" s="1599"/>
      <c r="EG16" s="739"/>
      <c r="EH16" s="739"/>
      <c r="EI16" s="475"/>
      <c r="EJ16" s="739"/>
      <c r="EK16" s="1599"/>
      <c r="EL16" s="1599"/>
      <c r="EM16" s="1599"/>
      <c r="EN16" s="1599"/>
      <c r="EO16" s="1599"/>
      <c r="EP16" s="739"/>
      <c r="EQ16" s="1599"/>
      <c r="ER16" s="1599"/>
      <c r="ES16" s="739"/>
      <c r="ET16" s="739"/>
      <c r="EU16" s="475"/>
      <c r="EV16" s="739"/>
      <c r="EW16" s="1599"/>
      <c r="EX16" s="1599"/>
      <c r="EY16" s="1599"/>
      <c r="EZ16" s="1599"/>
      <c r="FA16" s="1599"/>
      <c r="FB16" s="739"/>
      <c r="FC16" s="1599"/>
      <c r="FD16" s="1599"/>
      <c r="FE16" s="739"/>
      <c r="FF16" s="739"/>
      <c r="FG16" s="475"/>
      <c r="FH16" s="739"/>
      <c r="FI16" s="1599"/>
      <c r="FJ16" s="1599"/>
      <c r="FK16" s="1599"/>
      <c r="FL16" s="1599"/>
      <c r="FM16" s="1599"/>
      <c r="FN16" s="739"/>
      <c r="FO16" s="1599"/>
      <c r="FP16" s="1599"/>
      <c r="FQ16" s="739"/>
      <c r="FR16" s="739"/>
      <c r="FS16" s="475"/>
      <c r="FT16" s="739"/>
      <c r="FU16" s="1599"/>
      <c r="FV16" s="1599"/>
      <c r="FW16" s="1599"/>
      <c r="FX16" s="1599"/>
      <c r="FY16" s="1599"/>
      <c r="FZ16" s="739"/>
      <c r="GA16" s="1599"/>
      <c r="GB16" s="1599"/>
      <c r="GC16" s="739"/>
      <c r="GD16" s="739"/>
      <c r="GE16" s="475"/>
      <c r="GF16" s="739"/>
      <c r="GG16" s="1599"/>
      <c r="GH16" s="1599"/>
      <c r="GI16" s="1599"/>
      <c r="GJ16" s="1599"/>
      <c r="GK16" s="1599"/>
    </row>
    <row r="17" spans="1:221" ht="17.399999999999999">
      <c r="A17" s="697">
        <v>6</v>
      </c>
      <c r="B17" s="697"/>
      <c r="C17" s="2364" t="s">
        <v>580</v>
      </c>
      <c r="D17" s="1412"/>
      <c r="E17" s="739"/>
      <c r="F17" s="739"/>
      <c r="G17" s="739"/>
      <c r="H17" s="739"/>
      <c r="I17" s="476"/>
      <c r="L17" s="30"/>
      <c r="M17" s="30"/>
      <c r="Q17" s="739"/>
      <c r="T17" s="739"/>
      <c r="U17" s="739"/>
      <c r="V17" s="476"/>
      <c r="Z17" s="739"/>
      <c r="AC17" s="739"/>
      <c r="AD17" s="739"/>
      <c r="AE17" s="476"/>
      <c r="AI17" s="739"/>
      <c r="AJ17" s="476"/>
      <c r="AK17" s="697"/>
      <c r="AL17" s="739"/>
      <c r="AO17" s="739"/>
      <c r="AP17" s="739"/>
      <c r="AQ17" s="476"/>
      <c r="AR17" s="1599"/>
      <c r="AS17" s="1599"/>
      <c r="AT17" s="1599"/>
      <c r="AU17" s="739"/>
      <c r="AV17" s="476"/>
      <c r="AW17" s="697"/>
      <c r="AX17" s="739"/>
      <c r="AY17" s="1599"/>
      <c r="AZ17" s="1599"/>
      <c r="BA17" s="739"/>
      <c r="BB17" s="739"/>
      <c r="BC17" s="476"/>
      <c r="BD17" s="1599"/>
      <c r="BE17" s="1599"/>
      <c r="BF17" s="1599"/>
      <c r="BG17" s="739"/>
      <c r="BH17" s="476"/>
      <c r="BI17" s="697"/>
      <c r="BJ17" s="739"/>
      <c r="BK17" s="1599"/>
      <c r="BL17" s="1599"/>
      <c r="BM17" s="1599"/>
      <c r="BN17" s="1599"/>
      <c r="BO17" s="476"/>
      <c r="BP17" s="1599"/>
      <c r="BQ17" s="1599"/>
      <c r="BR17" s="1599"/>
      <c r="BS17" s="705"/>
      <c r="BT17" s="739"/>
      <c r="BU17" s="475"/>
      <c r="BV17" s="739"/>
      <c r="BW17" s="1599"/>
      <c r="BX17" s="1599"/>
      <c r="BY17" s="739"/>
      <c r="BZ17" s="739"/>
      <c r="CA17" s="475"/>
      <c r="CB17" s="739"/>
      <c r="CC17" s="1599"/>
      <c r="CD17" s="1599"/>
      <c r="CE17" s="1599"/>
      <c r="CF17" s="1599"/>
      <c r="CG17" s="697"/>
      <c r="CH17" s="739"/>
      <c r="CI17" s="1599"/>
      <c r="CJ17" s="1599"/>
      <c r="CK17" s="739"/>
      <c r="CL17" s="739"/>
      <c r="CM17" s="475"/>
      <c r="CN17" s="739"/>
      <c r="CO17" s="1599"/>
      <c r="CP17" s="1599"/>
      <c r="CQ17" s="1599"/>
      <c r="CR17" s="1599"/>
      <c r="CS17" s="1599"/>
      <c r="CT17" s="739"/>
      <c r="CU17" s="1599"/>
      <c r="CV17" s="1599"/>
      <c r="CW17" s="739"/>
      <c r="CX17" s="739"/>
      <c r="CY17" s="475"/>
      <c r="CZ17" s="739"/>
      <c r="DA17" s="1599"/>
      <c r="DB17" s="1599"/>
      <c r="DC17" s="1599"/>
      <c r="DD17" s="1599"/>
      <c r="DE17" s="1599"/>
      <c r="DF17" s="739"/>
      <c r="DG17" s="1599"/>
      <c r="DH17" s="1599"/>
      <c r="DI17" s="739"/>
      <c r="DJ17" s="739"/>
      <c r="DK17" s="475"/>
      <c r="DL17" s="739"/>
      <c r="DM17" s="1599"/>
      <c r="DN17" s="1599"/>
      <c r="DO17" s="1599"/>
      <c r="DP17" s="1599"/>
      <c r="DQ17" s="1599"/>
      <c r="DR17" s="739"/>
      <c r="DS17" s="1599"/>
      <c r="DT17" s="1599"/>
      <c r="DU17" s="739"/>
      <c r="DV17" s="739"/>
      <c r="DW17" s="475"/>
      <c r="DX17" s="739"/>
      <c r="DY17" s="1599"/>
      <c r="DZ17" s="1599"/>
      <c r="EA17" s="1599"/>
      <c r="EB17" s="1599"/>
      <c r="EC17" s="1599"/>
      <c r="ED17" s="739"/>
      <c r="EE17" s="1599"/>
      <c r="EF17" s="1599"/>
      <c r="EG17" s="739"/>
      <c r="EH17" s="739"/>
      <c r="EI17" s="475"/>
      <c r="EJ17" s="739"/>
      <c r="EK17" s="1599"/>
      <c r="EL17" s="1599"/>
      <c r="EM17" s="1599"/>
      <c r="EN17" s="1599"/>
      <c r="EO17" s="1599"/>
      <c r="EP17" s="739"/>
      <c r="EQ17" s="1599"/>
      <c r="ER17" s="1599"/>
      <c r="ES17" s="739"/>
      <c r="ET17" s="739"/>
      <c r="EU17" s="475"/>
      <c r="EV17" s="739"/>
      <c r="EW17" s="1599"/>
      <c r="EX17" s="1599"/>
      <c r="EY17" s="1599"/>
      <c r="EZ17" s="1599"/>
      <c r="FA17" s="1599"/>
      <c r="FB17" s="739"/>
      <c r="FC17" s="1599"/>
      <c r="FD17" s="1599"/>
      <c r="FE17" s="739"/>
      <c r="FF17" s="739"/>
      <c r="FG17" s="475"/>
      <c r="FH17" s="739"/>
      <c r="FI17" s="1599"/>
      <c r="FJ17" s="1599"/>
      <c r="FK17" s="1599"/>
      <c r="FL17" s="1599"/>
      <c r="FM17" s="1599"/>
      <c r="FN17" s="739"/>
      <c r="FO17" s="1599"/>
      <c r="FP17" s="1599"/>
      <c r="FQ17" s="739"/>
      <c r="FR17" s="739"/>
      <c r="FS17" s="475"/>
      <c r="FT17" s="739"/>
      <c r="FU17" s="1599"/>
      <c r="FV17" s="1599"/>
      <c r="FW17" s="1599"/>
      <c r="FX17" s="1599"/>
      <c r="FY17" s="1599"/>
      <c r="FZ17" s="739"/>
      <c r="GA17" s="1599"/>
      <c r="GB17" s="1599"/>
      <c r="GC17" s="739"/>
      <c r="GD17" s="739"/>
      <c r="GE17" s="475"/>
      <c r="GF17" s="739"/>
      <c r="GG17" s="1599"/>
      <c r="GH17" s="1599"/>
      <c r="GI17" s="1599"/>
      <c r="GJ17" s="1599"/>
      <c r="GK17" s="1599"/>
    </row>
    <row r="18" spans="1:221" ht="17.399999999999999">
      <c r="A18" s="2365"/>
      <c r="B18" s="697"/>
      <c r="C18" s="2364"/>
      <c r="D18" s="1412"/>
      <c r="E18" s="739"/>
      <c r="F18" s="739"/>
      <c r="G18" s="739"/>
      <c r="H18" s="739"/>
      <c r="I18" s="476"/>
      <c r="L18" s="1460"/>
      <c r="M18" s="49"/>
      <c r="Q18" s="739"/>
      <c r="T18" s="739"/>
      <c r="U18" s="739"/>
      <c r="V18" s="476"/>
      <c r="Z18" s="739"/>
      <c r="AC18" s="739"/>
      <c r="AD18" s="739"/>
      <c r="AE18" s="476"/>
      <c r="AI18" s="739"/>
      <c r="AJ18" s="476"/>
      <c r="AK18" s="697"/>
      <c r="AL18" s="739"/>
      <c r="AO18" s="739"/>
      <c r="AP18" s="739"/>
      <c r="AQ18" s="476"/>
      <c r="AR18" s="1599"/>
      <c r="AS18" s="1599"/>
      <c r="AT18" s="1599"/>
      <c r="AU18" s="739"/>
      <c r="AV18" s="476"/>
      <c r="AW18" s="697"/>
      <c r="AX18" s="739"/>
      <c r="AY18" s="1599"/>
      <c r="AZ18" s="1599"/>
      <c r="BA18" s="739"/>
      <c r="BB18" s="739"/>
      <c r="BC18" s="476"/>
      <c r="BD18" s="1599"/>
      <c r="BE18" s="1599"/>
      <c r="BF18" s="1599"/>
      <c r="BG18" s="739"/>
      <c r="BH18" s="476"/>
      <c r="BI18" s="697"/>
      <c r="BJ18" s="739"/>
      <c r="BK18" s="1599"/>
      <c r="BL18" s="1599"/>
      <c r="BM18" s="1599"/>
      <c r="BN18" s="1599"/>
      <c r="BO18" s="476"/>
      <c r="BP18" s="1599"/>
      <c r="BQ18" s="1599"/>
      <c r="BR18" s="1599"/>
      <c r="BS18" s="705"/>
      <c r="BT18" s="739"/>
      <c r="BU18" s="475"/>
      <c r="BV18" s="739"/>
      <c r="BW18" s="1599"/>
      <c r="BX18" s="1599"/>
      <c r="BY18" s="739"/>
      <c r="BZ18" s="739"/>
      <c r="CA18" s="475"/>
      <c r="CB18" s="739"/>
      <c r="CC18" s="1599"/>
      <c r="CD18" s="1599"/>
      <c r="CE18" s="1599"/>
      <c r="CF18" s="1599"/>
      <c r="CG18" s="697"/>
      <c r="CH18" s="739"/>
      <c r="CI18" s="1599"/>
      <c r="CJ18" s="1599"/>
      <c r="CK18" s="739"/>
      <c r="CL18" s="739"/>
      <c r="CM18" s="475"/>
      <c r="CN18" s="739"/>
      <c r="CO18" s="1599"/>
      <c r="CP18" s="1599"/>
      <c r="CQ18" s="1599"/>
      <c r="CR18" s="1599"/>
      <c r="CS18" s="1599"/>
      <c r="CT18" s="739"/>
      <c r="CU18" s="1599"/>
      <c r="CV18" s="1599"/>
      <c r="CW18" s="739"/>
      <c r="CX18" s="739"/>
      <c r="CY18" s="475"/>
      <c r="CZ18" s="739"/>
      <c r="DA18" s="1599"/>
      <c r="DB18" s="1599"/>
      <c r="DC18" s="1599"/>
      <c r="DD18" s="1599"/>
      <c r="DE18" s="1599"/>
      <c r="DF18" s="739"/>
      <c r="DG18" s="1599"/>
      <c r="DH18" s="1599"/>
      <c r="DI18" s="739"/>
      <c r="DJ18" s="739"/>
      <c r="DK18" s="475"/>
      <c r="DL18" s="739"/>
      <c r="DM18" s="1599"/>
      <c r="DN18" s="1599"/>
      <c r="DO18" s="1599"/>
      <c r="DP18" s="1599"/>
      <c r="DQ18" s="1599"/>
      <c r="DR18" s="739"/>
      <c r="DS18" s="1599"/>
      <c r="DT18" s="1599"/>
      <c r="DU18" s="739"/>
      <c r="DV18" s="739"/>
      <c r="DW18" s="475"/>
      <c r="DX18" s="739"/>
      <c r="DY18" s="1599"/>
      <c r="DZ18" s="1599"/>
      <c r="EA18" s="1599"/>
      <c r="EB18" s="1599"/>
      <c r="EC18" s="1599"/>
      <c r="ED18" s="739"/>
      <c r="EE18" s="1599"/>
      <c r="EF18" s="1599"/>
      <c r="EG18" s="739"/>
      <c r="EH18" s="739"/>
      <c r="EI18" s="475"/>
      <c r="EJ18" s="739"/>
      <c r="EK18" s="1599"/>
      <c r="EL18" s="1599"/>
      <c r="EM18" s="1599"/>
      <c r="EN18" s="1599"/>
      <c r="EO18" s="1599"/>
      <c r="EP18" s="739"/>
      <c r="EQ18" s="1599"/>
      <c r="ER18" s="1599"/>
      <c r="ES18" s="739"/>
      <c r="ET18" s="739"/>
      <c r="EU18" s="475"/>
      <c r="EV18" s="739"/>
      <c r="EW18" s="1599"/>
      <c r="EX18" s="1599"/>
      <c r="EY18" s="1599"/>
      <c r="EZ18" s="1599"/>
      <c r="FA18" s="1599"/>
      <c r="FB18" s="739"/>
      <c r="FC18" s="1599"/>
      <c r="FD18" s="1599"/>
      <c r="FE18" s="739"/>
      <c r="FF18" s="739"/>
      <c r="FG18" s="475"/>
      <c r="FH18" s="739"/>
      <c r="FI18" s="1599"/>
      <c r="FJ18" s="1599"/>
      <c r="FK18" s="1599"/>
      <c r="FL18" s="1599"/>
      <c r="FM18" s="1599"/>
      <c r="FN18" s="739"/>
      <c r="FO18" s="1599"/>
      <c r="FP18" s="1599"/>
      <c r="FQ18" s="739"/>
      <c r="FR18" s="739"/>
      <c r="FS18" s="475"/>
      <c r="FT18" s="739"/>
      <c r="FU18" s="1599"/>
      <c r="FV18" s="1599"/>
      <c r="FW18" s="1599"/>
      <c r="FX18" s="1599"/>
      <c r="FY18" s="1599"/>
      <c r="FZ18" s="739"/>
      <c r="GA18" s="1599"/>
      <c r="GB18" s="1599"/>
      <c r="GC18" s="739"/>
      <c r="GD18" s="739"/>
      <c r="GE18" s="475"/>
      <c r="GF18" s="739"/>
      <c r="GG18" s="1599"/>
      <c r="GH18" s="1599"/>
      <c r="GI18" s="1599"/>
      <c r="GJ18" s="1599"/>
      <c r="GK18" s="1599"/>
    </row>
    <row r="19" spans="1:221" ht="17.399999999999999">
      <c r="A19" s="697">
        <v>7</v>
      </c>
      <c r="B19" s="1429"/>
      <c r="C19" s="1412" t="s">
        <v>124</v>
      </c>
      <c r="D19" s="1412">
        <v>153</v>
      </c>
      <c r="E19" s="2363" t="s">
        <v>542</v>
      </c>
      <c r="F19" s="739"/>
      <c r="G19" s="739"/>
      <c r="H19" s="739"/>
      <c r="I19" s="475">
        <f>+'Appendix A'!H257</f>
        <v>2.515331033765324E-2</v>
      </c>
      <c r="L19" s="705"/>
      <c r="M19" s="1460"/>
      <c r="Q19" s="2363" t="s">
        <v>542</v>
      </c>
      <c r="T19" s="739"/>
      <c r="U19" s="739"/>
      <c r="V19" s="475">
        <f>+I19</f>
        <v>2.515331033765324E-2</v>
      </c>
      <c r="Z19" s="2363" t="s">
        <v>542</v>
      </c>
      <c r="AC19" s="739"/>
      <c r="AD19" s="739"/>
      <c r="AE19" s="475">
        <f>+V19</f>
        <v>2.515331033765324E-2</v>
      </c>
      <c r="AI19" s="739"/>
      <c r="AJ19" s="475"/>
      <c r="AK19" s="697"/>
      <c r="AL19" s="2363" t="s">
        <v>542</v>
      </c>
      <c r="AO19" s="739"/>
      <c r="AP19" s="739"/>
      <c r="AQ19" s="475">
        <f>+AE19</f>
        <v>2.515331033765324E-2</v>
      </c>
      <c r="AR19" s="1599"/>
      <c r="AS19" s="1599"/>
      <c r="AT19" s="1599"/>
      <c r="AU19" s="739"/>
      <c r="AV19" s="475"/>
      <c r="AW19" s="697"/>
      <c r="AX19" s="2363" t="s">
        <v>542</v>
      </c>
      <c r="AY19" s="1599"/>
      <c r="AZ19" s="1599"/>
      <c r="BA19" s="739"/>
      <c r="BB19" s="739"/>
      <c r="BC19" s="475">
        <f>+AQ19</f>
        <v>2.515331033765324E-2</v>
      </c>
      <c r="BD19" s="1599"/>
      <c r="BE19" s="1599"/>
      <c r="BF19" s="1599"/>
      <c r="BG19" s="739"/>
      <c r="BH19" s="475"/>
      <c r="BI19" s="697"/>
      <c r="BJ19" s="2363" t="s">
        <v>542</v>
      </c>
      <c r="BK19" s="1599"/>
      <c r="BL19" s="1599"/>
      <c r="BM19" s="1599"/>
      <c r="BN19" s="1599"/>
      <c r="BO19" s="475">
        <f>+BC19</f>
        <v>2.515331033765324E-2</v>
      </c>
      <c r="BP19" s="1599"/>
      <c r="BQ19" s="1599"/>
      <c r="BR19" s="1599"/>
      <c r="BS19" s="705"/>
      <c r="BT19" s="739"/>
      <c r="BU19" s="475"/>
      <c r="BV19" s="2363" t="s">
        <v>542</v>
      </c>
      <c r="BW19" s="1599"/>
      <c r="BX19" s="1599"/>
      <c r="BY19" s="739"/>
      <c r="BZ19" s="739"/>
      <c r="CA19" s="475">
        <f>+BC19</f>
        <v>2.515331033765324E-2</v>
      </c>
      <c r="CB19" s="2363"/>
      <c r="CC19" s="1599"/>
      <c r="CD19" s="1599"/>
      <c r="CE19" s="1599"/>
      <c r="CF19" s="1599"/>
      <c r="CG19" s="697"/>
      <c r="CH19" s="2363" t="s">
        <v>542</v>
      </c>
      <c r="CI19" s="1599"/>
      <c r="CJ19" s="1599"/>
      <c r="CK19" s="739"/>
      <c r="CL19" s="739"/>
      <c r="CM19" s="475">
        <f>+BO19</f>
        <v>2.515331033765324E-2</v>
      </c>
      <c r="CN19" s="2363"/>
      <c r="CO19" s="1599"/>
      <c r="CP19" s="1599"/>
      <c r="CQ19" s="1599"/>
      <c r="CR19" s="1599"/>
      <c r="CS19" s="1599"/>
      <c r="CT19" s="2363" t="s">
        <v>542</v>
      </c>
      <c r="CU19" s="1599"/>
      <c r="CV19" s="1599"/>
      <c r="CW19" s="739"/>
      <c r="CX19" s="739"/>
      <c r="CY19" s="475">
        <f>+CA19</f>
        <v>2.515331033765324E-2</v>
      </c>
      <c r="CZ19" s="2363"/>
      <c r="DA19" s="1599"/>
      <c r="DB19" s="1599"/>
      <c r="DC19" s="1599"/>
      <c r="DD19" s="1599"/>
      <c r="DE19" s="1599"/>
      <c r="DF19" s="2363" t="s">
        <v>542</v>
      </c>
      <c r="DG19" s="1599"/>
      <c r="DH19" s="1599"/>
      <c r="DI19" s="739"/>
      <c r="DJ19" s="739"/>
      <c r="DK19" s="475">
        <f>+CM19</f>
        <v>2.515331033765324E-2</v>
      </c>
      <c r="DL19" s="2363"/>
      <c r="DM19" s="1599"/>
      <c r="DN19" s="1599"/>
      <c r="DO19" s="1599"/>
      <c r="DP19" s="1599"/>
      <c r="DQ19" s="1599"/>
      <c r="DR19" s="2363" t="s">
        <v>542</v>
      </c>
      <c r="DS19" s="1599"/>
      <c r="DT19" s="1599"/>
      <c r="DU19" s="739"/>
      <c r="DV19" s="739"/>
      <c r="DW19" s="475">
        <f>+CY19</f>
        <v>2.515331033765324E-2</v>
      </c>
      <c r="DX19" s="2363"/>
      <c r="DY19" s="1599"/>
      <c r="DZ19" s="1599"/>
      <c r="EA19" s="1599"/>
      <c r="EB19" s="1599"/>
      <c r="EC19" s="1599"/>
      <c r="ED19" s="2363" t="s">
        <v>542</v>
      </c>
      <c r="EE19" s="1599"/>
      <c r="EF19" s="1599"/>
      <c r="EG19" s="739"/>
      <c r="EH19" s="739"/>
      <c r="EI19" s="475">
        <f>+DK19</f>
        <v>2.515331033765324E-2</v>
      </c>
      <c r="EJ19" s="2363"/>
      <c r="EK19" s="1599"/>
      <c r="EL19" s="1599"/>
      <c r="EM19" s="1599"/>
      <c r="EN19" s="1599"/>
      <c r="EO19" s="1599"/>
      <c r="EP19" s="2363" t="s">
        <v>542</v>
      </c>
      <c r="EQ19" s="1599"/>
      <c r="ER19" s="1599"/>
      <c r="ES19" s="739"/>
      <c r="ET19" s="739"/>
      <c r="EU19" s="475">
        <f>+DW19</f>
        <v>2.515331033765324E-2</v>
      </c>
      <c r="EV19" s="2363"/>
      <c r="EW19" s="1599"/>
      <c r="EX19" s="1599"/>
      <c r="EY19" s="1599"/>
      <c r="EZ19" s="1599"/>
      <c r="FA19" s="1599"/>
      <c r="FB19" s="2363" t="s">
        <v>542</v>
      </c>
      <c r="FC19" s="1599"/>
      <c r="FD19" s="1599"/>
      <c r="FE19" s="739"/>
      <c r="FF19" s="739"/>
      <c r="FG19" s="475">
        <f>+EI19</f>
        <v>2.515331033765324E-2</v>
      </c>
      <c r="FH19" s="2363"/>
      <c r="FI19" s="1599"/>
      <c r="FJ19" s="1599"/>
      <c r="FK19" s="1599"/>
      <c r="FL19" s="1599"/>
      <c r="FM19" s="1599"/>
      <c r="FN19" s="2363" t="s">
        <v>542</v>
      </c>
      <c r="FO19" s="1599"/>
      <c r="FP19" s="1599"/>
      <c r="FQ19" s="739"/>
      <c r="FR19" s="739"/>
      <c r="FS19" s="475">
        <f>+EU19</f>
        <v>2.515331033765324E-2</v>
      </c>
      <c r="FT19" s="2363"/>
      <c r="FU19" s="1599"/>
      <c r="FV19" s="1599"/>
      <c r="FW19" s="1599"/>
      <c r="FX19" s="1599"/>
      <c r="FY19" s="1599"/>
      <c r="FZ19" s="2363" t="s">
        <v>542</v>
      </c>
      <c r="GA19" s="1599"/>
      <c r="GB19" s="1599"/>
      <c r="GC19" s="739"/>
      <c r="GD19" s="739"/>
      <c r="GE19" s="475">
        <f>+FG19</f>
        <v>2.515331033765324E-2</v>
      </c>
      <c r="GF19" s="2363"/>
      <c r="GG19" s="1599"/>
      <c r="GH19" s="1599"/>
      <c r="GI19" s="1599"/>
      <c r="GJ19" s="1599"/>
      <c r="GK19" s="1599"/>
    </row>
    <row r="20" spans="1:221" ht="17.399999999999999">
      <c r="A20" s="697"/>
      <c r="B20" s="1429"/>
      <c r="C20" s="1412"/>
      <c r="D20" s="1412"/>
      <c r="E20" s="2363"/>
      <c r="F20" s="739"/>
      <c r="G20" s="739"/>
      <c r="H20" s="739"/>
      <c r="I20" s="475"/>
      <c r="L20" s="30"/>
      <c r="Q20" s="2363"/>
      <c r="T20" s="739"/>
      <c r="U20" s="739"/>
      <c r="V20" s="739"/>
      <c r="W20" s="475"/>
      <c r="Z20" s="2363"/>
      <c r="AC20" s="739"/>
      <c r="AD20" s="739"/>
      <c r="AE20" s="739"/>
      <c r="AF20" s="475"/>
      <c r="AI20" s="739"/>
      <c r="AJ20" s="475"/>
      <c r="AK20" s="697"/>
      <c r="AL20" s="2363"/>
      <c r="AO20" s="739"/>
      <c r="AP20" s="739"/>
      <c r="AQ20" s="739"/>
      <c r="AR20" s="475"/>
      <c r="AS20" s="1599"/>
      <c r="AT20" s="1599"/>
      <c r="AU20" s="739"/>
      <c r="AV20" s="475"/>
      <c r="AW20" s="697"/>
      <c r="AX20" s="2363"/>
      <c r="AY20" s="1599"/>
      <c r="AZ20" s="1599"/>
      <c r="BA20" s="739"/>
      <c r="BB20" s="739"/>
      <c r="BC20" s="739"/>
      <c r="BD20" s="475"/>
      <c r="BE20" s="1599"/>
      <c r="BF20" s="1599"/>
      <c r="BG20" s="739"/>
      <c r="BH20" s="475"/>
      <c r="BI20" s="697"/>
      <c r="BJ20" s="2363"/>
      <c r="BK20" s="1599"/>
      <c r="BL20" s="1599"/>
      <c r="BM20" s="1599"/>
      <c r="BN20" s="1599"/>
      <c r="BO20" s="1599"/>
      <c r="BP20" s="1599"/>
      <c r="BQ20" s="1599"/>
      <c r="BR20" s="1599"/>
      <c r="BS20" s="705"/>
      <c r="BT20" s="739"/>
      <c r="BU20" s="739"/>
      <c r="BV20" s="2363"/>
      <c r="BW20" s="1599"/>
      <c r="BX20" s="1599"/>
      <c r="BY20" s="739"/>
      <c r="BZ20" s="739"/>
      <c r="CA20" s="739"/>
      <c r="CB20" s="2363"/>
      <c r="CC20" s="1599"/>
      <c r="CD20" s="1599"/>
      <c r="CE20" s="475"/>
      <c r="CF20" s="1599"/>
      <c r="CG20" s="697"/>
      <c r="CH20" s="2363"/>
      <c r="CI20" s="1599"/>
      <c r="CJ20" s="1599"/>
      <c r="CK20" s="739"/>
      <c r="CL20" s="739"/>
      <c r="CM20" s="739"/>
      <c r="CN20" s="2363"/>
      <c r="CO20" s="1599"/>
      <c r="CP20" s="1599"/>
      <c r="CQ20" s="475"/>
      <c r="CR20" s="1599"/>
      <c r="CS20" s="1599"/>
      <c r="CT20" s="2363"/>
      <c r="CU20" s="1599"/>
      <c r="CV20" s="1599"/>
      <c r="CW20" s="739"/>
      <c r="CX20" s="739"/>
      <c r="CY20" s="739"/>
      <c r="CZ20" s="2363"/>
      <c r="DA20" s="1599"/>
      <c r="DB20" s="1599"/>
      <c r="DC20" s="475"/>
      <c r="DD20" s="1599"/>
      <c r="DE20" s="1599"/>
      <c r="DF20" s="2363"/>
      <c r="DG20" s="1599"/>
      <c r="DH20" s="1599"/>
      <c r="DI20" s="739"/>
      <c r="DJ20" s="739"/>
      <c r="DK20" s="739"/>
      <c r="DL20" s="2363"/>
      <c r="DM20" s="1599"/>
      <c r="DN20" s="1599"/>
      <c r="DO20" s="475"/>
      <c r="DP20" s="1599"/>
      <c r="DQ20" s="1599"/>
      <c r="DR20" s="2363"/>
      <c r="DS20" s="1599"/>
      <c r="DT20" s="1599"/>
      <c r="DU20" s="739"/>
      <c r="DV20" s="739"/>
      <c r="DW20" s="739"/>
      <c r="DX20" s="2363"/>
      <c r="DY20" s="1599"/>
      <c r="DZ20" s="1599"/>
      <c r="EA20" s="475"/>
      <c r="EB20" s="1599"/>
      <c r="EC20" s="1599"/>
      <c r="ED20" s="2363"/>
      <c r="EE20" s="1599"/>
      <c r="EF20" s="1599"/>
      <c r="EG20" s="739"/>
      <c r="EH20" s="739"/>
      <c r="EI20" s="739"/>
      <c r="EJ20" s="2363"/>
      <c r="EK20" s="1599"/>
      <c r="EL20" s="1599"/>
      <c r="EM20" s="475"/>
      <c r="EN20" s="1599"/>
      <c r="EO20" s="1599"/>
      <c r="EP20" s="2363"/>
      <c r="EQ20" s="1599"/>
      <c r="ER20" s="1599"/>
      <c r="ES20" s="739"/>
      <c r="ET20" s="739"/>
      <c r="EU20" s="739"/>
      <c r="EV20" s="2363"/>
      <c r="EW20" s="1599"/>
      <c r="EX20" s="1599"/>
      <c r="EY20" s="475"/>
      <c r="EZ20" s="1599"/>
      <c r="FA20" s="1599"/>
      <c r="FB20" s="2363"/>
      <c r="FC20" s="1599"/>
      <c r="FD20" s="1599"/>
      <c r="FE20" s="739"/>
      <c r="FF20" s="739"/>
      <c r="FG20" s="739"/>
      <c r="FH20" s="2363"/>
      <c r="FI20" s="1599"/>
      <c r="FJ20" s="1599"/>
      <c r="FK20" s="475"/>
      <c r="FL20" s="1599"/>
      <c r="FM20" s="1599"/>
      <c r="FN20" s="2363"/>
      <c r="FO20" s="1599"/>
      <c r="FP20" s="1599"/>
      <c r="FQ20" s="739"/>
      <c r="FR20" s="739"/>
      <c r="FS20" s="739"/>
      <c r="FT20" s="2363"/>
      <c r="FU20" s="1599"/>
      <c r="FV20" s="1599"/>
      <c r="FW20" s="475"/>
      <c r="FX20" s="1599"/>
      <c r="FY20" s="1599"/>
      <c r="FZ20" s="2363"/>
      <c r="GA20" s="1599"/>
      <c r="GB20" s="1599"/>
      <c r="GC20" s="739"/>
      <c r="GD20" s="739"/>
      <c r="GE20" s="739"/>
      <c r="GF20" s="2363"/>
      <c r="GG20" s="1599"/>
      <c r="GH20" s="1599"/>
      <c r="GI20" s="475"/>
      <c r="GJ20" s="1599"/>
      <c r="GK20" s="1599"/>
    </row>
    <row r="21" spans="1:221" s="739" customFormat="1" ht="18">
      <c r="A21" s="1412"/>
      <c r="B21" s="2363"/>
      <c r="D21" s="989"/>
      <c r="E21" s="989" t="s">
        <v>838</v>
      </c>
      <c r="F21" s="2357"/>
      <c r="G21" s="2357"/>
      <c r="H21" s="990"/>
      <c r="I21" s="990"/>
      <c r="J21" s="990"/>
      <c r="K21" s="990"/>
      <c r="L21" s="705"/>
      <c r="Q21" s="757" t="str">
        <f t="shared" ref="Q21:Q26" si="0">+E21</f>
        <v>The FCR resulting from Formula in a given year is used for that year only.</v>
      </c>
      <c r="T21" s="757"/>
      <c r="U21" s="2362"/>
      <c r="V21" s="2362"/>
      <c r="W21" s="758"/>
      <c r="X21" s="758"/>
      <c r="Z21" s="757" t="str">
        <f t="shared" ref="Z21:Z26" si="1">+Q21</f>
        <v>The FCR resulting from Formula in a given year is used for that year only.</v>
      </c>
      <c r="AC21" s="757"/>
      <c r="AD21" s="2362"/>
      <c r="AE21" s="2362"/>
      <c r="AF21" s="758"/>
      <c r="AG21" s="758"/>
      <c r="AI21" s="473"/>
      <c r="AJ21" s="475"/>
      <c r="AK21" s="470"/>
      <c r="AL21" s="757" t="str">
        <f t="shared" ref="AL21:AL26" si="2">+Z21</f>
        <v>The FCR resulting from Formula in a given year is used for that year only.</v>
      </c>
      <c r="AO21" s="757"/>
      <c r="AP21" s="2362"/>
      <c r="AQ21" s="2362"/>
      <c r="AR21" s="758"/>
      <c r="AS21" s="758"/>
      <c r="AU21" s="473"/>
      <c r="AV21" s="475"/>
      <c r="AW21" s="470"/>
      <c r="AX21" s="757" t="str">
        <f t="shared" ref="AX21:AX26" si="3">+AL21</f>
        <v>The FCR resulting from Formula in a given year is used for that year only.</v>
      </c>
      <c r="BA21" s="757"/>
      <c r="BB21" s="2362"/>
      <c r="BC21" s="2362"/>
      <c r="BD21" s="758"/>
      <c r="BE21" s="758"/>
      <c r="BG21" s="473"/>
      <c r="BH21" s="475"/>
      <c r="BI21" s="470"/>
      <c r="BJ21" s="757" t="str">
        <f t="shared" ref="BJ21:BJ26" si="4">+AX21</f>
        <v>The FCR resulting from Formula in a given year is used for that year only.</v>
      </c>
      <c r="BS21" s="989"/>
      <c r="BT21" s="2362"/>
      <c r="BU21" s="2362"/>
      <c r="BV21" s="757" t="s">
        <v>838</v>
      </c>
      <c r="BY21" s="757"/>
      <c r="BZ21" s="2362"/>
      <c r="CA21" s="2362"/>
      <c r="CB21" s="757"/>
      <c r="CE21" s="758"/>
      <c r="CF21" s="758"/>
      <c r="CG21" s="470"/>
      <c r="CH21" s="757" t="s">
        <v>838</v>
      </c>
      <c r="CK21" s="757"/>
      <c r="CL21" s="2362"/>
      <c r="CM21" s="2362"/>
      <c r="CN21" s="757"/>
      <c r="CQ21" s="758"/>
      <c r="CR21" s="758"/>
      <c r="CT21" s="757" t="s">
        <v>838</v>
      </c>
      <c r="CW21" s="757"/>
      <c r="CX21" s="2362"/>
      <c r="CY21" s="2362"/>
      <c r="CZ21" s="757"/>
      <c r="DC21" s="758"/>
      <c r="DD21" s="758"/>
      <c r="DF21" s="757" t="s">
        <v>838</v>
      </c>
      <c r="DI21" s="757"/>
      <c r="DJ21" s="2362"/>
      <c r="DK21" s="2362"/>
      <c r="DL21" s="757"/>
      <c r="DO21" s="758"/>
      <c r="DP21" s="758"/>
      <c r="DR21" s="757" t="s">
        <v>838</v>
      </c>
      <c r="DU21" s="757"/>
      <c r="DV21" s="2362"/>
      <c r="DW21" s="2362"/>
      <c r="DX21" s="757"/>
      <c r="EA21" s="758"/>
      <c r="EB21" s="758"/>
      <c r="ED21" s="757" t="s">
        <v>838</v>
      </c>
      <c r="EG21" s="757"/>
      <c r="EH21" s="2362"/>
      <c r="EI21" s="2362"/>
      <c r="EJ21" s="757"/>
      <c r="EM21" s="758"/>
      <c r="EN21" s="758"/>
      <c r="EP21" s="757" t="s">
        <v>838</v>
      </c>
      <c r="ES21" s="757"/>
      <c r="ET21" s="2362"/>
      <c r="EU21" s="2362"/>
      <c r="EV21" s="757"/>
      <c r="EY21" s="758"/>
      <c r="EZ21" s="758"/>
      <c r="FB21" s="757" t="s">
        <v>838</v>
      </c>
      <c r="FE21" s="757"/>
      <c r="FF21" s="2362"/>
      <c r="FG21" s="2362"/>
      <c r="FH21" s="757"/>
      <c r="FK21" s="758"/>
      <c r="FL21" s="758"/>
      <c r="FN21" s="757" t="s">
        <v>838</v>
      </c>
      <c r="FQ21" s="757"/>
      <c r="FR21" s="2362"/>
      <c r="FS21" s="2362"/>
      <c r="FT21" s="757"/>
      <c r="FW21" s="758"/>
      <c r="FX21" s="758"/>
      <c r="FZ21" s="757" t="s">
        <v>838</v>
      </c>
      <c r="GC21" s="757"/>
      <c r="GD21" s="2362"/>
      <c r="GE21" s="2362"/>
      <c r="GF21" s="757"/>
      <c r="GI21" s="758"/>
      <c r="GJ21" s="758"/>
    </row>
    <row r="22" spans="1:221" ht="18">
      <c r="A22" s="697"/>
      <c r="B22" s="1429"/>
      <c r="D22" s="989"/>
      <c r="E22" s="989" t="s">
        <v>857</v>
      </c>
      <c r="F22" s="2357"/>
      <c r="G22" s="2357"/>
      <c r="H22" s="990"/>
      <c r="I22" s="990"/>
      <c r="J22" s="990"/>
      <c r="K22" s="990"/>
      <c r="L22" s="694"/>
      <c r="M22" s="560"/>
      <c r="Q22" s="757" t="str">
        <f t="shared" si="0"/>
        <v>Therefore actual revenues collected in a year do not change based on cost data for subsequent years.</v>
      </c>
      <c r="T22" s="757"/>
      <c r="U22" s="2362"/>
      <c r="V22" s="2362"/>
      <c r="W22" s="758"/>
      <c r="X22" s="758"/>
      <c r="Z22" s="757" t="str">
        <f t="shared" si="1"/>
        <v>Therefore actual revenues collected in a year do not change based on cost data for subsequent years.</v>
      </c>
      <c r="AC22" s="757"/>
      <c r="AD22" s="2362"/>
      <c r="AE22" s="2362"/>
      <c r="AF22" s="758"/>
      <c r="AG22" s="758"/>
      <c r="AI22" s="49"/>
      <c r="AJ22" s="49"/>
      <c r="AK22" s="49"/>
      <c r="AL22" s="757" t="str">
        <f t="shared" si="2"/>
        <v>Therefore actual revenues collected in a year do not change based on cost data for subsequent years.</v>
      </c>
      <c r="AO22" s="757"/>
      <c r="AP22" s="2362"/>
      <c r="AQ22" s="2362"/>
      <c r="AR22" s="758"/>
      <c r="AS22" s="758"/>
      <c r="AT22" s="1599"/>
      <c r="AU22" s="49"/>
      <c r="AV22" s="49"/>
      <c r="AW22" s="49"/>
      <c r="AX22" s="757" t="str">
        <f t="shared" si="3"/>
        <v>Therefore actual revenues collected in a year do not change based on cost data for subsequent years.</v>
      </c>
      <c r="AY22" s="1599"/>
      <c r="AZ22" s="1599"/>
      <c r="BA22" s="757"/>
      <c r="BB22" s="2362"/>
      <c r="BC22" s="2362"/>
      <c r="BD22" s="758"/>
      <c r="BE22" s="758"/>
      <c r="BF22" s="1599"/>
      <c r="BG22" s="49"/>
      <c r="BH22" s="49"/>
      <c r="BI22" s="49"/>
      <c r="BJ22" s="757" t="str">
        <f t="shared" si="4"/>
        <v>Therefore actual revenues collected in a year do not change based on cost data for subsequent years.</v>
      </c>
      <c r="BK22" s="1599"/>
      <c r="BL22" s="1599"/>
      <c r="BM22" s="1599"/>
      <c r="BN22" s="1599"/>
      <c r="BO22" s="1599"/>
      <c r="BP22" s="1599"/>
      <c r="BQ22" s="1599"/>
      <c r="BR22" s="1599"/>
      <c r="BS22" s="989"/>
      <c r="BT22" s="2362"/>
      <c r="BU22" s="2362"/>
      <c r="BV22" s="757" t="s">
        <v>857</v>
      </c>
      <c r="BW22" s="1599"/>
      <c r="BX22" s="1599"/>
      <c r="BY22" s="757"/>
      <c r="BZ22" s="2362"/>
      <c r="CA22" s="2362"/>
      <c r="CB22" s="757"/>
      <c r="CC22" s="1599"/>
      <c r="CD22" s="1599"/>
      <c r="CE22" s="758"/>
      <c r="CF22" s="758"/>
      <c r="CG22" s="49"/>
      <c r="CH22" s="757" t="s">
        <v>857</v>
      </c>
      <c r="CI22" s="1599"/>
      <c r="CJ22" s="1599"/>
      <c r="CK22" s="757"/>
      <c r="CL22" s="2362"/>
      <c r="CM22" s="2362"/>
      <c r="CN22" s="757"/>
      <c r="CO22" s="1599"/>
      <c r="CP22" s="1599"/>
      <c r="CQ22" s="758"/>
      <c r="CR22" s="758"/>
      <c r="CS22" s="1599"/>
      <c r="CT22" s="757" t="s">
        <v>857</v>
      </c>
      <c r="CU22" s="1599"/>
      <c r="CV22" s="1599"/>
      <c r="CW22" s="757"/>
      <c r="CX22" s="2362"/>
      <c r="CY22" s="2362"/>
      <c r="CZ22" s="757"/>
      <c r="DA22" s="1599"/>
      <c r="DB22" s="1599"/>
      <c r="DC22" s="758"/>
      <c r="DD22" s="758"/>
      <c r="DE22" s="1599"/>
      <c r="DF22" s="757" t="s">
        <v>857</v>
      </c>
      <c r="DG22" s="1599"/>
      <c r="DH22" s="1599"/>
      <c r="DI22" s="757"/>
      <c r="DJ22" s="2362"/>
      <c r="DK22" s="2362"/>
      <c r="DL22" s="757"/>
      <c r="DM22" s="1599"/>
      <c r="DN22" s="1599"/>
      <c r="DO22" s="758"/>
      <c r="DP22" s="758"/>
      <c r="DQ22" s="1599"/>
      <c r="DR22" s="757" t="s">
        <v>857</v>
      </c>
      <c r="DS22" s="1599"/>
      <c r="DT22" s="1599"/>
      <c r="DU22" s="757"/>
      <c r="DV22" s="2362"/>
      <c r="DW22" s="2362"/>
      <c r="DX22" s="757"/>
      <c r="DY22" s="1599"/>
      <c r="DZ22" s="1599"/>
      <c r="EA22" s="758"/>
      <c r="EB22" s="758"/>
      <c r="EC22" s="1599"/>
      <c r="ED22" s="757" t="s">
        <v>857</v>
      </c>
      <c r="EE22" s="1599"/>
      <c r="EF22" s="1599"/>
      <c r="EG22" s="757"/>
      <c r="EH22" s="2362"/>
      <c r="EI22" s="2362"/>
      <c r="EJ22" s="757"/>
      <c r="EK22" s="1599"/>
      <c r="EL22" s="1599"/>
      <c r="EM22" s="758"/>
      <c r="EN22" s="758"/>
      <c r="EO22" s="1599"/>
      <c r="EP22" s="757" t="s">
        <v>857</v>
      </c>
      <c r="EQ22" s="1599"/>
      <c r="ER22" s="1599"/>
      <c r="ES22" s="757"/>
      <c r="ET22" s="2362"/>
      <c r="EU22" s="2362"/>
      <c r="EV22" s="757"/>
      <c r="EW22" s="1599"/>
      <c r="EX22" s="1599"/>
      <c r="EY22" s="758"/>
      <c r="EZ22" s="758"/>
      <c r="FA22" s="1599"/>
      <c r="FB22" s="757" t="s">
        <v>857</v>
      </c>
      <c r="FC22" s="1599"/>
      <c r="FD22" s="1599"/>
      <c r="FE22" s="757"/>
      <c r="FF22" s="2362"/>
      <c r="FG22" s="2362"/>
      <c r="FH22" s="757"/>
      <c r="FI22" s="1599"/>
      <c r="FJ22" s="1599"/>
      <c r="FK22" s="758"/>
      <c r="FL22" s="758"/>
      <c r="FM22" s="1599"/>
      <c r="FN22" s="757" t="s">
        <v>857</v>
      </c>
      <c r="FO22" s="1599"/>
      <c r="FP22" s="1599"/>
      <c r="FQ22" s="757"/>
      <c r="FR22" s="2362"/>
      <c r="FS22" s="2362"/>
      <c r="FT22" s="757"/>
      <c r="FU22" s="1599"/>
      <c r="FV22" s="1599"/>
      <c r="FW22" s="758"/>
      <c r="FX22" s="758"/>
      <c r="FY22" s="1599"/>
      <c r="FZ22" s="757" t="s">
        <v>857</v>
      </c>
      <c r="GA22" s="1599"/>
      <c r="GB22" s="1599"/>
      <c r="GC22" s="757"/>
      <c r="GD22" s="2362"/>
      <c r="GE22" s="2362"/>
      <c r="GF22" s="757"/>
      <c r="GG22" s="1599"/>
      <c r="GH22" s="1599"/>
      <c r="GI22" s="758"/>
      <c r="GJ22" s="758"/>
      <c r="GK22" s="1599"/>
    </row>
    <row r="23" spans="1:221" ht="18">
      <c r="A23" s="697">
        <v>8</v>
      </c>
      <c r="B23" s="1429"/>
      <c r="D23" s="989"/>
      <c r="E23" s="989" t="s">
        <v>858</v>
      </c>
      <c r="F23" s="2357"/>
      <c r="G23" s="2357"/>
      <c r="H23" s="2357"/>
      <c r="I23" s="2357"/>
      <c r="J23" s="990"/>
      <c r="K23" s="990"/>
      <c r="L23" s="694"/>
      <c r="M23" s="560"/>
      <c r="Q23" s="757" t="str">
        <f t="shared" si="0"/>
        <v>Per FERC Order dated December 30, 2011 in Docket No. ER12-296, the ROE for the Northeast Grid Reliability Project is 11.93%,</v>
      </c>
      <c r="T23" s="757"/>
      <c r="U23" s="2362"/>
      <c r="V23" s="2362"/>
      <c r="W23" s="2362"/>
      <c r="X23" s="2362"/>
      <c r="Z23" s="757" t="str">
        <f t="shared" si="1"/>
        <v>Per FERC Order dated December 30, 2011 in Docket No. ER12-296, the ROE for the Northeast Grid Reliability Project is 11.93%,</v>
      </c>
      <c r="AC23" s="757"/>
      <c r="AD23" s="2362"/>
      <c r="AE23" s="2362"/>
      <c r="AF23" s="2362"/>
      <c r="AG23" s="2362"/>
      <c r="AI23" s="49"/>
      <c r="AJ23" s="49"/>
      <c r="AK23" s="49"/>
      <c r="AL23" s="757" t="str">
        <f t="shared" si="2"/>
        <v>Per FERC Order dated December 30, 2011 in Docket No. ER12-296, the ROE for the Northeast Grid Reliability Project is 11.93%,</v>
      </c>
      <c r="AO23" s="757"/>
      <c r="AP23" s="2362"/>
      <c r="AQ23" s="2362"/>
      <c r="AR23" s="2362"/>
      <c r="AS23" s="2362"/>
      <c r="AT23" s="1599"/>
      <c r="AU23" s="49"/>
      <c r="AV23" s="49"/>
      <c r="AW23" s="49"/>
      <c r="AX23" s="757" t="str">
        <f t="shared" si="3"/>
        <v>Per FERC Order dated December 30, 2011 in Docket No. ER12-296, the ROE for the Northeast Grid Reliability Project is 11.93%,</v>
      </c>
      <c r="AY23" s="1599"/>
      <c r="AZ23" s="1599"/>
      <c r="BA23" s="757"/>
      <c r="BB23" s="2362"/>
      <c r="BC23" s="2362"/>
      <c r="BD23" s="2362"/>
      <c r="BE23" s="2362"/>
      <c r="BF23" s="1599"/>
      <c r="BG23" s="49"/>
      <c r="BH23" s="49"/>
      <c r="BI23" s="49"/>
      <c r="BJ23" s="757" t="str">
        <f t="shared" si="4"/>
        <v>Per FERC Order dated December 30, 2011 in Docket No. ER12-296, the ROE for the Northeast Grid Reliability Project is 11.93%,</v>
      </c>
      <c r="BK23" s="1599"/>
      <c r="BL23" s="1599"/>
      <c r="BM23" s="1599"/>
      <c r="BN23" s="1599"/>
      <c r="BO23" s="1599"/>
      <c r="BP23" s="1599"/>
      <c r="BQ23" s="1599"/>
      <c r="BR23" s="1599"/>
      <c r="BS23" s="989"/>
      <c r="BT23" s="2362"/>
      <c r="BU23" s="2362"/>
      <c r="BV23" s="757" t="s">
        <v>858</v>
      </c>
      <c r="BW23" s="1599"/>
      <c r="BX23" s="1599"/>
      <c r="BY23" s="757"/>
      <c r="BZ23" s="2362"/>
      <c r="CA23" s="2362"/>
      <c r="CB23" s="757"/>
      <c r="CC23" s="1599"/>
      <c r="CD23" s="1599"/>
      <c r="CE23" s="2362"/>
      <c r="CF23" s="2362"/>
      <c r="CG23" s="49"/>
      <c r="CH23" s="757" t="s">
        <v>858</v>
      </c>
      <c r="CI23" s="1599"/>
      <c r="CJ23" s="1599"/>
      <c r="CK23" s="757"/>
      <c r="CL23" s="2362"/>
      <c r="CM23" s="2362"/>
      <c r="CN23" s="757"/>
      <c r="CO23" s="1599"/>
      <c r="CP23" s="1599"/>
      <c r="CQ23" s="2362"/>
      <c r="CR23" s="2362"/>
      <c r="CS23" s="1599"/>
      <c r="CT23" s="757" t="s">
        <v>858</v>
      </c>
      <c r="CU23" s="1599"/>
      <c r="CV23" s="1599"/>
      <c r="CW23" s="757"/>
      <c r="CX23" s="2362"/>
      <c r="CY23" s="2362"/>
      <c r="CZ23" s="757"/>
      <c r="DA23" s="1599"/>
      <c r="DB23" s="1599"/>
      <c r="DC23" s="2362"/>
      <c r="DD23" s="2362"/>
      <c r="DE23" s="1599"/>
      <c r="DF23" s="757" t="s">
        <v>858</v>
      </c>
      <c r="DG23" s="1599"/>
      <c r="DH23" s="1599"/>
      <c r="DI23" s="757"/>
      <c r="DJ23" s="2362"/>
      <c r="DK23" s="2362"/>
      <c r="DL23" s="757"/>
      <c r="DM23" s="1599"/>
      <c r="DN23" s="1599"/>
      <c r="DO23" s="2362"/>
      <c r="DP23" s="2362"/>
      <c r="DQ23" s="1599"/>
      <c r="DR23" s="757" t="s">
        <v>858</v>
      </c>
      <c r="DS23" s="1599"/>
      <c r="DT23" s="1599"/>
      <c r="DU23" s="757"/>
      <c r="DV23" s="2362"/>
      <c r="DW23" s="2362"/>
      <c r="DX23" s="757"/>
      <c r="DY23" s="1599"/>
      <c r="DZ23" s="1599"/>
      <c r="EA23" s="2362"/>
      <c r="EB23" s="2362"/>
      <c r="EC23" s="1599"/>
      <c r="ED23" s="757" t="s">
        <v>858</v>
      </c>
      <c r="EE23" s="1599"/>
      <c r="EF23" s="1599"/>
      <c r="EG23" s="757"/>
      <c r="EH23" s="2362"/>
      <c r="EI23" s="2362"/>
      <c r="EJ23" s="757"/>
      <c r="EK23" s="1599"/>
      <c r="EL23" s="1599"/>
      <c r="EM23" s="2362"/>
      <c r="EN23" s="2362"/>
      <c r="EO23" s="1599"/>
      <c r="EP23" s="757" t="s">
        <v>858</v>
      </c>
      <c r="EQ23" s="1599"/>
      <c r="ER23" s="1599"/>
      <c r="ES23" s="757"/>
      <c r="ET23" s="2362"/>
      <c r="EU23" s="2362"/>
      <c r="EV23" s="757"/>
      <c r="EW23" s="1599"/>
      <c r="EX23" s="1599"/>
      <c r="EY23" s="2362"/>
      <c r="EZ23" s="2362"/>
      <c r="FA23" s="1599"/>
      <c r="FB23" s="757" t="s">
        <v>858</v>
      </c>
      <c r="FC23" s="1599"/>
      <c r="FD23" s="1599"/>
      <c r="FE23" s="757"/>
      <c r="FF23" s="2362"/>
      <c r="FG23" s="2362"/>
      <c r="FH23" s="757"/>
      <c r="FI23" s="1599"/>
      <c r="FJ23" s="1599"/>
      <c r="FK23" s="2362"/>
      <c r="FL23" s="2362"/>
      <c r="FM23" s="1599"/>
      <c r="FN23" s="757" t="s">
        <v>858</v>
      </c>
      <c r="FO23" s="1599"/>
      <c r="FP23" s="1599"/>
      <c r="FQ23" s="757"/>
      <c r="FR23" s="2362"/>
      <c r="FS23" s="2362"/>
      <c r="FT23" s="757"/>
      <c r="FU23" s="1599"/>
      <c r="FV23" s="1599"/>
      <c r="FW23" s="2362"/>
      <c r="FX23" s="2362"/>
      <c r="FY23" s="1599"/>
      <c r="FZ23" s="757" t="s">
        <v>858</v>
      </c>
      <c r="GA23" s="1599"/>
      <c r="GB23" s="1599"/>
      <c r="GC23" s="757"/>
      <c r="GD23" s="2362"/>
      <c r="GE23" s="2362"/>
      <c r="GF23" s="757"/>
      <c r="GG23" s="1599"/>
      <c r="GH23" s="1599"/>
      <c r="GI23" s="2362"/>
      <c r="GJ23" s="2362"/>
      <c r="GK23" s="1599"/>
    </row>
    <row r="24" spans="1:221" ht="18">
      <c r="A24" s="697"/>
      <c r="B24" s="1429"/>
      <c r="D24" s="989"/>
      <c r="E24" s="989" t="s">
        <v>859</v>
      </c>
      <c r="F24" s="2357"/>
      <c r="G24" s="2357"/>
      <c r="H24" s="2357"/>
      <c r="I24" s="2357"/>
      <c r="J24" s="990"/>
      <c r="K24" s="990"/>
      <c r="L24" s="694"/>
      <c r="M24" s="560"/>
      <c r="Q24" s="757" t="str">
        <f t="shared" si="0"/>
        <v>which includes a 25 basis-point transmission ROE adder as authorized by FERC to become effective January 1, 2012.</v>
      </c>
      <c r="T24" s="757"/>
      <c r="U24" s="2362"/>
      <c r="V24" s="2362"/>
      <c r="W24" s="2362"/>
      <c r="X24" s="2362"/>
      <c r="Z24" s="757" t="str">
        <f t="shared" si="1"/>
        <v>which includes a 25 basis-point transmission ROE adder as authorized by FERC to become effective January 1, 2012.</v>
      </c>
      <c r="AC24" s="757"/>
      <c r="AD24" s="2362"/>
      <c r="AE24" s="2362"/>
      <c r="AF24" s="2362"/>
      <c r="AG24" s="2362"/>
      <c r="AI24" s="49"/>
      <c r="AJ24" s="49"/>
      <c r="AK24" s="49"/>
      <c r="AL24" s="757" t="str">
        <f t="shared" si="2"/>
        <v>which includes a 25 basis-point transmission ROE adder as authorized by FERC to become effective January 1, 2012.</v>
      </c>
      <c r="AO24" s="757"/>
      <c r="AP24" s="2362"/>
      <c r="AQ24" s="2362"/>
      <c r="AR24" s="2362"/>
      <c r="AS24" s="2362"/>
      <c r="AT24" s="1599"/>
      <c r="AU24" s="49"/>
      <c r="AV24" s="49"/>
      <c r="AW24" s="49"/>
      <c r="AX24" s="757" t="str">
        <f t="shared" si="3"/>
        <v>which includes a 25 basis-point transmission ROE adder as authorized by FERC to become effective January 1, 2012.</v>
      </c>
      <c r="AY24" s="1599"/>
      <c r="AZ24" s="1599"/>
      <c r="BA24" s="757"/>
      <c r="BB24" s="2362"/>
      <c r="BC24" s="2362"/>
      <c r="BD24" s="2362"/>
      <c r="BE24" s="2362"/>
      <c r="BF24" s="1599"/>
      <c r="BG24" s="49"/>
      <c r="BH24" s="49"/>
      <c r="BI24" s="49"/>
      <c r="BJ24" s="757" t="str">
        <f t="shared" si="4"/>
        <v>which includes a 25 basis-point transmission ROE adder as authorized by FERC to become effective January 1, 2012.</v>
      </c>
      <c r="BK24" s="1599"/>
      <c r="BL24" s="1599"/>
      <c r="BM24" s="1599"/>
      <c r="BN24" s="1599"/>
      <c r="BO24" s="1599"/>
      <c r="BP24" s="1599"/>
      <c r="BQ24" s="1599"/>
      <c r="BR24" s="1599"/>
      <c r="BS24" s="989"/>
      <c r="BT24" s="2362"/>
      <c r="BU24" s="2362"/>
      <c r="BV24" s="757" t="s">
        <v>859</v>
      </c>
      <c r="BW24" s="1599"/>
      <c r="BX24" s="1599"/>
      <c r="BY24" s="757"/>
      <c r="BZ24" s="2362"/>
      <c r="CA24" s="2362"/>
      <c r="CB24" s="757"/>
      <c r="CC24" s="1599"/>
      <c r="CD24" s="1599"/>
      <c r="CE24" s="2362"/>
      <c r="CF24" s="2362"/>
      <c r="CG24" s="49"/>
      <c r="CH24" s="757" t="s">
        <v>859</v>
      </c>
      <c r="CI24" s="1599"/>
      <c r="CJ24" s="1599"/>
      <c r="CK24" s="757"/>
      <c r="CL24" s="2362"/>
      <c r="CM24" s="2362"/>
      <c r="CN24" s="757"/>
      <c r="CO24" s="1599"/>
      <c r="CP24" s="1599"/>
      <c r="CQ24" s="2362"/>
      <c r="CR24" s="2362"/>
      <c r="CS24" s="1599"/>
      <c r="CT24" s="757" t="s">
        <v>859</v>
      </c>
      <c r="CU24" s="1599"/>
      <c r="CV24" s="1599"/>
      <c r="CW24" s="757"/>
      <c r="CX24" s="2362"/>
      <c r="CY24" s="2362"/>
      <c r="CZ24" s="757"/>
      <c r="DA24" s="1599"/>
      <c r="DB24" s="1599"/>
      <c r="DC24" s="2362"/>
      <c r="DD24" s="2362"/>
      <c r="DE24" s="1599"/>
      <c r="DF24" s="757" t="s">
        <v>859</v>
      </c>
      <c r="DG24" s="1599"/>
      <c r="DH24" s="1599"/>
      <c r="DI24" s="757"/>
      <c r="DJ24" s="2362"/>
      <c r="DK24" s="2362"/>
      <c r="DL24" s="757"/>
      <c r="DM24" s="1599"/>
      <c r="DN24" s="1599"/>
      <c r="DO24" s="2362"/>
      <c r="DP24" s="2362"/>
      <c r="DQ24" s="1599"/>
      <c r="DR24" s="757" t="s">
        <v>859</v>
      </c>
      <c r="DS24" s="1599"/>
      <c r="DT24" s="1599"/>
      <c r="DU24" s="757"/>
      <c r="DV24" s="2362"/>
      <c r="DW24" s="2362"/>
      <c r="DX24" s="757"/>
      <c r="DY24" s="1599"/>
      <c r="DZ24" s="1599"/>
      <c r="EA24" s="2362"/>
      <c r="EB24" s="2362"/>
      <c r="EC24" s="1599"/>
      <c r="ED24" s="757" t="s">
        <v>859</v>
      </c>
      <c r="EE24" s="1599"/>
      <c r="EF24" s="1599"/>
      <c r="EG24" s="757"/>
      <c r="EH24" s="2362"/>
      <c r="EI24" s="2362"/>
      <c r="EJ24" s="757"/>
      <c r="EK24" s="1599"/>
      <c r="EL24" s="1599"/>
      <c r="EM24" s="2362"/>
      <c r="EN24" s="2362"/>
      <c r="EO24" s="1599"/>
      <c r="EP24" s="757" t="s">
        <v>859</v>
      </c>
      <c r="EQ24" s="1599"/>
      <c r="ER24" s="1599"/>
      <c r="ES24" s="757"/>
      <c r="ET24" s="2362"/>
      <c r="EU24" s="2362"/>
      <c r="EV24" s="757"/>
      <c r="EW24" s="1599"/>
      <c r="EX24" s="1599"/>
      <c r="EY24" s="2362"/>
      <c r="EZ24" s="2362"/>
      <c r="FA24" s="1599"/>
      <c r="FB24" s="757" t="s">
        <v>859</v>
      </c>
      <c r="FC24" s="1599"/>
      <c r="FD24" s="1599"/>
      <c r="FE24" s="757"/>
      <c r="FF24" s="2362"/>
      <c r="FG24" s="2362"/>
      <c r="FH24" s="757"/>
      <c r="FI24" s="1599"/>
      <c r="FJ24" s="1599"/>
      <c r="FK24" s="2362"/>
      <c r="FL24" s="2362"/>
      <c r="FM24" s="1599"/>
      <c r="FN24" s="757" t="s">
        <v>859</v>
      </c>
      <c r="FO24" s="1599"/>
      <c r="FP24" s="1599"/>
      <c r="FQ24" s="757"/>
      <c r="FR24" s="2362"/>
      <c r="FS24" s="2362"/>
      <c r="FT24" s="757"/>
      <c r="FU24" s="1599"/>
      <c r="FV24" s="1599"/>
      <c r="FW24" s="2362"/>
      <c r="FX24" s="2362"/>
      <c r="FY24" s="1599"/>
      <c r="FZ24" s="757" t="s">
        <v>859</v>
      </c>
      <c r="GA24" s="1599"/>
      <c r="GB24" s="1599"/>
      <c r="GC24" s="757"/>
      <c r="GD24" s="2362"/>
      <c r="GE24" s="2362"/>
      <c r="GF24" s="757"/>
      <c r="GG24" s="1599"/>
      <c r="GH24" s="1599"/>
      <c r="GI24" s="2362"/>
      <c r="GJ24" s="2362"/>
      <c r="GK24" s="1599"/>
    </row>
    <row r="25" spans="1:221" ht="18.75" customHeight="1">
      <c r="A25" s="697">
        <v>9</v>
      </c>
      <c r="B25" s="1429"/>
      <c r="D25" s="2360"/>
      <c r="E25" s="761" t="s">
        <v>860</v>
      </c>
      <c r="F25" s="761"/>
      <c r="G25" s="2361"/>
      <c r="H25" s="2361"/>
      <c r="I25" s="2361"/>
      <c r="J25" s="991"/>
      <c r="K25" s="2361"/>
      <c r="L25" s="694"/>
      <c r="M25" s="560"/>
      <c r="Q25" s="757" t="str">
        <f t="shared" si="0"/>
        <v xml:space="preserve">For abondoned plant lines 12, 14, 15, and 16 will be from Attachment 5 - Abandoned Transmission Projects, Line 17 is the </v>
      </c>
      <c r="T25" s="2359"/>
      <c r="U25" s="761"/>
      <c r="V25" s="2358"/>
      <c r="W25" s="2358"/>
      <c r="X25" s="2358"/>
      <c r="Z25" s="757" t="str">
        <f t="shared" si="1"/>
        <v xml:space="preserve">For abondoned plant lines 12, 14, 15, and 16 will be from Attachment 5 - Abandoned Transmission Projects, Line 17 is the </v>
      </c>
      <c r="AC25" s="2359"/>
      <c r="AD25" s="761"/>
      <c r="AE25" s="2358"/>
      <c r="AF25" s="2358"/>
      <c r="AG25" s="2358"/>
      <c r="AI25" s="271"/>
      <c r="AJ25" s="271"/>
      <c r="AK25" s="271"/>
      <c r="AL25" s="757" t="str">
        <f t="shared" si="2"/>
        <v xml:space="preserve">For abondoned plant lines 12, 14, 15, and 16 will be from Attachment 5 - Abandoned Transmission Projects, Line 17 is the </v>
      </c>
      <c r="AO25" s="2359"/>
      <c r="AP25" s="761"/>
      <c r="AQ25" s="2358"/>
      <c r="AR25" s="2358"/>
      <c r="AS25" s="2358"/>
      <c r="AT25" s="1599"/>
      <c r="AU25" s="271"/>
      <c r="AV25" s="271"/>
      <c r="AW25" s="271"/>
      <c r="AX25" s="757" t="str">
        <f t="shared" si="3"/>
        <v xml:space="preserve">For abondoned plant lines 12, 14, 15, and 16 will be from Attachment 5 - Abandoned Transmission Projects, Line 17 is the </v>
      </c>
      <c r="AY25" s="1599"/>
      <c r="AZ25" s="1599"/>
      <c r="BA25" s="2359"/>
      <c r="BB25" s="761"/>
      <c r="BC25" s="2358"/>
      <c r="BD25" s="2358"/>
      <c r="BE25" s="2358"/>
      <c r="BF25" s="1599"/>
      <c r="BG25" s="271"/>
      <c r="BH25" s="271"/>
      <c r="BI25" s="271"/>
      <c r="BJ25" s="757" t="str">
        <f t="shared" si="4"/>
        <v xml:space="preserve">For abondoned plant lines 12, 14, 15, and 16 will be from Attachment 5 - Abandoned Transmission Projects, Line 17 is the </v>
      </c>
      <c r="BK25" s="1599"/>
      <c r="BL25" s="1599"/>
      <c r="BM25" s="1599"/>
      <c r="BN25" s="1599"/>
      <c r="BO25" s="1599"/>
      <c r="BP25" s="1599"/>
      <c r="BQ25" s="1599"/>
      <c r="BR25" s="1599"/>
      <c r="BS25" s="2360"/>
      <c r="BT25" s="761"/>
      <c r="BU25" s="2358"/>
      <c r="BV25" s="757" t="s">
        <v>860</v>
      </c>
      <c r="BW25" s="1599"/>
      <c r="BX25" s="1599"/>
      <c r="BY25" s="2359"/>
      <c r="BZ25" s="761"/>
      <c r="CA25" s="2358"/>
      <c r="CB25" s="757"/>
      <c r="CC25" s="1599"/>
      <c r="CD25" s="1599"/>
      <c r="CE25" s="2358"/>
      <c r="CF25" s="2358"/>
      <c r="CG25" s="271"/>
      <c r="CH25" s="757" t="s">
        <v>860</v>
      </c>
      <c r="CI25" s="1599"/>
      <c r="CJ25" s="1599"/>
      <c r="CK25" s="2359"/>
      <c r="CL25" s="761"/>
      <c r="CM25" s="2358"/>
      <c r="CN25" s="757"/>
      <c r="CO25" s="1599"/>
      <c r="CP25" s="1599"/>
      <c r="CQ25" s="2358"/>
      <c r="CR25" s="2358"/>
      <c r="CS25" s="1599"/>
      <c r="CT25" s="757" t="s">
        <v>860</v>
      </c>
      <c r="CU25" s="1599"/>
      <c r="CV25" s="1599"/>
      <c r="CW25" s="2359"/>
      <c r="CX25" s="761"/>
      <c r="CY25" s="2358"/>
      <c r="CZ25" s="757"/>
      <c r="DA25" s="1599"/>
      <c r="DB25" s="1599"/>
      <c r="DC25" s="2358"/>
      <c r="DD25" s="2358"/>
      <c r="DE25" s="1599"/>
      <c r="DF25" s="757" t="s">
        <v>860</v>
      </c>
      <c r="DG25" s="1599"/>
      <c r="DH25" s="1599"/>
      <c r="DI25" s="2359"/>
      <c r="DJ25" s="761"/>
      <c r="DK25" s="2358"/>
      <c r="DL25" s="757"/>
      <c r="DM25" s="1599"/>
      <c r="DN25" s="1599"/>
      <c r="DO25" s="2358"/>
      <c r="DP25" s="2358"/>
      <c r="DQ25" s="1599"/>
      <c r="DR25" s="757" t="s">
        <v>860</v>
      </c>
      <c r="DS25" s="1599"/>
      <c r="DT25" s="1599"/>
      <c r="DU25" s="2359"/>
      <c r="DV25" s="761"/>
      <c r="DW25" s="2358"/>
      <c r="DX25" s="757"/>
      <c r="DY25" s="1599"/>
      <c r="DZ25" s="1599"/>
      <c r="EA25" s="2358"/>
      <c r="EB25" s="2358"/>
      <c r="EC25" s="1599"/>
      <c r="ED25" s="757" t="s">
        <v>860</v>
      </c>
      <c r="EE25" s="1599"/>
      <c r="EF25" s="1599"/>
      <c r="EG25" s="2359"/>
      <c r="EH25" s="761"/>
      <c r="EI25" s="2358"/>
      <c r="EJ25" s="757"/>
      <c r="EK25" s="1599"/>
      <c r="EL25" s="1599"/>
      <c r="EM25" s="2358"/>
      <c r="EN25" s="2358"/>
      <c r="EO25" s="1599"/>
      <c r="EP25" s="757" t="s">
        <v>860</v>
      </c>
      <c r="EQ25" s="1599"/>
      <c r="ER25" s="1599"/>
      <c r="ES25" s="2359"/>
      <c r="ET25" s="761"/>
      <c r="EU25" s="2358"/>
      <c r="EV25" s="757"/>
      <c r="EW25" s="1599"/>
      <c r="EX25" s="1599"/>
      <c r="EY25" s="2358"/>
      <c r="EZ25" s="2358"/>
      <c r="FA25" s="1599"/>
      <c r="FB25" s="757" t="s">
        <v>860</v>
      </c>
      <c r="FC25" s="1599"/>
      <c r="FD25" s="1599"/>
      <c r="FE25" s="2359"/>
      <c r="FF25" s="761"/>
      <c r="FG25" s="2358"/>
      <c r="FH25" s="757"/>
      <c r="FI25" s="1599"/>
      <c r="FJ25" s="1599"/>
      <c r="FK25" s="2358"/>
      <c r="FL25" s="2358"/>
      <c r="FM25" s="1599"/>
      <c r="FN25" s="757" t="s">
        <v>860</v>
      </c>
      <c r="FO25" s="1599"/>
      <c r="FP25" s="1599"/>
      <c r="FQ25" s="2359"/>
      <c r="FR25" s="761"/>
      <c r="FS25" s="2358"/>
      <c r="FT25" s="757"/>
      <c r="FU25" s="1599"/>
      <c r="FV25" s="1599"/>
      <c r="FW25" s="2358"/>
      <c r="FX25" s="2358"/>
      <c r="FY25" s="1599"/>
      <c r="FZ25" s="757" t="s">
        <v>860</v>
      </c>
      <c r="GA25" s="1599"/>
      <c r="GB25" s="1599"/>
      <c r="GC25" s="2359"/>
      <c r="GD25" s="761"/>
      <c r="GE25" s="2358"/>
      <c r="GF25" s="757"/>
      <c r="GG25" s="1599"/>
      <c r="GH25" s="1599"/>
      <c r="GI25" s="2358"/>
      <c r="GJ25" s="2358"/>
      <c r="GK25" s="1599"/>
    </row>
    <row r="26" spans="1:221" s="1500" customFormat="1" ht="25.5" customHeight="1">
      <c r="A26" s="977"/>
      <c r="B26" s="786"/>
      <c r="D26" s="759"/>
      <c r="E26" s="2357" t="s">
        <v>861</v>
      </c>
      <c r="F26" s="760"/>
      <c r="G26" s="760"/>
      <c r="H26" s="760"/>
      <c r="I26" s="760"/>
      <c r="J26" s="760"/>
      <c r="K26" s="760"/>
      <c r="Q26" s="757" t="str">
        <f t="shared" si="0"/>
        <v>13 month average balance from Attach  6a, and Line 19 will be number of months to be amortized in year plus one.</v>
      </c>
      <c r="T26" s="759"/>
      <c r="U26" s="760"/>
      <c r="V26" s="760"/>
      <c r="W26" s="760"/>
      <c r="X26" s="760"/>
      <c r="Z26" s="757" t="str">
        <f t="shared" si="1"/>
        <v>13 month average balance from Attach  6a, and Line 19 will be number of months to be amortized in year plus one.</v>
      </c>
      <c r="AC26" s="759"/>
      <c r="AD26" s="760"/>
      <c r="AE26" s="760"/>
      <c r="AF26" s="760"/>
      <c r="AG26" s="760"/>
      <c r="AI26" s="1424"/>
      <c r="AJ26" s="1424"/>
      <c r="AK26" s="1424"/>
      <c r="AL26" s="757" t="str">
        <f t="shared" si="2"/>
        <v>13 month average balance from Attach  6a, and Line 19 will be number of months to be amortized in year plus one.</v>
      </c>
      <c r="AO26" s="759"/>
      <c r="AP26" s="760"/>
      <c r="AQ26" s="760"/>
      <c r="AR26" s="760"/>
      <c r="AS26" s="760"/>
      <c r="AU26" s="1424"/>
      <c r="AV26" s="1424"/>
      <c r="AW26" s="1424"/>
      <c r="AX26" s="757" t="str">
        <f t="shared" si="3"/>
        <v>13 month average balance from Attach  6a, and Line 19 will be number of months to be amortized in year plus one.</v>
      </c>
      <c r="BA26" s="759"/>
      <c r="BB26" s="760"/>
      <c r="BC26" s="760"/>
      <c r="BD26" s="760"/>
      <c r="BE26" s="760"/>
      <c r="BG26" s="1424"/>
      <c r="BH26" s="1424"/>
      <c r="BI26" s="1424"/>
      <c r="BJ26" s="757" t="str">
        <f t="shared" si="4"/>
        <v>13 month average balance from Attach  6a, and Line 19 will be number of months to be amortized in year plus one.</v>
      </c>
      <c r="BS26" s="759"/>
      <c r="BT26" s="760"/>
      <c r="BU26" s="760"/>
      <c r="BV26" s="757" t="s">
        <v>861</v>
      </c>
      <c r="BY26" s="759"/>
      <c r="BZ26" s="760"/>
      <c r="CA26" s="760"/>
      <c r="CB26" s="757"/>
      <c r="CE26" s="760"/>
      <c r="CF26" s="760"/>
      <c r="CG26" s="1424"/>
      <c r="CH26" s="757" t="s">
        <v>861</v>
      </c>
      <c r="CK26" s="759"/>
      <c r="CL26" s="760"/>
      <c r="CM26" s="760"/>
      <c r="CN26" s="757"/>
      <c r="CQ26" s="760"/>
      <c r="CR26" s="760"/>
      <c r="CT26" s="757" t="s">
        <v>861</v>
      </c>
      <c r="CW26" s="759"/>
      <c r="CX26" s="760"/>
      <c r="CY26" s="760"/>
      <c r="CZ26" s="757"/>
      <c r="DC26" s="760"/>
      <c r="DD26" s="760"/>
      <c r="DF26" s="757" t="s">
        <v>861</v>
      </c>
      <c r="DI26" s="759"/>
      <c r="DJ26" s="760"/>
      <c r="DK26" s="760"/>
      <c r="DL26" s="757"/>
      <c r="DO26" s="760"/>
      <c r="DP26" s="760"/>
      <c r="DR26" s="757" t="s">
        <v>861</v>
      </c>
      <c r="DU26" s="759"/>
      <c r="DV26" s="760"/>
      <c r="DW26" s="760"/>
      <c r="DX26" s="757"/>
      <c r="EA26" s="760"/>
      <c r="EB26" s="760"/>
      <c r="ED26" s="757" t="s">
        <v>861</v>
      </c>
      <c r="EG26" s="759"/>
      <c r="EH26" s="760"/>
      <c r="EI26" s="760"/>
      <c r="EJ26" s="757"/>
      <c r="EM26" s="760"/>
      <c r="EN26" s="760"/>
      <c r="EP26" s="757" t="s">
        <v>861</v>
      </c>
      <c r="ES26" s="759"/>
      <c r="ET26" s="760"/>
      <c r="EU26" s="760"/>
      <c r="EV26" s="757"/>
      <c r="EY26" s="760"/>
      <c r="EZ26" s="760"/>
      <c r="FB26" s="757" t="s">
        <v>861</v>
      </c>
      <c r="FE26" s="759"/>
      <c r="FF26" s="760"/>
      <c r="FG26" s="760"/>
      <c r="FH26" s="757"/>
      <c r="FK26" s="760"/>
      <c r="FL26" s="760"/>
      <c r="FN26" s="757" t="s">
        <v>861</v>
      </c>
      <c r="FQ26" s="759"/>
      <c r="FR26" s="760"/>
      <c r="FS26" s="760"/>
      <c r="FT26" s="757"/>
      <c r="FW26" s="760"/>
      <c r="FX26" s="760"/>
      <c r="FZ26" s="757" t="s">
        <v>861</v>
      </c>
      <c r="GC26" s="759"/>
      <c r="GD26" s="760"/>
      <c r="GE26" s="760"/>
      <c r="GF26" s="757"/>
      <c r="GI26" s="760"/>
      <c r="GJ26" s="760"/>
    </row>
    <row r="27" spans="1:221" s="2399" customFormat="1" ht="25.5" customHeight="1" thickBot="1">
      <c r="A27" s="705"/>
      <c r="B27" s="1461"/>
      <c r="C27" s="1459"/>
      <c r="D27" s="1459"/>
      <c r="E27" s="2393"/>
      <c r="F27" s="2394"/>
      <c r="G27" s="2394"/>
      <c r="H27" s="2395"/>
      <c r="I27" s="2395"/>
      <c r="J27" s="2395"/>
      <c r="K27" s="2395"/>
      <c r="L27" s="2395"/>
      <c r="M27" s="2395"/>
      <c r="N27" s="2396"/>
      <c r="O27" s="2397"/>
      <c r="P27" s="2397"/>
      <c r="Q27" s="2397"/>
      <c r="R27" s="2398"/>
      <c r="S27" s="2398"/>
      <c r="T27" s="2398"/>
      <c r="U27" s="2398"/>
      <c r="V27" s="2398"/>
      <c r="W27" s="2398"/>
      <c r="X27" s="2398"/>
      <c r="Y27" s="2398"/>
      <c r="Z27" s="2397"/>
      <c r="AA27" s="2398"/>
      <c r="AB27" s="2398"/>
      <c r="AC27" s="2398"/>
      <c r="AD27" s="2398"/>
      <c r="AE27" s="2398"/>
      <c r="AF27" s="2398"/>
      <c r="AG27" s="2398"/>
      <c r="AH27" s="2398"/>
      <c r="AI27" s="2398"/>
      <c r="AJ27" s="2398"/>
      <c r="AK27" s="2398"/>
      <c r="AL27" s="2397"/>
      <c r="AM27" s="2398"/>
      <c r="AN27" s="2398"/>
      <c r="AO27" s="2398"/>
      <c r="AP27" s="2398"/>
      <c r="AQ27" s="2398"/>
      <c r="AR27" s="2398"/>
      <c r="AS27" s="2398"/>
      <c r="AT27" s="2398"/>
      <c r="AU27" s="2398"/>
      <c r="AV27" s="2398"/>
      <c r="AW27" s="2398"/>
      <c r="AX27" s="2397"/>
      <c r="AY27" s="2398"/>
      <c r="AZ27" s="2398"/>
      <c r="BA27" s="2398"/>
      <c r="BB27" s="2398"/>
      <c r="BC27" s="2398"/>
      <c r="BD27" s="2398"/>
      <c r="BE27" s="2398"/>
      <c r="BF27" s="2398"/>
      <c r="BG27" s="2398"/>
      <c r="BH27" s="2398"/>
      <c r="BI27" s="2398"/>
      <c r="BJ27" s="2397"/>
      <c r="BK27" s="2398"/>
      <c r="BL27" s="2398"/>
      <c r="BM27" s="2398"/>
      <c r="BN27" s="2398"/>
      <c r="BO27" s="2398"/>
      <c r="BP27" s="2398"/>
      <c r="BQ27" s="2398"/>
      <c r="BR27" s="2398"/>
      <c r="BS27" s="2398"/>
      <c r="BT27" s="2398"/>
      <c r="BU27" s="2398"/>
      <c r="BV27" s="2398"/>
      <c r="BW27" s="2398"/>
      <c r="BX27" s="2398"/>
      <c r="BY27" s="2398"/>
      <c r="BZ27" s="2398"/>
      <c r="CA27" s="2398"/>
      <c r="CB27" s="2398"/>
      <c r="CC27" s="2398"/>
      <c r="CD27" s="2398"/>
      <c r="CE27" s="2398"/>
      <c r="CF27" s="2398"/>
      <c r="CG27" s="2398"/>
      <c r="CH27" s="2397"/>
      <c r="CI27" s="2398"/>
      <c r="CJ27" s="2398"/>
      <c r="CK27" s="2398"/>
      <c r="CL27" s="2398"/>
      <c r="CM27" s="2398"/>
      <c r="CN27" s="2397"/>
      <c r="CO27" s="2398"/>
      <c r="CP27" s="2398"/>
      <c r="CQ27" s="2398"/>
      <c r="CR27" s="2398"/>
      <c r="CS27" s="2398"/>
      <c r="CT27" s="2397"/>
      <c r="CU27" s="2398"/>
      <c r="CV27" s="2398"/>
      <c r="CW27" s="2398"/>
      <c r="CX27" s="2398"/>
      <c r="CY27" s="2398"/>
      <c r="CZ27" s="2397"/>
      <c r="DA27" s="2398"/>
      <c r="DB27" s="2398"/>
      <c r="DC27" s="2398"/>
      <c r="DD27" s="2398"/>
      <c r="DE27" s="2398"/>
      <c r="DF27" s="2397"/>
      <c r="DG27" s="2398"/>
      <c r="DH27" s="2398"/>
      <c r="DI27" s="2398"/>
      <c r="DJ27" s="2398"/>
      <c r="DK27" s="2398"/>
      <c r="DL27" s="2397"/>
      <c r="DM27" s="2398"/>
      <c r="DN27" s="2398"/>
      <c r="DO27" s="2398"/>
      <c r="DP27" s="2398"/>
      <c r="DQ27" s="2398"/>
      <c r="DR27" s="2397"/>
      <c r="DS27" s="2398"/>
      <c r="DT27" s="2398"/>
      <c r="DU27" s="2398"/>
      <c r="DV27" s="2398"/>
      <c r="DW27" s="2398"/>
      <c r="DX27" s="2397"/>
      <c r="DY27" s="2398"/>
      <c r="DZ27" s="2398"/>
      <c r="EA27" s="2398"/>
      <c r="EB27" s="2398"/>
      <c r="EC27" s="2398"/>
      <c r="ED27" s="2397"/>
      <c r="EE27" s="2398"/>
      <c r="EF27" s="2398"/>
      <c r="EG27" s="2398"/>
      <c r="EH27" s="2398"/>
      <c r="EI27" s="2398"/>
      <c r="EJ27" s="2397"/>
      <c r="EK27" s="2398"/>
      <c r="EL27" s="2398"/>
      <c r="EM27" s="2398"/>
      <c r="EN27" s="2398"/>
      <c r="EO27" s="2398"/>
      <c r="EP27" s="2397"/>
      <c r="EQ27" s="2398"/>
      <c r="ER27" s="2398"/>
      <c r="ES27" s="2398"/>
      <c r="ET27" s="2398"/>
      <c r="EU27" s="2398"/>
      <c r="EV27" s="2397"/>
      <c r="EW27" s="2398"/>
      <c r="EX27" s="2398"/>
      <c r="EY27" s="2398"/>
      <c r="EZ27" s="2398"/>
      <c r="FA27" s="2398"/>
      <c r="FB27" s="2397"/>
      <c r="FC27" s="2398"/>
      <c r="FD27" s="2398"/>
      <c r="FE27" s="2398"/>
      <c r="FF27" s="2398"/>
      <c r="FG27" s="2398"/>
      <c r="FH27" s="2397"/>
      <c r="FI27" s="2398"/>
      <c r="FJ27" s="2398"/>
      <c r="FK27" s="2398"/>
      <c r="FL27" s="2398"/>
      <c r="FM27" s="2398"/>
      <c r="FN27" s="2397"/>
      <c r="FO27" s="2398"/>
      <c r="FP27" s="2398"/>
      <c r="FQ27" s="2398"/>
      <c r="FR27" s="2398"/>
      <c r="FS27" s="2398"/>
      <c r="FT27" s="2397"/>
      <c r="FU27" s="2398"/>
      <c r="FV27" s="2398"/>
      <c r="FW27" s="2398"/>
      <c r="FX27" s="2398"/>
      <c r="FY27" s="2398"/>
      <c r="FZ27" s="2397"/>
      <c r="GA27" s="2398"/>
      <c r="GB27" s="2398"/>
      <c r="GC27" s="2398"/>
      <c r="GD27" s="2398"/>
      <c r="GE27" s="2398"/>
      <c r="GF27" s="2397"/>
      <c r="GG27" s="2398"/>
      <c r="GH27" s="2398"/>
      <c r="GI27" s="2398"/>
      <c r="GJ27" s="2398"/>
      <c r="GK27" s="2398"/>
    </row>
    <row r="28" spans="1:221" ht="93.75" customHeight="1" thickBot="1">
      <c r="A28" s="778">
        <v>10</v>
      </c>
      <c r="B28" s="2356"/>
      <c r="C28" s="2355" t="s">
        <v>578</v>
      </c>
      <c r="D28" s="2354"/>
      <c r="E28" s="2657" t="s">
        <v>479</v>
      </c>
      <c r="F28" s="2658"/>
      <c r="G28" s="2659"/>
      <c r="H28" s="2669" t="s">
        <v>532</v>
      </c>
      <c r="I28" s="2670"/>
      <c r="J28" s="2671"/>
      <c r="K28" s="2660" t="s">
        <v>480</v>
      </c>
      <c r="L28" s="2661"/>
      <c r="M28" s="2662"/>
      <c r="N28" s="2663" t="s">
        <v>481</v>
      </c>
      <c r="O28" s="2664"/>
      <c r="P28" s="2665"/>
      <c r="Q28" s="2666" t="s">
        <v>482</v>
      </c>
      <c r="R28" s="2667"/>
      <c r="S28" s="2668"/>
      <c r="T28" s="2641" t="s">
        <v>328</v>
      </c>
      <c r="U28" s="2642"/>
      <c r="V28" s="2643"/>
      <c r="W28" s="2620" t="s">
        <v>531</v>
      </c>
      <c r="X28" s="2621"/>
      <c r="Y28" s="2622"/>
      <c r="Z28" s="2672" t="s">
        <v>184</v>
      </c>
      <c r="AA28" s="2673"/>
      <c r="AB28" s="2674"/>
      <c r="AC28" s="2644" t="s">
        <v>568</v>
      </c>
      <c r="AD28" s="2645"/>
      <c r="AE28" s="2646"/>
      <c r="AF28" s="2651" t="s">
        <v>77</v>
      </c>
      <c r="AG28" s="2652"/>
      <c r="AH28" s="2653"/>
      <c r="AI28" s="2675" t="s">
        <v>79</v>
      </c>
      <c r="AJ28" s="2676"/>
      <c r="AK28" s="2677"/>
      <c r="AL28" s="2678" t="s">
        <v>450</v>
      </c>
      <c r="AM28" s="2679"/>
      <c r="AN28" s="2680"/>
      <c r="AO28" s="2623" t="s">
        <v>1080</v>
      </c>
      <c r="AP28" s="2624"/>
      <c r="AQ28" s="2625"/>
      <c r="AR28" s="2654" t="s">
        <v>466</v>
      </c>
      <c r="AS28" s="2655"/>
      <c r="AT28" s="2656"/>
      <c r="AU28" s="2635" t="s">
        <v>724</v>
      </c>
      <c r="AV28" s="2636"/>
      <c r="AW28" s="2637"/>
      <c r="AX28" s="2629" t="s">
        <v>427</v>
      </c>
      <c r="AY28" s="2630"/>
      <c r="AZ28" s="2631"/>
      <c r="BA28" s="2647" t="s">
        <v>428</v>
      </c>
      <c r="BB28" s="2648"/>
      <c r="BC28" s="2649"/>
      <c r="BD28" s="2626" t="s">
        <v>971</v>
      </c>
      <c r="BE28" s="2627"/>
      <c r="BF28" s="2628"/>
      <c r="BG28" s="2632" t="s">
        <v>719</v>
      </c>
      <c r="BH28" s="2633"/>
      <c r="BI28" s="2634"/>
      <c r="BJ28" s="2614" t="s">
        <v>875</v>
      </c>
      <c r="BK28" s="2615"/>
      <c r="BL28" s="2616"/>
      <c r="BM28" s="2638" t="s">
        <v>1079</v>
      </c>
      <c r="BN28" s="2639"/>
      <c r="BO28" s="2640"/>
      <c r="BP28" s="2687" t="s">
        <v>1071</v>
      </c>
      <c r="BQ28" s="2688"/>
      <c r="BR28" s="2689"/>
      <c r="BS28" s="2617" t="s">
        <v>968</v>
      </c>
      <c r="BT28" s="2618"/>
      <c r="BU28" s="2619"/>
      <c r="BV28" s="2690" t="s">
        <v>967</v>
      </c>
      <c r="BW28" s="2691"/>
      <c r="BX28" s="2692"/>
      <c r="BY28" s="2684" t="s">
        <v>1078</v>
      </c>
      <c r="BZ28" s="2685"/>
      <c r="CA28" s="2686"/>
      <c r="CB28" s="2717" t="s">
        <v>909</v>
      </c>
      <c r="CC28" s="2718"/>
      <c r="CD28" s="2719"/>
      <c r="CE28" s="2708" t="s">
        <v>726</v>
      </c>
      <c r="CF28" s="2709"/>
      <c r="CG28" s="2710"/>
      <c r="CH28" s="2714" t="s">
        <v>912</v>
      </c>
      <c r="CI28" s="2715"/>
      <c r="CJ28" s="2716"/>
      <c r="CK28" s="2705" t="s">
        <v>722</v>
      </c>
      <c r="CL28" s="2706"/>
      <c r="CM28" s="2707"/>
      <c r="CN28" s="2702" t="s">
        <v>917</v>
      </c>
      <c r="CO28" s="2703"/>
      <c r="CP28" s="2704"/>
      <c r="CQ28" s="2699" t="s">
        <v>870</v>
      </c>
      <c r="CR28" s="2700"/>
      <c r="CS28" s="2701"/>
      <c r="CT28" s="2696" t="s">
        <v>880</v>
      </c>
      <c r="CU28" s="2697"/>
      <c r="CV28" s="2698"/>
      <c r="CW28" s="2711" t="s">
        <v>723</v>
      </c>
      <c r="CX28" s="2712"/>
      <c r="CY28" s="2713"/>
      <c r="CZ28" s="2623" t="s">
        <v>1077</v>
      </c>
      <c r="DA28" s="2624"/>
      <c r="DB28" s="2625"/>
      <c r="DC28" s="2678" t="s">
        <v>869</v>
      </c>
      <c r="DD28" s="2679"/>
      <c r="DE28" s="2680"/>
      <c r="DF28" s="2693" t="s">
        <v>735</v>
      </c>
      <c r="DG28" s="2694"/>
      <c r="DH28" s="2695"/>
      <c r="DI28" s="2681" t="s">
        <v>962</v>
      </c>
      <c r="DJ28" s="2682"/>
      <c r="DK28" s="2683"/>
      <c r="DL28" s="2675" t="s">
        <v>725</v>
      </c>
      <c r="DM28" s="2676"/>
      <c r="DN28" s="2677"/>
      <c r="DO28" s="2720" t="s">
        <v>863</v>
      </c>
      <c r="DP28" s="2721"/>
      <c r="DQ28" s="2722"/>
      <c r="DR28" s="2723" t="s">
        <v>853</v>
      </c>
      <c r="DS28" s="2724"/>
      <c r="DT28" s="2725"/>
      <c r="DU28" s="2726" t="s">
        <v>864</v>
      </c>
      <c r="DV28" s="2727"/>
      <c r="DW28" s="2728"/>
      <c r="DX28" s="2729" t="s">
        <v>960</v>
      </c>
      <c r="DY28" s="2730"/>
      <c r="DZ28" s="2731"/>
      <c r="EA28" s="2732" t="s">
        <v>959</v>
      </c>
      <c r="EB28" s="2733"/>
      <c r="EC28" s="2734"/>
      <c r="ED28" s="2735" t="s">
        <v>958</v>
      </c>
      <c r="EE28" s="2736"/>
      <c r="EF28" s="2737"/>
      <c r="EG28" s="2738" t="s">
        <v>957</v>
      </c>
      <c r="EH28" s="2739"/>
      <c r="EI28" s="2740"/>
      <c r="EJ28" s="2741" t="s">
        <v>956</v>
      </c>
      <c r="EK28" s="2742"/>
      <c r="EL28" s="2743"/>
      <c r="EM28" s="2744" t="s">
        <v>955</v>
      </c>
      <c r="EN28" s="2745"/>
      <c r="EO28" s="2746"/>
      <c r="EP28" s="2747" t="s">
        <v>954</v>
      </c>
      <c r="EQ28" s="2748"/>
      <c r="ER28" s="2749"/>
      <c r="ES28" s="2750" t="s">
        <v>953</v>
      </c>
      <c r="ET28" s="2751"/>
      <c r="EU28" s="2752"/>
      <c r="EV28" s="2753" t="s">
        <v>952</v>
      </c>
      <c r="EW28" s="2754"/>
      <c r="EX28" s="2755"/>
      <c r="EY28" s="2756" t="s">
        <v>951</v>
      </c>
      <c r="EZ28" s="2757"/>
      <c r="FA28" s="2758"/>
      <c r="FB28" s="2732" t="s">
        <v>950</v>
      </c>
      <c r="FC28" s="2733"/>
      <c r="FD28" s="2734"/>
      <c r="FE28" s="2759" t="s">
        <v>949</v>
      </c>
      <c r="FF28" s="2760"/>
      <c r="FG28" s="2761"/>
      <c r="FH28" s="2726" t="s">
        <v>948</v>
      </c>
      <c r="FI28" s="2727"/>
      <c r="FJ28" s="2728"/>
      <c r="FK28" s="2723" t="s">
        <v>947</v>
      </c>
      <c r="FL28" s="2724"/>
      <c r="FM28" s="2725"/>
      <c r="FN28" s="2768" t="s">
        <v>946</v>
      </c>
      <c r="FO28" s="2769"/>
      <c r="FP28" s="2770"/>
      <c r="FQ28" s="2753" t="s">
        <v>945</v>
      </c>
      <c r="FR28" s="2754"/>
      <c r="FS28" s="2755"/>
      <c r="FT28" s="2771" t="s">
        <v>944</v>
      </c>
      <c r="FU28" s="2772"/>
      <c r="FV28" s="2773"/>
      <c r="FW28" s="2762" t="s">
        <v>943</v>
      </c>
      <c r="FX28" s="2763"/>
      <c r="FY28" s="2764"/>
      <c r="FZ28" s="2765" t="s">
        <v>942</v>
      </c>
      <c r="GA28" s="2766"/>
      <c r="GB28" s="2767"/>
      <c r="GC28" s="2732" t="s">
        <v>941</v>
      </c>
      <c r="GD28" s="2733"/>
      <c r="GE28" s="2734"/>
      <c r="GF28" s="2641" t="s">
        <v>1083</v>
      </c>
      <c r="GG28" s="2642"/>
      <c r="GH28" s="2643"/>
      <c r="GI28" s="2353"/>
      <c r="GJ28" s="2352"/>
      <c r="GK28" s="2351"/>
      <c r="GL28" s="1598"/>
      <c r="GM28" s="694"/>
      <c r="GN28" s="694"/>
      <c r="GO28" s="694"/>
      <c r="GP28" s="694"/>
      <c r="GQ28" s="694"/>
      <c r="GR28" s="694"/>
      <c r="GS28" s="694"/>
      <c r="GT28" s="694"/>
      <c r="GU28" s="694"/>
      <c r="GV28" s="694"/>
      <c r="GW28" s="694"/>
      <c r="GX28" s="694"/>
      <c r="GY28" s="694"/>
      <c r="GZ28" s="694"/>
      <c r="HA28" s="694"/>
      <c r="HB28" s="694"/>
      <c r="HC28" s="694"/>
      <c r="HD28" s="694"/>
      <c r="HE28" s="694"/>
      <c r="HF28" s="694"/>
      <c r="HG28" s="694"/>
      <c r="HH28" s="694"/>
      <c r="HI28" s="694"/>
      <c r="HJ28" s="694"/>
      <c r="HK28" s="694"/>
      <c r="HL28" s="694"/>
      <c r="HM28" s="694"/>
    </row>
    <row r="29" spans="1:221" ht="54.75" customHeight="1">
      <c r="A29" s="784">
        <f t="shared" ref="A29:A35" si="5">+A28+1</f>
        <v>11</v>
      </c>
      <c r="B29" s="1862" t="s">
        <v>794</v>
      </c>
      <c r="C29" s="1880" t="s">
        <v>733</v>
      </c>
      <c r="D29" s="1795" t="s">
        <v>118</v>
      </c>
      <c r="E29" s="1146" t="s">
        <v>504</v>
      </c>
      <c r="F29" s="2350"/>
      <c r="G29" s="2349"/>
      <c r="H29" s="2348" t="s">
        <v>504</v>
      </c>
      <c r="I29" s="2347"/>
      <c r="J29" s="2346"/>
      <c r="K29" s="2345" t="s">
        <v>504</v>
      </c>
      <c r="L29" s="2344"/>
      <c r="M29" s="2343"/>
      <c r="N29" s="2089" t="s">
        <v>504</v>
      </c>
      <c r="O29" s="2135"/>
      <c r="P29" s="2342"/>
      <c r="Q29" s="2087" t="s">
        <v>504</v>
      </c>
      <c r="R29" s="2134"/>
      <c r="S29" s="2133"/>
      <c r="T29" s="2084" t="s">
        <v>504</v>
      </c>
      <c r="U29" s="1159"/>
      <c r="V29" s="1160"/>
      <c r="W29" s="2082" t="s">
        <v>504</v>
      </c>
      <c r="X29" s="2132"/>
      <c r="Y29" s="2131"/>
      <c r="Z29" s="2079" t="s">
        <v>504</v>
      </c>
      <c r="AA29" s="2130"/>
      <c r="AB29" s="2129"/>
      <c r="AC29" s="2076" t="s">
        <v>504</v>
      </c>
      <c r="AD29" s="2128"/>
      <c r="AE29" s="2127"/>
      <c r="AF29" s="2073" t="s">
        <v>504</v>
      </c>
      <c r="AG29" s="2126"/>
      <c r="AH29" s="2126"/>
      <c r="AI29" s="2039" t="s">
        <v>504</v>
      </c>
      <c r="AJ29" s="2125"/>
      <c r="AK29" s="2124"/>
      <c r="AL29" s="2069" t="s">
        <v>504</v>
      </c>
      <c r="AM29" s="2123"/>
      <c r="AN29" s="2122"/>
      <c r="AO29" s="2066" t="s">
        <v>504</v>
      </c>
      <c r="AP29" s="2121"/>
      <c r="AQ29" s="2120"/>
      <c r="AR29" s="2341" t="s">
        <v>504</v>
      </c>
      <c r="AS29" s="2340"/>
      <c r="AT29" s="2339"/>
      <c r="AU29" s="2060" t="s">
        <v>504</v>
      </c>
      <c r="AV29" s="1878"/>
      <c r="AW29" s="2117"/>
      <c r="AX29" s="2338" t="s">
        <v>504</v>
      </c>
      <c r="AY29" s="2337"/>
      <c r="AZ29" s="2336"/>
      <c r="BA29" s="2054" t="s">
        <v>504</v>
      </c>
      <c r="BB29" s="2114"/>
      <c r="BC29" s="2114"/>
      <c r="BD29" s="2335" t="s">
        <v>504</v>
      </c>
      <c r="BE29" s="2334"/>
      <c r="BF29" s="2333"/>
      <c r="BG29" s="1232" t="s">
        <v>504</v>
      </c>
      <c r="BH29" s="583"/>
      <c r="BI29" s="1233"/>
      <c r="BJ29" s="1857" t="s">
        <v>504</v>
      </c>
      <c r="BK29" s="1149"/>
      <c r="BL29" s="1790"/>
      <c r="BM29" s="1856" t="s">
        <v>504</v>
      </c>
      <c r="BN29" s="1788"/>
      <c r="BO29" s="1787"/>
      <c r="BP29" s="1855" t="s">
        <v>504</v>
      </c>
      <c r="BQ29" s="1785"/>
      <c r="BR29" s="1784"/>
      <c r="BS29" s="2332" t="s">
        <v>504</v>
      </c>
      <c r="BT29" s="2331"/>
      <c r="BU29" s="2330"/>
      <c r="BV29" s="2329" t="s">
        <v>504</v>
      </c>
      <c r="BW29" s="2328"/>
      <c r="BX29" s="2327"/>
      <c r="BY29" s="2326" t="s">
        <v>504</v>
      </c>
      <c r="BZ29" s="1776"/>
      <c r="CA29" s="1776"/>
      <c r="CB29" s="2042" t="s">
        <v>504</v>
      </c>
      <c r="CC29" s="2110"/>
      <c r="CD29" s="2109"/>
      <c r="CE29" s="1048" t="s">
        <v>504</v>
      </c>
      <c r="CF29" s="983"/>
      <c r="CG29" s="985"/>
      <c r="CH29" s="988" t="s">
        <v>504</v>
      </c>
      <c r="CI29" s="1051"/>
      <c r="CJ29" s="1051"/>
      <c r="CK29" s="2039" t="s">
        <v>504</v>
      </c>
      <c r="CL29" s="2108"/>
      <c r="CM29" s="2107"/>
      <c r="CN29" s="2036" t="s">
        <v>504</v>
      </c>
      <c r="CO29" s="2106"/>
      <c r="CP29" s="2106"/>
      <c r="CQ29" s="2325" t="s">
        <v>504</v>
      </c>
      <c r="CR29" s="2324"/>
      <c r="CS29" s="2323"/>
      <c r="CT29" s="2322" t="s">
        <v>504</v>
      </c>
      <c r="CU29" s="2321"/>
      <c r="CV29" s="2320"/>
      <c r="CW29" s="2319" t="s">
        <v>504</v>
      </c>
      <c r="CX29" s="2318"/>
      <c r="CY29" s="2317"/>
      <c r="CZ29" s="2025" t="s">
        <v>504</v>
      </c>
      <c r="DA29" s="2101"/>
      <c r="DB29" s="2100"/>
      <c r="DC29" s="2022" t="s">
        <v>504</v>
      </c>
      <c r="DD29" s="2099"/>
      <c r="DE29" s="2099"/>
      <c r="DF29" s="2316" t="s">
        <v>504</v>
      </c>
      <c r="DG29" s="2315"/>
      <c r="DH29" s="2314"/>
      <c r="DI29" s="1666" t="str">
        <f>+DF29</f>
        <v>Yes</v>
      </c>
      <c r="DJ29" s="1828"/>
      <c r="DK29" s="1828"/>
      <c r="DL29" s="2017" t="s">
        <v>504</v>
      </c>
      <c r="DM29" s="2097"/>
      <c r="DN29" s="2096"/>
      <c r="DO29" s="2014" t="s">
        <v>504</v>
      </c>
      <c r="DP29" s="1802"/>
      <c r="DQ29" s="2095"/>
      <c r="DR29" s="2281" t="s">
        <v>504</v>
      </c>
      <c r="DS29" s="2280"/>
      <c r="DT29" s="2279"/>
      <c r="DU29" s="2284" t="s">
        <v>504</v>
      </c>
      <c r="DV29" s="2283"/>
      <c r="DW29" s="2282"/>
      <c r="DX29" s="2313" t="s">
        <v>504</v>
      </c>
      <c r="DY29" s="2312"/>
      <c r="DZ29" s="2311"/>
      <c r="EA29" s="2289" t="s">
        <v>504</v>
      </c>
      <c r="EB29" s="2263"/>
      <c r="EC29" s="2288"/>
      <c r="ED29" s="2310" t="s">
        <v>504</v>
      </c>
      <c r="EE29" s="2309"/>
      <c r="EF29" s="2308"/>
      <c r="EG29" s="2307" t="s">
        <v>504</v>
      </c>
      <c r="EH29" s="2306"/>
      <c r="EI29" s="2305"/>
      <c r="EJ29" s="2304" t="s">
        <v>504</v>
      </c>
      <c r="EK29" s="2303"/>
      <c r="EL29" s="2302"/>
      <c r="EM29" s="2301" t="s">
        <v>504</v>
      </c>
      <c r="EN29" s="2300"/>
      <c r="EO29" s="2299"/>
      <c r="EP29" s="2298" t="s">
        <v>504</v>
      </c>
      <c r="EQ29" s="2297"/>
      <c r="ER29" s="2296"/>
      <c r="ES29" s="2295" t="s">
        <v>504</v>
      </c>
      <c r="ET29" s="2294"/>
      <c r="EU29" s="2293"/>
      <c r="EV29" s="2275" t="s">
        <v>504</v>
      </c>
      <c r="EW29" s="2274"/>
      <c r="EX29" s="2273"/>
      <c r="EY29" s="2292" t="s">
        <v>504</v>
      </c>
      <c r="EZ29" s="2291"/>
      <c r="FA29" s="2290"/>
      <c r="FB29" s="2289" t="s">
        <v>504</v>
      </c>
      <c r="FC29" s="2263"/>
      <c r="FD29" s="2288"/>
      <c r="FE29" s="2287" t="s">
        <v>504</v>
      </c>
      <c r="FF29" s="2286"/>
      <c r="FG29" s="2285"/>
      <c r="FH29" s="2284" t="s">
        <v>504</v>
      </c>
      <c r="FI29" s="2283"/>
      <c r="FJ29" s="2282"/>
      <c r="FK29" s="2281" t="s">
        <v>504</v>
      </c>
      <c r="FL29" s="2280"/>
      <c r="FM29" s="2279"/>
      <c r="FN29" s="2278" t="s">
        <v>504</v>
      </c>
      <c r="FO29" s="2277"/>
      <c r="FP29" s="2276"/>
      <c r="FQ29" s="2275" t="s">
        <v>504</v>
      </c>
      <c r="FR29" s="2274"/>
      <c r="FS29" s="2273"/>
      <c r="FT29" s="2272" t="s">
        <v>504</v>
      </c>
      <c r="FU29" s="2271"/>
      <c r="FV29" s="2270"/>
      <c r="FW29" s="2269" t="s">
        <v>504</v>
      </c>
      <c r="FX29" s="2268"/>
      <c r="FY29" s="2268"/>
      <c r="FZ29" s="2267" t="s">
        <v>504</v>
      </c>
      <c r="GA29" s="2266"/>
      <c r="GB29" s="2265"/>
      <c r="GC29" s="2264" t="s">
        <v>504</v>
      </c>
      <c r="GD29" s="2263"/>
      <c r="GE29" s="2263"/>
      <c r="GF29" s="1152" t="s">
        <v>504</v>
      </c>
      <c r="GG29" s="1153"/>
      <c r="GH29" s="1154"/>
      <c r="GI29" s="1632"/>
      <c r="GJ29" s="1882"/>
      <c r="GK29" s="1712"/>
      <c r="GL29" s="1598"/>
      <c r="GM29" s="694"/>
      <c r="GN29" s="694"/>
      <c r="GO29" s="694"/>
      <c r="GP29" s="694"/>
      <c r="GQ29" s="694"/>
      <c r="GR29" s="694"/>
      <c r="GS29" s="694"/>
      <c r="GT29" s="694"/>
      <c r="GU29" s="694"/>
      <c r="GV29" s="694"/>
      <c r="GW29" s="694"/>
      <c r="GX29" s="694"/>
      <c r="GY29" s="694"/>
      <c r="GZ29" s="694"/>
      <c r="HA29" s="694"/>
      <c r="HB29" s="694"/>
      <c r="HC29" s="694"/>
      <c r="HD29" s="694"/>
      <c r="HE29" s="694"/>
      <c r="HF29" s="694"/>
      <c r="HG29" s="694"/>
      <c r="HH29" s="694"/>
      <c r="HI29" s="694"/>
      <c r="HJ29" s="694"/>
      <c r="HK29" s="694"/>
      <c r="HL29" s="694"/>
      <c r="HM29" s="694"/>
    </row>
    <row r="30" spans="1:221" ht="21.9" customHeight="1">
      <c r="A30" s="784">
        <f t="shared" si="5"/>
        <v>12</v>
      </c>
      <c r="B30" s="1711" t="s">
        <v>795</v>
      </c>
      <c r="C30" s="1880" t="s">
        <v>576</v>
      </c>
      <c r="D30" s="1795"/>
      <c r="E30" s="1148">
        <v>42</v>
      </c>
      <c r="F30" s="2262"/>
      <c r="G30" s="2261"/>
      <c r="H30" s="2260">
        <v>42</v>
      </c>
      <c r="I30" s="2259"/>
      <c r="J30" s="570"/>
      <c r="K30" s="2258">
        <v>42</v>
      </c>
      <c r="L30" s="2257"/>
      <c r="M30" s="571"/>
      <c r="N30" s="2256">
        <v>42</v>
      </c>
      <c r="O30" s="2255"/>
      <c r="P30" s="572"/>
      <c r="Q30" s="2254">
        <v>42</v>
      </c>
      <c r="R30" s="573"/>
      <c r="S30" s="2253"/>
      <c r="T30" s="2252">
        <v>42</v>
      </c>
      <c r="U30" s="574"/>
      <c r="V30" s="1157"/>
      <c r="W30" s="2251">
        <v>42</v>
      </c>
      <c r="X30" s="2250"/>
      <c r="Y30" s="2249"/>
      <c r="Z30" s="2248">
        <v>42</v>
      </c>
      <c r="AA30" s="575"/>
      <c r="AB30" s="2247"/>
      <c r="AC30" s="2246">
        <v>42</v>
      </c>
      <c r="AD30" s="576"/>
      <c r="AE30" s="2245"/>
      <c r="AF30" s="2244">
        <v>42</v>
      </c>
      <c r="AG30" s="2243"/>
      <c r="AH30" s="2243"/>
      <c r="AI30" s="2215">
        <v>42</v>
      </c>
      <c r="AJ30" s="577"/>
      <c r="AK30" s="2242"/>
      <c r="AL30" s="2241">
        <v>42</v>
      </c>
      <c r="AM30" s="578"/>
      <c r="AN30" s="2240"/>
      <c r="AO30" s="2239">
        <v>42</v>
      </c>
      <c r="AP30" s="579"/>
      <c r="AQ30" s="2238"/>
      <c r="AR30" s="2237">
        <v>42</v>
      </c>
      <c r="AS30" s="580"/>
      <c r="AT30" s="2236"/>
      <c r="AU30" s="2235">
        <v>42</v>
      </c>
      <c r="AV30" s="581"/>
      <c r="AW30" s="2234"/>
      <c r="AX30" s="2233">
        <v>42</v>
      </c>
      <c r="AY30" s="582"/>
      <c r="AZ30" s="2232"/>
      <c r="BA30" s="2231">
        <v>42</v>
      </c>
      <c r="BB30" s="583"/>
      <c r="BC30" s="2230"/>
      <c r="BD30" s="2229">
        <v>42</v>
      </c>
      <c r="BE30" s="584"/>
      <c r="BF30" s="2228"/>
      <c r="BG30" s="1232">
        <v>42</v>
      </c>
      <c r="BH30" s="583"/>
      <c r="BI30" s="1233"/>
      <c r="BJ30" s="1707">
        <v>42</v>
      </c>
      <c r="BK30" s="1150"/>
      <c r="BL30" s="2227"/>
      <c r="BM30" s="1705">
        <v>42</v>
      </c>
      <c r="BN30" s="2226"/>
      <c r="BO30" s="2225"/>
      <c r="BP30" s="1702">
        <v>42</v>
      </c>
      <c r="BQ30" s="2224"/>
      <c r="BR30" s="2223"/>
      <c r="BS30" s="1854">
        <v>42</v>
      </c>
      <c r="BT30" s="2111"/>
      <c r="BU30" s="1781"/>
      <c r="BV30" s="2222">
        <v>42</v>
      </c>
      <c r="BW30" s="2221"/>
      <c r="BX30" s="2220"/>
      <c r="BY30" s="2219">
        <v>42</v>
      </c>
      <c r="BZ30" s="2218"/>
      <c r="CA30" s="2218"/>
      <c r="CB30" s="2217">
        <v>42</v>
      </c>
      <c r="CC30" s="585"/>
      <c r="CD30" s="2216"/>
      <c r="CE30" s="1047">
        <v>42</v>
      </c>
      <c r="CF30" s="983"/>
      <c r="CG30" s="985"/>
      <c r="CH30" s="988">
        <v>42</v>
      </c>
      <c r="CI30" s="1051"/>
      <c r="CJ30" s="1051"/>
      <c r="CK30" s="2215">
        <v>42</v>
      </c>
      <c r="CL30" s="1052"/>
      <c r="CM30" s="2214"/>
      <c r="CN30" s="2213">
        <v>42</v>
      </c>
      <c r="CO30" s="2212"/>
      <c r="CP30" s="2212"/>
      <c r="CQ30" s="2211">
        <v>42</v>
      </c>
      <c r="CR30" s="2210"/>
      <c r="CS30" s="2209"/>
      <c r="CT30" s="2208">
        <v>42</v>
      </c>
      <c r="CU30" s="2207"/>
      <c r="CV30" s="2206"/>
      <c r="CW30" s="2205">
        <v>42</v>
      </c>
      <c r="CX30" s="1054"/>
      <c r="CY30" s="2204"/>
      <c r="CZ30" s="2203">
        <v>42</v>
      </c>
      <c r="DA30" s="1053"/>
      <c r="DB30" s="2202"/>
      <c r="DC30" s="2201">
        <v>42</v>
      </c>
      <c r="DD30" s="1055"/>
      <c r="DE30" s="2200"/>
      <c r="DF30" s="2199">
        <v>42</v>
      </c>
      <c r="DG30" s="2198"/>
      <c r="DH30" s="2197"/>
      <c r="DI30" s="2196">
        <f>+DF30</f>
        <v>42</v>
      </c>
      <c r="DJ30" s="2195"/>
      <c r="DK30" s="2195"/>
      <c r="DL30" s="2194">
        <v>42</v>
      </c>
      <c r="DM30" s="1056"/>
      <c r="DN30" s="2193"/>
      <c r="DO30" s="2192">
        <v>42</v>
      </c>
      <c r="DP30" s="1057"/>
      <c r="DQ30" s="2191"/>
      <c r="DR30" s="2158">
        <v>42</v>
      </c>
      <c r="DS30" s="2157"/>
      <c r="DT30" s="2156"/>
      <c r="DU30" s="2161">
        <v>42</v>
      </c>
      <c r="DV30" s="2160"/>
      <c r="DW30" s="2159"/>
      <c r="DX30" s="2190">
        <v>42</v>
      </c>
      <c r="DY30" s="2189"/>
      <c r="DZ30" s="2188"/>
      <c r="EA30" s="2166">
        <v>42</v>
      </c>
      <c r="EB30" s="2139"/>
      <c r="EC30" s="2165"/>
      <c r="ED30" s="2187">
        <v>42</v>
      </c>
      <c r="EE30" s="2186"/>
      <c r="EF30" s="2185"/>
      <c r="EG30" s="2184">
        <v>42</v>
      </c>
      <c r="EH30" s="2183"/>
      <c r="EI30" s="2182"/>
      <c r="EJ30" s="2181">
        <v>42</v>
      </c>
      <c r="EK30" s="2180"/>
      <c r="EL30" s="2179"/>
      <c r="EM30" s="2178">
        <v>42</v>
      </c>
      <c r="EN30" s="2177"/>
      <c r="EO30" s="2176"/>
      <c r="EP30" s="2175">
        <v>42</v>
      </c>
      <c r="EQ30" s="2174"/>
      <c r="ER30" s="2173"/>
      <c r="ES30" s="2172">
        <v>42</v>
      </c>
      <c r="ET30" s="2171"/>
      <c r="EU30" s="2170"/>
      <c r="EV30" s="2152">
        <v>42</v>
      </c>
      <c r="EW30" s="2151"/>
      <c r="EX30" s="2150"/>
      <c r="EY30" s="2169">
        <v>42</v>
      </c>
      <c r="EZ30" s="2168"/>
      <c r="FA30" s="2167"/>
      <c r="FB30" s="2166">
        <v>42</v>
      </c>
      <c r="FC30" s="2139"/>
      <c r="FD30" s="2165"/>
      <c r="FE30" s="2164">
        <v>42</v>
      </c>
      <c r="FF30" s="2163"/>
      <c r="FG30" s="2162"/>
      <c r="FH30" s="2161">
        <v>42</v>
      </c>
      <c r="FI30" s="2160"/>
      <c r="FJ30" s="2159"/>
      <c r="FK30" s="2158">
        <v>42</v>
      </c>
      <c r="FL30" s="2157"/>
      <c r="FM30" s="2156"/>
      <c r="FN30" s="2155">
        <v>42</v>
      </c>
      <c r="FO30" s="2154"/>
      <c r="FP30" s="2153"/>
      <c r="FQ30" s="2152">
        <v>42</v>
      </c>
      <c r="FR30" s="2151"/>
      <c r="FS30" s="2150"/>
      <c r="FT30" s="2149">
        <v>42</v>
      </c>
      <c r="FU30" s="2148"/>
      <c r="FV30" s="2147"/>
      <c r="FW30" s="2146">
        <v>42</v>
      </c>
      <c r="FX30" s="2145"/>
      <c r="FY30" s="2144"/>
      <c r="FZ30" s="2143">
        <v>42</v>
      </c>
      <c r="GA30" s="2142"/>
      <c r="GB30" s="2141"/>
      <c r="GC30" s="2140">
        <v>42</v>
      </c>
      <c r="GD30" s="2139"/>
      <c r="GE30" s="2138"/>
      <c r="GF30" s="1155">
        <v>1</v>
      </c>
      <c r="GG30" s="1156"/>
      <c r="GH30" s="1157"/>
      <c r="GI30" s="1632"/>
      <c r="GJ30" s="1882"/>
      <c r="GK30" s="1712"/>
      <c r="GL30" s="1598"/>
      <c r="GM30" s="694"/>
      <c r="GN30" s="694"/>
      <c r="GO30" s="694"/>
      <c r="GP30" s="694"/>
      <c r="GQ30" s="694"/>
      <c r="GR30" s="694"/>
      <c r="GS30" s="694"/>
      <c r="GT30" s="694"/>
      <c r="GU30" s="694"/>
      <c r="GV30" s="694"/>
      <c r="GW30" s="694"/>
      <c r="GX30" s="694"/>
      <c r="GY30" s="694"/>
      <c r="GZ30" s="694"/>
      <c r="HA30" s="694"/>
      <c r="HB30" s="694"/>
      <c r="HC30" s="694"/>
      <c r="HD30" s="694"/>
      <c r="HE30" s="694"/>
      <c r="HF30" s="694"/>
      <c r="HG30" s="694"/>
      <c r="HH30" s="694"/>
      <c r="HI30" s="694"/>
      <c r="HJ30" s="694"/>
      <c r="HK30" s="694"/>
      <c r="HL30" s="694"/>
      <c r="HM30" s="694"/>
    </row>
    <row r="31" spans="1:221" ht="69.599999999999994">
      <c r="A31" s="784">
        <f t="shared" si="5"/>
        <v>13</v>
      </c>
      <c r="B31" s="1862" t="s">
        <v>796</v>
      </c>
      <c r="C31" s="1880" t="s">
        <v>577</v>
      </c>
      <c r="D31" s="1795" t="s">
        <v>118</v>
      </c>
      <c r="E31" s="1147" t="s">
        <v>505</v>
      </c>
      <c r="F31" s="1859"/>
      <c r="G31" s="1858"/>
      <c r="H31" s="2093" t="s">
        <v>505</v>
      </c>
      <c r="I31" s="2137"/>
      <c r="J31" s="586"/>
      <c r="K31" s="2091" t="s">
        <v>505</v>
      </c>
      <c r="L31" s="2136"/>
      <c r="M31" s="587"/>
      <c r="N31" s="2089" t="s">
        <v>505</v>
      </c>
      <c r="O31" s="2135"/>
      <c r="P31" s="588"/>
      <c r="Q31" s="2087" t="s">
        <v>505</v>
      </c>
      <c r="R31" s="2134"/>
      <c r="S31" s="2133"/>
      <c r="T31" s="2084" t="s">
        <v>505</v>
      </c>
      <c r="U31" s="1159"/>
      <c r="V31" s="1160"/>
      <c r="W31" s="2082" t="s">
        <v>505</v>
      </c>
      <c r="X31" s="2132"/>
      <c r="Y31" s="2131"/>
      <c r="Z31" s="2079" t="s">
        <v>505</v>
      </c>
      <c r="AA31" s="2130"/>
      <c r="AB31" s="2129"/>
      <c r="AC31" s="2076" t="s">
        <v>505</v>
      </c>
      <c r="AD31" s="2128"/>
      <c r="AE31" s="2127"/>
      <c r="AF31" s="2073" t="s">
        <v>505</v>
      </c>
      <c r="AG31" s="2126"/>
      <c r="AH31" s="2126"/>
      <c r="AI31" s="2039" t="s">
        <v>505</v>
      </c>
      <c r="AJ31" s="2125"/>
      <c r="AK31" s="2124"/>
      <c r="AL31" s="2069" t="s">
        <v>505</v>
      </c>
      <c r="AM31" s="2123"/>
      <c r="AN31" s="2122"/>
      <c r="AO31" s="2066" t="s">
        <v>505</v>
      </c>
      <c r="AP31" s="2121"/>
      <c r="AQ31" s="2120"/>
      <c r="AR31" s="2063" t="s">
        <v>505</v>
      </c>
      <c r="AS31" s="2119"/>
      <c r="AT31" s="2118"/>
      <c r="AU31" s="2060" t="s">
        <v>505</v>
      </c>
      <c r="AV31" s="1878"/>
      <c r="AW31" s="2117"/>
      <c r="AX31" s="2057" t="s">
        <v>505</v>
      </c>
      <c r="AY31" s="2116"/>
      <c r="AZ31" s="2115"/>
      <c r="BA31" s="2054" t="s">
        <v>505</v>
      </c>
      <c r="BB31" s="2114"/>
      <c r="BC31" s="2114"/>
      <c r="BD31" s="2052" t="s">
        <v>505</v>
      </c>
      <c r="BE31" s="2113"/>
      <c r="BF31" s="2112"/>
      <c r="BG31" s="1232" t="s">
        <v>505</v>
      </c>
      <c r="BH31" s="583"/>
      <c r="BI31" s="1233"/>
      <c r="BJ31" s="1857" t="s">
        <v>505</v>
      </c>
      <c r="BK31" s="1149"/>
      <c r="BL31" s="1790"/>
      <c r="BM31" s="1856" t="s">
        <v>505</v>
      </c>
      <c r="BN31" s="1788"/>
      <c r="BO31" s="1787"/>
      <c r="BP31" s="1855" t="s">
        <v>505</v>
      </c>
      <c r="BQ31" s="1785"/>
      <c r="BR31" s="1784"/>
      <c r="BS31" s="1854" t="s">
        <v>505</v>
      </c>
      <c r="BT31" s="2111"/>
      <c r="BU31" s="1781"/>
      <c r="BV31" s="1853" t="s">
        <v>505</v>
      </c>
      <c r="BW31" s="2044"/>
      <c r="BX31" s="1779"/>
      <c r="BY31" s="1852" t="s">
        <v>505</v>
      </c>
      <c r="BZ31" s="1776"/>
      <c r="CA31" s="1776"/>
      <c r="CB31" s="2042" t="s">
        <v>505</v>
      </c>
      <c r="CC31" s="2110"/>
      <c r="CD31" s="2109"/>
      <c r="CE31" s="1048" t="s">
        <v>505</v>
      </c>
      <c r="CF31" s="983"/>
      <c r="CG31" s="985"/>
      <c r="CH31" s="988" t="s">
        <v>505</v>
      </c>
      <c r="CI31" s="1051"/>
      <c r="CJ31" s="1051"/>
      <c r="CK31" s="2039" t="s">
        <v>505</v>
      </c>
      <c r="CL31" s="2108"/>
      <c r="CM31" s="2107"/>
      <c r="CN31" s="2036" t="s">
        <v>505</v>
      </c>
      <c r="CO31" s="2106"/>
      <c r="CP31" s="2106"/>
      <c r="CQ31" s="2034" t="s">
        <v>505</v>
      </c>
      <c r="CR31" s="2105"/>
      <c r="CS31" s="2104"/>
      <c r="CT31" s="2031" t="s">
        <v>505</v>
      </c>
      <c r="CU31" s="2103"/>
      <c r="CV31" s="2102"/>
      <c r="CW31" s="2028" t="s">
        <v>505</v>
      </c>
      <c r="CX31" s="1773"/>
      <c r="CY31" s="1772"/>
      <c r="CZ31" s="2025" t="s">
        <v>505</v>
      </c>
      <c r="DA31" s="2101"/>
      <c r="DB31" s="2100"/>
      <c r="DC31" s="2022" t="s">
        <v>505</v>
      </c>
      <c r="DD31" s="2099"/>
      <c r="DE31" s="2099"/>
      <c r="DF31" s="2020" t="s">
        <v>505</v>
      </c>
      <c r="DG31" s="1876"/>
      <c r="DH31" s="2098"/>
      <c r="DI31" s="1666" t="str">
        <f>+DF31</f>
        <v>No</v>
      </c>
      <c r="DJ31" s="1828"/>
      <c r="DK31" s="1828"/>
      <c r="DL31" s="2017" t="s">
        <v>505</v>
      </c>
      <c r="DM31" s="2097"/>
      <c r="DN31" s="2096"/>
      <c r="DO31" s="2014" t="s">
        <v>505</v>
      </c>
      <c r="DP31" s="1802"/>
      <c r="DQ31" s="2095"/>
      <c r="DR31" s="1686" t="s">
        <v>505</v>
      </c>
      <c r="DS31" s="1813"/>
      <c r="DT31" s="1812"/>
      <c r="DU31" s="1685" t="s">
        <v>505</v>
      </c>
      <c r="DV31" s="1816"/>
      <c r="DW31" s="1815"/>
      <c r="DX31" s="1684" t="s">
        <v>505</v>
      </c>
      <c r="DY31" s="1846"/>
      <c r="DZ31" s="1845"/>
      <c r="EA31" s="1634" t="s">
        <v>505</v>
      </c>
      <c r="EB31" s="1798"/>
      <c r="EC31" s="1821"/>
      <c r="ED31" s="1681" t="s">
        <v>505</v>
      </c>
      <c r="EE31" s="1843"/>
      <c r="EF31" s="1842"/>
      <c r="EG31" s="1678" t="s">
        <v>505</v>
      </c>
      <c r="EH31" s="1840"/>
      <c r="EI31" s="1839"/>
      <c r="EJ31" s="1675" t="s">
        <v>505</v>
      </c>
      <c r="EK31" s="1837"/>
      <c r="EL31" s="1836"/>
      <c r="EM31" s="1672" t="s">
        <v>505</v>
      </c>
      <c r="EN31" s="1834"/>
      <c r="EO31" s="1833"/>
      <c r="EP31" s="1669" t="s">
        <v>505</v>
      </c>
      <c r="EQ31" s="1831"/>
      <c r="ER31" s="1830"/>
      <c r="ES31" s="1666" t="s">
        <v>505</v>
      </c>
      <c r="ET31" s="1828"/>
      <c r="EU31" s="1827"/>
      <c r="EV31" s="1663" t="s">
        <v>505</v>
      </c>
      <c r="EW31" s="1807"/>
      <c r="EX31" s="1806"/>
      <c r="EY31" s="1662" t="s">
        <v>505</v>
      </c>
      <c r="EZ31" s="1824"/>
      <c r="FA31" s="1823"/>
      <c r="FB31" s="2004" t="s">
        <v>505</v>
      </c>
      <c r="FC31" s="1798"/>
      <c r="FD31" s="1821"/>
      <c r="FE31" s="2003" t="s">
        <v>505</v>
      </c>
      <c r="FF31" s="1819"/>
      <c r="FG31" s="1818"/>
      <c r="FH31" s="2001" t="s">
        <v>505</v>
      </c>
      <c r="FI31" s="1816"/>
      <c r="FJ31" s="1815"/>
      <c r="FK31" s="1999" t="s">
        <v>505</v>
      </c>
      <c r="FL31" s="1813"/>
      <c r="FM31" s="1812"/>
      <c r="FN31" s="1997" t="s">
        <v>505</v>
      </c>
      <c r="FO31" s="1810"/>
      <c r="FP31" s="1809"/>
      <c r="FQ31" s="1995" t="s">
        <v>505</v>
      </c>
      <c r="FR31" s="1807"/>
      <c r="FS31" s="1806"/>
      <c r="FT31" s="1993" t="s">
        <v>505</v>
      </c>
      <c r="FU31" s="1804"/>
      <c r="FV31" s="1803"/>
      <c r="FW31" s="1640" t="s">
        <v>505</v>
      </c>
      <c r="FX31" s="1802"/>
      <c r="FY31" s="1802"/>
      <c r="FZ31" s="1990" t="s">
        <v>505</v>
      </c>
      <c r="GA31" s="1800"/>
      <c r="GB31" s="1799"/>
      <c r="GC31" s="1634" t="s">
        <v>505</v>
      </c>
      <c r="GD31" s="1798"/>
      <c r="GE31" s="1798"/>
      <c r="GF31" s="1158" t="s">
        <v>505</v>
      </c>
      <c r="GG31" s="1159"/>
      <c r="GH31" s="1160"/>
      <c r="GI31" s="1632"/>
      <c r="GJ31" s="1882"/>
      <c r="GK31" s="1712"/>
      <c r="GL31" s="1598"/>
      <c r="GM31" s="694"/>
      <c r="GN31" s="694"/>
      <c r="GO31" s="694"/>
      <c r="GP31" s="694"/>
      <c r="GQ31" s="694"/>
      <c r="GR31" s="694"/>
      <c r="GS31" s="694"/>
      <c r="GT31" s="694"/>
      <c r="GU31" s="694"/>
      <c r="GV31" s="694"/>
      <c r="GW31" s="694"/>
      <c r="GX31" s="694"/>
      <c r="GY31" s="694"/>
      <c r="GZ31" s="694"/>
      <c r="HA31" s="694"/>
      <c r="HB31" s="694"/>
      <c r="HC31" s="694"/>
      <c r="HD31" s="694"/>
      <c r="HE31" s="694"/>
      <c r="HF31" s="694"/>
      <c r="HG31" s="694"/>
      <c r="HH31" s="694"/>
      <c r="HI31" s="694"/>
      <c r="HJ31" s="694"/>
      <c r="HK31" s="694"/>
      <c r="HL31" s="694"/>
      <c r="HM31" s="694"/>
    </row>
    <row r="32" spans="1:221" ht="34.799999999999997">
      <c r="A32" s="784">
        <f t="shared" si="5"/>
        <v>14</v>
      </c>
      <c r="B32" s="1862" t="s">
        <v>797</v>
      </c>
      <c r="C32" s="1880" t="s">
        <v>745</v>
      </c>
      <c r="D32" s="1795"/>
      <c r="E32" s="1147">
        <v>0</v>
      </c>
      <c r="F32" s="2094"/>
      <c r="G32" s="1858"/>
      <c r="H32" s="2093">
        <v>0</v>
      </c>
      <c r="I32" s="2092"/>
      <c r="J32" s="586"/>
      <c r="K32" s="2091">
        <v>0</v>
      </c>
      <c r="L32" s="2090"/>
      <c r="M32" s="587"/>
      <c r="N32" s="2089">
        <v>0</v>
      </c>
      <c r="O32" s="2088"/>
      <c r="P32" s="588"/>
      <c r="Q32" s="2087">
        <v>0</v>
      </c>
      <c r="R32" s="2086"/>
      <c r="S32" s="2085"/>
      <c r="T32" s="2084">
        <v>0</v>
      </c>
      <c r="U32" s="1161"/>
      <c r="V32" s="2083"/>
      <c r="W32" s="2082">
        <v>0</v>
      </c>
      <c r="X32" s="2081"/>
      <c r="Y32" s="2080"/>
      <c r="Z32" s="2079">
        <v>0</v>
      </c>
      <c r="AA32" s="2078"/>
      <c r="AB32" s="2077"/>
      <c r="AC32" s="2076">
        <v>0</v>
      </c>
      <c r="AD32" s="2075"/>
      <c r="AE32" s="2074"/>
      <c r="AF32" s="2073">
        <v>0</v>
      </c>
      <c r="AG32" s="2072"/>
      <c r="AH32" s="2072"/>
      <c r="AI32" s="2039">
        <v>0</v>
      </c>
      <c r="AJ32" s="2071"/>
      <c r="AK32" s="2070"/>
      <c r="AL32" s="2069">
        <v>0</v>
      </c>
      <c r="AM32" s="2068"/>
      <c r="AN32" s="2067"/>
      <c r="AO32" s="2066">
        <v>0</v>
      </c>
      <c r="AP32" s="2065"/>
      <c r="AQ32" s="2064"/>
      <c r="AR32" s="2063">
        <v>0</v>
      </c>
      <c r="AS32" s="2062"/>
      <c r="AT32" s="2061"/>
      <c r="AU32" s="2060">
        <v>0</v>
      </c>
      <c r="AV32" s="2059"/>
      <c r="AW32" s="2058"/>
      <c r="AX32" s="2057">
        <v>0</v>
      </c>
      <c r="AY32" s="2056"/>
      <c r="AZ32" s="2055"/>
      <c r="BA32" s="2054">
        <v>0</v>
      </c>
      <c r="BB32" s="2053"/>
      <c r="BC32" s="2053"/>
      <c r="BD32" s="2052">
        <v>0</v>
      </c>
      <c r="BE32" s="2051"/>
      <c r="BF32" s="2050"/>
      <c r="BG32" s="1232">
        <v>0</v>
      </c>
      <c r="BH32" s="583"/>
      <c r="BI32" s="1233"/>
      <c r="BJ32" s="2049">
        <v>0</v>
      </c>
      <c r="BK32" s="1149"/>
      <c r="BL32" s="1790"/>
      <c r="BM32" s="2048">
        <v>0</v>
      </c>
      <c r="BN32" s="1788"/>
      <c r="BO32" s="1787"/>
      <c r="BP32" s="2047">
        <v>0</v>
      </c>
      <c r="BQ32" s="1785"/>
      <c r="BR32" s="1784"/>
      <c r="BS32" s="2450">
        <v>0</v>
      </c>
      <c r="BT32" s="2046"/>
      <c r="BU32" s="1781"/>
      <c r="BV32" s="2045">
        <v>0</v>
      </c>
      <c r="BW32" s="2044"/>
      <c r="BX32" s="1779"/>
      <c r="BY32" s="2043">
        <v>0</v>
      </c>
      <c r="BZ32" s="1776"/>
      <c r="CA32" s="1776"/>
      <c r="CB32" s="2042">
        <v>125</v>
      </c>
      <c r="CC32" s="2041"/>
      <c r="CD32" s="2040"/>
      <c r="CE32" s="1049">
        <v>125</v>
      </c>
      <c r="CF32" s="983"/>
      <c r="CG32" s="985"/>
      <c r="CH32" s="988">
        <v>125</v>
      </c>
      <c r="CI32" s="1051"/>
      <c r="CJ32" s="1051"/>
      <c r="CK32" s="2039">
        <v>0</v>
      </c>
      <c r="CL32" s="2038"/>
      <c r="CM32" s="2037"/>
      <c r="CN32" s="2036">
        <v>0</v>
      </c>
      <c r="CO32" s="2035"/>
      <c r="CP32" s="2035"/>
      <c r="CQ32" s="2034">
        <v>0</v>
      </c>
      <c r="CR32" s="2033"/>
      <c r="CS32" s="2032"/>
      <c r="CT32" s="2031">
        <v>25</v>
      </c>
      <c r="CU32" s="2030"/>
      <c r="CV32" s="2029"/>
      <c r="CW32" s="2028">
        <v>125</v>
      </c>
      <c r="CX32" s="2027"/>
      <c r="CY32" s="2026"/>
      <c r="CZ32" s="2025">
        <v>125</v>
      </c>
      <c r="DA32" s="2024"/>
      <c r="DB32" s="2023"/>
      <c r="DC32" s="2022">
        <v>0</v>
      </c>
      <c r="DD32" s="2021"/>
      <c r="DE32" s="2021"/>
      <c r="DF32" s="2020">
        <v>0</v>
      </c>
      <c r="DG32" s="2019"/>
      <c r="DH32" s="2018"/>
      <c r="DI32" s="1666">
        <f>+DF32</f>
        <v>0</v>
      </c>
      <c r="DJ32" s="2006"/>
      <c r="DK32" s="2006"/>
      <c r="DL32" s="2017">
        <v>0</v>
      </c>
      <c r="DM32" s="2016"/>
      <c r="DN32" s="2015"/>
      <c r="DO32" s="2014">
        <v>0</v>
      </c>
      <c r="DP32" s="1991"/>
      <c r="DQ32" s="2013"/>
      <c r="DR32" s="1686">
        <v>25</v>
      </c>
      <c r="DS32" s="1998"/>
      <c r="DT32" s="1812"/>
      <c r="DU32" s="1685">
        <v>25</v>
      </c>
      <c r="DV32" s="2000"/>
      <c r="DW32" s="1815"/>
      <c r="DX32" s="1684">
        <v>0</v>
      </c>
      <c r="DY32" s="2012"/>
      <c r="DZ32" s="1845"/>
      <c r="EA32" s="1634">
        <v>0</v>
      </c>
      <c r="EB32" s="1988"/>
      <c r="EC32" s="1821"/>
      <c r="ED32" s="1681">
        <v>0</v>
      </c>
      <c r="EE32" s="2011"/>
      <c r="EF32" s="1842"/>
      <c r="EG32" s="1678">
        <v>0</v>
      </c>
      <c r="EH32" s="2010"/>
      <c r="EI32" s="1839"/>
      <c r="EJ32" s="1675">
        <v>0</v>
      </c>
      <c r="EK32" s="2009"/>
      <c r="EL32" s="1836"/>
      <c r="EM32" s="1672">
        <v>0</v>
      </c>
      <c r="EN32" s="2008"/>
      <c r="EO32" s="1833"/>
      <c r="EP32" s="1669">
        <v>0</v>
      </c>
      <c r="EQ32" s="2007"/>
      <c r="ER32" s="1830"/>
      <c r="ES32" s="1666">
        <v>0</v>
      </c>
      <c r="ET32" s="2006"/>
      <c r="EU32" s="1827"/>
      <c r="EV32" s="1663">
        <v>0</v>
      </c>
      <c r="EW32" s="1994"/>
      <c r="EX32" s="1806"/>
      <c r="EY32" s="1662">
        <v>0</v>
      </c>
      <c r="EZ32" s="2005"/>
      <c r="FA32" s="1823"/>
      <c r="FB32" s="2004">
        <v>0</v>
      </c>
      <c r="FC32" s="1988"/>
      <c r="FD32" s="1821"/>
      <c r="FE32" s="2003">
        <v>0</v>
      </c>
      <c r="FF32" s="2002"/>
      <c r="FG32" s="1818"/>
      <c r="FH32" s="2001">
        <v>0</v>
      </c>
      <c r="FI32" s="2000"/>
      <c r="FJ32" s="1815"/>
      <c r="FK32" s="1999">
        <v>0</v>
      </c>
      <c r="FL32" s="1998"/>
      <c r="FM32" s="1812"/>
      <c r="FN32" s="1997">
        <v>0</v>
      </c>
      <c r="FO32" s="1996"/>
      <c r="FP32" s="1809"/>
      <c r="FQ32" s="1995">
        <v>0</v>
      </c>
      <c r="FR32" s="1994"/>
      <c r="FS32" s="1806"/>
      <c r="FT32" s="1993">
        <v>0</v>
      </c>
      <c r="FU32" s="1992"/>
      <c r="FV32" s="1803"/>
      <c r="FW32" s="1640">
        <v>0</v>
      </c>
      <c r="FX32" s="1991"/>
      <c r="FY32" s="1802"/>
      <c r="FZ32" s="1990">
        <v>0</v>
      </c>
      <c r="GA32" s="1989"/>
      <c r="GB32" s="1799"/>
      <c r="GC32" s="1634">
        <v>0</v>
      </c>
      <c r="GD32" s="1988"/>
      <c r="GE32" s="1798"/>
      <c r="GF32" s="1158">
        <v>0</v>
      </c>
      <c r="GG32" s="1161"/>
      <c r="GH32" s="1160"/>
      <c r="GI32" s="1632"/>
      <c r="GJ32" s="1882"/>
      <c r="GK32" s="1712"/>
      <c r="GL32" s="1598"/>
      <c r="GM32" s="694"/>
      <c r="GN32" s="1500"/>
      <c r="GO32" s="1500"/>
      <c r="GP32" s="1500"/>
      <c r="GQ32" s="1500"/>
      <c r="GR32" s="1500"/>
      <c r="GS32" s="1500"/>
      <c r="GT32" s="694"/>
      <c r="GU32" s="694"/>
      <c r="GV32" s="694"/>
      <c r="GW32" s="694"/>
      <c r="GX32" s="694"/>
      <c r="GY32" s="694"/>
      <c r="GZ32" s="694"/>
      <c r="HA32" s="694"/>
      <c r="HB32" s="694"/>
      <c r="HC32" s="694"/>
      <c r="HD32" s="694"/>
      <c r="HE32" s="694"/>
      <c r="HF32" s="694"/>
      <c r="HG32" s="694"/>
      <c r="HH32" s="694"/>
      <c r="HI32" s="694"/>
      <c r="HJ32" s="694"/>
      <c r="HK32" s="694"/>
      <c r="HL32" s="694"/>
      <c r="HM32" s="694"/>
    </row>
    <row r="33" spans="1:221" ht="52.2">
      <c r="A33" s="784">
        <f t="shared" si="5"/>
        <v>15</v>
      </c>
      <c r="B33" s="1862" t="s">
        <v>798</v>
      </c>
      <c r="C33" s="1880" t="s">
        <v>413</v>
      </c>
      <c r="D33" s="1985"/>
      <c r="E33" s="1339">
        <f>$I$13</f>
        <v>0.12321383363679367</v>
      </c>
      <c r="F33" s="1984"/>
      <c r="G33" s="1983"/>
      <c r="H33" s="1982">
        <f>$I$13</f>
        <v>0.12321383363679367</v>
      </c>
      <c r="I33" s="1981"/>
      <c r="J33" s="1340"/>
      <c r="K33" s="1980">
        <f>$I$13</f>
        <v>0.12321383363679367</v>
      </c>
      <c r="L33" s="1979"/>
      <c r="M33" s="1341"/>
      <c r="N33" s="1978">
        <f>$I$13</f>
        <v>0.12321383363679367</v>
      </c>
      <c r="O33" s="1977"/>
      <c r="P33" s="1342"/>
      <c r="Q33" s="1976">
        <f>$I$13</f>
        <v>0.12321383363679367</v>
      </c>
      <c r="R33" s="1975"/>
      <c r="S33" s="1974"/>
      <c r="T33" s="1973">
        <f>$I$13</f>
        <v>0.12321383363679367</v>
      </c>
      <c r="U33" s="1972"/>
      <c r="V33" s="1971"/>
      <c r="W33" s="1343">
        <f>+$I$13</f>
        <v>0.12321383363679367</v>
      </c>
      <c r="X33" s="1969"/>
      <c r="Y33" s="1968"/>
      <c r="Z33" s="1967">
        <f>$I$13</f>
        <v>0.12321383363679367</v>
      </c>
      <c r="AA33" s="1966"/>
      <c r="AB33" s="1965"/>
      <c r="AC33" s="1964">
        <f>$I$13</f>
        <v>0.12321383363679367</v>
      </c>
      <c r="AD33" s="1963"/>
      <c r="AE33" s="1962"/>
      <c r="AF33" s="1961">
        <f>$I$13</f>
        <v>0.12321383363679367</v>
      </c>
      <c r="AG33" s="1960"/>
      <c r="AH33" s="1960"/>
      <c r="AI33" s="1959">
        <f>$I$13</f>
        <v>0.12321383363679367</v>
      </c>
      <c r="AJ33" s="1958"/>
      <c r="AK33" s="1957"/>
      <c r="AL33" s="1956">
        <f>$I$13</f>
        <v>0.12321383363679367</v>
      </c>
      <c r="AM33" s="1955"/>
      <c r="AN33" s="1954"/>
      <c r="AO33" s="1344">
        <f>$I$13</f>
        <v>0.12321383363679367</v>
      </c>
      <c r="AP33" s="1345"/>
      <c r="AQ33" s="1346"/>
      <c r="AR33" s="1347">
        <f>$I$13</f>
        <v>0.12321383363679367</v>
      </c>
      <c r="AS33" s="1348"/>
      <c r="AT33" s="1349"/>
      <c r="AU33" s="1350">
        <f>$I$13</f>
        <v>0.12321383363679367</v>
      </c>
      <c r="AV33" s="1351"/>
      <c r="AW33" s="1352"/>
      <c r="AX33" s="1353">
        <f>$I$13</f>
        <v>0.12321383363679367</v>
      </c>
      <c r="AY33" s="1354"/>
      <c r="AZ33" s="1355"/>
      <c r="BA33" s="1356">
        <f>$I$13</f>
        <v>0.12321383363679367</v>
      </c>
      <c r="BB33" s="1357"/>
      <c r="BC33" s="1357"/>
      <c r="BD33" s="1358">
        <f>$I$13</f>
        <v>0.12321383363679367</v>
      </c>
      <c r="BE33" s="1359"/>
      <c r="BF33" s="1360"/>
      <c r="BG33" s="1361">
        <f>$I$13</f>
        <v>0.12321383363679367</v>
      </c>
      <c r="BH33" s="1362"/>
      <c r="BI33" s="1363"/>
      <c r="BJ33" s="1953">
        <f>$I$13</f>
        <v>0.12321383363679367</v>
      </c>
      <c r="BK33" s="1364"/>
      <c r="BL33" s="1952"/>
      <c r="BM33" s="1951">
        <f>$I$13</f>
        <v>0.12321383363679367</v>
      </c>
      <c r="BN33" s="1950"/>
      <c r="BO33" s="1949"/>
      <c r="BP33" s="1948">
        <f>$I$13</f>
        <v>0.12321383363679367</v>
      </c>
      <c r="BQ33" s="1947"/>
      <c r="BR33" s="1946"/>
      <c r="BS33" s="1945">
        <f>$I$13</f>
        <v>0.12321383363679367</v>
      </c>
      <c r="BT33" s="1944"/>
      <c r="BU33" s="1943"/>
      <c r="BV33" s="1942">
        <f>$I$13</f>
        <v>0.12321383363679367</v>
      </c>
      <c r="BW33" s="1941"/>
      <c r="BX33" s="1940"/>
      <c r="BY33" s="1939">
        <f>$I$13</f>
        <v>0.12321383363679367</v>
      </c>
      <c r="BZ33" s="1938"/>
      <c r="CA33" s="1938"/>
      <c r="CB33" s="1365">
        <f>$I$13</f>
        <v>0.12321383363679367</v>
      </c>
      <c r="CC33" s="1366"/>
      <c r="CD33" s="1367"/>
      <c r="CE33" s="1368">
        <f>$I$13</f>
        <v>0.12321383363679367</v>
      </c>
      <c r="CF33" s="1369"/>
      <c r="CG33" s="1370"/>
      <c r="CH33" s="1371">
        <f>$I$13</f>
        <v>0.12321383363679367</v>
      </c>
      <c r="CI33" s="1372"/>
      <c r="CJ33" s="1372"/>
      <c r="CK33" s="1373">
        <f>$I$13</f>
        <v>0.12321383363679367</v>
      </c>
      <c r="CL33" s="1374"/>
      <c r="CM33" s="1375"/>
      <c r="CN33" s="1987">
        <f>$I$13</f>
        <v>0.12321383363679367</v>
      </c>
      <c r="CO33" s="1937"/>
      <c r="CP33" s="1937"/>
      <c r="CQ33" s="1376">
        <f>$I$13</f>
        <v>0.12321383363679367</v>
      </c>
      <c r="CR33" s="1377"/>
      <c r="CS33" s="1378"/>
      <c r="CT33" s="1379">
        <f>$I$13</f>
        <v>0.12321383363679367</v>
      </c>
      <c r="CU33" s="1380"/>
      <c r="CV33" s="1381"/>
      <c r="CW33" s="1385">
        <f>$I$13</f>
        <v>0.12321383363679367</v>
      </c>
      <c r="CX33" s="1386"/>
      <c r="CY33" s="1387"/>
      <c r="CZ33" s="1382">
        <f>$I$13</f>
        <v>0.12321383363679367</v>
      </c>
      <c r="DA33" s="1383"/>
      <c r="DB33" s="1384"/>
      <c r="DC33" s="1388">
        <f>$I$13</f>
        <v>0.12321383363679367</v>
      </c>
      <c r="DD33" s="1389"/>
      <c r="DE33" s="1389"/>
      <c r="DF33" s="1936">
        <f>$I$13</f>
        <v>0.12321383363679367</v>
      </c>
      <c r="DG33" s="1935"/>
      <c r="DH33" s="1934"/>
      <c r="DI33" s="1390">
        <f>$I$13</f>
        <v>0.12321383363679367</v>
      </c>
      <c r="DJ33" s="1391"/>
      <c r="DK33" s="1391"/>
      <c r="DL33" s="1392">
        <f>$I$13</f>
        <v>0.12321383363679367</v>
      </c>
      <c r="DM33" s="1393"/>
      <c r="DN33" s="1394"/>
      <c r="DO33" s="1395">
        <f>$I$13</f>
        <v>0.12321383363679367</v>
      </c>
      <c r="DP33" s="1396"/>
      <c r="DQ33" s="1397"/>
      <c r="DR33" s="1398">
        <f>$I$13</f>
        <v>0.12321383363679367</v>
      </c>
      <c r="DS33" s="1899"/>
      <c r="DT33" s="1898"/>
      <c r="DU33" s="1933">
        <f>$I$13</f>
        <v>0.12321383363679367</v>
      </c>
      <c r="DV33" s="1902"/>
      <c r="DW33" s="1901"/>
      <c r="DX33" s="1932">
        <f>$I$13</f>
        <v>0.12321383363679367</v>
      </c>
      <c r="DY33" s="1931"/>
      <c r="DZ33" s="1930"/>
      <c r="EA33" s="1399">
        <f>$I$13</f>
        <v>0.12321383363679367</v>
      </c>
      <c r="EB33" s="1883"/>
      <c r="EC33" s="1906"/>
      <c r="ED33" s="1929">
        <f>$I$13</f>
        <v>0.12321383363679367</v>
      </c>
      <c r="EE33" s="1928"/>
      <c r="EF33" s="1927"/>
      <c r="EG33" s="1926">
        <f>$I$13</f>
        <v>0.12321383363679367</v>
      </c>
      <c r="EH33" s="1925"/>
      <c r="EI33" s="1924"/>
      <c r="EJ33" s="1923">
        <f>$I$13</f>
        <v>0.12321383363679367</v>
      </c>
      <c r="EK33" s="1922"/>
      <c r="EL33" s="1921"/>
      <c r="EM33" s="1920">
        <f>$I$13</f>
        <v>0.12321383363679367</v>
      </c>
      <c r="EN33" s="1919"/>
      <c r="EO33" s="1918"/>
      <c r="EP33" s="1917">
        <f>$I$13</f>
        <v>0.12321383363679367</v>
      </c>
      <c r="EQ33" s="1916"/>
      <c r="ER33" s="1915"/>
      <c r="ES33" s="1914">
        <f>$I$13</f>
        <v>0.12321383363679367</v>
      </c>
      <c r="ET33" s="1913"/>
      <c r="EU33" s="1912"/>
      <c r="EV33" s="1911">
        <f>$I$13</f>
        <v>0.12321383363679367</v>
      </c>
      <c r="EW33" s="1893"/>
      <c r="EX33" s="1892"/>
      <c r="EY33" s="1910">
        <f>$I$13</f>
        <v>0.12321383363679367</v>
      </c>
      <c r="EZ33" s="1909"/>
      <c r="FA33" s="1908"/>
      <c r="FB33" s="1907">
        <f>$I$13</f>
        <v>0.12321383363679367</v>
      </c>
      <c r="FC33" s="1883"/>
      <c r="FD33" s="1906"/>
      <c r="FE33" s="1905">
        <f>$I$13</f>
        <v>0.12321383363679367</v>
      </c>
      <c r="FF33" s="1904"/>
      <c r="FG33" s="1903"/>
      <c r="FH33" s="1402">
        <f>$I$13</f>
        <v>0.12321383363679367</v>
      </c>
      <c r="FI33" s="1902"/>
      <c r="FJ33" s="1901"/>
      <c r="FK33" s="1900">
        <f>$I$13</f>
        <v>0.12321383363679367</v>
      </c>
      <c r="FL33" s="1899"/>
      <c r="FM33" s="1898"/>
      <c r="FN33" s="1897">
        <f>$I$13</f>
        <v>0.12321383363679367</v>
      </c>
      <c r="FO33" s="1896"/>
      <c r="FP33" s="1895"/>
      <c r="FQ33" s="1894">
        <f>$I$13</f>
        <v>0.12321383363679367</v>
      </c>
      <c r="FR33" s="1893"/>
      <c r="FS33" s="1892"/>
      <c r="FT33" s="1891">
        <f>$I$13</f>
        <v>0.12321383363679367</v>
      </c>
      <c r="FU33" s="1890"/>
      <c r="FV33" s="1889"/>
      <c r="FW33" s="1888">
        <f>$I$13</f>
        <v>0.12321383363679367</v>
      </c>
      <c r="FX33" s="1887"/>
      <c r="FY33" s="1887"/>
      <c r="FZ33" s="1886">
        <f>$I$13</f>
        <v>0.12321383363679367</v>
      </c>
      <c r="GA33" s="1885"/>
      <c r="GB33" s="1884"/>
      <c r="GC33" s="1399">
        <f>$I$13</f>
        <v>0.12321383363679367</v>
      </c>
      <c r="GD33" s="1883"/>
      <c r="GE33" s="1883"/>
      <c r="GF33" s="1400">
        <v>0</v>
      </c>
      <c r="GG33" s="1162"/>
      <c r="GH33" s="1163"/>
      <c r="GI33" s="1986"/>
      <c r="GJ33" s="1882"/>
      <c r="GK33" s="1712"/>
      <c r="GL33" s="698"/>
      <c r="GM33" s="702"/>
      <c r="GN33" s="702"/>
      <c r="GO33" s="1500"/>
      <c r="GP33" s="1500"/>
      <c r="GQ33" s="1500"/>
      <c r="GR33" s="1500"/>
      <c r="GS33" s="1500"/>
      <c r="GT33" s="694"/>
      <c r="GU33" s="694"/>
      <c r="GV33" s="694"/>
      <c r="GW33" s="694"/>
      <c r="GX33" s="694"/>
      <c r="GY33" s="694"/>
      <c r="GZ33" s="694"/>
      <c r="HA33" s="694"/>
      <c r="HB33" s="694"/>
      <c r="HC33" s="694"/>
      <c r="HD33" s="694"/>
      <c r="HE33" s="694"/>
      <c r="HF33" s="694"/>
      <c r="HG33" s="694"/>
      <c r="HH33" s="694"/>
      <c r="HI33" s="694"/>
      <c r="HJ33" s="694"/>
      <c r="HK33" s="694"/>
      <c r="HL33" s="694"/>
      <c r="HM33" s="694"/>
    </row>
    <row r="34" spans="1:221" ht="39" customHeight="1">
      <c r="A34" s="784">
        <f t="shared" si="5"/>
        <v>16</v>
      </c>
      <c r="B34" s="1862" t="s">
        <v>807</v>
      </c>
      <c r="C34" s="1880" t="s">
        <v>581</v>
      </c>
      <c r="D34" s="1985"/>
      <c r="E34" s="1339">
        <f>(E$32/100*$I$15)+E$33</f>
        <v>0.12321383363679367</v>
      </c>
      <c r="F34" s="1984"/>
      <c r="G34" s="1983"/>
      <c r="H34" s="1982">
        <f>(H$32/100*$I$15)+H$33</f>
        <v>0.12321383363679367</v>
      </c>
      <c r="I34" s="1981"/>
      <c r="J34" s="1340"/>
      <c r="K34" s="1980">
        <f>(K$32/100*$I$15)+K$33</f>
        <v>0.12321383363679367</v>
      </c>
      <c r="L34" s="1979"/>
      <c r="M34" s="1341"/>
      <c r="N34" s="1978">
        <f>(N$32/100*$I$15)+N$33</f>
        <v>0.12321383363679367</v>
      </c>
      <c r="O34" s="1977"/>
      <c r="P34" s="1342"/>
      <c r="Q34" s="1976">
        <f>(Q$32/100*$I$15)+Q$33</f>
        <v>0.12321383363679367</v>
      </c>
      <c r="R34" s="1975"/>
      <c r="S34" s="1974"/>
      <c r="T34" s="1973">
        <f>(T$32/100*$I$15)+T$33</f>
        <v>0.12321383363679367</v>
      </c>
      <c r="U34" s="1972"/>
      <c r="V34" s="1971"/>
      <c r="W34" s="1970">
        <f>(W$32/100*$I$15)+W$33</f>
        <v>0.12321383363679367</v>
      </c>
      <c r="X34" s="1969"/>
      <c r="Y34" s="1968"/>
      <c r="Z34" s="1967">
        <f>(Z$32/100*$I$15)+Z$33</f>
        <v>0.12321383363679367</v>
      </c>
      <c r="AA34" s="1966"/>
      <c r="AB34" s="1965"/>
      <c r="AC34" s="1964">
        <f>(AC$32/100*$I$15)+AC$33</f>
        <v>0.12321383363679367</v>
      </c>
      <c r="AD34" s="1963"/>
      <c r="AE34" s="1962"/>
      <c r="AF34" s="1961">
        <f>(AF$32/100*$I$15)+AF$33</f>
        <v>0.12321383363679367</v>
      </c>
      <c r="AG34" s="1960"/>
      <c r="AH34" s="1960"/>
      <c r="AI34" s="1959">
        <f>(AI$32/100*$I$15)+AI$33</f>
        <v>0.12321383363679367</v>
      </c>
      <c r="AJ34" s="1958"/>
      <c r="AK34" s="1957"/>
      <c r="AL34" s="1956">
        <f>(AL$32/100*$I$15)+AL$33</f>
        <v>0.12321383363679367</v>
      </c>
      <c r="AM34" s="1955"/>
      <c r="AN34" s="1954"/>
      <c r="AO34" s="1344">
        <f>(AO$32/100*$I$15)+AO$33</f>
        <v>0.12321383363679367</v>
      </c>
      <c r="AP34" s="1345"/>
      <c r="AQ34" s="1346"/>
      <c r="AR34" s="1347">
        <f>(AR$32/100*$I$15)+AR$33</f>
        <v>0.12321383363679367</v>
      </c>
      <c r="AS34" s="1348"/>
      <c r="AT34" s="1349"/>
      <c r="AU34" s="1350">
        <f>(AU$32/100*$I$15)+AU$33</f>
        <v>0.12321383363679367</v>
      </c>
      <c r="AV34" s="1351"/>
      <c r="AW34" s="1352"/>
      <c r="AX34" s="1353">
        <f>(AX$32/100*$I$15)+AX$33</f>
        <v>0.12321383363679367</v>
      </c>
      <c r="AY34" s="1354"/>
      <c r="AZ34" s="1355"/>
      <c r="BA34" s="1356">
        <f>(BA$32/100*$I$15)+BA$33</f>
        <v>0.12321383363679367</v>
      </c>
      <c r="BB34" s="1357"/>
      <c r="BC34" s="1357"/>
      <c r="BD34" s="1358">
        <f>(BD$32/100*$I$15)+BD$33</f>
        <v>0.12321383363679367</v>
      </c>
      <c r="BE34" s="1359"/>
      <c r="BF34" s="1360"/>
      <c r="BG34" s="1361">
        <f>(BG$32/100*$I$15)+BG$33</f>
        <v>0.12321383363679367</v>
      </c>
      <c r="BH34" s="1362"/>
      <c r="BI34" s="1363"/>
      <c r="BJ34" s="1953">
        <f>(BJ$32/100*$I$15)+BJ$33</f>
        <v>0.12321383363679367</v>
      </c>
      <c r="BK34" s="1364"/>
      <c r="BL34" s="1952"/>
      <c r="BM34" s="1951">
        <f>(BM$32/100*$I$15)+BM$33</f>
        <v>0.12321383363679367</v>
      </c>
      <c r="BN34" s="1950"/>
      <c r="BO34" s="1949"/>
      <c r="BP34" s="1948">
        <f>(BP$32/100*$I$15)+BP$33</f>
        <v>0.12321383363679367</v>
      </c>
      <c r="BQ34" s="1947"/>
      <c r="BR34" s="1946"/>
      <c r="BS34" s="1945">
        <f>(BS$32/100*$I$15)+BS$33</f>
        <v>0.12321383363679367</v>
      </c>
      <c r="BT34" s="1944"/>
      <c r="BU34" s="1943"/>
      <c r="BV34" s="1942">
        <f>(BV$32/100*$I$15)+BV$33</f>
        <v>0.12321383363679367</v>
      </c>
      <c r="BW34" s="1941"/>
      <c r="BX34" s="1940"/>
      <c r="BY34" s="1939">
        <f>(BY$32/100*$I$15)+BY$33</f>
        <v>0.12321383363679367</v>
      </c>
      <c r="BZ34" s="1938"/>
      <c r="CA34" s="1938"/>
      <c r="CB34" s="1401">
        <f>(CB$32/100*$I$15)+CB$33</f>
        <v>0.1319720387291666</v>
      </c>
      <c r="CC34" s="1366"/>
      <c r="CD34" s="1367"/>
      <c r="CE34" s="1368">
        <f>(CE$32/100*$I$15)+CE$33</f>
        <v>0.1319720387291666</v>
      </c>
      <c r="CF34" s="1369"/>
      <c r="CG34" s="1370"/>
      <c r="CH34" s="1371">
        <f>(CH$32/100*$I$15)+CH$33</f>
        <v>0.1319720387291666</v>
      </c>
      <c r="CI34" s="1372"/>
      <c r="CJ34" s="1372"/>
      <c r="CK34" s="1392">
        <f>(CK$32/100*$I$15)+CK$33</f>
        <v>0.12321383363679367</v>
      </c>
      <c r="CL34" s="1374"/>
      <c r="CM34" s="1375"/>
      <c r="CN34" s="1390">
        <f>(CN$32/100*$I$15)+CN$33</f>
        <v>0.12321383363679367</v>
      </c>
      <c r="CO34" s="1937"/>
      <c r="CP34" s="1937"/>
      <c r="CQ34" s="1402">
        <f>(CQ$32/100*$I$15)+CQ$33</f>
        <v>0.12321383363679367</v>
      </c>
      <c r="CR34" s="1377"/>
      <c r="CS34" s="1378"/>
      <c r="CT34" s="1379">
        <f>(CT$32/100*$I$15)+CT$33</f>
        <v>0.12496547465526825</v>
      </c>
      <c r="CU34" s="1380"/>
      <c r="CV34" s="1381"/>
      <c r="CW34" s="1385">
        <f>(CW$32/100*$I$15)+CW$33</f>
        <v>0.1319720387291666</v>
      </c>
      <c r="CX34" s="1386"/>
      <c r="CY34" s="1387"/>
      <c r="CZ34" s="1382">
        <f>(CZ$32/100*$I$15)+CZ$33</f>
        <v>0.1319720387291666</v>
      </c>
      <c r="DA34" s="1383"/>
      <c r="DB34" s="1384"/>
      <c r="DC34" s="1388">
        <f>(DC$32/100*$I$15)+DC$33</f>
        <v>0.12321383363679367</v>
      </c>
      <c r="DD34" s="1389"/>
      <c r="DE34" s="1389"/>
      <c r="DF34" s="1936">
        <f>(DF$32/100*$I$15)+DF$33</f>
        <v>0.12321383363679367</v>
      </c>
      <c r="DG34" s="1935"/>
      <c r="DH34" s="1934"/>
      <c r="DI34" s="1390">
        <f>(DI$32/100*$I$15)+DI$33</f>
        <v>0.12321383363679367</v>
      </c>
      <c r="DJ34" s="1391"/>
      <c r="DK34" s="1391"/>
      <c r="DL34" s="1392">
        <f>(DL$32/100*$I$15)+DL$33</f>
        <v>0.12321383363679367</v>
      </c>
      <c r="DM34" s="1393"/>
      <c r="DN34" s="1394"/>
      <c r="DO34" s="1395">
        <f>(DO$32/100*$I$15)+DO$33</f>
        <v>0.12321383363679367</v>
      </c>
      <c r="DP34" s="1396"/>
      <c r="DQ34" s="1397"/>
      <c r="DR34" s="1398">
        <f>(DR$32/100*$I$15)+DR$33</f>
        <v>0.12496547465526825</v>
      </c>
      <c r="DS34" s="1899"/>
      <c r="DT34" s="1898"/>
      <c r="DU34" s="1933">
        <f>(DU$32/100*$I$15)+DU$33</f>
        <v>0.12496547465526825</v>
      </c>
      <c r="DV34" s="1902"/>
      <c r="DW34" s="1901"/>
      <c r="DX34" s="1932">
        <f>(DX$32/100*$I$15)+DX$33</f>
        <v>0.12321383363679367</v>
      </c>
      <c r="DY34" s="1931"/>
      <c r="DZ34" s="1930"/>
      <c r="EA34" s="1399">
        <f>(EA$32/100*$I$15)+EA$33</f>
        <v>0.12321383363679367</v>
      </c>
      <c r="EB34" s="1883"/>
      <c r="EC34" s="1906"/>
      <c r="ED34" s="1929">
        <f>(ED$32/100*$I$15)+ED$33</f>
        <v>0.12321383363679367</v>
      </c>
      <c r="EE34" s="1928"/>
      <c r="EF34" s="1927"/>
      <c r="EG34" s="1926">
        <f>(EG$32/100*$I$15)+EG$33</f>
        <v>0.12321383363679367</v>
      </c>
      <c r="EH34" s="1925"/>
      <c r="EI34" s="1924"/>
      <c r="EJ34" s="1923">
        <f>(EJ$32/100*$I$15)+EJ$33</f>
        <v>0.12321383363679367</v>
      </c>
      <c r="EK34" s="1922"/>
      <c r="EL34" s="1921"/>
      <c r="EM34" s="1920">
        <f>(EM$32/100*$I$15)+EM$33</f>
        <v>0.12321383363679367</v>
      </c>
      <c r="EN34" s="1919"/>
      <c r="EO34" s="1918"/>
      <c r="EP34" s="1917">
        <f>(EP$32/100*$I$15)+EP$33</f>
        <v>0.12321383363679367</v>
      </c>
      <c r="EQ34" s="1916"/>
      <c r="ER34" s="1915"/>
      <c r="ES34" s="1914">
        <f>(ES$32/100*$I$15)+ES$33</f>
        <v>0.12321383363679367</v>
      </c>
      <c r="ET34" s="1913"/>
      <c r="EU34" s="1912"/>
      <c r="EV34" s="1911">
        <f>(EV$32/100*$I$15)+EV$33</f>
        <v>0.12321383363679367</v>
      </c>
      <c r="EW34" s="1893"/>
      <c r="EX34" s="1892"/>
      <c r="EY34" s="1910">
        <f>(EY$32/100*$I$15)+EY$33</f>
        <v>0.12321383363679367</v>
      </c>
      <c r="EZ34" s="1909"/>
      <c r="FA34" s="1908"/>
      <c r="FB34" s="1907">
        <f>(FB$32/100*$I$15)+FB$33</f>
        <v>0.12321383363679367</v>
      </c>
      <c r="FC34" s="1883"/>
      <c r="FD34" s="1906"/>
      <c r="FE34" s="1905">
        <f>(FE$32/100*$I$15)+FE$33</f>
        <v>0.12321383363679367</v>
      </c>
      <c r="FF34" s="1904"/>
      <c r="FG34" s="1903"/>
      <c r="FH34" s="1402">
        <f>(FH$32/100*$I$15)+FH$33</f>
        <v>0.12321383363679367</v>
      </c>
      <c r="FI34" s="1902"/>
      <c r="FJ34" s="1901"/>
      <c r="FK34" s="1900">
        <f>(FK$32/100*$I$15)+FK$33</f>
        <v>0.12321383363679367</v>
      </c>
      <c r="FL34" s="1899"/>
      <c r="FM34" s="1898"/>
      <c r="FN34" s="1897">
        <f>(FN$32/100*$I$15)+FN$33</f>
        <v>0.12321383363679367</v>
      </c>
      <c r="FO34" s="1896"/>
      <c r="FP34" s="1895"/>
      <c r="FQ34" s="1894">
        <f>(FQ$32/100*$I$15)+FQ$33</f>
        <v>0.12321383363679367</v>
      </c>
      <c r="FR34" s="1893"/>
      <c r="FS34" s="1892"/>
      <c r="FT34" s="1891">
        <f>(FT$32/100*$I$15)+FT$33</f>
        <v>0.12321383363679367</v>
      </c>
      <c r="FU34" s="1890"/>
      <c r="FV34" s="1889"/>
      <c r="FW34" s="1888">
        <f>(FW$32/100*$I$15)+FW$33</f>
        <v>0.12321383363679367</v>
      </c>
      <c r="FX34" s="1887"/>
      <c r="FY34" s="1887"/>
      <c r="FZ34" s="1886">
        <f>(FZ$32/100*$I$15)+FZ$33</f>
        <v>0.12321383363679367</v>
      </c>
      <c r="GA34" s="1885"/>
      <c r="GB34" s="1884"/>
      <c r="GC34" s="1399">
        <f>(GC$32/100*$I$15)+GC$33</f>
        <v>0.12321383363679367</v>
      </c>
      <c r="GD34" s="1883"/>
      <c r="GE34" s="1883"/>
      <c r="GF34" s="1400">
        <v>0</v>
      </c>
      <c r="GG34" s="1162"/>
      <c r="GH34" s="1163"/>
      <c r="GI34" s="1632"/>
      <c r="GJ34" s="1882"/>
      <c r="GK34" s="1712"/>
      <c r="GL34" s="698"/>
      <c r="GM34" s="702"/>
      <c r="GN34" s="1881"/>
      <c r="GO34" s="1500"/>
      <c r="GP34" s="1500"/>
      <c r="GQ34" s="1500"/>
      <c r="GR34" s="1500"/>
      <c r="GS34" s="1500"/>
      <c r="GT34" s="694"/>
      <c r="GU34" s="694"/>
      <c r="GV34" s="694"/>
      <c r="GW34" s="694"/>
      <c r="GX34" s="694"/>
      <c r="GY34" s="694"/>
      <c r="GZ34" s="694"/>
      <c r="HA34" s="694"/>
      <c r="HB34" s="694"/>
      <c r="HC34" s="694"/>
      <c r="HD34" s="694"/>
      <c r="HE34" s="694"/>
      <c r="HF34" s="694"/>
      <c r="HG34" s="694"/>
      <c r="HH34" s="694"/>
      <c r="HI34" s="694"/>
      <c r="HJ34" s="694"/>
      <c r="HK34" s="694"/>
      <c r="HL34" s="694"/>
      <c r="HM34" s="694"/>
    </row>
    <row r="35" spans="1:221" ht="54.9" customHeight="1">
      <c r="A35" s="784">
        <f t="shared" si="5"/>
        <v>17</v>
      </c>
      <c r="B35" s="1711" t="s">
        <v>254</v>
      </c>
      <c r="C35" s="1880" t="s">
        <v>808</v>
      </c>
      <c r="D35" s="1795"/>
      <c r="E35" s="590">
        <v>20680597.139999997</v>
      </c>
      <c r="F35" s="590"/>
      <c r="G35" s="591"/>
      <c r="H35" s="1008">
        <v>8069022.0199999996</v>
      </c>
      <c r="I35" s="592"/>
      <c r="J35" s="586"/>
      <c r="K35" s="1011">
        <v>86565628.890000001</v>
      </c>
      <c r="L35" s="593"/>
      <c r="M35" s="587"/>
      <c r="N35" s="1014">
        <v>22188863.09</v>
      </c>
      <c r="O35" s="594"/>
      <c r="P35" s="588"/>
      <c r="Q35" s="1131">
        <v>27005248.349999998</v>
      </c>
      <c r="R35" s="595"/>
      <c r="S35" s="596"/>
      <c r="T35" s="1020">
        <v>25799055.359999999</v>
      </c>
      <c r="U35" s="597"/>
      <c r="V35" s="598"/>
      <c r="W35" s="1023">
        <v>15731554.18</v>
      </c>
      <c r="X35" s="599"/>
      <c r="Y35" s="600"/>
      <c r="Z35" s="1026">
        <v>6961495</v>
      </c>
      <c r="AA35" s="601"/>
      <c r="AB35" s="602"/>
      <c r="AC35" s="1029">
        <v>21073706.109999999</v>
      </c>
      <c r="AD35" s="603"/>
      <c r="AE35" s="604"/>
      <c r="AF35" s="1032">
        <v>27988.35</v>
      </c>
      <c r="AG35" s="605"/>
      <c r="AH35" s="605"/>
      <c r="AI35" s="1035">
        <v>9158917.9100000001</v>
      </c>
      <c r="AJ35" s="606"/>
      <c r="AK35" s="607"/>
      <c r="AL35" s="1038">
        <v>20626990.686070856</v>
      </c>
      <c r="AM35" s="608"/>
      <c r="AN35" s="609"/>
      <c r="AO35" s="1041">
        <v>21170272.50023846</v>
      </c>
      <c r="AP35" s="610"/>
      <c r="AQ35" s="611"/>
      <c r="AR35" s="1045">
        <v>80435314.520000011</v>
      </c>
      <c r="AS35" s="612"/>
      <c r="AT35" s="1879"/>
      <c r="AU35" s="1227">
        <v>14404841.620000001</v>
      </c>
      <c r="AV35" s="1878"/>
      <c r="AW35" s="1228"/>
      <c r="AX35" s="996">
        <v>18664930.664499998</v>
      </c>
      <c r="AY35" s="613"/>
      <c r="AZ35" s="614"/>
      <c r="BA35" s="993">
        <v>6390365.3054999989</v>
      </c>
      <c r="BB35" s="589"/>
      <c r="BC35" s="589"/>
      <c r="BD35" s="999">
        <v>45954211.070000008</v>
      </c>
      <c r="BE35" s="615"/>
      <c r="BF35" s="616"/>
      <c r="BG35" s="1234">
        <v>15756660.403426394</v>
      </c>
      <c r="BH35" s="1792"/>
      <c r="BI35" s="1233"/>
      <c r="BJ35" s="1857">
        <v>22040646.259999998</v>
      </c>
      <c r="BK35" s="1149"/>
      <c r="BL35" s="1790"/>
      <c r="BM35" s="1856">
        <v>0</v>
      </c>
      <c r="BN35" s="1788"/>
      <c r="BO35" s="1787"/>
      <c r="BP35" s="1855">
        <v>0</v>
      </c>
      <c r="BQ35" s="1785"/>
      <c r="BR35" s="1784"/>
      <c r="BS35" s="1854">
        <v>60476080.700985923</v>
      </c>
      <c r="BT35" s="1782"/>
      <c r="BU35" s="1781"/>
      <c r="BV35" s="1853">
        <v>68405611.270000011</v>
      </c>
      <c r="BW35" s="1941"/>
      <c r="BX35" s="1779"/>
      <c r="BY35" s="1852">
        <v>7389782.2199999997</v>
      </c>
      <c r="BZ35" s="1777"/>
      <c r="CA35" s="1776"/>
      <c r="CB35" s="1002">
        <v>5857687</v>
      </c>
      <c r="CC35" s="617"/>
      <c r="CD35" s="618"/>
      <c r="CE35" s="1050">
        <v>40538248</v>
      </c>
      <c r="CF35" s="983"/>
      <c r="CG35" s="985"/>
      <c r="CH35" s="2429">
        <v>667577204.30999994</v>
      </c>
      <c r="CI35" s="1051"/>
      <c r="CJ35" s="1051"/>
      <c r="CK35" s="1035">
        <v>336775187.312594</v>
      </c>
      <c r="CL35" s="1058"/>
      <c r="CM35" s="1059"/>
      <c r="CN35" s="1115">
        <v>83698220.679999992</v>
      </c>
      <c r="CO35" s="1077"/>
      <c r="CP35" s="1077"/>
      <c r="CQ35" s="1105">
        <v>366838605.69999993</v>
      </c>
      <c r="CR35" s="1060"/>
      <c r="CS35" s="1061"/>
      <c r="CT35" s="1207">
        <v>274199972.27999997</v>
      </c>
      <c r="CU35" s="1208"/>
      <c r="CV35" s="1209"/>
      <c r="CW35" s="1107">
        <f>+'6A-Estimate &amp; Reconcile'!BH56</f>
        <v>12476737.449230772</v>
      </c>
      <c r="CX35" s="1064"/>
      <c r="CY35" s="1065"/>
      <c r="CZ35" s="1106">
        <f>+'6A-Estimate &amp; Reconcile'!P53</f>
        <v>34481067.2823148</v>
      </c>
      <c r="DA35" s="1062"/>
      <c r="DB35" s="1063"/>
      <c r="DC35" s="1026">
        <f>+'6A-Estimate &amp; Reconcile'!BJ56</f>
        <v>31617516.507692255</v>
      </c>
      <c r="DD35" s="1066"/>
      <c r="DE35" s="1066"/>
      <c r="DF35" s="1877">
        <f>+'6A-Estimate &amp; Reconcile'!R53</f>
        <v>160260925.22970003</v>
      </c>
      <c r="DG35" s="1876"/>
      <c r="DH35" s="1875"/>
      <c r="DI35" s="1108">
        <f>+'6A-Estimate &amp; Reconcile'!S53</f>
        <v>532375</v>
      </c>
      <c r="DJ35" s="1067"/>
      <c r="DK35" s="1067"/>
      <c r="DL35" s="1109">
        <f>+'6A-Estimate &amp; Reconcile'!BM56</f>
        <v>56976437.795739248</v>
      </c>
      <c r="DM35" s="1068"/>
      <c r="DN35" s="1069"/>
      <c r="DO35" s="1110">
        <f>+'6A-Estimate &amp; Reconcile'!BN56</f>
        <v>3745932.153846154</v>
      </c>
      <c r="DP35" s="1071"/>
      <c r="DQ35" s="1072"/>
      <c r="DR35" s="1111">
        <f>+'6A-Estimate &amp; Reconcile'!V53</f>
        <v>211553988.13594681</v>
      </c>
      <c r="DS35" s="1073"/>
      <c r="DT35" s="1074"/>
      <c r="DU35" s="1848">
        <f>+'6A-Estimate &amp; Reconcile'!W53</f>
        <v>33293621.139453173</v>
      </c>
      <c r="DV35" s="1874"/>
      <c r="DW35" s="1873"/>
      <c r="DX35" s="1847">
        <f>+'6A-Estimate &amp; Reconcile'!X53</f>
        <v>9496612.4013040196</v>
      </c>
      <c r="DY35" s="1872"/>
      <c r="DZ35" s="1871"/>
      <c r="EA35" s="1112">
        <f>+'6A-Estimate &amp; Reconcile'!Y53</f>
        <v>1589541.2253701026</v>
      </c>
      <c r="EB35" s="1075"/>
      <c r="EC35" s="1076"/>
      <c r="ED35" s="1844">
        <f>+'6A-Estimate &amp; Reconcile'!Z53</f>
        <v>1531032.2462593953</v>
      </c>
      <c r="EE35" s="1870"/>
      <c r="EF35" s="1869"/>
      <c r="EG35" s="1841">
        <f>+'6A-Estimate &amp; Reconcile'!AA53</f>
        <v>2114341.9261709633</v>
      </c>
      <c r="EH35" s="1868"/>
      <c r="EI35" s="1867"/>
      <c r="EJ35" s="1838">
        <f>+'6A-Estimate &amp; Reconcile'!AB53</f>
        <v>1476460.2950320875</v>
      </c>
      <c r="EK35" s="1837"/>
      <c r="EL35" s="1836"/>
      <c r="EM35" s="1835">
        <f>+'6A-Estimate &amp; Reconcile'!AC53</f>
        <v>838905.61719283112</v>
      </c>
      <c r="EN35" s="1834"/>
      <c r="EO35" s="1833"/>
      <c r="EP35" s="1832">
        <f>+'6A-Estimate &amp; Reconcile'!AD53</f>
        <v>433918.16895370069</v>
      </c>
      <c r="EQ35" s="1831"/>
      <c r="ER35" s="1830"/>
      <c r="ES35" s="1829">
        <f>+'6A-Estimate &amp; Reconcile'!AE53</f>
        <v>1370003.0723767879</v>
      </c>
      <c r="ET35" s="1067"/>
      <c r="EU35" s="1866"/>
      <c r="EV35" s="1826">
        <f>+'6A-Estimate &amp; Reconcile'!AF53</f>
        <v>597317.15348679014</v>
      </c>
      <c r="EW35" s="1807"/>
      <c r="EX35" s="1806"/>
      <c r="EY35" s="1825">
        <f>+'6A-Estimate &amp; Reconcile'!AG53</f>
        <v>597317.15348679014</v>
      </c>
      <c r="EZ35" s="1865"/>
      <c r="FA35" s="1864"/>
      <c r="FB35" s="1822">
        <f>+'6A-Estimate &amp; Reconcile'!AH53</f>
        <v>569297.01229923731</v>
      </c>
      <c r="FC35" s="1798"/>
      <c r="FD35" s="1821"/>
      <c r="FE35" s="1820">
        <f>+'6A-Estimate &amp; Reconcile'!AI53</f>
        <v>569297.01229923731</v>
      </c>
      <c r="FF35" s="1819"/>
      <c r="FG35" s="1818"/>
      <c r="FH35" s="1817">
        <f>+'6A-Estimate &amp; Reconcile'!AJ53</f>
        <v>1581596.5195341937</v>
      </c>
      <c r="FI35" s="1816"/>
      <c r="FJ35" s="1815"/>
      <c r="FK35" s="1814">
        <f>+'6A-Estimate &amp; Reconcile'!AK53</f>
        <v>1286902.9638557974</v>
      </c>
      <c r="FL35" s="1813"/>
      <c r="FM35" s="1812"/>
      <c r="FN35" s="1811">
        <f>+'6A-Estimate &amp; Reconcile'!AL53</f>
        <v>4799333.6418779958</v>
      </c>
      <c r="FO35" s="1810"/>
      <c r="FP35" s="1809"/>
      <c r="FQ35" s="1808">
        <f>+'6A-Estimate &amp; Reconcile'!AM53</f>
        <v>5002105.3953405414</v>
      </c>
      <c r="FR35" s="1807"/>
      <c r="FS35" s="1806"/>
      <c r="FT35" s="1805">
        <f>+'6A-Estimate &amp; Reconcile'!AN53</f>
        <v>123508.98856493362</v>
      </c>
      <c r="FU35" s="1804"/>
      <c r="FV35" s="1803"/>
      <c r="FW35" s="1110">
        <f>+'6A-Estimate &amp; Reconcile'!AO53</f>
        <v>124051.07637136296</v>
      </c>
      <c r="FX35" s="1802"/>
      <c r="FY35" s="1802"/>
      <c r="FZ35" s="1801">
        <f>+'6A-Estimate &amp; Reconcile'!AP53</f>
        <v>337481.2572371409</v>
      </c>
      <c r="GA35" s="1800"/>
      <c r="GB35" s="1799"/>
      <c r="GC35" s="1112">
        <f>+'6A-Estimate &amp; Reconcile'!AQ53</f>
        <v>133459.97288607579</v>
      </c>
      <c r="GD35" s="1075"/>
      <c r="GE35" s="1075"/>
      <c r="GF35" s="1164">
        <v>0</v>
      </c>
      <c r="GG35" s="597"/>
      <c r="GH35" s="598"/>
      <c r="GI35" s="1632"/>
      <c r="GJ35" s="1863"/>
      <c r="GK35" s="1712"/>
      <c r="GL35" s="702"/>
      <c r="GM35" s="702"/>
      <c r="GN35" s="1523"/>
      <c r="GO35" s="1500"/>
      <c r="GP35" s="1500"/>
      <c r="GQ35" s="1500"/>
      <c r="GR35" s="1500"/>
      <c r="GS35" s="1500"/>
      <c r="GT35" s="694"/>
      <c r="GU35" s="694"/>
      <c r="GV35" s="694"/>
      <c r="GW35" s="694"/>
      <c r="GX35" s="694"/>
      <c r="GY35" s="694"/>
      <c r="GZ35" s="694"/>
      <c r="HA35" s="694"/>
      <c r="HB35" s="694"/>
      <c r="HC35" s="694"/>
      <c r="HD35" s="694"/>
      <c r="HE35" s="694"/>
      <c r="HF35" s="694"/>
      <c r="HG35" s="694"/>
      <c r="HH35" s="694"/>
      <c r="HI35" s="694"/>
      <c r="HJ35" s="694"/>
      <c r="HK35" s="694"/>
      <c r="HL35" s="694"/>
      <c r="HM35" s="694"/>
    </row>
    <row r="36" spans="1:221" ht="54" customHeight="1">
      <c r="A36" s="784">
        <f>+A35+1</f>
        <v>18</v>
      </c>
      <c r="B36" s="1862" t="s">
        <v>809</v>
      </c>
      <c r="C36" s="1861" t="s">
        <v>632</v>
      </c>
      <c r="D36" s="1860"/>
      <c r="E36" s="1005">
        <f>IF(E30=0,0,E35/E30)</f>
        <v>492395.16999999993</v>
      </c>
      <c r="F36" s="1859"/>
      <c r="G36" s="1858"/>
      <c r="H36" s="1008">
        <f>IF(H35=0,0,H35/H30)</f>
        <v>192119.57190476189</v>
      </c>
      <c r="I36" s="592"/>
      <c r="J36" s="586"/>
      <c r="K36" s="1011">
        <f>IF(K35=0,0,K35/K30)</f>
        <v>2061086.4021428572</v>
      </c>
      <c r="L36" s="593"/>
      <c r="M36" s="587"/>
      <c r="N36" s="1014">
        <f>IF(N35=0,0,N35/N30)</f>
        <v>528306.26404761907</v>
      </c>
      <c r="O36" s="594"/>
      <c r="P36" s="588"/>
      <c r="Q36" s="1017">
        <v>642982.09523809503</v>
      </c>
      <c r="R36" s="595"/>
      <c r="S36" s="596"/>
      <c r="T36" s="1020">
        <f>IF(T35=0,0,T35/T30)</f>
        <v>614263.2228571428</v>
      </c>
      <c r="U36" s="597"/>
      <c r="V36" s="598"/>
      <c r="W36" s="1023">
        <f>IF(W35=0,0,W35/W30)</f>
        <v>374560.81380952382</v>
      </c>
      <c r="X36" s="599"/>
      <c r="Y36" s="600"/>
      <c r="Z36" s="1026">
        <f>IF(Z35=0,0,Z35/Z30)</f>
        <v>165749.88095238095</v>
      </c>
      <c r="AA36" s="601"/>
      <c r="AB36" s="602"/>
      <c r="AC36" s="1029">
        <f>IF(AC35=0,0,AC35/AC30)</f>
        <v>501754.90738095238</v>
      </c>
      <c r="AD36" s="603"/>
      <c r="AE36" s="604"/>
      <c r="AF36" s="1032">
        <f>IF(AF35=0,0,AF35/AF30)</f>
        <v>666.38928571428573</v>
      </c>
      <c r="AG36" s="605"/>
      <c r="AH36" s="605"/>
      <c r="AI36" s="1035">
        <f>IF(AI35=0,0,AI35/AI30)</f>
        <v>218069.47404761906</v>
      </c>
      <c r="AJ36" s="606"/>
      <c r="AK36" s="607"/>
      <c r="AL36" s="1038">
        <f>IF(AL35=0,0,AL35/AL30)</f>
        <v>491118.82585882989</v>
      </c>
      <c r="AM36" s="608"/>
      <c r="AN36" s="609"/>
      <c r="AO36" s="1042">
        <f>IF(AO35=0,0,AO35/AO30)</f>
        <v>504054.10714853473</v>
      </c>
      <c r="AP36" s="610"/>
      <c r="AQ36" s="611"/>
      <c r="AR36" s="1045">
        <f>IF(AR35=0,0,AR35/AR30)</f>
        <v>1915126.5361904765</v>
      </c>
      <c r="AS36" s="619"/>
      <c r="AT36" s="620"/>
      <c r="AU36" s="1227">
        <f>IF(AU35=0,0,AU35/AU30)</f>
        <v>342972.41952380957</v>
      </c>
      <c r="AV36" s="569"/>
      <c r="AW36" s="1228"/>
      <c r="AX36" s="996">
        <f>IF(AX35=0,0,AX35/AX30)</f>
        <v>444403.11105952377</v>
      </c>
      <c r="AY36" s="613"/>
      <c r="AZ36" s="614"/>
      <c r="BA36" s="993">
        <f>IF(BA35=0,0,BA35/BA30)</f>
        <v>152151.55489285712</v>
      </c>
      <c r="BB36" s="589"/>
      <c r="BC36" s="589"/>
      <c r="BD36" s="999">
        <f>IF(BD35=0,0,BD35/BD30)</f>
        <v>1094147.8826190478</v>
      </c>
      <c r="BE36" s="615"/>
      <c r="BF36" s="616"/>
      <c r="BG36" s="1234">
        <f>IF(BG35=0,0,BG35/BG30)</f>
        <v>375158.58103396173</v>
      </c>
      <c r="BH36" s="1792"/>
      <c r="BI36" s="1233"/>
      <c r="BJ36" s="1857">
        <f>IF(BJ35=0,0,BJ35/BJ30)</f>
        <v>524777.29190476181</v>
      </c>
      <c r="BK36" s="1149"/>
      <c r="BL36" s="1790"/>
      <c r="BM36" s="1856">
        <f>IF(BM35=0,0,BM35/BM30)</f>
        <v>0</v>
      </c>
      <c r="BN36" s="1788"/>
      <c r="BO36" s="1787"/>
      <c r="BP36" s="1855">
        <f>IF(BP35=0,0,BP35/BP30)</f>
        <v>0</v>
      </c>
      <c r="BQ36" s="1785"/>
      <c r="BR36" s="1784"/>
      <c r="BS36" s="1854">
        <f>IF(BS35=0,0,BS35/BS30)</f>
        <v>1439906.6833568078</v>
      </c>
      <c r="BT36" s="1782"/>
      <c r="BU36" s="1782"/>
      <c r="BV36" s="1853">
        <f>IF(BV35=0,0,BV35/BV30)</f>
        <v>1628705.0302380954</v>
      </c>
      <c r="BW36" s="1941"/>
      <c r="BX36" s="1779"/>
      <c r="BY36" s="1852">
        <f>IF(BY35=0,0,BY35/BY30)</f>
        <v>175947.19571428571</v>
      </c>
      <c r="BZ36" s="1776"/>
      <c r="CA36" s="1776"/>
      <c r="CB36" s="1002">
        <f>IF(CB35=0,0,CB35/CB30)</f>
        <v>139468.73809523811</v>
      </c>
      <c r="CC36" s="617"/>
      <c r="CD36" s="618"/>
      <c r="CE36" s="1050">
        <f>IF(CE35=0,0,CE35/CE30)</f>
        <v>965196.38095238095</v>
      </c>
      <c r="CF36" s="983"/>
      <c r="CG36" s="985"/>
      <c r="CH36" s="2429">
        <f>IF(CH35=0,0,CH35/CH30)</f>
        <v>15894695.340714285</v>
      </c>
      <c r="CI36" s="1051"/>
      <c r="CJ36" s="1051"/>
      <c r="CK36" s="1035">
        <f>IF(CK35=0,0,CK35/CK30)</f>
        <v>8018456.8407760477</v>
      </c>
      <c r="CL36" s="1058"/>
      <c r="CM36" s="1059"/>
      <c r="CN36" s="1115">
        <f>IF(CN35=0,0,CN35/CN30)</f>
        <v>1992814.7780952379</v>
      </c>
      <c r="CO36" s="1077"/>
      <c r="CP36" s="1077"/>
      <c r="CQ36" s="1105">
        <f>IF(CQ35=0,0,CQ35/CQ30)</f>
        <v>8734252.5166666657</v>
      </c>
      <c r="CR36" s="1060"/>
      <c r="CS36" s="1061"/>
      <c r="CT36" s="1207">
        <f>IF(CT35=0,0,CT35/CT30)</f>
        <v>6528570.768571428</v>
      </c>
      <c r="CU36" s="1208"/>
      <c r="CV36" s="1209"/>
      <c r="CW36" s="1114">
        <f>IF(CW35=0,0,CW35/CW30)</f>
        <v>297065.17736263742</v>
      </c>
      <c r="CX36" s="1064"/>
      <c r="CY36" s="1065"/>
      <c r="CZ36" s="1113">
        <f>IF(CZ35=0,0,CZ35/CZ30)</f>
        <v>820977.79243606667</v>
      </c>
      <c r="DA36" s="1062"/>
      <c r="DB36" s="1063"/>
      <c r="DC36" s="1038">
        <f>IF(DC35=0,0,DC35/DC30)</f>
        <v>752798.01208791079</v>
      </c>
      <c r="DD36" s="1066"/>
      <c r="DE36" s="1066"/>
      <c r="DF36" s="1851">
        <f>IF(DF35=0,0,DF35/DF30)</f>
        <v>3815736.3149928576</v>
      </c>
      <c r="DG36" s="1850"/>
      <c r="DH36" s="1849"/>
      <c r="DI36" s="1115">
        <f>IF(DI35=0,0,DI35/DI30)</f>
        <v>12675.595238095239</v>
      </c>
      <c r="DJ36" s="1077"/>
      <c r="DK36" s="1077"/>
      <c r="DL36" s="1035">
        <f>IF(DL35=0,0,DL35/DL30)</f>
        <v>1356581.8522795059</v>
      </c>
      <c r="DM36" s="1078"/>
      <c r="DN36" s="1069"/>
      <c r="DO36" s="1116">
        <f>IF(DO35=0,0,DO35/DO30)</f>
        <v>89188.860805860808</v>
      </c>
      <c r="DP36" s="1070"/>
      <c r="DQ36" s="1072"/>
      <c r="DR36" s="1111">
        <f>IF(DR35=0,0,DR35/DR30)</f>
        <v>5036999.7175225429</v>
      </c>
      <c r="DS36" s="1813"/>
      <c r="DT36" s="1812"/>
      <c r="DU36" s="1848">
        <f>IF(DU35=0,0,DU35/DU30)</f>
        <v>792705.26522507553</v>
      </c>
      <c r="DV36" s="1816"/>
      <c r="DW36" s="1815"/>
      <c r="DX36" s="1847">
        <f>IF(DX35=0,0,DX35/DX30)</f>
        <v>226109.81907866715</v>
      </c>
      <c r="DY36" s="1846"/>
      <c r="DZ36" s="1845"/>
      <c r="EA36" s="1112">
        <f>IF(EA35=0,0,EA35/EA30)</f>
        <v>37846.219651669111</v>
      </c>
      <c r="EB36" s="1798"/>
      <c r="EC36" s="1821"/>
      <c r="ED36" s="1844">
        <f>IF(ED35=0,0,ED35/ED30)</f>
        <v>36453.148720461795</v>
      </c>
      <c r="EE36" s="1843"/>
      <c r="EF36" s="1842"/>
      <c r="EG36" s="1841">
        <f>IF(EG35=0,0,EG35/EG30)</f>
        <v>50341.474432641982</v>
      </c>
      <c r="EH36" s="1840"/>
      <c r="EI36" s="1839"/>
      <c r="EJ36" s="1838">
        <f>IF(EJ35=0,0,EJ35/EJ30)</f>
        <v>35153.816548383038</v>
      </c>
      <c r="EK36" s="1837"/>
      <c r="EL36" s="1836"/>
      <c r="EM36" s="1835">
        <f>IF(EM35=0,0,EM35/EM30)</f>
        <v>19973.943266495979</v>
      </c>
      <c r="EN36" s="1834"/>
      <c r="EO36" s="1833"/>
      <c r="EP36" s="1832">
        <f>IF(EP35=0,0,EP35/EP30)</f>
        <v>10331.384975088111</v>
      </c>
      <c r="EQ36" s="1831"/>
      <c r="ER36" s="1830"/>
      <c r="ES36" s="1829">
        <f>IF(ES35=0,0,ES35/ES30)</f>
        <v>32619.120770875903</v>
      </c>
      <c r="ET36" s="1828"/>
      <c r="EU36" s="1827"/>
      <c r="EV36" s="1826">
        <f>IF(EV35=0,0,EV35/EV30)</f>
        <v>14221.836987780718</v>
      </c>
      <c r="EW36" s="1807"/>
      <c r="EX36" s="1806"/>
      <c r="EY36" s="1825">
        <f>IF(EY35=0,0,EY35/EY30)</f>
        <v>14221.836987780718</v>
      </c>
      <c r="EZ36" s="1824"/>
      <c r="FA36" s="1823"/>
      <c r="FB36" s="1822">
        <f>IF(FB35=0,0,FB35/FB30)</f>
        <v>13554.690769029459</v>
      </c>
      <c r="FC36" s="1798"/>
      <c r="FD36" s="1821"/>
      <c r="FE36" s="1820">
        <f>IF(FE35=0,0,FE35/FE30)</f>
        <v>13554.690769029459</v>
      </c>
      <c r="FF36" s="1819"/>
      <c r="FG36" s="1818"/>
      <c r="FH36" s="1817">
        <f>IF(FH35=0,0,FH35/FH30)</f>
        <v>37657.059988909372</v>
      </c>
      <c r="FI36" s="1816"/>
      <c r="FJ36" s="1815"/>
      <c r="FK36" s="1814">
        <f>IF(FK35=0,0,FK35/FK30)</f>
        <v>30640.546758471366</v>
      </c>
      <c r="FL36" s="1813"/>
      <c r="FM36" s="1812"/>
      <c r="FN36" s="1811">
        <f>IF(FN35=0,0,FN35/FN30)</f>
        <v>114269.84861614276</v>
      </c>
      <c r="FO36" s="1810"/>
      <c r="FP36" s="1809"/>
      <c r="FQ36" s="1808">
        <f>IF(FQ35=0,0,FQ35/FQ30)</f>
        <v>119097.74750810812</v>
      </c>
      <c r="FR36" s="1807"/>
      <c r="FS36" s="1806"/>
      <c r="FT36" s="1805">
        <f>IF(FT35=0,0,FT35/FT30)</f>
        <v>2940.6902039269908</v>
      </c>
      <c r="FU36" s="1804"/>
      <c r="FV36" s="1803"/>
      <c r="FW36" s="1110">
        <f>IF(FW35=0,0,FW35/FW30)</f>
        <v>2953.5970564610229</v>
      </c>
      <c r="FX36" s="1802"/>
      <c r="FY36" s="1802"/>
      <c r="FZ36" s="1801">
        <f>IF(FZ35=0,0,FZ35/FZ30)</f>
        <v>8035.2680294557358</v>
      </c>
      <c r="GA36" s="1800"/>
      <c r="GB36" s="1799"/>
      <c r="GC36" s="1112">
        <f>IF(GC35=0,0,GC35/GC30)</f>
        <v>3177.6184020494234</v>
      </c>
      <c r="GD36" s="1798"/>
      <c r="GE36" s="1798"/>
      <c r="GF36" s="1164">
        <v>0</v>
      </c>
      <c r="GG36" s="1159"/>
      <c r="GH36" s="1160"/>
      <c r="GI36" s="1632"/>
      <c r="GJ36" s="1797"/>
      <c r="GK36" s="1712"/>
      <c r="GL36" s="1523"/>
      <c r="GM36" s="702"/>
      <c r="GN36" s="1523"/>
      <c r="GO36" s="1500"/>
      <c r="GP36" s="1500"/>
      <c r="GQ36" s="1500"/>
      <c r="GR36" s="1500"/>
      <c r="GS36" s="1500"/>
      <c r="GT36" s="694"/>
      <c r="GU36" s="694"/>
      <c r="GV36" s="694"/>
      <c r="GW36" s="694"/>
      <c r="GX36" s="694"/>
      <c r="GY36" s="694"/>
      <c r="GZ36" s="694"/>
      <c r="HA36" s="694"/>
      <c r="HB36" s="694"/>
      <c r="HC36" s="694"/>
      <c r="HD36" s="694"/>
      <c r="HE36" s="694"/>
      <c r="HF36" s="694"/>
      <c r="HG36" s="694"/>
      <c r="HH36" s="694"/>
      <c r="HI36" s="694"/>
      <c r="HJ36" s="694"/>
      <c r="HK36" s="694"/>
      <c r="HL36" s="694"/>
      <c r="HM36" s="694"/>
    </row>
    <row r="37" spans="1:221" ht="35.1" customHeight="1">
      <c r="A37" s="784">
        <f>+A36+1</f>
        <v>19</v>
      </c>
      <c r="B37" s="1711" t="s">
        <v>431</v>
      </c>
      <c r="C37" s="1796"/>
      <c r="D37" s="1795"/>
      <c r="E37" s="1006">
        <v>13</v>
      </c>
      <c r="F37" s="621"/>
      <c r="G37" s="1794"/>
      <c r="H37" s="1009">
        <v>13</v>
      </c>
      <c r="I37" s="622"/>
      <c r="J37" s="623"/>
      <c r="K37" s="1012">
        <v>13</v>
      </c>
      <c r="L37" s="624"/>
      <c r="M37" s="625"/>
      <c r="N37" s="1015">
        <v>13</v>
      </c>
      <c r="O37" s="626"/>
      <c r="P37" s="627"/>
      <c r="Q37" s="1018">
        <v>13</v>
      </c>
      <c r="R37" s="628"/>
      <c r="S37" s="629"/>
      <c r="T37" s="1021">
        <v>13</v>
      </c>
      <c r="U37" s="630"/>
      <c r="V37" s="631"/>
      <c r="W37" s="1024">
        <v>13</v>
      </c>
      <c r="X37" s="632"/>
      <c r="Y37" s="633"/>
      <c r="Z37" s="1027">
        <v>13</v>
      </c>
      <c r="AA37" s="634"/>
      <c r="AB37" s="635"/>
      <c r="AC37" s="1030">
        <v>13</v>
      </c>
      <c r="AD37" s="636"/>
      <c r="AE37" s="637"/>
      <c r="AF37" s="1033">
        <v>13</v>
      </c>
      <c r="AG37" s="638"/>
      <c r="AH37" s="638"/>
      <c r="AI37" s="1036">
        <v>13</v>
      </c>
      <c r="AJ37" s="639"/>
      <c r="AK37" s="640"/>
      <c r="AL37" s="1039">
        <v>13</v>
      </c>
      <c r="AM37" s="641"/>
      <c r="AN37" s="642"/>
      <c r="AO37" s="1043">
        <v>13</v>
      </c>
      <c r="AP37" s="643"/>
      <c r="AQ37" s="644"/>
      <c r="AR37" s="1015">
        <v>13</v>
      </c>
      <c r="AS37" s="612"/>
      <c r="AT37" s="645"/>
      <c r="AU37" s="1793">
        <v>13</v>
      </c>
      <c r="AV37" s="646"/>
      <c r="AW37" s="1229"/>
      <c r="AX37" s="997">
        <v>13</v>
      </c>
      <c r="AY37" s="647"/>
      <c r="AZ37" s="648"/>
      <c r="BA37" s="994">
        <v>13</v>
      </c>
      <c r="BB37" s="649"/>
      <c r="BC37" s="649"/>
      <c r="BD37" s="1000">
        <v>13</v>
      </c>
      <c r="BE37" s="650"/>
      <c r="BF37" s="651"/>
      <c r="BG37" s="2428">
        <f>+'6A-Estimate &amp; Reconcile'!AX55</f>
        <v>10.017660180086047</v>
      </c>
      <c r="BH37" s="1792"/>
      <c r="BI37" s="1233"/>
      <c r="BJ37" s="1791">
        <v>13</v>
      </c>
      <c r="BK37" s="1149"/>
      <c r="BL37" s="1790"/>
      <c r="BM37" s="1789"/>
      <c r="BN37" s="1788"/>
      <c r="BO37" s="1787"/>
      <c r="BP37" s="1786"/>
      <c r="BQ37" s="1785"/>
      <c r="BR37" s="1784"/>
      <c r="BS37" s="1783">
        <v>13</v>
      </c>
      <c r="BT37" s="1782"/>
      <c r="BU37" s="1781"/>
      <c r="BV37" s="1780">
        <f>+'6A-Estimate &amp; Reconcile'!AV55</f>
        <v>4.4451379595134792</v>
      </c>
      <c r="BW37" s="1941"/>
      <c r="BX37" s="1779"/>
      <c r="BY37" s="1778">
        <f>+'6A-Estimate &amp; Reconcile'!AW55</f>
        <v>2.807059047539834</v>
      </c>
      <c r="BZ37" s="1777"/>
      <c r="CA37" s="1776"/>
      <c r="CB37" s="1003">
        <f>+'6A-Estimate &amp; Reconcile'!BA55</f>
        <v>13</v>
      </c>
      <c r="CC37" s="652"/>
      <c r="CD37" s="653"/>
      <c r="CE37" s="2427">
        <f>+'6A-Estimate &amp; Reconcile'!BB55</f>
        <v>9.6599362310872454</v>
      </c>
      <c r="CF37" s="983"/>
      <c r="CG37" s="985"/>
      <c r="CH37" s="2430">
        <f>+'6A-Estimate &amp; Reconcile'!BC55</f>
        <v>8.3101388121003836</v>
      </c>
      <c r="CI37" s="984"/>
      <c r="CJ37" s="1051"/>
      <c r="CK37" s="1036">
        <f>+'6A-Estimate &amp; Reconcile'!BD55</f>
        <v>9.902637392581072</v>
      </c>
      <c r="CL37" s="1079"/>
      <c r="CM37" s="1080"/>
      <c r="CN37" s="1775">
        <f>+'6A-Estimate &amp; Reconcile'!BE55</f>
        <v>5.5771756010763509</v>
      </c>
      <c r="CO37" s="1774"/>
      <c r="CP37" s="1774"/>
      <c r="CQ37" s="1117">
        <f>+'6A-Estimate &amp; Reconcile'!BF55</f>
        <v>11.523665349325583</v>
      </c>
      <c r="CR37" s="1081"/>
      <c r="CS37" s="1082"/>
      <c r="CT37" s="1210">
        <f>+'6A-Estimate &amp; Reconcile'!BG55</f>
        <v>4.744400163110039</v>
      </c>
      <c r="CU37" s="1211"/>
      <c r="CV37" s="1212"/>
      <c r="CW37" s="1119">
        <f>+'6A-Estimate &amp; Reconcile'!BH55</f>
        <v>13</v>
      </c>
      <c r="CX37" s="1773"/>
      <c r="CY37" s="1772"/>
      <c r="CZ37" s="1118">
        <f>+'6A-Estimate &amp; Reconcile'!BI55</f>
        <v>88.568478184021089</v>
      </c>
      <c r="DA37" s="1083"/>
      <c r="DB37" s="1084"/>
      <c r="DC37" s="1120">
        <f>+'6A-Estimate &amp; Reconcile'!BJ55</f>
        <v>13</v>
      </c>
      <c r="DD37" s="1066"/>
      <c r="DE37" s="1085"/>
      <c r="DF37" s="1771">
        <f>+'6A-Estimate &amp; Reconcile'!BK55</f>
        <v>10.599383557974107</v>
      </c>
      <c r="DG37" s="1770"/>
      <c r="DH37" s="1769"/>
      <c r="DI37" s="1121">
        <f>+'6A-Estimate &amp; Reconcile'!BL55</f>
        <v>13</v>
      </c>
      <c r="DJ37" s="1086"/>
      <c r="DK37" s="1086"/>
      <c r="DL37" s="1122">
        <f>+'6A-Estimate &amp; Reconcile'!BL55</f>
        <v>13</v>
      </c>
      <c r="DM37" s="1078"/>
      <c r="DN37" s="1087"/>
      <c r="DO37" s="1123">
        <f>+'6A-Estimate &amp; Reconcile'!BN55</f>
        <v>13</v>
      </c>
      <c r="DP37" s="1070"/>
      <c r="DQ37" s="1088"/>
      <c r="DR37" s="1768">
        <f>+'6A-Estimate &amp; Reconcile'!BO55</f>
        <v>14.335148007801083</v>
      </c>
      <c r="DS37" s="1089"/>
      <c r="DT37" s="1732"/>
      <c r="DU37" s="1767">
        <f>+'6A-Estimate &amp; Reconcile'!BP55</f>
        <v>11.723894038932375</v>
      </c>
      <c r="DV37" s="1735"/>
      <c r="DW37" s="1734"/>
      <c r="DX37" s="1766">
        <f>+'6A-Estimate &amp; Reconcile'!BQ55</f>
        <v>4.3482741211672229</v>
      </c>
      <c r="DY37" s="1765"/>
      <c r="DZ37" s="1764"/>
      <c r="EA37" s="1716">
        <f>+'6A-Estimate &amp; Reconcile'!BR55</f>
        <v>4.0838844598492337</v>
      </c>
      <c r="EB37" s="1090"/>
      <c r="EC37" s="1740"/>
      <c r="ED37" s="1763">
        <f>+'6A-Estimate &amp; Reconcile'!BS55</f>
        <v>4.0419581650215424</v>
      </c>
      <c r="EE37" s="1762"/>
      <c r="EF37" s="1761"/>
      <c r="EG37" s="1760">
        <f>+'6A-Estimate &amp; Reconcile'!BT55</f>
        <v>3.7024866651628492</v>
      </c>
      <c r="EH37" s="1759"/>
      <c r="EI37" s="1758"/>
      <c r="EJ37" s="1757">
        <f>+'6A-Estimate &amp; Reconcile'!BU55</f>
        <v>4.2098483641226832</v>
      </c>
      <c r="EK37" s="1756"/>
      <c r="EL37" s="1755"/>
      <c r="EM37" s="1754">
        <f>+'6A-Estimate &amp; Reconcile'!BV55</f>
        <v>5.2811212701597823</v>
      </c>
      <c r="EN37" s="1753"/>
      <c r="EO37" s="1752"/>
      <c r="EP37" s="1751">
        <f>+'6A-Estimate &amp; Reconcile'!BW55</f>
        <v>5.169214031005942</v>
      </c>
      <c r="EQ37" s="1750"/>
      <c r="ER37" s="1749"/>
      <c r="ES37" s="1748">
        <f>+'6A-Estimate &amp; Reconcile'!BX55</f>
        <v>4.3199034414104407</v>
      </c>
      <c r="ET37" s="1747"/>
      <c r="EU37" s="1746"/>
      <c r="EV37" s="1745">
        <f>+'6A-Estimate &amp; Reconcile'!BZ55</f>
        <v>4.2649564543044836</v>
      </c>
      <c r="EW37" s="1727"/>
      <c r="EX37" s="1726"/>
      <c r="EY37" s="1744">
        <f>+'6A-Estimate &amp; Reconcile'!BZ55</f>
        <v>4.2649564543044836</v>
      </c>
      <c r="EZ37" s="1743"/>
      <c r="FA37" s="1742"/>
      <c r="FB37" s="1741">
        <f>+'6A-Estimate &amp; Reconcile'!CA55</f>
        <v>4.4690924981546187</v>
      </c>
      <c r="FC37" s="1090"/>
      <c r="FD37" s="1740"/>
      <c r="FE37" s="1739">
        <f>+'6A-Estimate &amp; Reconcile'!CB55</f>
        <v>4.4690924981546187</v>
      </c>
      <c r="FF37" s="1738"/>
      <c r="FG37" s="1737"/>
      <c r="FH37" s="1736">
        <f>+'6A-Estimate &amp; Reconcile'!CC55</f>
        <v>4.2625898646943563</v>
      </c>
      <c r="FI37" s="1735"/>
      <c r="FJ37" s="1734"/>
      <c r="FK37" s="1733">
        <f>+'6A-Estimate &amp; Reconcile'!CD55</f>
        <v>3.9709084942290298</v>
      </c>
      <c r="FL37" s="1089"/>
      <c r="FM37" s="1732"/>
      <c r="FN37" s="1731">
        <f>+'6A-Estimate &amp; Reconcile'!CE55</f>
        <v>4.8399579481662576</v>
      </c>
      <c r="FO37" s="1730"/>
      <c r="FP37" s="1729"/>
      <c r="FQ37" s="1728">
        <f>+'6A-Estimate &amp; Reconcile'!CF55</f>
        <v>4.7072585379046696</v>
      </c>
      <c r="FR37" s="1727"/>
      <c r="FS37" s="1726"/>
      <c r="FT37" s="1725">
        <f>+'6A-Estimate &amp; Reconcile'!CG55</f>
        <v>4.2248769335578897</v>
      </c>
      <c r="FU37" s="1724"/>
      <c r="FV37" s="1723"/>
      <c r="FW37" s="1722">
        <f>+'6A-Estimate &amp; Reconcile'!CH55</f>
        <v>4.2115945507638877</v>
      </c>
      <c r="FX37" s="1721"/>
      <c r="FY37" s="1720"/>
      <c r="FZ37" s="1719">
        <f>+'6A-Estimate &amp; Reconcile'!CI55</f>
        <v>4.3313049095338485</v>
      </c>
      <c r="GA37" s="1718"/>
      <c r="GB37" s="1717"/>
      <c r="GC37" s="1716">
        <f>+'6A-Estimate &amp; Reconcile'!CJ55</f>
        <v>4.4882552859404505</v>
      </c>
      <c r="GD37" s="1090"/>
      <c r="GE37" s="1715"/>
      <c r="GF37" s="1165">
        <v>13</v>
      </c>
      <c r="GG37" s="630"/>
      <c r="GH37" s="1166"/>
      <c r="GI37" s="1714"/>
      <c r="GJ37" s="1713"/>
      <c r="GK37" s="1712"/>
      <c r="GL37" s="698"/>
      <c r="GM37" s="696"/>
      <c r="GN37" s="1523"/>
      <c r="GO37" s="1500"/>
      <c r="GP37" s="1500"/>
      <c r="GQ37" s="1500"/>
      <c r="GR37" s="1500"/>
      <c r="GS37" s="1500"/>
      <c r="GT37" s="694"/>
      <c r="GU37" s="694"/>
      <c r="GV37" s="694"/>
      <c r="GW37" s="694"/>
      <c r="GX37" s="694"/>
      <c r="GY37" s="694"/>
      <c r="GZ37" s="694"/>
      <c r="HA37" s="694"/>
      <c r="HB37" s="694"/>
      <c r="HC37" s="694"/>
      <c r="HD37" s="694"/>
      <c r="HE37" s="694"/>
      <c r="HF37" s="694"/>
      <c r="HG37" s="694"/>
      <c r="HH37" s="694"/>
      <c r="HI37" s="694"/>
      <c r="HJ37" s="694"/>
      <c r="HK37" s="694"/>
      <c r="HL37" s="694"/>
      <c r="HM37" s="694"/>
    </row>
    <row r="38" spans="1:221" ht="36" customHeight="1" thickBot="1">
      <c r="A38" s="784">
        <v>20</v>
      </c>
      <c r="B38" s="1711" t="s">
        <v>253</v>
      </c>
      <c r="C38" s="1710"/>
      <c r="D38" s="1709"/>
      <c r="E38" s="1007">
        <v>2006</v>
      </c>
      <c r="F38" s="654"/>
      <c r="G38" s="1708"/>
      <c r="H38" s="1010">
        <v>2007</v>
      </c>
      <c r="I38" s="655"/>
      <c r="J38" s="656"/>
      <c r="K38" s="1013">
        <v>2007</v>
      </c>
      <c r="L38" s="657"/>
      <c r="M38" s="658"/>
      <c r="N38" s="1016">
        <v>2007</v>
      </c>
      <c r="O38" s="659"/>
      <c r="P38" s="660"/>
      <c r="Q38" s="1019">
        <v>2008</v>
      </c>
      <c r="R38" s="661"/>
      <c r="S38" s="662"/>
      <c r="T38" s="1022">
        <v>2009</v>
      </c>
      <c r="U38" s="663"/>
      <c r="V38" s="664"/>
      <c r="W38" s="1025">
        <v>2009</v>
      </c>
      <c r="X38" s="665"/>
      <c r="Y38" s="666"/>
      <c r="Z38" s="1028">
        <v>2008</v>
      </c>
      <c r="AA38" s="667"/>
      <c r="AB38" s="668"/>
      <c r="AC38" s="1031">
        <v>2009</v>
      </c>
      <c r="AD38" s="669"/>
      <c r="AE38" s="670"/>
      <c r="AF38" s="1034">
        <v>2008</v>
      </c>
      <c r="AG38" s="605"/>
      <c r="AH38" s="605"/>
      <c r="AI38" s="1037">
        <v>2010</v>
      </c>
      <c r="AJ38" s="671"/>
      <c r="AK38" s="672"/>
      <c r="AL38" s="1040">
        <v>2011</v>
      </c>
      <c r="AM38" s="673"/>
      <c r="AN38" s="674"/>
      <c r="AO38" s="1044">
        <v>2011</v>
      </c>
      <c r="AP38" s="675"/>
      <c r="AQ38" s="676"/>
      <c r="AR38" s="1046">
        <v>2012</v>
      </c>
      <c r="AS38" s="677"/>
      <c r="AT38" s="678"/>
      <c r="AU38" s="1230">
        <v>2012</v>
      </c>
      <c r="AV38" s="679"/>
      <c r="AW38" s="1231"/>
      <c r="AX38" s="998">
        <v>2012</v>
      </c>
      <c r="AY38" s="680"/>
      <c r="AZ38" s="681"/>
      <c r="BA38" s="995">
        <v>2012</v>
      </c>
      <c r="BB38" s="682"/>
      <c r="BC38" s="682"/>
      <c r="BD38" s="1001">
        <v>2012</v>
      </c>
      <c r="BE38" s="683"/>
      <c r="BF38" s="684"/>
      <c r="BG38" s="1235">
        <v>2011</v>
      </c>
      <c r="BH38" s="1792"/>
      <c r="BI38" s="1236"/>
      <c r="BJ38" s="1707" t="s">
        <v>877</v>
      </c>
      <c r="BK38" s="1151"/>
      <c r="BL38" s="1706"/>
      <c r="BM38" s="1705"/>
      <c r="BN38" s="1704"/>
      <c r="BO38" s="1703"/>
      <c r="BP38" s="1702"/>
      <c r="BQ38" s="1701"/>
      <c r="BR38" s="1700"/>
      <c r="BS38" s="1699">
        <v>2013</v>
      </c>
      <c r="BT38" s="1698"/>
      <c r="BU38" s="1697"/>
      <c r="BV38" s="1696" t="s">
        <v>1076</v>
      </c>
      <c r="BW38" s="1695"/>
      <c r="BX38" s="1694"/>
      <c r="BY38" s="1693" t="s">
        <v>1076</v>
      </c>
      <c r="BZ38" s="1692"/>
      <c r="CA38" s="1692"/>
      <c r="CB38" s="1004">
        <v>2010</v>
      </c>
      <c r="CC38" s="685"/>
      <c r="CD38" s="686"/>
      <c r="CE38" s="1013">
        <v>2011</v>
      </c>
      <c r="CF38" s="986"/>
      <c r="CG38" s="987"/>
      <c r="CH38" s="988">
        <v>2012</v>
      </c>
      <c r="CI38" s="1051"/>
      <c r="CJ38" s="1051"/>
      <c r="CK38" s="1037">
        <v>2011</v>
      </c>
      <c r="CL38" s="1091"/>
      <c r="CM38" s="1092"/>
      <c r="CN38" s="1691">
        <v>2013</v>
      </c>
      <c r="CO38" s="1690"/>
      <c r="CP38" s="1690"/>
      <c r="CQ38" s="1124">
        <v>2012</v>
      </c>
      <c r="CR38" s="1093"/>
      <c r="CS38" s="1094"/>
      <c r="CT38" s="1213">
        <v>2013</v>
      </c>
      <c r="CU38" s="1214"/>
      <c r="CV38" s="1215"/>
      <c r="CW38" s="1126">
        <v>2014</v>
      </c>
      <c r="CX38" s="1095"/>
      <c r="CY38" s="1096"/>
      <c r="CZ38" s="1125">
        <v>2015</v>
      </c>
      <c r="DA38" s="1062"/>
      <c r="DB38" s="1063"/>
      <c r="DC38" s="1127">
        <v>2014</v>
      </c>
      <c r="DD38" s="1097"/>
      <c r="DE38" s="1097"/>
      <c r="DF38" s="1689">
        <v>2015</v>
      </c>
      <c r="DG38" s="1688"/>
      <c r="DH38" s="1687"/>
      <c r="DI38" s="1128">
        <v>2015</v>
      </c>
      <c r="DJ38" s="1098"/>
      <c r="DK38" s="1098"/>
      <c r="DL38" s="1129">
        <v>2014</v>
      </c>
      <c r="DM38" s="1099"/>
      <c r="DN38" s="1100"/>
      <c r="DO38" s="1130">
        <v>2014</v>
      </c>
      <c r="DP38" s="1101"/>
      <c r="DQ38" s="1102"/>
      <c r="DR38" s="1686">
        <v>2015</v>
      </c>
      <c r="DS38" s="1103"/>
      <c r="DT38" s="1650"/>
      <c r="DU38" s="1685">
        <v>2015</v>
      </c>
      <c r="DV38" s="1653"/>
      <c r="DW38" s="1652"/>
      <c r="DX38" s="1684"/>
      <c r="DY38" s="1683"/>
      <c r="DZ38" s="1682"/>
      <c r="EA38" s="1634"/>
      <c r="EB38" s="1104"/>
      <c r="EC38" s="1658"/>
      <c r="ED38" s="1681"/>
      <c r="EE38" s="1680"/>
      <c r="EF38" s="1679"/>
      <c r="EG38" s="1678"/>
      <c r="EH38" s="1677"/>
      <c r="EI38" s="1676"/>
      <c r="EJ38" s="1675"/>
      <c r="EK38" s="1674"/>
      <c r="EL38" s="1673"/>
      <c r="EM38" s="1672"/>
      <c r="EN38" s="1671"/>
      <c r="EO38" s="1670"/>
      <c r="EP38" s="1669"/>
      <c r="EQ38" s="1668"/>
      <c r="ER38" s="1667"/>
      <c r="ES38" s="1666"/>
      <c r="ET38" s="1665"/>
      <c r="EU38" s="1664"/>
      <c r="EV38" s="1663"/>
      <c r="EW38" s="1645"/>
      <c r="EX38" s="1644"/>
      <c r="EY38" s="1662"/>
      <c r="EZ38" s="1661"/>
      <c r="FA38" s="1660"/>
      <c r="FB38" s="1659"/>
      <c r="FC38" s="1104"/>
      <c r="FD38" s="1658"/>
      <c r="FE38" s="1657"/>
      <c r="FF38" s="1656"/>
      <c r="FG38" s="1655"/>
      <c r="FH38" s="1654"/>
      <c r="FI38" s="1653"/>
      <c r="FJ38" s="1652"/>
      <c r="FK38" s="1651"/>
      <c r="FL38" s="1103"/>
      <c r="FM38" s="1650"/>
      <c r="FN38" s="1649"/>
      <c r="FO38" s="1648"/>
      <c r="FP38" s="1647"/>
      <c r="FQ38" s="1646"/>
      <c r="FR38" s="1645"/>
      <c r="FS38" s="1644"/>
      <c r="FT38" s="1643"/>
      <c r="FU38" s="1642"/>
      <c r="FV38" s="1641"/>
      <c r="FW38" s="1640"/>
      <c r="FX38" s="1639"/>
      <c r="FY38" s="1638"/>
      <c r="FZ38" s="1637"/>
      <c r="GA38" s="1636"/>
      <c r="GB38" s="1635"/>
      <c r="GC38" s="1634"/>
      <c r="GD38" s="1104"/>
      <c r="GE38" s="1633"/>
      <c r="GF38" s="1167"/>
      <c r="GG38" s="1168"/>
      <c r="GH38" s="1169"/>
      <c r="GI38" s="1632"/>
      <c r="GJ38" s="1631"/>
      <c r="GK38" s="1630"/>
      <c r="GL38" s="1598"/>
      <c r="GM38" s="694"/>
      <c r="GN38" s="1500"/>
      <c r="GO38" s="1500"/>
      <c r="GP38" s="1500"/>
      <c r="GQ38" s="1500"/>
      <c r="GR38" s="1500"/>
      <c r="GS38" s="1500"/>
      <c r="GT38" s="694"/>
      <c r="GU38" s="694"/>
      <c r="GV38" s="694"/>
      <c r="GW38" s="694"/>
      <c r="GX38" s="694"/>
      <c r="GY38" s="694"/>
      <c r="GZ38" s="694"/>
      <c r="HA38" s="694"/>
      <c r="HB38" s="694"/>
      <c r="HC38" s="694"/>
      <c r="HD38" s="694"/>
      <c r="HE38" s="694"/>
      <c r="HF38" s="694"/>
      <c r="HG38" s="694"/>
      <c r="HH38" s="694"/>
      <c r="HI38" s="694"/>
      <c r="HJ38" s="694"/>
      <c r="HK38" s="694"/>
      <c r="HL38" s="694"/>
      <c r="HM38" s="694"/>
    </row>
    <row r="39" spans="1:221" s="694" customFormat="1" ht="52.8" thickBot="1">
      <c r="A39" s="1629">
        <v>21</v>
      </c>
      <c r="B39" s="2431"/>
      <c r="C39" s="1628"/>
      <c r="D39" s="1627" t="s">
        <v>579</v>
      </c>
      <c r="E39" s="1627" t="s">
        <v>666</v>
      </c>
      <c r="F39" s="2417" t="s">
        <v>1074</v>
      </c>
      <c r="G39" s="1337" t="s">
        <v>665</v>
      </c>
      <c r="H39" s="1627" t="s">
        <v>666</v>
      </c>
      <c r="I39" s="2417" t="s">
        <v>1074</v>
      </c>
      <c r="J39" s="1337" t="s">
        <v>665</v>
      </c>
      <c r="K39" s="1627" t="s">
        <v>666</v>
      </c>
      <c r="L39" s="2417" t="s">
        <v>1074</v>
      </c>
      <c r="M39" s="1337" t="s">
        <v>665</v>
      </c>
      <c r="N39" s="1627" t="s">
        <v>666</v>
      </c>
      <c r="O39" s="2417" t="s">
        <v>1074</v>
      </c>
      <c r="P39" s="1337" t="s">
        <v>665</v>
      </c>
      <c r="Q39" s="1627" t="s">
        <v>666</v>
      </c>
      <c r="R39" s="2417" t="s">
        <v>1074</v>
      </c>
      <c r="S39" s="1337" t="s">
        <v>665</v>
      </c>
      <c r="T39" s="1627" t="s">
        <v>666</v>
      </c>
      <c r="U39" s="2417" t="s">
        <v>1074</v>
      </c>
      <c r="V39" s="1337" t="s">
        <v>665</v>
      </c>
      <c r="W39" s="1627" t="s">
        <v>666</v>
      </c>
      <c r="X39" s="2417" t="s">
        <v>1074</v>
      </c>
      <c r="Y39" s="1337" t="s">
        <v>665</v>
      </c>
      <c r="Z39" s="1627" t="s">
        <v>666</v>
      </c>
      <c r="AA39" s="2417" t="s">
        <v>1074</v>
      </c>
      <c r="AB39" s="1337" t="s">
        <v>665</v>
      </c>
      <c r="AC39" s="1627" t="s">
        <v>666</v>
      </c>
      <c r="AD39" s="2417" t="s">
        <v>1074</v>
      </c>
      <c r="AE39" s="1337" t="s">
        <v>665</v>
      </c>
      <c r="AF39" s="1627" t="s">
        <v>666</v>
      </c>
      <c r="AG39" s="2417" t="s">
        <v>1074</v>
      </c>
      <c r="AH39" s="1337" t="s">
        <v>665</v>
      </c>
      <c r="AI39" s="1627" t="s">
        <v>666</v>
      </c>
      <c r="AJ39" s="2417" t="s">
        <v>1074</v>
      </c>
      <c r="AK39" s="1337" t="s">
        <v>665</v>
      </c>
      <c r="AL39" s="1627" t="s">
        <v>666</v>
      </c>
      <c r="AM39" s="2417" t="s">
        <v>1074</v>
      </c>
      <c r="AN39" s="1337" t="s">
        <v>665</v>
      </c>
      <c r="AO39" s="1627" t="s">
        <v>666</v>
      </c>
      <c r="AP39" s="2417" t="s">
        <v>1074</v>
      </c>
      <c r="AQ39" s="1337" t="s">
        <v>665</v>
      </c>
      <c r="AR39" s="1627" t="s">
        <v>666</v>
      </c>
      <c r="AS39" s="2417" t="s">
        <v>1074</v>
      </c>
      <c r="AT39" s="1337" t="s">
        <v>665</v>
      </c>
      <c r="AU39" s="1627" t="s">
        <v>666</v>
      </c>
      <c r="AV39" s="2417" t="s">
        <v>1074</v>
      </c>
      <c r="AW39" s="1337" t="s">
        <v>665</v>
      </c>
      <c r="AX39" s="1627" t="s">
        <v>666</v>
      </c>
      <c r="AY39" s="2417" t="s">
        <v>1074</v>
      </c>
      <c r="AZ39" s="1337" t="s">
        <v>665</v>
      </c>
      <c r="BA39" s="1627" t="s">
        <v>666</v>
      </c>
      <c r="BB39" s="2417" t="s">
        <v>1074</v>
      </c>
      <c r="BC39" s="1337" t="s">
        <v>665</v>
      </c>
      <c r="BD39" s="1627" t="s">
        <v>666</v>
      </c>
      <c r="BE39" s="2417" t="s">
        <v>1074</v>
      </c>
      <c r="BF39" s="1337" t="s">
        <v>665</v>
      </c>
      <c r="BG39" s="1627" t="s">
        <v>666</v>
      </c>
      <c r="BH39" s="2417" t="s">
        <v>1074</v>
      </c>
      <c r="BI39" s="1337" t="s">
        <v>665</v>
      </c>
      <c r="BJ39" s="1627" t="s">
        <v>666</v>
      </c>
      <c r="BK39" s="2417" t="s">
        <v>1074</v>
      </c>
      <c r="BL39" s="1337" t="s">
        <v>665</v>
      </c>
      <c r="BM39" s="1627" t="s">
        <v>666</v>
      </c>
      <c r="BN39" s="2417" t="s">
        <v>1074</v>
      </c>
      <c r="BO39" s="1337" t="s">
        <v>665</v>
      </c>
      <c r="BP39" s="1627" t="s">
        <v>666</v>
      </c>
      <c r="BQ39" s="2417" t="s">
        <v>1074</v>
      </c>
      <c r="BR39" s="1337" t="s">
        <v>665</v>
      </c>
      <c r="BS39" s="1627" t="s">
        <v>666</v>
      </c>
      <c r="BT39" s="2417" t="s">
        <v>1074</v>
      </c>
      <c r="BU39" s="1337" t="s">
        <v>665</v>
      </c>
      <c r="BV39" s="1627" t="s">
        <v>666</v>
      </c>
      <c r="BW39" s="2417" t="s">
        <v>1074</v>
      </c>
      <c r="BX39" s="1337" t="s">
        <v>665</v>
      </c>
      <c r="BY39" s="2418"/>
      <c r="BZ39" s="2418"/>
      <c r="CA39" s="2418"/>
      <c r="CB39" s="2419" t="s">
        <v>666</v>
      </c>
      <c r="CC39" s="2417" t="s">
        <v>1074</v>
      </c>
      <c r="CD39" s="1337" t="s">
        <v>665</v>
      </c>
      <c r="CE39" s="1627" t="s">
        <v>666</v>
      </c>
      <c r="CF39" s="2417" t="s">
        <v>1074</v>
      </c>
      <c r="CG39" s="1337" t="s">
        <v>665</v>
      </c>
      <c r="CH39" s="1627" t="s">
        <v>666</v>
      </c>
      <c r="CI39" s="2417" t="s">
        <v>1074</v>
      </c>
      <c r="CJ39" s="1337" t="s">
        <v>665</v>
      </c>
      <c r="CK39" s="1627" t="s">
        <v>666</v>
      </c>
      <c r="CL39" s="2417" t="s">
        <v>1074</v>
      </c>
      <c r="CM39" s="1337" t="s">
        <v>665</v>
      </c>
      <c r="CN39" s="1627" t="s">
        <v>666</v>
      </c>
      <c r="CO39" s="2417" t="s">
        <v>1074</v>
      </c>
      <c r="CP39" s="1337" t="s">
        <v>665</v>
      </c>
      <c r="CQ39" s="1627" t="s">
        <v>666</v>
      </c>
      <c r="CR39" s="2417" t="s">
        <v>1074</v>
      </c>
      <c r="CS39" s="1337" t="s">
        <v>665</v>
      </c>
      <c r="CT39" s="1627" t="s">
        <v>666</v>
      </c>
      <c r="CU39" s="2417" t="s">
        <v>1074</v>
      </c>
      <c r="CV39" s="1337" t="s">
        <v>665</v>
      </c>
      <c r="CW39" s="1627" t="s">
        <v>666</v>
      </c>
      <c r="CX39" s="2417" t="s">
        <v>1074</v>
      </c>
      <c r="CY39" s="1337" t="s">
        <v>665</v>
      </c>
      <c r="CZ39" s="1627" t="s">
        <v>666</v>
      </c>
      <c r="DA39" s="2417" t="s">
        <v>1074</v>
      </c>
      <c r="DB39" s="1337" t="s">
        <v>665</v>
      </c>
      <c r="DC39" s="1627" t="s">
        <v>666</v>
      </c>
      <c r="DD39" s="2417" t="s">
        <v>1074</v>
      </c>
      <c r="DE39" s="1337" t="s">
        <v>665</v>
      </c>
      <c r="DF39" s="1627" t="s">
        <v>666</v>
      </c>
      <c r="DG39" s="2417" t="s">
        <v>1074</v>
      </c>
      <c r="DH39" s="1337" t="s">
        <v>665</v>
      </c>
      <c r="DI39" s="1627" t="s">
        <v>666</v>
      </c>
      <c r="DJ39" s="2417" t="s">
        <v>1074</v>
      </c>
      <c r="DK39" s="1337" t="s">
        <v>665</v>
      </c>
      <c r="DL39" s="1627" t="s">
        <v>666</v>
      </c>
      <c r="DM39" s="2417" t="s">
        <v>1074</v>
      </c>
      <c r="DN39" s="1337" t="s">
        <v>665</v>
      </c>
      <c r="DO39" s="1627" t="s">
        <v>666</v>
      </c>
      <c r="DP39" s="2417" t="s">
        <v>1074</v>
      </c>
      <c r="DQ39" s="1337" t="s">
        <v>665</v>
      </c>
      <c r="DR39" s="1627" t="s">
        <v>666</v>
      </c>
      <c r="DS39" s="2417" t="s">
        <v>1074</v>
      </c>
      <c r="DT39" s="1337" t="s">
        <v>665</v>
      </c>
      <c r="DU39" s="1627" t="s">
        <v>666</v>
      </c>
      <c r="DV39" s="2417" t="s">
        <v>1074</v>
      </c>
      <c r="DW39" s="1337" t="s">
        <v>665</v>
      </c>
      <c r="DX39" s="1627" t="s">
        <v>666</v>
      </c>
      <c r="DY39" s="2417" t="s">
        <v>1074</v>
      </c>
      <c r="DZ39" s="1337" t="s">
        <v>665</v>
      </c>
      <c r="EA39" s="1627" t="s">
        <v>666</v>
      </c>
      <c r="EB39" s="2417" t="s">
        <v>1074</v>
      </c>
      <c r="EC39" s="1337" t="s">
        <v>665</v>
      </c>
      <c r="ED39" s="1627" t="s">
        <v>666</v>
      </c>
      <c r="EE39" s="2417" t="s">
        <v>1074</v>
      </c>
      <c r="EF39" s="1337" t="s">
        <v>665</v>
      </c>
      <c r="EG39" s="1627" t="s">
        <v>666</v>
      </c>
      <c r="EH39" s="2417" t="s">
        <v>1074</v>
      </c>
      <c r="EI39" s="1337" t="s">
        <v>665</v>
      </c>
      <c r="EJ39" s="1627" t="s">
        <v>666</v>
      </c>
      <c r="EK39" s="2417" t="s">
        <v>1074</v>
      </c>
      <c r="EL39" s="1337" t="s">
        <v>665</v>
      </c>
      <c r="EM39" s="1627" t="s">
        <v>666</v>
      </c>
      <c r="EN39" s="2417" t="s">
        <v>1074</v>
      </c>
      <c r="EO39" s="1337" t="s">
        <v>665</v>
      </c>
      <c r="EP39" s="1627" t="s">
        <v>666</v>
      </c>
      <c r="EQ39" s="2417" t="s">
        <v>1074</v>
      </c>
      <c r="ER39" s="1337" t="s">
        <v>665</v>
      </c>
      <c r="ES39" s="1627" t="s">
        <v>666</v>
      </c>
      <c r="ET39" s="2417" t="s">
        <v>1074</v>
      </c>
      <c r="EU39" s="1337" t="s">
        <v>665</v>
      </c>
      <c r="EV39" s="1627" t="s">
        <v>666</v>
      </c>
      <c r="EW39" s="2417" t="s">
        <v>1074</v>
      </c>
      <c r="EX39" s="1337" t="s">
        <v>665</v>
      </c>
      <c r="EY39" s="1627" t="s">
        <v>666</v>
      </c>
      <c r="EZ39" s="2417" t="s">
        <v>1074</v>
      </c>
      <c r="FA39" s="1337" t="s">
        <v>665</v>
      </c>
      <c r="FB39" s="1627" t="s">
        <v>666</v>
      </c>
      <c r="FC39" s="2417" t="s">
        <v>1074</v>
      </c>
      <c r="FD39" s="1337" t="s">
        <v>665</v>
      </c>
      <c r="FE39" s="1627" t="s">
        <v>666</v>
      </c>
      <c r="FF39" s="2417" t="s">
        <v>1074</v>
      </c>
      <c r="FG39" s="1337" t="s">
        <v>665</v>
      </c>
      <c r="FH39" s="1627" t="s">
        <v>666</v>
      </c>
      <c r="FI39" s="2417" t="s">
        <v>1074</v>
      </c>
      <c r="FJ39" s="1337" t="s">
        <v>665</v>
      </c>
      <c r="FK39" s="1627" t="s">
        <v>666</v>
      </c>
      <c r="FL39" s="2417" t="s">
        <v>1074</v>
      </c>
      <c r="FM39" s="1337" t="s">
        <v>665</v>
      </c>
      <c r="FN39" s="1627" t="s">
        <v>666</v>
      </c>
      <c r="FO39" s="2417" t="s">
        <v>1074</v>
      </c>
      <c r="FP39" s="1337" t="s">
        <v>665</v>
      </c>
      <c r="FQ39" s="1627" t="s">
        <v>666</v>
      </c>
      <c r="FR39" s="2417" t="s">
        <v>1074</v>
      </c>
      <c r="FS39" s="1337" t="s">
        <v>665</v>
      </c>
      <c r="FT39" s="1627" t="s">
        <v>666</v>
      </c>
      <c r="FU39" s="2417" t="s">
        <v>1074</v>
      </c>
      <c r="FV39" s="1337" t="s">
        <v>665</v>
      </c>
      <c r="FW39" s="1627" t="s">
        <v>666</v>
      </c>
      <c r="FX39" s="2417" t="s">
        <v>1074</v>
      </c>
      <c r="FY39" s="1337" t="s">
        <v>665</v>
      </c>
      <c r="FZ39" s="1627" t="s">
        <v>666</v>
      </c>
      <c r="GA39" s="2417" t="s">
        <v>1074</v>
      </c>
      <c r="GB39" s="1337" t="s">
        <v>665</v>
      </c>
      <c r="GC39" s="1627" t="s">
        <v>666</v>
      </c>
      <c r="GD39" s="2417" t="s">
        <v>1075</v>
      </c>
      <c r="GE39" s="2417" t="s">
        <v>665</v>
      </c>
      <c r="GF39" s="1627" t="s">
        <v>666</v>
      </c>
      <c r="GG39" s="2417" t="s">
        <v>1074</v>
      </c>
      <c r="GH39" s="1337" t="s">
        <v>665</v>
      </c>
      <c r="GI39" s="1337" t="s">
        <v>330</v>
      </c>
      <c r="GJ39" s="2420" t="s">
        <v>667</v>
      </c>
      <c r="GK39" s="2421" t="s">
        <v>672</v>
      </c>
      <c r="GL39" s="2422"/>
      <c r="GN39" s="1500"/>
      <c r="GO39" s="1500"/>
      <c r="GP39" s="1500"/>
      <c r="GQ39" s="1500"/>
      <c r="GR39" s="1500"/>
      <c r="GS39" s="1500"/>
    </row>
    <row r="40" spans="1:221" ht="20.399999999999999">
      <c r="A40" s="798">
        <f t="shared" ref="A40:A57" si="6">+A39+1</f>
        <v>22</v>
      </c>
      <c r="B40" s="1139"/>
      <c r="C40" s="1623" t="s">
        <v>1122</v>
      </c>
      <c r="D40" s="1626">
        <v>2006</v>
      </c>
      <c r="E40" s="1625">
        <v>20680597</v>
      </c>
      <c r="F40" s="1221">
        <v>492395.16666666663</v>
      </c>
      <c r="G40" s="1222">
        <v>4652471.301809065</v>
      </c>
      <c r="H40" s="1625"/>
      <c r="I40" s="1221"/>
      <c r="J40" s="1222"/>
      <c r="K40" s="1625"/>
      <c r="L40" s="1221"/>
      <c r="M40" s="1222"/>
      <c r="N40" s="1625"/>
      <c r="O40" s="1221"/>
      <c r="P40" s="1222"/>
      <c r="Q40" s="1625"/>
      <c r="R40" s="1221"/>
      <c r="S40" s="1222"/>
      <c r="T40" s="1625"/>
      <c r="U40" s="1221"/>
      <c r="V40" s="1222"/>
      <c r="W40" s="1625"/>
      <c r="X40" s="1221"/>
      <c r="Y40" s="1222"/>
      <c r="Z40" s="1625"/>
      <c r="AA40" s="1221"/>
      <c r="AB40" s="1222"/>
      <c r="AC40" s="1625"/>
      <c r="AD40" s="1221"/>
      <c r="AE40" s="1222"/>
      <c r="AF40" s="1625"/>
      <c r="AG40" s="1221"/>
      <c r="AH40" s="1222"/>
      <c r="AI40" s="1625"/>
      <c r="AJ40" s="1221"/>
      <c r="AK40" s="1222"/>
      <c r="AL40" s="1625"/>
      <c r="AM40" s="1221"/>
      <c r="AN40" s="1222"/>
      <c r="AO40" s="1625"/>
      <c r="AP40" s="1221"/>
      <c r="AQ40" s="1222"/>
      <c r="AR40" s="1625"/>
      <c r="AS40" s="1221"/>
      <c r="AT40" s="1222"/>
      <c r="AU40" s="1625"/>
      <c r="AV40" s="1221"/>
      <c r="AW40" s="1222"/>
      <c r="AX40" s="1625"/>
      <c r="AY40" s="1221"/>
      <c r="AZ40" s="1222"/>
      <c r="BA40" s="1625"/>
      <c r="BB40" s="1221"/>
      <c r="BC40" s="1222"/>
      <c r="BD40" s="1625"/>
      <c r="BE40" s="1221"/>
      <c r="BF40" s="1222"/>
      <c r="BG40" s="1625"/>
      <c r="BH40" s="1221"/>
      <c r="BI40" s="1222"/>
      <c r="BJ40" s="1625"/>
      <c r="BK40" s="1221"/>
      <c r="BL40" s="1222"/>
      <c r="BM40" s="1625"/>
      <c r="BN40" s="1221"/>
      <c r="BO40" s="1222"/>
      <c r="BP40" s="1625"/>
      <c r="BQ40" s="1221"/>
      <c r="BR40" s="1222"/>
      <c r="BS40" s="1625"/>
      <c r="BT40" s="1221"/>
      <c r="BU40" s="1222"/>
      <c r="BV40" s="1625"/>
      <c r="BW40" s="1221"/>
      <c r="BX40" s="1222"/>
      <c r="BY40" s="1221"/>
      <c r="BZ40" s="1221"/>
      <c r="CA40" s="1221"/>
      <c r="CB40" s="1625"/>
      <c r="CC40" s="1221"/>
      <c r="CD40" s="1222"/>
      <c r="CE40" s="1625"/>
      <c r="CF40" s="1221"/>
      <c r="CG40" s="1222"/>
      <c r="CH40" s="1625"/>
      <c r="CI40" s="1221"/>
      <c r="CJ40" s="1222"/>
      <c r="CK40" s="1625"/>
      <c r="CL40" s="1221"/>
      <c r="CM40" s="1222"/>
      <c r="CN40" s="1625"/>
      <c r="CO40" s="1221"/>
      <c r="CP40" s="1222"/>
      <c r="CQ40" s="1625"/>
      <c r="CR40" s="1221"/>
      <c r="CS40" s="1222"/>
      <c r="CT40" s="1625"/>
      <c r="CU40" s="1221"/>
      <c r="CV40" s="1222"/>
      <c r="CW40" s="1625"/>
      <c r="CX40" s="1221"/>
      <c r="CY40" s="1222"/>
      <c r="CZ40" s="1625"/>
      <c r="DA40" s="1221"/>
      <c r="DB40" s="1222"/>
      <c r="DC40" s="1625"/>
      <c r="DD40" s="1221"/>
      <c r="DE40" s="1222"/>
      <c r="DF40" s="1625"/>
      <c r="DG40" s="1221"/>
      <c r="DH40" s="1222"/>
      <c r="DI40" s="1625"/>
      <c r="DJ40" s="1221"/>
      <c r="DK40" s="1222"/>
      <c r="DL40" s="1625"/>
      <c r="DM40" s="1221"/>
      <c r="DN40" s="1222"/>
      <c r="DO40" s="1625"/>
      <c r="DP40" s="1221"/>
      <c r="DQ40" s="1222"/>
      <c r="DR40" s="1625"/>
      <c r="DS40" s="1221"/>
      <c r="DT40" s="1222"/>
      <c r="DU40" s="1625"/>
      <c r="DV40" s="1221"/>
      <c r="DW40" s="1222"/>
      <c r="DX40" s="1625"/>
      <c r="DY40" s="1221"/>
      <c r="DZ40" s="1222"/>
      <c r="EA40" s="1625"/>
      <c r="EB40" s="1221"/>
      <c r="EC40" s="1222"/>
      <c r="ED40" s="1625"/>
      <c r="EE40" s="1221"/>
      <c r="EF40" s="1222"/>
      <c r="EG40" s="1625"/>
      <c r="EH40" s="1221"/>
      <c r="EI40" s="1222"/>
      <c r="EJ40" s="1625"/>
      <c r="EK40" s="1221"/>
      <c r="EL40" s="1222"/>
      <c r="EM40" s="1625"/>
      <c r="EN40" s="1221"/>
      <c r="EO40" s="1222"/>
      <c r="EP40" s="1625"/>
      <c r="EQ40" s="1221"/>
      <c r="ER40" s="1222"/>
      <c r="ES40" s="1625"/>
      <c r="ET40" s="1221"/>
      <c r="EU40" s="1222"/>
      <c r="EV40" s="1625"/>
      <c r="EW40" s="1221"/>
      <c r="EX40" s="1222"/>
      <c r="EY40" s="1625"/>
      <c r="EZ40" s="1221"/>
      <c r="FA40" s="1222"/>
      <c r="FB40" s="1625"/>
      <c r="FC40" s="1221"/>
      <c r="FD40" s="1222"/>
      <c r="FE40" s="1625"/>
      <c r="FF40" s="1221"/>
      <c r="FG40" s="1222"/>
      <c r="FH40" s="1625"/>
      <c r="FI40" s="1221"/>
      <c r="FJ40" s="1222"/>
      <c r="FK40" s="1625"/>
      <c r="FL40" s="1221"/>
      <c r="FM40" s="1222"/>
      <c r="FN40" s="1625"/>
      <c r="FO40" s="1221"/>
      <c r="FP40" s="1222"/>
      <c r="FQ40" s="1625"/>
      <c r="FR40" s="1221"/>
      <c r="FS40" s="1222"/>
      <c r="FT40" s="1625"/>
      <c r="FU40" s="1221"/>
      <c r="FV40" s="1222"/>
      <c r="FW40" s="1625"/>
      <c r="FX40" s="1221"/>
      <c r="FY40" s="1222"/>
      <c r="FZ40" s="1625"/>
      <c r="GA40" s="1221"/>
      <c r="GB40" s="1222"/>
      <c r="GC40" s="1625"/>
      <c r="GD40" s="1221"/>
      <c r="GE40" s="1222"/>
      <c r="GF40" s="1625"/>
      <c r="GG40" s="1221"/>
      <c r="GH40" s="1222"/>
      <c r="GI40" s="1403">
        <v>4652471.301809065</v>
      </c>
      <c r="GJ40" s="1623"/>
      <c r="GK40" s="1624">
        <f>+GI40</f>
        <v>4652471.301809065</v>
      </c>
      <c r="GL40" s="1623"/>
      <c r="GM40" s="694"/>
      <c r="GN40" s="1500"/>
      <c r="GO40" s="1500"/>
      <c r="GP40" s="1500"/>
      <c r="GQ40" s="1500"/>
      <c r="GR40" s="1500"/>
      <c r="GS40" s="1500"/>
      <c r="GT40" s="694"/>
      <c r="GU40" s="694"/>
      <c r="GV40" s="694"/>
      <c r="GW40" s="694"/>
      <c r="GX40" s="694"/>
      <c r="GY40" s="694"/>
      <c r="GZ40" s="694"/>
      <c r="HA40" s="694"/>
      <c r="HB40" s="694"/>
      <c r="HC40" s="694"/>
      <c r="HD40" s="694"/>
      <c r="HE40" s="694"/>
      <c r="HF40" s="694"/>
      <c r="HG40" s="694"/>
      <c r="HH40" s="694"/>
      <c r="HI40" s="694"/>
      <c r="HJ40" s="694"/>
      <c r="HK40" s="694"/>
      <c r="HL40" s="694"/>
      <c r="HM40" s="694"/>
    </row>
    <row r="41" spans="1:221" ht="20.399999999999999">
      <c r="A41" s="798">
        <f t="shared" si="6"/>
        <v>23</v>
      </c>
      <c r="B41" s="1139"/>
      <c r="C41" s="1614" t="s">
        <v>746</v>
      </c>
      <c r="D41" s="1617">
        <f>D40</f>
        <v>2006</v>
      </c>
      <c r="E41" s="1225">
        <v>20680597</v>
      </c>
      <c r="F41" s="1223">
        <v>492395.16666666663</v>
      </c>
      <c r="G41" s="1224">
        <v>4652471.301809065</v>
      </c>
      <c r="H41" s="1225"/>
      <c r="I41" s="1223"/>
      <c r="J41" s="1224"/>
      <c r="K41" s="1225"/>
      <c r="L41" s="1223"/>
      <c r="M41" s="1224"/>
      <c r="N41" s="1225"/>
      <c r="O41" s="1223"/>
      <c r="P41" s="1224"/>
      <c r="Q41" s="1225"/>
      <c r="R41" s="1223"/>
      <c r="S41" s="1224"/>
      <c r="T41" s="1225"/>
      <c r="U41" s="1223"/>
      <c r="V41" s="1224"/>
      <c r="W41" s="1225"/>
      <c r="X41" s="1223"/>
      <c r="Y41" s="1224"/>
      <c r="Z41" s="1225"/>
      <c r="AA41" s="1223"/>
      <c r="AB41" s="1224"/>
      <c r="AC41" s="1225"/>
      <c r="AD41" s="1223"/>
      <c r="AE41" s="1224"/>
      <c r="AF41" s="1225"/>
      <c r="AG41" s="1223"/>
      <c r="AH41" s="1224"/>
      <c r="AI41" s="1225"/>
      <c r="AJ41" s="1223"/>
      <c r="AK41" s="1224"/>
      <c r="AL41" s="1225"/>
      <c r="AM41" s="1223"/>
      <c r="AN41" s="1224"/>
      <c r="AO41" s="1225"/>
      <c r="AP41" s="1223"/>
      <c r="AQ41" s="1224"/>
      <c r="AR41" s="1225"/>
      <c r="AS41" s="1223"/>
      <c r="AT41" s="1224"/>
      <c r="AU41" s="1225"/>
      <c r="AV41" s="1223"/>
      <c r="AW41" s="1224"/>
      <c r="AX41" s="1225"/>
      <c r="AY41" s="1223"/>
      <c r="AZ41" s="1224"/>
      <c r="BA41" s="1225"/>
      <c r="BB41" s="1223"/>
      <c r="BC41" s="1224"/>
      <c r="BD41" s="1225"/>
      <c r="BE41" s="1223"/>
      <c r="BF41" s="1224"/>
      <c r="BG41" s="1225"/>
      <c r="BH41" s="1223"/>
      <c r="BI41" s="1224"/>
      <c r="BJ41" s="1225"/>
      <c r="BK41" s="1223"/>
      <c r="BL41" s="1224"/>
      <c r="BM41" s="1225"/>
      <c r="BN41" s="1223"/>
      <c r="BO41" s="1224"/>
      <c r="BP41" s="1225"/>
      <c r="BQ41" s="1223"/>
      <c r="BR41" s="1224"/>
      <c r="BS41" s="1225"/>
      <c r="BT41" s="1223"/>
      <c r="BU41" s="1224"/>
      <c r="BV41" s="1225"/>
      <c r="BW41" s="1223"/>
      <c r="BX41" s="1224"/>
      <c r="BY41" s="1223"/>
      <c r="BZ41" s="1223"/>
      <c r="CA41" s="1223"/>
      <c r="CB41" s="1225"/>
      <c r="CC41" s="1223"/>
      <c r="CD41" s="1224"/>
      <c r="CE41" s="1225"/>
      <c r="CF41" s="1223"/>
      <c r="CG41" s="1224"/>
      <c r="CH41" s="1225"/>
      <c r="CI41" s="1223"/>
      <c r="CJ41" s="1224"/>
      <c r="CK41" s="1225"/>
      <c r="CL41" s="1223"/>
      <c r="CM41" s="1224"/>
      <c r="CN41" s="1225"/>
      <c r="CO41" s="1223"/>
      <c r="CP41" s="1224"/>
      <c r="CQ41" s="1225"/>
      <c r="CR41" s="1223"/>
      <c r="CS41" s="1224"/>
      <c r="CT41" s="1225"/>
      <c r="CU41" s="1223"/>
      <c r="CV41" s="1224"/>
      <c r="CW41" s="1225"/>
      <c r="CX41" s="1223"/>
      <c r="CY41" s="1224"/>
      <c r="CZ41" s="1225"/>
      <c r="DA41" s="1223"/>
      <c r="DB41" s="1224"/>
      <c r="DC41" s="1225"/>
      <c r="DD41" s="1223"/>
      <c r="DE41" s="1224"/>
      <c r="DF41" s="1225"/>
      <c r="DG41" s="1223"/>
      <c r="DH41" s="1224"/>
      <c r="DI41" s="1225"/>
      <c r="DJ41" s="1223"/>
      <c r="DK41" s="1224"/>
      <c r="DL41" s="1225"/>
      <c r="DM41" s="1223"/>
      <c r="DN41" s="1224"/>
      <c r="DO41" s="1225"/>
      <c r="DP41" s="1223"/>
      <c r="DQ41" s="1224"/>
      <c r="DR41" s="1225"/>
      <c r="DS41" s="1223"/>
      <c r="DT41" s="1224"/>
      <c r="DU41" s="1225"/>
      <c r="DV41" s="1223"/>
      <c r="DW41" s="1224"/>
      <c r="DX41" s="1225"/>
      <c r="DY41" s="1223"/>
      <c r="DZ41" s="1224"/>
      <c r="EA41" s="1225"/>
      <c r="EB41" s="1223"/>
      <c r="EC41" s="1224"/>
      <c r="ED41" s="1225"/>
      <c r="EE41" s="1223"/>
      <c r="EF41" s="1224"/>
      <c r="EG41" s="1225"/>
      <c r="EH41" s="1223"/>
      <c r="EI41" s="1224"/>
      <c r="EJ41" s="1225"/>
      <c r="EK41" s="1223"/>
      <c r="EL41" s="1224"/>
      <c r="EM41" s="1225"/>
      <c r="EN41" s="1223"/>
      <c r="EO41" s="1224"/>
      <c r="EP41" s="1225"/>
      <c r="EQ41" s="1223"/>
      <c r="ER41" s="1224"/>
      <c r="ES41" s="1225"/>
      <c r="ET41" s="1223"/>
      <c r="EU41" s="1224"/>
      <c r="EV41" s="1225"/>
      <c r="EW41" s="1223"/>
      <c r="EX41" s="1224"/>
      <c r="EY41" s="1225"/>
      <c r="EZ41" s="1223"/>
      <c r="FA41" s="1224"/>
      <c r="FB41" s="1225"/>
      <c r="FC41" s="1223"/>
      <c r="FD41" s="1224"/>
      <c r="FE41" s="1225"/>
      <c r="FF41" s="1223"/>
      <c r="FG41" s="1224"/>
      <c r="FH41" s="1225"/>
      <c r="FI41" s="1223"/>
      <c r="FJ41" s="1224"/>
      <c r="FK41" s="1225"/>
      <c r="FL41" s="1223"/>
      <c r="FM41" s="1224"/>
      <c r="FN41" s="1225"/>
      <c r="FO41" s="1223"/>
      <c r="FP41" s="1224"/>
      <c r="FQ41" s="1225"/>
      <c r="FR41" s="1223"/>
      <c r="FS41" s="1224"/>
      <c r="FT41" s="1225"/>
      <c r="FU41" s="1223"/>
      <c r="FV41" s="1224"/>
      <c r="FW41" s="1225"/>
      <c r="FX41" s="1223"/>
      <c r="FY41" s="1224"/>
      <c r="FZ41" s="1225"/>
      <c r="GA41" s="1223"/>
      <c r="GB41" s="1224"/>
      <c r="GC41" s="1225"/>
      <c r="GD41" s="1223"/>
      <c r="GE41" s="1224"/>
      <c r="GF41" s="1225"/>
      <c r="GG41" s="1223"/>
      <c r="GH41" s="1224"/>
      <c r="GI41" s="1404">
        <v>4652471.301809065</v>
      </c>
      <c r="GJ41" s="1619">
        <f>+GI41</f>
        <v>4652471.301809065</v>
      </c>
      <c r="GK41" s="1614"/>
      <c r="GL41" s="1619">
        <f>+GK40-GJ41</f>
        <v>0</v>
      </c>
      <c r="GM41" s="694"/>
      <c r="GN41" s="1500"/>
      <c r="GO41" s="1500"/>
      <c r="GP41" s="1500"/>
      <c r="GQ41" s="1500"/>
      <c r="GR41" s="1500"/>
      <c r="GS41" s="1500"/>
      <c r="GT41" s="694"/>
      <c r="GU41" s="694"/>
      <c r="GV41" s="694"/>
      <c r="GW41" s="694"/>
      <c r="GX41" s="694"/>
      <c r="GY41" s="694"/>
      <c r="GZ41" s="694"/>
      <c r="HA41" s="694"/>
      <c r="HB41" s="694"/>
      <c r="HC41" s="694"/>
      <c r="HD41" s="694"/>
      <c r="HE41" s="694"/>
      <c r="HF41" s="694"/>
      <c r="HG41" s="694"/>
      <c r="HH41" s="694"/>
      <c r="HI41" s="694"/>
      <c r="HJ41" s="694"/>
      <c r="HK41" s="694"/>
      <c r="HL41" s="694"/>
      <c r="HM41" s="694"/>
    </row>
    <row r="42" spans="1:221" ht="20.399999999999999">
      <c r="A42" s="798">
        <f t="shared" si="6"/>
        <v>24</v>
      </c>
      <c r="B42" s="1139"/>
      <c r="C42" s="1614" t="str">
        <f t="shared" ref="C42:C57" si="7">+C40</f>
        <v>W  11.68 % ROE</v>
      </c>
      <c r="D42" s="1613">
        <f t="shared" ref="D42:D55" si="8">+D40+1</f>
        <v>2007</v>
      </c>
      <c r="E42" s="1225">
        <v>20188201.833333332</v>
      </c>
      <c r="F42" s="1223">
        <v>492395.16666666663</v>
      </c>
      <c r="G42" s="1224">
        <v>4553421.8700199593</v>
      </c>
      <c r="H42" s="1225">
        <v>8069022</v>
      </c>
      <c r="I42" s="1223">
        <v>80049.82142857142</v>
      </c>
      <c r="J42" s="1224">
        <v>1703201.5058861806</v>
      </c>
      <c r="K42" s="1225">
        <v>86565628.890000001</v>
      </c>
      <c r="L42" s="1223">
        <v>858786.00089285709</v>
      </c>
      <c r="M42" s="1224">
        <v>18272190.791329145</v>
      </c>
      <c r="N42" s="1225">
        <v>22188863</v>
      </c>
      <c r="O42" s="1223">
        <v>484280.74007936509</v>
      </c>
      <c r="P42" s="1224">
        <v>4947757.2747385986</v>
      </c>
      <c r="Q42" s="1225"/>
      <c r="R42" s="1223"/>
      <c r="S42" s="1224"/>
      <c r="T42" s="1225"/>
      <c r="U42" s="1223"/>
      <c r="V42" s="1224"/>
      <c r="W42" s="1225"/>
      <c r="X42" s="1223"/>
      <c r="Y42" s="1224"/>
      <c r="Z42" s="1225"/>
      <c r="AA42" s="1223"/>
      <c r="AB42" s="1224"/>
      <c r="AC42" s="1225"/>
      <c r="AD42" s="1223"/>
      <c r="AE42" s="1224"/>
      <c r="AF42" s="1225"/>
      <c r="AG42" s="1223"/>
      <c r="AH42" s="1224"/>
      <c r="AI42" s="1225"/>
      <c r="AJ42" s="1223"/>
      <c r="AK42" s="1224"/>
      <c r="AL42" s="1225"/>
      <c r="AM42" s="1223"/>
      <c r="AN42" s="1224"/>
      <c r="AO42" s="1225"/>
      <c r="AP42" s="1223"/>
      <c r="AQ42" s="1224"/>
      <c r="AR42" s="1225"/>
      <c r="AS42" s="1223"/>
      <c r="AT42" s="1224"/>
      <c r="AU42" s="1225"/>
      <c r="AV42" s="1223"/>
      <c r="AW42" s="1224"/>
      <c r="AX42" s="1225"/>
      <c r="AY42" s="1223"/>
      <c r="AZ42" s="1224"/>
      <c r="BA42" s="1225"/>
      <c r="BB42" s="1223"/>
      <c r="BC42" s="1224"/>
      <c r="BD42" s="1225"/>
      <c r="BE42" s="1223"/>
      <c r="BF42" s="1224"/>
      <c r="BG42" s="1225"/>
      <c r="BH42" s="1223"/>
      <c r="BI42" s="1224"/>
      <c r="BJ42" s="1225"/>
      <c r="BK42" s="1223"/>
      <c r="BL42" s="1224"/>
      <c r="BM42" s="1225"/>
      <c r="BN42" s="1223"/>
      <c r="BO42" s="1224"/>
      <c r="BP42" s="1225"/>
      <c r="BQ42" s="1223"/>
      <c r="BR42" s="1224"/>
      <c r="BS42" s="1225"/>
      <c r="BT42" s="1223"/>
      <c r="BU42" s="1224"/>
      <c r="BV42" s="1225"/>
      <c r="BW42" s="1223"/>
      <c r="BX42" s="1224"/>
      <c r="BY42" s="1223"/>
      <c r="BZ42" s="1223"/>
      <c r="CA42" s="1223"/>
      <c r="CB42" s="1225"/>
      <c r="CC42" s="1223"/>
      <c r="CD42" s="1224"/>
      <c r="CE42" s="1225"/>
      <c r="CF42" s="1223"/>
      <c r="CG42" s="1224"/>
      <c r="CH42" s="1225"/>
      <c r="CI42" s="1223"/>
      <c r="CJ42" s="1224"/>
      <c r="CK42" s="1225"/>
      <c r="CL42" s="1223"/>
      <c r="CM42" s="1224"/>
      <c r="CN42" s="1225"/>
      <c r="CO42" s="1223"/>
      <c r="CP42" s="1224"/>
      <c r="CQ42" s="1225"/>
      <c r="CR42" s="1223"/>
      <c r="CS42" s="1224"/>
      <c r="CT42" s="1225"/>
      <c r="CU42" s="1223"/>
      <c r="CV42" s="1224"/>
      <c r="CW42" s="1225"/>
      <c r="CX42" s="1223"/>
      <c r="CY42" s="1224"/>
      <c r="CZ42" s="1225"/>
      <c r="DA42" s="1223"/>
      <c r="DB42" s="1224"/>
      <c r="DC42" s="1225"/>
      <c r="DD42" s="1223"/>
      <c r="DE42" s="1224"/>
      <c r="DF42" s="1225"/>
      <c r="DG42" s="1223"/>
      <c r="DH42" s="1224"/>
      <c r="DI42" s="1225"/>
      <c r="DJ42" s="1223"/>
      <c r="DK42" s="1224"/>
      <c r="DL42" s="1225"/>
      <c r="DM42" s="1223"/>
      <c r="DN42" s="1224"/>
      <c r="DO42" s="1225"/>
      <c r="DP42" s="1223"/>
      <c r="DQ42" s="1224"/>
      <c r="DR42" s="1225"/>
      <c r="DS42" s="1223"/>
      <c r="DT42" s="1224"/>
      <c r="DU42" s="1225"/>
      <c r="DV42" s="1223"/>
      <c r="DW42" s="1224"/>
      <c r="DX42" s="1225"/>
      <c r="DY42" s="1223"/>
      <c r="DZ42" s="1224"/>
      <c r="EA42" s="1225"/>
      <c r="EB42" s="1223"/>
      <c r="EC42" s="1224"/>
      <c r="ED42" s="1225"/>
      <c r="EE42" s="1223"/>
      <c r="EF42" s="1224"/>
      <c r="EG42" s="1225"/>
      <c r="EH42" s="1223"/>
      <c r="EI42" s="1224"/>
      <c r="EJ42" s="1225"/>
      <c r="EK42" s="1223"/>
      <c r="EL42" s="1224"/>
      <c r="EM42" s="1225"/>
      <c r="EN42" s="1223"/>
      <c r="EO42" s="1224"/>
      <c r="EP42" s="1225"/>
      <c r="EQ42" s="1223"/>
      <c r="ER42" s="1224"/>
      <c r="ES42" s="1225"/>
      <c r="ET42" s="1223"/>
      <c r="EU42" s="1224"/>
      <c r="EV42" s="1225"/>
      <c r="EW42" s="1223"/>
      <c r="EX42" s="1224"/>
      <c r="EY42" s="1225"/>
      <c r="EZ42" s="1223"/>
      <c r="FA42" s="1224"/>
      <c r="FB42" s="1225"/>
      <c r="FC42" s="1223"/>
      <c r="FD42" s="1224"/>
      <c r="FE42" s="1225"/>
      <c r="FF42" s="1223"/>
      <c r="FG42" s="1224"/>
      <c r="FH42" s="1225"/>
      <c r="FI42" s="1223"/>
      <c r="FJ42" s="1224"/>
      <c r="FK42" s="1225"/>
      <c r="FL42" s="1223"/>
      <c r="FM42" s="1224"/>
      <c r="FN42" s="1225"/>
      <c r="FO42" s="1223"/>
      <c r="FP42" s="1224"/>
      <c r="FQ42" s="1225"/>
      <c r="FR42" s="1223"/>
      <c r="FS42" s="1224"/>
      <c r="FT42" s="1225"/>
      <c r="FU42" s="1223"/>
      <c r="FV42" s="1224"/>
      <c r="FW42" s="1225"/>
      <c r="FX42" s="1223"/>
      <c r="FY42" s="1224"/>
      <c r="FZ42" s="1225"/>
      <c r="GA42" s="1223"/>
      <c r="GB42" s="1224"/>
      <c r="GC42" s="1225"/>
      <c r="GD42" s="1223"/>
      <c r="GE42" s="1224"/>
      <c r="GF42" s="1225"/>
      <c r="GG42" s="1223"/>
      <c r="GH42" s="1224"/>
      <c r="GI42" s="1404">
        <v>29476571.441973884</v>
      </c>
      <c r="GJ42" s="1614"/>
      <c r="GK42" s="1619">
        <f>+GI42</f>
        <v>29476571.441973884</v>
      </c>
      <c r="GL42" s="1614"/>
      <c r="GM42" s="694"/>
      <c r="GN42" s="1500"/>
      <c r="GO42" s="1500"/>
      <c r="GP42" s="1500"/>
      <c r="GQ42" s="1500"/>
      <c r="GR42" s="1500"/>
      <c r="GS42" s="1500"/>
      <c r="GT42" s="694"/>
      <c r="GU42" s="694"/>
      <c r="GV42" s="694"/>
      <c r="GW42" s="694"/>
      <c r="GX42" s="694"/>
      <c r="GY42" s="694"/>
      <c r="GZ42" s="694"/>
      <c r="HA42" s="694"/>
      <c r="HB42" s="694"/>
      <c r="HC42" s="694"/>
      <c r="HD42" s="694"/>
      <c r="HE42" s="694"/>
      <c r="HF42" s="694"/>
      <c r="HG42" s="694"/>
      <c r="HH42" s="694"/>
      <c r="HI42" s="694"/>
      <c r="HJ42" s="694"/>
      <c r="HK42" s="694"/>
      <c r="HL42" s="694"/>
      <c r="HM42" s="694"/>
    </row>
    <row r="43" spans="1:221" ht="18.75" customHeight="1">
      <c r="A43" s="798">
        <f t="shared" si="6"/>
        <v>25</v>
      </c>
      <c r="B43" s="1139"/>
      <c r="C43" s="1614" t="str">
        <f t="shared" si="7"/>
        <v>W Increased ROE</v>
      </c>
      <c r="D43" s="1613">
        <f t="shared" si="8"/>
        <v>2007</v>
      </c>
      <c r="E43" s="1225">
        <v>20188201.833333332</v>
      </c>
      <c r="F43" s="1223">
        <v>492395.16666666663</v>
      </c>
      <c r="G43" s="1224">
        <v>4553421.8700199593</v>
      </c>
      <c r="H43" s="1225">
        <v>8069022</v>
      </c>
      <c r="I43" s="1223">
        <v>80049.82142857142</v>
      </c>
      <c r="J43" s="1224">
        <v>1703201.5058861806</v>
      </c>
      <c r="K43" s="1225">
        <v>86565628.890000001</v>
      </c>
      <c r="L43" s="1223">
        <v>858786.00089285709</v>
      </c>
      <c r="M43" s="1224">
        <v>18272190.791329145</v>
      </c>
      <c r="N43" s="1225">
        <v>22188863</v>
      </c>
      <c r="O43" s="1223">
        <v>484280.74007936509</v>
      </c>
      <c r="P43" s="1224">
        <v>4947757.2747385986</v>
      </c>
      <c r="Q43" s="1225"/>
      <c r="R43" s="1223"/>
      <c r="S43" s="1224"/>
      <c r="T43" s="1225"/>
      <c r="U43" s="1223"/>
      <c r="V43" s="1224"/>
      <c r="W43" s="1225"/>
      <c r="X43" s="1223"/>
      <c r="Y43" s="1224"/>
      <c r="Z43" s="1225"/>
      <c r="AA43" s="1223"/>
      <c r="AB43" s="1224"/>
      <c r="AC43" s="1225"/>
      <c r="AD43" s="1223"/>
      <c r="AE43" s="1224"/>
      <c r="AF43" s="1225"/>
      <c r="AG43" s="1223"/>
      <c r="AH43" s="1224"/>
      <c r="AI43" s="1225"/>
      <c r="AJ43" s="1223"/>
      <c r="AK43" s="1224"/>
      <c r="AL43" s="1225"/>
      <c r="AM43" s="1223"/>
      <c r="AN43" s="1224"/>
      <c r="AO43" s="1225"/>
      <c r="AP43" s="1223"/>
      <c r="AQ43" s="1224"/>
      <c r="AR43" s="1225"/>
      <c r="AS43" s="1223"/>
      <c r="AT43" s="1224"/>
      <c r="AU43" s="1225"/>
      <c r="AV43" s="1223"/>
      <c r="AW43" s="1224"/>
      <c r="AX43" s="1225"/>
      <c r="AY43" s="1223"/>
      <c r="AZ43" s="1224"/>
      <c r="BA43" s="1225"/>
      <c r="BB43" s="1223"/>
      <c r="BC43" s="1224"/>
      <c r="BD43" s="1225"/>
      <c r="BE43" s="1223"/>
      <c r="BF43" s="1224"/>
      <c r="BG43" s="1225"/>
      <c r="BH43" s="1223"/>
      <c r="BI43" s="1224"/>
      <c r="BJ43" s="1225"/>
      <c r="BK43" s="1223"/>
      <c r="BL43" s="1224"/>
      <c r="BM43" s="1225"/>
      <c r="BN43" s="1223"/>
      <c r="BO43" s="1224"/>
      <c r="BP43" s="1225"/>
      <c r="BQ43" s="1223"/>
      <c r="BR43" s="1224"/>
      <c r="BS43" s="1225"/>
      <c r="BT43" s="1223"/>
      <c r="BU43" s="1224"/>
      <c r="BV43" s="1225"/>
      <c r="BW43" s="1223"/>
      <c r="BX43" s="1224"/>
      <c r="BY43" s="1223"/>
      <c r="BZ43" s="1223"/>
      <c r="CA43" s="1223"/>
      <c r="CB43" s="1225"/>
      <c r="CC43" s="1223"/>
      <c r="CD43" s="1224"/>
      <c r="CE43" s="1225"/>
      <c r="CF43" s="1223"/>
      <c r="CG43" s="1224"/>
      <c r="CH43" s="1225"/>
      <c r="CI43" s="1223"/>
      <c r="CJ43" s="1224"/>
      <c r="CK43" s="1225"/>
      <c r="CL43" s="1223"/>
      <c r="CM43" s="1224"/>
      <c r="CN43" s="1225"/>
      <c r="CO43" s="1223"/>
      <c r="CP43" s="1224"/>
      <c r="CQ43" s="1225"/>
      <c r="CR43" s="1223"/>
      <c r="CS43" s="1224"/>
      <c r="CT43" s="1225"/>
      <c r="CU43" s="1223"/>
      <c r="CV43" s="1224"/>
      <c r="CW43" s="1225"/>
      <c r="CX43" s="1223"/>
      <c r="CY43" s="1224"/>
      <c r="CZ43" s="1225"/>
      <c r="DA43" s="1223"/>
      <c r="DB43" s="1224"/>
      <c r="DC43" s="1225"/>
      <c r="DD43" s="1223"/>
      <c r="DE43" s="1224"/>
      <c r="DF43" s="1225"/>
      <c r="DG43" s="1223"/>
      <c r="DH43" s="1224"/>
      <c r="DI43" s="1225"/>
      <c r="DJ43" s="1223"/>
      <c r="DK43" s="1224"/>
      <c r="DL43" s="1225"/>
      <c r="DM43" s="1223"/>
      <c r="DN43" s="1224"/>
      <c r="DO43" s="1225"/>
      <c r="DP43" s="1223"/>
      <c r="DQ43" s="1224"/>
      <c r="DR43" s="1225"/>
      <c r="DS43" s="1223"/>
      <c r="DT43" s="1224"/>
      <c r="DU43" s="1225"/>
      <c r="DV43" s="1223"/>
      <c r="DW43" s="1224"/>
      <c r="DX43" s="1225"/>
      <c r="DY43" s="1223"/>
      <c r="DZ43" s="1224"/>
      <c r="EA43" s="1225"/>
      <c r="EB43" s="1223"/>
      <c r="EC43" s="1224"/>
      <c r="ED43" s="1225"/>
      <c r="EE43" s="1223"/>
      <c r="EF43" s="1224"/>
      <c r="EG43" s="1225"/>
      <c r="EH43" s="1223"/>
      <c r="EI43" s="1224"/>
      <c r="EJ43" s="1225"/>
      <c r="EK43" s="1223"/>
      <c r="EL43" s="1224"/>
      <c r="EM43" s="1225"/>
      <c r="EN43" s="1223"/>
      <c r="EO43" s="1224"/>
      <c r="EP43" s="1225"/>
      <c r="EQ43" s="1223"/>
      <c r="ER43" s="1224"/>
      <c r="ES43" s="1225"/>
      <c r="ET43" s="1223"/>
      <c r="EU43" s="1224"/>
      <c r="EV43" s="1225"/>
      <c r="EW43" s="1223"/>
      <c r="EX43" s="1224"/>
      <c r="EY43" s="1225"/>
      <c r="EZ43" s="1223"/>
      <c r="FA43" s="1224"/>
      <c r="FB43" s="1225"/>
      <c r="FC43" s="1223"/>
      <c r="FD43" s="1224"/>
      <c r="FE43" s="1225"/>
      <c r="FF43" s="1223"/>
      <c r="FG43" s="1224"/>
      <c r="FH43" s="1225"/>
      <c r="FI43" s="1223"/>
      <c r="FJ43" s="1224"/>
      <c r="FK43" s="1225"/>
      <c r="FL43" s="1223"/>
      <c r="FM43" s="1224"/>
      <c r="FN43" s="1225"/>
      <c r="FO43" s="1223"/>
      <c r="FP43" s="1224"/>
      <c r="FQ43" s="1225"/>
      <c r="FR43" s="1223"/>
      <c r="FS43" s="1224"/>
      <c r="FT43" s="1225"/>
      <c r="FU43" s="1223"/>
      <c r="FV43" s="1224"/>
      <c r="FW43" s="1225"/>
      <c r="FX43" s="1223"/>
      <c r="FY43" s="1224"/>
      <c r="FZ43" s="1225"/>
      <c r="GA43" s="1223"/>
      <c r="GB43" s="1224"/>
      <c r="GC43" s="1225"/>
      <c r="GD43" s="1223"/>
      <c r="GE43" s="1224"/>
      <c r="GF43" s="1225"/>
      <c r="GG43" s="1223"/>
      <c r="GH43" s="1224"/>
      <c r="GI43" s="1404">
        <v>29476571.441973884</v>
      </c>
      <c r="GJ43" s="1619">
        <f>+GI43</f>
        <v>29476571.441973884</v>
      </c>
      <c r="GK43" s="1614"/>
      <c r="GL43" s="1619">
        <f>+GK42-GJ43</f>
        <v>0</v>
      </c>
      <c r="GM43" s="694"/>
      <c r="GN43" s="1500"/>
      <c r="GO43" s="1500"/>
      <c r="GP43" s="1500"/>
      <c r="GQ43" s="1500"/>
      <c r="GR43" s="1500"/>
      <c r="GS43" s="1500"/>
      <c r="GT43" s="694"/>
      <c r="GU43" s="694"/>
      <c r="GV43" s="694"/>
      <c r="GW43" s="694"/>
      <c r="GX43" s="694"/>
      <c r="GY43" s="694"/>
      <c r="GZ43" s="694"/>
      <c r="HA43" s="694"/>
      <c r="HB43" s="694"/>
      <c r="HC43" s="694"/>
      <c r="HD43" s="694"/>
      <c r="HE43" s="694"/>
      <c r="HF43" s="694"/>
      <c r="HG43" s="694"/>
      <c r="HH43" s="694"/>
      <c r="HI43" s="694"/>
      <c r="HJ43" s="694"/>
      <c r="HK43" s="694"/>
      <c r="HL43" s="694"/>
      <c r="HM43" s="694"/>
    </row>
    <row r="44" spans="1:221" ht="20.399999999999999">
      <c r="A44" s="798">
        <f t="shared" si="6"/>
        <v>26</v>
      </c>
      <c r="B44" s="1139"/>
      <c r="C44" s="1614" t="str">
        <f t="shared" si="7"/>
        <v>W  11.68 % ROE</v>
      </c>
      <c r="D44" s="1613">
        <f t="shared" si="8"/>
        <v>2008</v>
      </c>
      <c r="E44" s="1225">
        <v>19695806.666666664</v>
      </c>
      <c r="F44" s="1223">
        <v>492395.16666666663</v>
      </c>
      <c r="G44" s="1224">
        <v>4454372.4382308545</v>
      </c>
      <c r="H44" s="1225">
        <v>7988972.1785714282</v>
      </c>
      <c r="I44" s="1223">
        <v>192119.57142857142</v>
      </c>
      <c r="J44" s="1224">
        <v>1799168.5606038631</v>
      </c>
      <c r="K44" s="1225">
        <v>85706842.889107138</v>
      </c>
      <c r="L44" s="1223">
        <v>2061086.4021428572</v>
      </c>
      <c r="M44" s="1224">
        <v>19301739.160927989</v>
      </c>
      <c r="N44" s="1225">
        <v>21704582.259920601</v>
      </c>
      <c r="O44" s="1223">
        <v>528306.26190476189</v>
      </c>
      <c r="P44" s="1224">
        <v>4894365.6499742111</v>
      </c>
      <c r="Q44" s="1225">
        <v>24921237</v>
      </c>
      <c r="R44" s="1223">
        <v>88645.901717674904</v>
      </c>
      <c r="S44" s="1224">
        <v>837584.40716714889</v>
      </c>
      <c r="T44" s="1225"/>
      <c r="U44" s="1223"/>
      <c r="V44" s="1224"/>
      <c r="W44" s="1225"/>
      <c r="X44" s="1223"/>
      <c r="Y44" s="1224"/>
      <c r="Z44" s="1225">
        <v>6961494.5700000003</v>
      </c>
      <c r="AA44" s="1223">
        <v>25372.297106227106</v>
      </c>
      <c r="AB44" s="1224">
        <v>239734.04318082213</v>
      </c>
      <c r="AC44" s="1225"/>
      <c r="AD44" s="1223"/>
      <c r="AE44" s="1224"/>
      <c r="AF44" s="1225">
        <v>36369</v>
      </c>
      <c r="AG44" s="1223">
        <v>577.28571428571399</v>
      </c>
      <c r="AH44" s="1224">
        <v>5114.0511424324259</v>
      </c>
      <c r="AI44" s="1225"/>
      <c r="AJ44" s="1223"/>
      <c r="AK44" s="1224"/>
      <c r="AL44" s="1225"/>
      <c r="AM44" s="1223"/>
      <c r="AN44" s="1224"/>
      <c r="AO44" s="1225"/>
      <c r="AP44" s="1223"/>
      <c r="AQ44" s="1224"/>
      <c r="AR44" s="1225"/>
      <c r="AS44" s="1223"/>
      <c r="AT44" s="1224"/>
      <c r="AU44" s="1225"/>
      <c r="AV44" s="1223"/>
      <c r="AW44" s="1224"/>
      <c r="AX44" s="1225"/>
      <c r="AY44" s="1223"/>
      <c r="AZ44" s="1224"/>
      <c r="BA44" s="1225"/>
      <c r="BB44" s="1223"/>
      <c r="BC44" s="1224"/>
      <c r="BD44" s="1225"/>
      <c r="BE44" s="1223"/>
      <c r="BF44" s="1224"/>
      <c r="BG44" s="1225"/>
      <c r="BH44" s="1223"/>
      <c r="BI44" s="1224"/>
      <c r="BJ44" s="1225"/>
      <c r="BK44" s="1223"/>
      <c r="BL44" s="1224"/>
      <c r="BM44" s="1225"/>
      <c r="BN44" s="1223"/>
      <c r="BO44" s="1224"/>
      <c r="BP44" s="1225"/>
      <c r="BQ44" s="1223"/>
      <c r="BR44" s="1224"/>
      <c r="BS44" s="1225"/>
      <c r="BT44" s="1223"/>
      <c r="BU44" s="1224"/>
      <c r="BV44" s="1225"/>
      <c r="BW44" s="1223"/>
      <c r="BX44" s="1224"/>
      <c r="BY44" s="1223"/>
      <c r="BZ44" s="1223"/>
      <c r="CA44" s="1223"/>
      <c r="CB44" s="1225"/>
      <c r="CC44" s="1223"/>
      <c r="CD44" s="1224"/>
      <c r="CE44" s="1225"/>
      <c r="CF44" s="1223"/>
      <c r="CG44" s="1224"/>
      <c r="CH44" s="1225"/>
      <c r="CI44" s="1223"/>
      <c r="CJ44" s="1224"/>
      <c r="CK44" s="1225"/>
      <c r="CL44" s="1223"/>
      <c r="CM44" s="1224"/>
      <c r="CN44" s="1225"/>
      <c r="CO44" s="1223"/>
      <c r="CP44" s="1224"/>
      <c r="CQ44" s="1225"/>
      <c r="CR44" s="1223"/>
      <c r="CS44" s="1224"/>
      <c r="CT44" s="1225"/>
      <c r="CU44" s="1223"/>
      <c r="CV44" s="1224"/>
      <c r="CW44" s="1225"/>
      <c r="CX44" s="1223"/>
      <c r="CY44" s="1224"/>
      <c r="CZ44" s="1225">
        <v>8927082</v>
      </c>
      <c r="DA44" s="1223"/>
      <c r="DB44" s="1224">
        <v>819421.13399994455</v>
      </c>
      <c r="DC44" s="1225"/>
      <c r="DD44" s="1223"/>
      <c r="DE44" s="1224"/>
      <c r="DF44" s="1225"/>
      <c r="DG44" s="1223"/>
      <c r="DH44" s="1224"/>
      <c r="DI44" s="1225"/>
      <c r="DJ44" s="1223"/>
      <c r="DK44" s="1224"/>
      <c r="DL44" s="1225"/>
      <c r="DM44" s="1223"/>
      <c r="DN44" s="1224"/>
      <c r="DO44" s="1225"/>
      <c r="DP44" s="1223"/>
      <c r="DQ44" s="1224"/>
      <c r="DR44" s="1225"/>
      <c r="DS44" s="1223"/>
      <c r="DT44" s="1224"/>
      <c r="DU44" s="1225"/>
      <c r="DV44" s="1223"/>
      <c r="DW44" s="1224"/>
      <c r="DX44" s="1225"/>
      <c r="DY44" s="1223"/>
      <c r="DZ44" s="1224"/>
      <c r="EA44" s="1225"/>
      <c r="EB44" s="1223"/>
      <c r="EC44" s="1224"/>
      <c r="ED44" s="1225"/>
      <c r="EE44" s="1223"/>
      <c r="EF44" s="1224"/>
      <c r="EG44" s="1225"/>
      <c r="EH44" s="1223"/>
      <c r="EI44" s="1224"/>
      <c r="EJ44" s="1225"/>
      <c r="EK44" s="1223"/>
      <c r="EL44" s="1224"/>
      <c r="EM44" s="1225"/>
      <c r="EN44" s="1223"/>
      <c r="EO44" s="1224"/>
      <c r="EP44" s="1225"/>
      <c r="EQ44" s="1223"/>
      <c r="ER44" s="1224"/>
      <c r="ES44" s="1225"/>
      <c r="ET44" s="1223"/>
      <c r="EU44" s="1224"/>
      <c r="EV44" s="1225"/>
      <c r="EW44" s="1223"/>
      <c r="EX44" s="1224"/>
      <c r="EY44" s="1225"/>
      <c r="EZ44" s="1223"/>
      <c r="FA44" s="1224"/>
      <c r="FB44" s="1225"/>
      <c r="FC44" s="1223"/>
      <c r="FD44" s="1224"/>
      <c r="FE44" s="1225"/>
      <c r="FF44" s="1223"/>
      <c r="FG44" s="1224"/>
      <c r="FH44" s="1225"/>
      <c r="FI44" s="1223"/>
      <c r="FJ44" s="1224"/>
      <c r="FK44" s="1225"/>
      <c r="FL44" s="1223"/>
      <c r="FM44" s="1224"/>
      <c r="FN44" s="1225"/>
      <c r="FO44" s="1223"/>
      <c r="FP44" s="1224"/>
      <c r="FQ44" s="1225"/>
      <c r="FR44" s="1223"/>
      <c r="FS44" s="1224"/>
      <c r="FT44" s="1225"/>
      <c r="FU44" s="1223"/>
      <c r="FV44" s="1224"/>
      <c r="FW44" s="1225"/>
      <c r="FX44" s="1223"/>
      <c r="FY44" s="1224"/>
      <c r="FZ44" s="1225"/>
      <c r="GA44" s="1223"/>
      <c r="GB44" s="1224"/>
      <c r="GC44" s="1225"/>
      <c r="GD44" s="1223"/>
      <c r="GE44" s="1224"/>
      <c r="GF44" s="1225"/>
      <c r="GG44" s="1223"/>
      <c r="GH44" s="1224"/>
      <c r="GI44" s="1405">
        <v>32346385.394084834</v>
      </c>
      <c r="GJ44" s="1614"/>
      <c r="GK44" s="1619">
        <f>+GI44</f>
        <v>32346385.394084834</v>
      </c>
      <c r="GL44" s="1614"/>
      <c r="GM44" s="694"/>
      <c r="GN44" s="1500"/>
      <c r="GO44" s="1500"/>
      <c r="GP44" s="1500"/>
      <c r="GQ44" s="1500"/>
      <c r="GR44" s="1500"/>
      <c r="GS44" s="1500"/>
      <c r="GT44" s="694"/>
      <c r="GU44" s="694"/>
      <c r="GV44" s="694"/>
      <c r="GW44" s="694"/>
      <c r="GX44" s="694"/>
      <c r="GY44" s="694"/>
      <c r="GZ44" s="694"/>
      <c r="HA44" s="694"/>
      <c r="HB44" s="694"/>
      <c r="HC44" s="694"/>
      <c r="HD44" s="694"/>
      <c r="HE44" s="694"/>
      <c r="HF44" s="694"/>
      <c r="HG44" s="694"/>
      <c r="HH44" s="694"/>
      <c r="HI44" s="694"/>
      <c r="HJ44" s="694"/>
      <c r="HK44" s="694"/>
      <c r="HL44" s="694"/>
      <c r="HM44" s="694"/>
    </row>
    <row r="45" spans="1:221" ht="20.399999999999999">
      <c r="A45" s="798">
        <f t="shared" si="6"/>
        <v>27</v>
      </c>
      <c r="B45" s="1139"/>
      <c r="C45" s="1614" t="str">
        <f t="shared" si="7"/>
        <v>W Increased ROE</v>
      </c>
      <c r="D45" s="1613">
        <f t="shared" si="8"/>
        <v>2008</v>
      </c>
      <c r="E45" s="1225">
        <v>19695806.666666701</v>
      </c>
      <c r="F45" s="1223">
        <v>492395.16666666663</v>
      </c>
      <c r="G45" s="1224">
        <v>4454372.4382308545</v>
      </c>
      <c r="H45" s="1225">
        <v>7988972.1785714282</v>
      </c>
      <c r="I45" s="1223">
        <v>192119.57142857142</v>
      </c>
      <c r="J45" s="1224">
        <v>1799168.5606038631</v>
      </c>
      <c r="K45" s="1225">
        <v>85706842.889107138</v>
      </c>
      <c r="L45" s="1223">
        <v>2061086.4021428572</v>
      </c>
      <c r="M45" s="1224">
        <v>19301739.160927989</v>
      </c>
      <c r="N45" s="1225">
        <v>21704582.259920634</v>
      </c>
      <c r="O45" s="1223">
        <v>528306.26190476189</v>
      </c>
      <c r="P45" s="1224">
        <v>4894365.6499742111</v>
      </c>
      <c r="Q45" s="1225">
        <v>24921237</v>
      </c>
      <c r="R45" s="1223">
        <v>88645.901717674918</v>
      </c>
      <c r="S45" s="1224">
        <v>837584.40716714889</v>
      </c>
      <c r="T45" s="1225"/>
      <c r="U45" s="1223"/>
      <c r="V45" s="1224"/>
      <c r="W45" s="1225"/>
      <c r="X45" s="1223"/>
      <c r="Y45" s="1224"/>
      <c r="Z45" s="1225">
        <v>6961494.5700000003</v>
      </c>
      <c r="AA45" s="1223">
        <v>25372.297106227106</v>
      </c>
      <c r="AB45" s="1224">
        <v>239734.04318082213</v>
      </c>
      <c r="AC45" s="1225"/>
      <c r="AD45" s="1223"/>
      <c r="AE45" s="1224"/>
      <c r="AF45" s="1225">
        <v>36369</v>
      </c>
      <c r="AG45" s="1223">
        <v>577.28571428571433</v>
      </c>
      <c r="AH45" s="1224">
        <v>5114.0511424324259</v>
      </c>
      <c r="AI45" s="1225"/>
      <c r="AJ45" s="1223"/>
      <c r="AK45" s="1224"/>
      <c r="AL45" s="1225"/>
      <c r="AM45" s="1223"/>
      <c r="AN45" s="1224"/>
      <c r="AO45" s="1225"/>
      <c r="AP45" s="1223"/>
      <c r="AQ45" s="1224"/>
      <c r="AR45" s="1225"/>
      <c r="AS45" s="1223"/>
      <c r="AT45" s="1224"/>
      <c r="AU45" s="1225"/>
      <c r="AV45" s="1223"/>
      <c r="AW45" s="1224"/>
      <c r="AX45" s="1225"/>
      <c r="AY45" s="1223"/>
      <c r="AZ45" s="1224"/>
      <c r="BA45" s="1225"/>
      <c r="BB45" s="1223"/>
      <c r="BC45" s="1224"/>
      <c r="BD45" s="1225"/>
      <c r="BE45" s="1223"/>
      <c r="BF45" s="1224"/>
      <c r="BG45" s="1225"/>
      <c r="BH45" s="1223"/>
      <c r="BI45" s="1224"/>
      <c r="BJ45" s="1225"/>
      <c r="BK45" s="1223"/>
      <c r="BL45" s="1224"/>
      <c r="BM45" s="1225"/>
      <c r="BN45" s="1223"/>
      <c r="BO45" s="1224"/>
      <c r="BP45" s="1225"/>
      <c r="BQ45" s="1223"/>
      <c r="BR45" s="1224"/>
      <c r="BS45" s="1225"/>
      <c r="BT45" s="1223"/>
      <c r="BU45" s="1224"/>
      <c r="BV45" s="1225"/>
      <c r="BW45" s="1223"/>
      <c r="BX45" s="1224"/>
      <c r="BY45" s="1223"/>
      <c r="BZ45" s="1223"/>
      <c r="CA45" s="1223"/>
      <c r="CB45" s="1225"/>
      <c r="CC45" s="1223"/>
      <c r="CD45" s="1224"/>
      <c r="CE45" s="1225"/>
      <c r="CF45" s="1223"/>
      <c r="CG45" s="1224"/>
      <c r="CH45" s="1225"/>
      <c r="CI45" s="1223"/>
      <c r="CJ45" s="1224"/>
      <c r="CK45" s="1225"/>
      <c r="CL45" s="1223"/>
      <c r="CM45" s="1224"/>
      <c r="CN45" s="1225"/>
      <c r="CO45" s="1223"/>
      <c r="CP45" s="1224"/>
      <c r="CQ45" s="1225"/>
      <c r="CR45" s="1223"/>
      <c r="CS45" s="1224"/>
      <c r="CT45" s="1225"/>
      <c r="CU45" s="1223"/>
      <c r="CV45" s="1224"/>
      <c r="CW45" s="1225"/>
      <c r="CX45" s="1223"/>
      <c r="CY45" s="1224"/>
      <c r="CZ45" s="1225">
        <v>8927082</v>
      </c>
      <c r="DA45" s="1223"/>
      <c r="DB45" s="1224">
        <v>858681.88693702384</v>
      </c>
      <c r="DC45" s="1225"/>
      <c r="DD45" s="1223"/>
      <c r="DE45" s="1224"/>
      <c r="DF45" s="1225"/>
      <c r="DG45" s="1223"/>
      <c r="DH45" s="1224"/>
      <c r="DI45" s="1225"/>
      <c r="DJ45" s="1223"/>
      <c r="DK45" s="1224"/>
      <c r="DL45" s="1225"/>
      <c r="DM45" s="1223"/>
      <c r="DN45" s="1224"/>
      <c r="DO45" s="1225"/>
      <c r="DP45" s="1223"/>
      <c r="DQ45" s="1224"/>
      <c r="DR45" s="1622"/>
      <c r="DS45" s="1621"/>
      <c r="DT45" s="1620"/>
      <c r="DU45" s="1225"/>
      <c r="DV45" s="1223"/>
      <c r="DW45" s="1224"/>
      <c r="DX45" s="1225"/>
      <c r="DY45" s="1223"/>
      <c r="DZ45" s="1224"/>
      <c r="EA45" s="1225"/>
      <c r="EB45" s="1223"/>
      <c r="EC45" s="1224"/>
      <c r="ED45" s="1225"/>
      <c r="EE45" s="1223"/>
      <c r="EF45" s="1224"/>
      <c r="EG45" s="1225"/>
      <c r="EH45" s="1223"/>
      <c r="EI45" s="1224"/>
      <c r="EJ45" s="1225"/>
      <c r="EK45" s="1223"/>
      <c r="EL45" s="1224"/>
      <c r="EM45" s="1225"/>
      <c r="EN45" s="1223"/>
      <c r="EO45" s="1224"/>
      <c r="EP45" s="1225"/>
      <c r="EQ45" s="1223"/>
      <c r="ER45" s="1224"/>
      <c r="ES45" s="1225"/>
      <c r="ET45" s="1223"/>
      <c r="EU45" s="1224"/>
      <c r="EV45" s="1225"/>
      <c r="EW45" s="1223"/>
      <c r="EX45" s="1224"/>
      <c r="EY45" s="1225"/>
      <c r="EZ45" s="1223"/>
      <c r="FA45" s="1224"/>
      <c r="FB45" s="1225"/>
      <c r="FC45" s="1223"/>
      <c r="FD45" s="1224"/>
      <c r="FE45" s="1225"/>
      <c r="FF45" s="1223"/>
      <c r="FG45" s="1224"/>
      <c r="FH45" s="1225"/>
      <c r="FI45" s="1223"/>
      <c r="FJ45" s="1224"/>
      <c r="FK45" s="1225"/>
      <c r="FL45" s="1223"/>
      <c r="FM45" s="1224"/>
      <c r="FN45" s="1225"/>
      <c r="FO45" s="1223"/>
      <c r="FP45" s="1224"/>
      <c r="FQ45" s="1225"/>
      <c r="FR45" s="1223"/>
      <c r="FS45" s="1224"/>
      <c r="FT45" s="1225"/>
      <c r="FU45" s="1223"/>
      <c r="FV45" s="1224"/>
      <c r="FW45" s="1225"/>
      <c r="FX45" s="1223"/>
      <c r="FY45" s="1224"/>
      <c r="FZ45" s="1225"/>
      <c r="GA45" s="1223"/>
      <c r="GB45" s="1224"/>
      <c r="GC45" s="1225"/>
      <c r="GD45" s="1223"/>
      <c r="GE45" s="1224"/>
      <c r="GF45" s="1225"/>
      <c r="GG45" s="1223"/>
      <c r="GH45" s="1224"/>
      <c r="GI45" s="1404">
        <v>32385646.147021912</v>
      </c>
      <c r="GJ45" s="1619">
        <f>+GI45</f>
        <v>32385646.147021912</v>
      </c>
      <c r="GK45" s="1619"/>
      <c r="GL45" s="1406">
        <f>+GJ45-GK44</f>
        <v>39260.752937078476</v>
      </c>
      <c r="GM45" s="694"/>
      <c r="GN45" s="1500"/>
      <c r="GO45" s="1500"/>
      <c r="GP45" s="1500"/>
      <c r="GQ45" s="1500"/>
      <c r="GR45" s="1500"/>
      <c r="GS45" s="1500"/>
      <c r="GT45" s="694"/>
      <c r="GU45" s="694"/>
      <c r="GV45" s="694"/>
      <c r="GW45" s="694"/>
      <c r="GX45" s="694"/>
      <c r="GY45" s="694"/>
      <c r="GZ45" s="694"/>
      <c r="HA45" s="694"/>
      <c r="HB45" s="694"/>
      <c r="HC45" s="694"/>
      <c r="HD45" s="694"/>
      <c r="HE45" s="694"/>
      <c r="HF45" s="694"/>
      <c r="HG45" s="694"/>
      <c r="HH45" s="694"/>
      <c r="HI45" s="694"/>
      <c r="HJ45" s="694"/>
      <c r="HK45" s="694"/>
      <c r="HL45" s="694"/>
      <c r="HM45" s="694"/>
    </row>
    <row r="46" spans="1:221" s="1500" customFormat="1" ht="20.399999999999999">
      <c r="A46" s="1615">
        <f t="shared" si="6"/>
        <v>28</v>
      </c>
      <c r="B46" s="1139"/>
      <c r="C46" s="1614" t="str">
        <f t="shared" si="7"/>
        <v>W  11.68 % ROE</v>
      </c>
      <c r="D46" s="1617">
        <f t="shared" si="8"/>
        <v>2009</v>
      </c>
      <c r="E46" s="1225">
        <v>19203411.499999996</v>
      </c>
      <c r="F46" s="1223">
        <v>492395.16666666669</v>
      </c>
      <c r="G46" s="1224">
        <v>4523233.9378284886</v>
      </c>
      <c r="H46" s="1225">
        <v>7796852.6071428563</v>
      </c>
      <c r="I46" s="1223">
        <v>192119.57142857142</v>
      </c>
      <c r="J46" s="1224">
        <v>1828696.2693713075</v>
      </c>
      <c r="K46" s="1225">
        <v>83645756.486964285</v>
      </c>
      <c r="L46" s="1223">
        <v>2061086.4021428572</v>
      </c>
      <c r="M46" s="1224">
        <v>19618516.66867733</v>
      </c>
      <c r="N46" s="1225">
        <v>21176275.99801584</v>
      </c>
      <c r="O46" s="1223">
        <v>528306.26190476189</v>
      </c>
      <c r="P46" s="1224">
        <v>4973253.6777129257</v>
      </c>
      <c r="Q46" s="1225">
        <v>26916602.0982823</v>
      </c>
      <c r="R46" s="1223">
        <v>642982.09523809503</v>
      </c>
      <c r="S46" s="1224">
        <v>6292836.7226667712</v>
      </c>
      <c r="T46" s="1225">
        <v>19700217.079999994</v>
      </c>
      <c r="U46" s="1223">
        <v>288478.39053113543</v>
      </c>
      <c r="V46" s="1224">
        <v>2831673.1249772008</v>
      </c>
      <c r="W46" s="1225">
        <v>15773879.580000002</v>
      </c>
      <c r="X46" s="1223">
        <v>234560.70287545791</v>
      </c>
      <c r="Y46" s="1224">
        <v>2302422.8514492824</v>
      </c>
      <c r="Z46" s="1225">
        <v>6936122.2728937697</v>
      </c>
      <c r="AA46" s="1223">
        <v>165749.87071428573</v>
      </c>
      <c r="AB46" s="1224">
        <v>1621657.3577302925</v>
      </c>
      <c r="AC46" s="1225">
        <v>21092458.170000002</v>
      </c>
      <c r="AD46" s="1223">
        <v>268347.0871245421</v>
      </c>
      <c r="AE46" s="1224">
        <v>2634066.3970616143</v>
      </c>
      <c r="AF46" s="1225">
        <v>35791.714285714297</v>
      </c>
      <c r="AG46" s="1223">
        <v>865.92857142857144</v>
      </c>
      <c r="AH46" s="1224">
        <v>8378.6889801300986</v>
      </c>
      <c r="AI46" s="1225"/>
      <c r="AJ46" s="1223"/>
      <c r="AK46" s="1224"/>
      <c r="AL46" s="1225"/>
      <c r="AM46" s="1223"/>
      <c r="AN46" s="1224"/>
      <c r="AO46" s="1225"/>
      <c r="AP46" s="1223"/>
      <c r="AQ46" s="1224"/>
      <c r="AR46" s="1225"/>
      <c r="AS46" s="1223"/>
      <c r="AT46" s="1224"/>
      <c r="AU46" s="1225"/>
      <c r="AV46" s="1223"/>
      <c r="AW46" s="1224"/>
      <c r="AX46" s="1225"/>
      <c r="AY46" s="1223"/>
      <c r="AZ46" s="1224"/>
      <c r="BA46" s="1225"/>
      <c r="BB46" s="1223"/>
      <c r="BC46" s="1224"/>
      <c r="BD46" s="1225"/>
      <c r="BE46" s="1223"/>
      <c r="BF46" s="1224"/>
      <c r="BG46" s="1225"/>
      <c r="BH46" s="1223"/>
      <c r="BI46" s="1224"/>
      <c r="BJ46" s="1225"/>
      <c r="BK46" s="1223"/>
      <c r="BL46" s="1224"/>
      <c r="BM46" s="1225"/>
      <c r="BN46" s="1223"/>
      <c r="BO46" s="1224"/>
      <c r="BP46" s="1225"/>
      <c r="BQ46" s="1223"/>
      <c r="BR46" s="1224"/>
      <c r="BS46" s="1225"/>
      <c r="BT46" s="1223"/>
      <c r="BU46" s="1224"/>
      <c r="BV46" s="1225"/>
      <c r="BW46" s="1223"/>
      <c r="BX46" s="1224"/>
      <c r="BY46" s="1223"/>
      <c r="BZ46" s="1223"/>
      <c r="CA46" s="1223"/>
      <c r="CB46" s="1225"/>
      <c r="CC46" s="1223"/>
      <c r="CD46" s="1224"/>
      <c r="CE46" s="1225"/>
      <c r="CF46" s="1223"/>
      <c r="CG46" s="1224"/>
      <c r="CH46" s="1225"/>
      <c r="CI46" s="1223"/>
      <c r="CJ46" s="1224"/>
      <c r="CK46" s="1225"/>
      <c r="CL46" s="1223"/>
      <c r="CM46" s="1224"/>
      <c r="CN46" s="1225"/>
      <c r="CO46" s="1223"/>
      <c r="CP46" s="1224"/>
      <c r="CQ46" s="1225"/>
      <c r="CR46" s="1223"/>
      <c r="CS46" s="1224"/>
      <c r="CT46" s="1225"/>
      <c r="CU46" s="1223"/>
      <c r="CV46" s="1224"/>
      <c r="CW46" s="1225">
        <v>8601534.25</v>
      </c>
      <c r="CX46" s="1223"/>
      <c r="CY46" s="1224">
        <v>794646.90902210097</v>
      </c>
      <c r="CZ46" s="1225">
        <v>33993795.030000001</v>
      </c>
      <c r="DA46" s="1223"/>
      <c r="DB46" s="1224">
        <v>3927225.6861787643</v>
      </c>
      <c r="DC46" s="1225"/>
      <c r="DD46" s="1223"/>
      <c r="DE46" s="1224"/>
      <c r="DF46" s="1225"/>
      <c r="DG46" s="1223"/>
      <c r="DH46" s="1224"/>
      <c r="DI46" s="1225"/>
      <c r="DJ46" s="1223"/>
      <c r="DK46" s="1224"/>
      <c r="DL46" s="1225"/>
      <c r="DM46" s="1223"/>
      <c r="DN46" s="1224"/>
      <c r="DO46" s="1225"/>
      <c r="DP46" s="1223"/>
      <c r="DQ46" s="1224"/>
      <c r="DR46" s="1225"/>
      <c r="DS46" s="1223"/>
      <c r="DT46" s="1224"/>
      <c r="DU46" s="1225"/>
      <c r="DV46" s="1223"/>
      <c r="DW46" s="1224"/>
      <c r="DX46" s="1225"/>
      <c r="DY46" s="1223"/>
      <c r="DZ46" s="1224"/>
      <c r="EA46" s="1225"/>
      <c r="EB46" s="1223"/>
      <c r="EC46" s="1224"/>
      <c r="ED46" s="1225"/>
      <c r="EE46" s="1223"/>
      <c r="EF46" s="1224"/>
      <c r="EG46" s="1225"/>
      <c r="EH46" s="1223"/>
      <c r="EI46" s="1224"/>
      <c r="EJ46" s="1225"/>
      <c r="EK46" s="1223"/>
      <c r="EL46" s="1224"/>
      <c r="EM46" s="1225"/>
      <c r="EN46" s="1223"/>
      <c r="EO46" s="1224"/>
      <c r="EP46" s="1225"/>
      <c r="EQ46" s="1223"/>
      <c r="ER46" s="1224"/>
      <c r="ES46" s="1225"/>
      <c r="ET46" s="1223"/>
      <c r="EU46" s="1224"/>
      <c r="EV46" s="1225"/>
      <c r="EW46" s="1223"/>
      <c r="EX46" s="1224"/>
      <c r="EY46" s="1225"/>
      <c r="EZ46" s="1223"/>
      <c r="FA46" s="1224"/>
      <c r="FB46" s="1225"/>
      <c r="FC46" s="1223"/>
      <c r="FD46" s="1224"/>
      <c r="FE46" s="1225"/>
      <c r="FF46" s="1223"/>
      <c r="FG46" s="1224"/>
      <c r="FH46" s="1225"/>
      <c r="FI46" s="1223"/>
      <c r="FJ46" s="1224"/>
      <c r="FK46" s="1225"/>
      <c r="FL46" s="1223"/>
      <c r="FM46" s="1224"/>
      <c r="FN46" s="1225"/>
      <c r="FO46" s="1223"/>
      <c r="FP46" s="1224"/>
      <c r="FQ46" s="1225"/>
      <c r="FR46" s="1223"/>
      <c r="FS46" s="1224"/>
      <c r="FT46" s="1225"/>
      <c r="FU46" s="1223"/>
      <c r="FV46" s="1224"/>
      <c r="FW46" s="1225"/>
      <c r="FX46" s="1223"/>
      <c r="FY46" s="1224"/>
      <c r="FZ46" s="1225"/>
      <c r="GA46" s="1223"/>
      <c r="GB46" s="1224"/>
      <c r="GC46" s="1225"/>
      <c r="GD46" s="1223"/>
      <c r="GE46" s="1224"/>
      <c r="GF46" s="1225"/>
      <c r="GG46" s="1223"/>
      <c r="GH46" s="1224"/>
      <c r="GI46" s="1404">
        <v>51356608.291656204</v>
      </c>
      <c r="GJ46" s="1612"/>
      <c r="GK46" s="1612">
        <f>+GI46</f>
        <v>51356608.291656204</v>
      </c>
      <c r="GL46" s="1407"/>
    </row>
    <row r="47" spans="1:221" s="1500" customFormat="1" ht="20.399999999999999">
      <c r="A47" s="1615">
        <f t="shared" si="6"/>
        <v>29</v>
      </c>
      <c r="B47" s="1139"/>
      <c r="C47" s="1614" t="str">
        <f t="shared" si="7"/>
        <v>W Increased ROE</v>
      </c>
      <c r="D47" s="1617">
        <f t="shared" si="8"/>
        <v>2009</v>
      </c>
      <c r="E47" s="1225">
        <v>19203411.499999996</v>
      </c>
      <c r="F47" s="1223">
        <v>492395.16666666669</v>
      </c>
      <c r="G47" s="1224">
        <v>4523233.9378284886</v>
      </c>
      <c r="H47" s="1225">
        <v>7796852.6071428601</v>
      </c>
      <c r="I47" s="1223">
        <v>192119.57142857101</v>
      </c>
      <c r="J47" s="1224">
        <v>1828696.2693713075</v>
      </c>
      <c r="K47" s="1225">
        <v>83645756.486964285</v>
      </c>
      <c r="L47" s="1223">
        <v>2061086.4021428572</v>
      </c>
      <c r="M47" s="1224">
        <v>19618516.66867733</v>
      </c>
      <c r="N47" s="1225">
        <v>21176275.998015899</v>
      </c>
      <c r="O47" s="1223">
        <v>528306.26190476189</v>
      </c>
      <c r="P47" s="1224">
        <v>4973253.6777129322</v>
      </c>
      <c r="Q47" s="1225">
        <v>26916602.0982823</v>
      </c>
      <c r="R47" s="1223">
        <v>642982.09523809515</v>
      </c>
      <c r="S47" s="1224">
        <v>6292836.7226667712</v>
      </c>
      <c r="T47" s="1225">
        <v>19700217.079999994</v>
      </c>
      <c r="U47" s="1223">
        <v>288478.39053113543</v>
      </c>
      <c r="V47" s="1224">
        <v>2831673.1249772008</v>
      </c>
      <c r="W47" s="1225">
        <v>15773879.580000002</v>
      </c>
      <c r="X47" s="1223">
        <v>234560.70287545791</v>
      </c>
      <c r="Y47" s="1224">
        <v>2302422.8514492824</v>
      </c>
      <c r="Z47" s="1225">
        <v>6936122.2728937734</v>
      </c>
      <c r="AA47" s="1223">
        <v>165749.87071428573</v>
      </c>
      <c r="AB47" s="1224">
        <v>1621657.3577302925</v>
      </c>
      <c r="AC47" s="1225">
        <v>21092458.169999998</v>
      </c>
      <c r="AD47" s="1223">
        <v>268347.0871245421</v>
      </c>
      <c r="AE47" s="1224">
        <v>2634066.3970616143</v>
      </c>
      <c r="AF47" s="1225">
        <v>35791.714285714283</v>
      </c>
      <c r="AG47" s="1223">
        <v>865.92857142857144</v>
      </c>
      <c r="AH47" s="1224">
        <v>8378.6889801300986</v>
      </c>
      <c r="AI47" s="1225"/>
      <c r="AJ47" s="1223"/>
      <c r="AK47" s="1224"/>
      <c r="AL47" s="1225"/>
      <c r="AM47" s="1223"/>
      <c r="AN47" s="1224"/>
      <c r="AO47" s="1225"/>
      <c r="AP47" s="1223"/>
      <c r="AQ47" s="1224"/>
      <c r="AR47" s="1225"/>
      <c r="AS47" s="1223"/>
      <c r="AT47" s="1224"/>
      <c r="AU47" s="1225"/>
      <c r="AV47" s="1223"/>
      <c r="AW47" s="1224"/>
      <c r="AX47" s="1225"/>
      <c r="AY47" s="1223"/>
      <c r="AZ47" s="1224"/>
      <c r="BA47" s="1225"/>
      <c r="BB47" s="1223"/>
      <c r="BC47" s="1224"/>
      <c r="BD47" s="1225"/>
      <c r="BE47" s="1223"/>
      <c r="BF47" s="1224"/>
      <c r="BG47" s="1225"/>
      <c r="BH47" s="1223"/>
      <c r="BI47" s="1224"/>
      <c r="BJ47" s="1225"/>
      <c r="BK47" s="1223"/>
      <c r="BL47" s="1224"/>
      <c r="BM47" s="1225"/>
      <c r="BN47" s="1223"/>
      <c r="BO47" s="1224"/>
      <c r="BP47" s="1225"/>
      <c r="BQ47" s="1223"/>
      <c r="BR47" s="1224"/>
      <c r="BS47" s="1225"/>
      <c r="BT47" s="520"/>
      <c r="BU47" s="1224"/>
      <c r="BV47" s="1225"/>
      <c r="BW47" s="1223"/>
      <c r="BX47" s="1224"/>
      <c r="BY47" s="1223"/>
      <c r="BZ47" s="1223"/>
      <c r="CA47" s="1223"/>
      <c r="CB47" s="1225"/>
      <c r="CC47" s="1223"/>
      <c r="CD47" s="1224"/>
      <c r="CE47" s="1225"/>
      <c r="CF47" s="1223"/>
      <c r="CG47" s="1224"/>
      <c r="CH47" s="1225"/>
      <c r="CI47" s="1223"/>
      <c r="CJ47" s="1224"/>
      <c r="CK47" s="1225"/>
      <c r="CL47" s="1223"/>
      <c r="CM47" s="1224"/>
      <c r="CN47" s="1225"/>
      <c r="CO47" s="1223"/>
      <c r="CP47" s="1224"/>
      <c r="CQ47" s="1225"/>
      <c r="CR47" s="1223"/>
      <c r="CS47" s="1224"/>
      <c r="CT47" s="1225"/>
      <c r="CU47" s="1223"/>
      <c r="CV47" s="1224"/>
      <c r="CW47" s="1225">
        <v>8601534.25</v>
      </c>
      <c r="CX47" s="1223"/>
      <c r="CY47" s="1224">
        <v>833736.60741117853</v>
      </c>
      <c r="CZ47" s="1225">
        <v>33993795.030000001</v>
      </c>
      <c r="DA47" s="1223"/>
      <c r="DB47" s="1224">
        <v>4120410.9434743347</v>
      </c>
      <c r="DC47" s="1225"/>
      <c r="DD47" s="1223"/>
      <c r="DE47" s="1224"/>
      <c r="DF47" s="1225"/>
      <c r="DG47" s="1223"/>
      <c r="DH47" s="1224"/>
      <c r="DI47" s="1225"/>
      <c r="DJ47" s="1223"/>
      <c r="DK47" s="1224"/>
      <c r="DL47" s="1225"/>
      <c r="DM47" s="1223"/>
      <c r="DN47" s="1224"/>
      <c r="DO47" s="1225"/>
      <c r="DP47" s="1223"/>
      <c r="DQ47" s="1224"/>
      <c r="DR47" s="1225"/>
      <c r="DS47" s="1223"/>
      <c r="DT47" s="1224"/>
      <c r="DU47" s="1225"/>
      <c r="DV47" s="1223"/>
      <c r="DW47" s="1224"/>
      <c r="DX47" s="1225"/>
      <c r="DY47" s="1223"/>
      <c r="DZ47" s="1224"/>
      <c r="EA47" s="1225"/>
      <c r="EB47" s="1223"/>
      <c r="EC47" s="1224"/>
      <c r="ED47" s="1225"/>
      <c r="EE47" s="1223"/>
      <c r="EF47" s="1224"/>
      <c r="EG47" s="1225"/>
      <c r="EH47" s="1223"/>
      <c r="EI47" s="1224"/>
      <c r="EJ47" s="1225"/>
      <c r="EK47" s="1223"/>
      <c r="EL47" s="1224"/>
      <c r="EM47" s="1225"/>
      <c r="EN47" s="1223"/>
      <c r="EO47" s="1224"/>
      <c r="EP47" s="1225"/>
      <c r="EQ47" s="1223"/>
      <c r="ER47" s="1224"/>
      <c r="ES47" s="1225"/>
      <c r="ET47" s="1223"/>
      <c r="EU47" s="1224"/>
      <c r="EV47" s="1225"/>
      <c r="EW47" s="1223"/>
      <c r="EX47" s="1224"/>
      <c r="EY47" s="1225"/>
      <c r="EZ47" s="1223"/>
      <c r="FA47" s="1224"/>
      <c r="FB47" s="1225"/>
      <c r="FC47" s="1223"/>
      <c r="FD47" s="1224"/>
      <c r="FE47" s="1225"/>
      <c r="FF47" s="1223"/>
      <c r="FG47" s="1224"/>
      <c r="FH47" s="1225"/>
      <c r="FI47" s="1223"/>
      <c r="FJ47" s="1224"/>
      <c r="FK47" s="1225"/>
      <c r="FL47" s="1223"/>
      <c r="FM47" s="1224"/>
      <c r="FN47" s="1225"/>
      <c r="FO47" s="1223"/>
      <c r="FP47" s="1224"/>
      <c r="FQ47" s="1225"/>
      <c r="FR47" s="1223"/>
      <c r="FS47" s="1224"/>
      <c r="FT47" s="1225"/>
      <c r="FU47" s="1223"/>
      <c r="FV47" s="1224"/>
      <c r="FW47" s="1225"/>
      <c r="FX47" s="1223"/>
      <c r="FY47" s="1224"/>
      <c r="FZ47" s="1225"/>
      <c r="GA47" s="1223"/>
      <c r="GB47" s="1224"/>
      <c r="GC47" s="1225"/>
      <c r="GD47" s="1223"/>
      <c r="GE47" s="1224"/>
      <c r="GF47" s="1225"/>
      <c r="GG47" s="1223"/>
      <c r="GH47" s="1224"/>
      <c r="GI47" s="1404">
        <v>51588883.247340865</v>
      </c>
      <c r="GJ47" s="1612">
        <f>+GI47</f>
        <v>51588883.247340865</v>
      </c>
      <c r="GK47" s="1612"/>
      <c r="GL47" s="1407">
        <f>+GJ47-GK46</f>
        <v>232274.95568466187</v>
      </c>
    </row>
    <row r="48" spans="1:221" ht="20.399999999999999">
      <c r="A48" s="1618">
        <f t="shared" si="6"/>
        <v>30</v>
      </c>
      <c r="B48" s="1139"/>
      <c r="C48" s="1614" t="str">
        <f t="shared" si="7"/>
        <v>W  11.68 % ROE</v>
      </c>
      <c r="D48" s="1613">
        <f t="shared" si="8"/>
        <v>2010</v>
      </c>
      <c r="E48" s="1225">
        <v>18711016.333333328</v>
      </c>
      <c r="F48" s="1223">
        <v>492395.16666666669</v>
      </c>
      <c r="G48" s="1224">
        <v>4095967.8781372034</v>
      </c>
      <c r="H48" s="1225">
        <v>7604733.0357142845</v>
      </c>
      <c r="I48" s="1223">
        <v>192119.57142857142</v>
      </c>
      <c r="J48" s="1224">
        <v>1656722.4533521151</v>
      </c>
      <c r="K48" s="1225">
        <v>81584670.084821433</v>
      </c>
      <c r="L48" s="1223">
        <v>2061086.4021428572</v>
      </c>
      <c r="M48" s="1224">
        <v>17773556.828895692</v>
      </c>
      <c r="N48" s="1225">
        <v>20647969.736111078</v>
      </c>
      <c r="O48" s="1223">
        <v>528306.26190476189</v>
      </c>
      <c r="P48" s="1224">
        <v>4504918.7004159531</v>
      </c>
      <c r="Q48" s="1225">
        <v>26273620.003044207</v>
      </c>
      <c r="R48" s="1223">
        <v>642982.09523809503</v>
      </c>
      <c r="S48" s="1224">
        <v>5703043.9533343781</v>
      </c>
      <c r="T48" s="1225">
        <v>25488527.209468864</v>
      </c>
      <c r="U48" s="1223">
        <v>613738.22857142857</v>
      </c>
      <c r="V48" s="1224">
        <v>5522598.3071117708</v>
      </c>
      <c r="W48" s="1225">
        <v>15539318.877124544</v>
      </c>
      <c r="X48" s="1223">
        <v>375568.42857142858</v>
      </c>
      <c r="Y48" s="1224">
        <v>3368300.8629228035</v>
      </c>
      <c r="Z48" s="1225">
        <v>6770372.4021794843</v>
      </c>
      <c r="AA48" s="1223">
        <v>165749.87071428573</v>
      </c>
      <c r="AB48" s="1224">
        <v>1469662.4321887507</v>
      </c>
      <c r="AC48" s="1225">
        <v>20797966.912875459</v>
      </c>
      <c r="AD48" s="1223">
        <v>501578.90476190473</v>
      </c>
      <c r="AE48" s="1224">
        <v>4507079.444451374</v>
      </c>
      <c r="AF48" s="1225">
        <v>27122.071428571428</v>
      </c>
      <c r="AG48" s="1223">
        <v>666.38095238095241</v>
      </c>
      <c r="AH48" s="1224">
        <v>5889.8468901685865</v>
      </c>
      <c r="AI48" s="1225">
        <v>8806222.4399999995</v>
      </c>
      <c r="AJ48" s="1223">
        <v>18699.750622710624</v>
      </c>
      <c r="AK48" s="1224">
        <v>169958.67819260494</v>
      </c>
      <c r="AL48" s="1225"/>
      <c r="AM48" s="1223"/>
      <c r="AN48" s="1224"/>
      <c r="AO48" s="1225"/>
      <c r="AP48" s="1223"/>
      <c r="AQ48" s="1224"/>
      <c r="AR48" s="1225"/>
      <c r="AS48" s="1223"/>
      <c r="AT48" s="1224"/>
      <c r="AU48" s="1225"/>
      <c r="AV48" s="1223"/>
      <c r="AW48" s="1224"/>
      <c r="AX48" s="1225"/>
      <c r="AY48" s="1223"/>
      <c r="AZ48" s="1224"/>
      <c r="BA48" s="1225"/>
      <c r="BB48" s="1223"/>
      <c r="BC48" s="1224"/>
      <c r="BD48" s="1225"/>
      <c r="BE48" s="1223"/>
      <c r="BF48" s="1224"/>
      <c r="BG48" s="1225"/>
      <c r="BH48" s="1223"/>
      <c r="BI48" s="1224"/>
      <c r="BJ48" s="1225"/>
      <c r="BK48" s="1223"/>
      <c r="BL48" s="1224"/>
      <c r="BM48" s="1225"/>
      <c r="BN48" s="1223"/>
      <c r="BO48" s="1224"/>
      <c r="BP48" s="1225"/>
      <c r="BQ48" s="1223"/>
      <c r="BR48" s="1224"/>
      <c r="BS48" s="1225"/>
      <c r="BT48" s="1223"/>
      <c r="BU48" s="1224"/>
      <c r="BV48" s="1225"/>
      <c r="BW48" s="1223"/>
      <c r="BX48" s="1224"/>
      <c r="BY48" s="1223"/>
      <c r="BZ48" s="1223"/>
      <c r="CA48" s="1223"/>
      <c r="CB48" s="1225">
        <v>2662585</v>
      </c>
      <c r="CC48" s="1223">
        <v>7802.4468864468872</v>
      </c>
      <c r="CD48" s="1224">
        <v>70915.039790851239</v>
      </c>
      <c r="CE48" s="1225"/>
      <c r="CF48" s="1223"/>
      <c r="CG48" s="1224"/>
      <c r="CH48" s="1225"/>
      <c r="CI48" s="1223"/>
      <c r="CJ48" s="1224"/>
      <c r="CK48" s="1225"/>
      <c r="CL48" s="1223"/>
      <c r="CM48" s="1224"/>
      <c r="CN48" s="1225"/>
      <c r="CO48" s="1223"/>
      <c r="CP48" s="1224"/>
      <c r="CQ48" s="1225"/>
      <c r="CR48" s="1223"/>
      <c r="CS48" s="1224"/>
      <c r="CT48" s="1225"/>
      <c r="CU48" s="1223"/>
      <c r="CV48" s="1224"/>
      <c r="CW48" s="1225">
        <v>10121290.48</v>
      </c>
      <c r="CX48" s="1223"/>
      <c r="CY48" s="1224">
        <v>1719499.0132662903</v>
      </c>
      <c r="CZ48" s="1225">
        <v>83961997.520000011</v>
      </c>
      <c r="DA48" s="1223"/>
      <c r="DB48" s="1224">
        <v>10780918.916749517</v>
      </c>
      <c r="DC48" s="1225"/>
      <c r="DD48" s="1223"/>
      <c r="DE48" s="1224"/>
      <c r="DF48" s="1225"/>
      <c r="DG48" s="1223"/>
      <c r="DH48" s="1224"/>
      <c r="DI48" s="1225"/>
      <c r="DJ48" s="1223"/>
      <c r="DK48" s="1224"/>
      <c r="DL48" s="1225"/>
      <c r="DM48" s="1223"/>
      <c r="DN48" s="1224"/>
      <c r="DO48" s="1225"/>
      <c r="DP48" s="1223"/>
      <c r="DQ48" s="1224"/>
      <c r="DR48" s="1225"/>
      <c r="DS48" s="1223"/>
      <c r="DT48" s="1224"/>
      <c r="DU48" s="1225"/>
      <c r="DV48" s="1223"/>
      <c r="DW48" s="1224"/>
      <c r="DX48" s="1225"/>
      <c r="DY48" s="1223"/>
      <c r="DZ48" s="1224"/>
      <c r="EA48" s="1225"/>
      <c r="EB48" s="1223"/>
      <c r="EC48" s="1224"/>
      <c r="ED48" s="1225"/>
      <c r="EE48" s="1223"/>
      <c r="EF48" s="1224"/>
      <c r="EG48" s="1225"/>
      <c r="EH48" s="1223"/>
      <c r="EI48" s="1224"/>
      <c r="EJ48" s="1225"/>
      <c r="EK48" s="1223"/>
      <c r="EL48" s="1224"/>
      <c r="EM48" s="1225"/>
      <c r="EN48" s="1223"/>
      <c r="EO48" s="1224"/>
      <c r="EP48" s="1225"/>
      <c r="EQ48" s="1223"/>
      <c r="ER48" s="1224"/>
      <c r="ES48" s="1225"/>
      <c r="ET48" s="1223"/>
      <c r="EU48" s="1224"/>
      <c r="EV48" s="1225"/>
      <c r="EW48" s="1223"/>
      <c r="EX48" s="1224"/>
      <c r="EY48" s="1225"/>
      <c r="EZ48" s="1223"/>
      <c r="FA48" s="1224"/>
      <c r="FB48" s="1225"/>
      <c r="FC48" s="1223"/>
      <c r="FD48" s="1224"/>
      <c r="FE48" s="1225"/>
      <c r="FF48" s="1223"/>
      <c r="FG48" s="1224"/>
      <c r="FH48" s="1225"/>
      <c r="FI48" s="1223"/>
      <c r="FJ48" s="1224"/>
      <c r="FK48" s="1225"/>
      <c r="FL48" s="1223"/>
      <c r="FM48" s="1224"/>
      <c r="FN48" s="1225"/>
      <c r="FO48" s="1223"/>
      <c r="FP48" s="1224"/>
      <c r="FQ48" s="1225"/>
      <c r="FR48" s="1223"/>
      <c r="FS48" s="1224"/>
      <c r="FT48" s="1225"/>
      <c r="FU48" s="1223"/>
      <c r="FV48" s="1224"/>
      <c r="FW48" s="1225"/>
      <c r="FX48" s="1223"/>
      <c r="FY48" s="1224"/>
      <c r="FZ48" s="1225"/>
      <c r="GA48" s="1223"/>
      <c r="GB48" s="1224"/>
      <c r="GC48" s="1225"/>
      <c r="GD48" s="1223"/>
      <c r="GE48" s="1224"/>
      <c r="GF48" s="1225"/>
      <c r="GG48" s="1223"/>
      <c r="GH48" s="1224"/>
      <c r="GI48" s="1404">
        <v>61349032.355699472</v>
      </c>
      <c r="GJ48" s="1612"/>
      <c r="GK48" s="1612">
        <f>+GI48</f>
        <v>61349032.355699472</v>
      </c>
      <c r="GL48" s="1407"/>
      <c r="GM48" s="694"/>
      <c r="GN48" s="1500"/>
      <c r="GO48" s="1500"/>
      <c r="GP48" s="1500"/>
      <c r="GQ48" s="1500"/>
      <c r="GR48" s="1500"/>
      <c r="GS48" s="1500"/>
      <c r="GT48" s="694"/>
      <c r="GU48" s="694"/>
      <c r="GV48" s="694"/>
      <c r="GW48" s="694"/>
      <c r="GX48" s="694"/>
      <c r="GY48" s="694"/>
      <c r="GZ48" s="694"/>
      <c r="HA48" s="694"/>
      <c r="HB48" s="694"/>
      <c r="HC48" s="694"/>
      <c r="HD48" s="694"/>
      <c r="HE48" s="694"/>
      <c r="HF48" s="694"/>
      <c r="HG48" s="694"/>
      <c r="HH48" s="694"/>
      <c r="HI48" s="694"/>
      <c r="HJ48" s="694"/>
      <c r="HK48" s="694"/>
      <c r="HL48" s="694"/>
      <c r="HM48" s="694"/>
    </row>
    <row r="49" spans="1:221" ht="20.399999999999999">
      <c r="A49" s="1618">
        <f t="shared" si="6"/>
        <v>31</v>
      </c>
      <c r="B49" s="1139"/>
      <c r="C49" s="1614" t="str">
        <f t="shared" si="7"/>
        <v>W Increased ROE</v>
      </c>
      <c r="D49" s="1613">
        <f t="shared" si="8"/>
        <v>2010</v>
      </c>
      <c r="E49" s="1225">
        <v>18711016.333333328</v>
      </c>
      <c r="F49" s="1223">
        <v>492395.16666666669</v>
      </c>
      <c r="G49" s="1224">
        <v>4095967.8781372034</v>
      </c>
      <c r="H49" s="1225">
        <v>7604733.0357142845</v>
      </c>
      <c r="I49" s="1223">
        <v>192119.57142857142</v>
      </c>
      <c r="J49" s="1224">
        <v>1656722.4533521151</v>
      </c>
      <c r="K49" s="1225">
        <v>81584670.084821433</v>
      </c>
      <c r="L49" s="1223">
        <v>2061086.4021428572</v>
      </c>
      <c r="M49" s="1224">
        <v>17773556.828895692</v>
      </c>
      <c r="N49" s="1225">
        <v>20647969.736111138</v>
      </c>
      <c r="O49" s="1223">
        <v>528306.26190476189</v>
      </c>
      <c r="P49" s="1224">
        <v>4504918.7004159652</v>
      </c>
      <c r="Q49" s="1225">
        <v>26273620.003044207</v>
      </c>
      <c r="R49" s="1223">
        <v>642982.09523809503</v>
      </c>
      <c r="S49" s="1224">
        <v>5703043.9533343781</v>
      </c>
      <c r="T49" s="1225">
        <v>25488527.209468864</v>
      </c>
      <c r="U49" s="1223">
        <v>613738.22857142857</v>
      </c>
      <c r="V49" s="1224">
        <v>5522598.3071117708</v>
      </c>
      <c r="W49" s="1225">
        <v>15539318.877124544</v>
      </c>
      <c r="X49" s="1223">
        <v>375568.42857142858</v>
      </c>
      <c r="Y49" s="1224">
        <v>3368300.8629228035</v>
      </c>
      <c r="Z49" s="1225">
        <v>6770372.4021794843</v>
      </c>
      <c r="AA49" s="1223">
        <v>165749.87071428573</v>
      </c>
      <c r="AB49" s="1224">
        <v>1469662.4321887507</v>
      </c>
      <c r="AC49" s="1225">
        <v>20797966.912875459</v>
      </c>
      <c r="AD49" s="1223">
        <v>501578.90476190473</v>
      </c>
      <c r="AE49" s="1224">
        <v>4507079.444451374</v>
      </c>
      <c r="AF49" s="1225">
        <v>27122.071428571428</v>
      </c>
      <c r="AG49" s="1223">
        <v>666.38095238095241</v>
      </c>
      <c r="AH49" s="1224">
        <v>5889.8468901685865</v>
      </c>
      <c r="AI49" s="1225">
        <v>8806222.4399999995</v>
      </c>
      <c r="AJ49" s="1223">
        <v>18699.750622710624</v>
      </c>
      <c r="AK49" s="1224">
        <v>169958.67819260494</v>
      </c>
      <c r="AL49" s="1225"/>
      <c r="AM49" s="1223"/>
      <c r="AN49" s="1224"/>
      <c r="AO49" s="1225"/>
      <c r="AP49" s="1223"/>
      <c r="AQ49" s="1224"/>
      <c r="AR49" s="1225"/>
      <c r="AS49" s="1223"/>
      <c r="AT49" s="1224"/>
      <c r="AU49" s="1225"/>
      <c r="AV49" s="1223"/>
      <c r="AW49" s="1224"/>
      <c r="AX49" s="1225"/>
      <c r="AY49" s="1223"/>
      <c r="AZ49" s="1224"/>
      <c r="BA49" s="1225"/>
      <c r="BB49" s="1223"/>
      <c r="BC49" s="1224"/>
      <c r="BD49" s="1225"/>
      <c r="BE49" s="1223"/>
      <c r="BF49" s="1224"/>
      <c r="BG49" s="1225"/>
      <c r="BH49" s="1223"/>
      <c r="BI49" s="1224"/>
      <c r="BJ49" s="1225"/>
      <c r="BK49" s="1223"/>
      <c r="BL49" s="1224"/>
      <c r="BM49" s="1225"/>
      <c r="BN49" s="1223"/>
      <c r="BO49" s="1224"/>
      <c r="BP49" s="1225"/>
      <c r="BQ49" s="1223"/>
      <c r="BR49" s="1224"/>
      <c r="BS49" s="1225"/>
      <c r="BT49" s="1223"/>
      <c r="BU49" s="1224"/>
      <c r="BV49" s="1225"/>
      <c r="BW49" s="1223"/>
      <c r="BX49" s="1224"/>
      <c r="BY49" s="1223"/>
      <c r="BZ49" s="1223"/>
      <c r="CA49" s="1223"/>
      <c r="CB49" s="1225">
        <v>2662585</v>
      </c>
      <c r="CC49" s="1223">
        <v>7802.4468864468872</v>
      </c>
      <c r="CD49" s="1224">
        <v>70915.039790851239</v>
      </c>
      <c r="CE49" s="1225"/>
      <c r="CF49" s="1223"/>
      <c r="CG49" s="1224"/>
      <c r="CH49" s="1225"/>
      <c r="CI49" s="1223"/>
      <c r="CJ49" s="1224"/>
      <c r="CK49" s="1225"/>
      <c r="CL49" s="1223"/>
      <c r="CM49" s="1224"/>
      <c r="CN49" s="1225"/>
      <c r="CO49" s="1223"/>
      <c r="CP49" s="1224"/>
      <c r="CQ49" s="1225"/>
      <c r="CR49" s="1223"/>
      <c r="CS49" s="1224"/>
      <c r="CT49" s="1225"/>
      <c r="CU49" s="1223"/>
      <c r="CV49" s="1224"/>
      <c r="CW49" s="1225">
        <v>10121290.48</v>
      </c>
      <c r="CX49" s="1223"/>
      <c r="CY49" s="1224">
        <v>1811184.5213523055</v>
      </c>
      <c r="CZ49" s="1225">
        <v>83961997.520000011</v>
      </c>
      <c r="DA49" s="1223"/>
      <c r="DB49" s="1224">
        <v>11355768.928811278</v>
      </c>
      <c r="DC49" s="1225"/>
      <c r="DD49" s="1223"/>
      <c r="DE49" s="1224"/>
      <c r="DF49" s="1225"/>
      <c r="DG49" s="1223"/>
      <c r="DH49" s="1224"/>
      <c r="DI49" s="1225"/>
      <c r="DJ49" s="1223"/>
      <c r="DK49" s="1224"/>
      <c r="DL49" s="1225"/>
      <c r="DM49" s="1223"/>
      <c r="DN49" s="1224"/>
      <c r="DO49" s="1225"/>
      <c r="DP49" s="1223"/>
      <c r="DQ49" s="1224"/>
      <c r="DR49" s="1225"/>
      <c r="DS49" s="1223"/>
      <c r="DT49" s="1224"/>
      <c r="DU49" s="1225"/>
      <c r="DV49" s="1223"/>
      <c r="DW49" s="1224"/>
      <c r="DX49" s="1225"/>
      <c r="DY49" s="1223"/>
      <c r="DZ49" s="1224"/>
      <c r="EA49" s="1225"/>
      <c r="EB49" s="1223"/>
      <c r="EC49" s="1224"/>
      <c r="ED49" s="1225"/>
      <c r="EE49" s="1223"/>
      <c r="EF49" s="1224"/>
      <c r="EG49" s="1225"/>
      <c r="EH49" s="1223"/>
      <c r="EI49" s="1224"/>
      <c r="EJ49" s="1225"/>
      <c r="EK49" s="1223"/>
      <c r="EL49" s="1224"/>
      <c r="EM49" s="1225"/>
      <c r="EN49" s="1223"/>
      <c r="EO49" s="1224"/>
      <c r="EP49" s="1225"/>
      <c r="EQ49" s="1223"/>
      <c r="ER49" s="1224"/>
      <c r="ES49" s="1225"/>
      <c r="ET49" s="1223"/>
      <c r="EU49" s="1224"/>
      <c r="EV49" s="1225"/>
      <c r="EW49" s="1223"/>
      <c r="EX49" s="1224"/>
      <c r="EY49" s="1225"/>
      <c r="EZ49" s="1223"/>
      <c r="FA49" s="1224"/>
      <c r="FB49" s="1225"/>
      <c r="FC49" s="1223"/>
      <c r="FD49" s="1224"/>
      <c r="FE49" s="1225"/>
      <c r="FF49" s="1223"/>
      <c r="FG49" s="1224"/>
      <c r="FH49" s="1225"/>
      <c r="FI49" s="1223"/>
      <c r="FJ49" s="1224"/>
      <c r="FK49" s="1225"/>
      <c r="FL49" s="1223"/>
      <c r="FM49" s="1224"/>
      <c r="FN49" s="1225"/>
      <c r="FO49" s="1223"/>
      <c r="FP49" s="1224"/>
      <c r="FQ49" s="1225"/>
      <c r="FR49" s="1223"/>
      <c r="FS49" s="1224"/>
      <c r="FT49" s="1225"/>
      <c r="FU49" s="1223"/>
      <c r="FV49" s="1224"/>
      <c r="FW49" s="1225"/>
      <c r="FX49" s="1223"/>
      <c r="FY49" s="1224"/>
      <c r="FZ49" s="1225"/>
      <c r="GA49" s="1223"/>
      <c r="GB49" s="1224"/>
      <c r="GC49" s="1225"/>
      <c r="GD49" s="1223"/>
      <c r="GE49" s="1224"/>
      <c r="GF49" s="1225"/>
      <c r="GG49" s="1223"/>
      <c r="GH49" s="1224"/>
      <c r="GI49" s="1404">
        <v>62015567.875847258</v>
      </c>
      <c r="GJ49" s="1612">
        <f>+GI49</f>
        <v>62015567.875847258</v>
      </c>
      <c r="GK49" s="1612"/>
      <c r="GL49" s="1407">
        <f>+GJ49-GK48</f>
        <v>666535.52014778554</v>
      </c>
      <c r="GM49" s="694"/>
      <c r="GN49" s="1500"/>
      <c r="GO49" s="1500"/>
      <c r="GP49" s="1500"/>
      <c r="GQ49" s="1500"/>
      <c r="GR49" s="1500"/>
      <c r="GS49" s="1500"/>
      <c r="GT49" s="694"/>
      <c r="GU49" s="694"/>
      <c r="GV49" s="694"/>
      <c r="GW49" s="694"/>
      <c r="GX49" s="694"/>
      <c r="GY49" s="694"/>
      <c r="GZ49" s="694"/>
      <c r="HA49" s="694"/>
      <c r="HB49" s="694"/>
      <c r="HC49" s="694"/>
      <c r="HD49" s="694"/>
      <c r="HE49" s="694"/>
      <c r="HF49" s="694"/>
      <c r="HG49" s="694"/>
      <c r="HH49" s="694"/>
      <c r="HI49" s="694"/>
      <c r="HJ49" s="694"/>
      <c r="HK49" s="694"/>
      <c r="HL49" s="694"/>
      <c r="HM49" s="694"/>
    </row>
    <row r="50" spans="1:221" s="694" customFormat="1" ht="20.399999999999999">
      <c r="A50" s="1615">
        <f t="shared" si="6"/>
        <v>32</v>
      </c>
      <c r="B50" s="1139"/>
      <c r="C50" s="1614" t="str">
        <f t="shared" si="7"/>
        <v>W  11.68 % ROE</v>
      </c>
      <c r="D50" s="1613">
        <f t="shared" si="8"/>
        <v>2011</v>
      </c>
      <c r="E50" s="1225">
        <v>18218621.16666666</v>
      </c>
      <c r="F50" s="1223">
        <v>492395.16666666669</v>
      </c>
      <c r="G50" s="1224">
        <v>3746857.9192441981</v>
      </c>
      <c r="H50" s="1225">
        <v>7412613.4642857127</v>
      </c>
      <c r="I50" s="1223">
        <v>192119.57142857142</v>
      </c>
      <c r="J50" s="1224">
        <v>1516263.3800122137</v>
      </c>
      <c r="K50" s="1225">
        <v>79523583.68267858</v>
      </c>
      <c r="L50" s="1223">
        <v>2061086.4021428572</v>
      </c>
      <c r="M50" s="1224">
        <v>16266691.68254026</v>
      </c>
      <c r="N50" s="1225">
        <v>20119663.474206317</v>
      </c>
      <c r="O50" s="1223">
        <v>528306.26190476189</v>
      </c>
      <c r="P50" s="1224">
        <v>4122359.5534349093</v>
      </c>
      <c r="Q50" s="1225">
        <v>25630831.907806139</v>
      </c>
      <c r="R50" s="1223">
        <v>642986.71428571432</v>
      </c>
      <c r="S50" s="1224">
        <v>5221521.3354538986</v>
      </c>
      <c r="T50" s="1225">
        <v>24896838.380897436</v>
      </c>
      <c r="U50" s="1223">
        <v>614263.21428571432</v>
      </c>
      <c r="V50" s="1224">
        <v>5061681.733301891</v>
      </c>
      <c r="W50" s="1225">
        <v>15121424.868553113</v>
      </c>
      <c r="X50" s="1223">
        <v>374560.80952380953</v>
      </c>
      <c r="Y50" s="1224">
        <v>3075759.4101427016</v>
      </c>
      <c r="Z50" s="1225">
        <v>6604622.5314651988</v>
      </c>
      <c r="AA50" s="1223">
        <v>165749.87071428573</v>
      </c>
      <c r="AB50" s="1224">
        <v>1345559.1343711205</v>
      </c>
      <c r="AC50" s="1225">
        <v>20302520.008113556</v>
      </c>
      <c r="AD50" s="1223">
        <v>501724.90476190473</v>
      </c>
      <c r="AE50" s="1224">
        <v>4128442.5660718763</v>
      </c>
      <c r="AF50" s="1225">
        <v>25878.40476190476</v>
      </c>
      <c r="AG50" s="1223">
        <v>666.38095238095241</v>
      </c>
      <c r="AH50" s="1224">
        <v>5289.1404698704582</v>
      </c>
      <c r="AI50" s="1225">
        <v>9140218.2493772898</v>
      </c>
      <c r="AJ50" s="1223">
        <v>218069.47619047618</v>
      </c>
      <c r="AK50" s="1224">
        <v>1850822.0083882969</v>
      </c>
      <c r="AL50" s="1225">
        <v>20623951.165907715</v>
      </c>
      <c r="AM50" s="1223">
        <v>300197.63980935473</v>
      </c>
      <c r="AN50" s="1224">
        <v>2435793.1619387087</v>
      </c>
      <c r="AO50" s="1225">
        <v>20511158.153256074</v>
      </c>
      <c r="AP50" s="1223">
        <v>37566.223723912226</v>
      </c>
      <c r="AQ50" s="1224">
        <v>284734.90182532498</v>
      </c>
      <c r="AR50" s="1225"/>
      <c r="AS50" s="1223"/>
      <c r="AT50" s="1224"/>
      <c r="AU50" s="1225"/>
      <c r="AV50" s="1223"/>
      <c r="AW50" s="1224"/>
      <c r="AX50" s="1225"/>
      <c r="AY50" s="1223"/>
      <c r="AZ50" s="1224"/>
      <c r="BA50" s="1225"/>
      <c r="BB50" s="1223"/>
      <c r="BC50" s="1224"/>
      <c r="BD50" s="1225"/>
      <c r="BE50" s="1223"/>
      <c r="BF50" s="1224"/>
      <c r="BG50" s="1225">
        <v>2640253.4234263953</v>
      </c>
      <c r="BH50" s="1223">
        <v>9537.1034128688552</v>
      </c>
      <c r="BI50" s="1224">
        <v>73000.179690770354</v>
      </c>
      <c r="BJ50" s="1225"/>
      <c r="BK50" s="1223"/>
      <c r="BL50" s="1224"/>
      <c r="BM50" s="1225"/>
      <c r="BN50" s="1223"/>
      <c r="BO50" s="1224"/>
      <c r="BP50" s="1225"/>
      <c r="BQ50" s="1223"/>
      <c r="BR50" s="1224"/>
      <c r="BS50" s="1225"/>
      <c r="BT50" s="1223"/>
      <c r="BU50" s="1224"/>
      <c r="BV50" s="1225"/>
      <c r="BW50" s="1223"/>
      <c r="BX50" s="1224"/>
      <c r="BY50" s="1223"/>
      <c r="BZ50" s="1223"/>
      <c r="CA50" s="1223"/>
      <c r="CB50" s="1225">
        <v>5849884.5531135527</v>
      </c>
      <c r="CC50" s="1223">
        <v>116061.39743589744</v>
      </c>
      <c r="CD50" s="1224">
        <v>966187.5439554333</v>
      </c>
      <c r="CE50" s="1225">
        <v>7844331.3999999994</v>
      </c>
      <c r="CF50" s="1223">
        <v>111778.00822344322</v>
      </c>
      <c r="CG50" s="1224">
        <v>905525.1054790963</v>
      </c>
      <c r="CH50" s="1225"/>
      <c r="CI50" s="1223"/>
      <c r="CJ50" s="1224"/>
      <c r="CK50" s="1225">
        <v>19902938.599999998</v>
      </c>
      <c r="CL50" s="1223">
        <v>147204.10692307691</v>
      </c>
      <c r="CM50" s="1224">
        <v>1150143.751808109</v>
      </c>
      <c r="CN50" s="1225"/>
      <c r="CO50" s="1223"/>
      <c r="CP50" s="1224"/>
      <c r="CQ50" s="1225"/>
      <c r="CR50" s="1223"/>
      <c r="CS50" s="1224"/>
      <c r="CT50" s="1225"/>
      <c r="CU50" s="1223"/>
      <c r="CV50" s="1224"/>
      <c r="CW50" s="1225">
        <v>30831149.829700004</v>
      </c>
      <c r="CX50" s="1223"/>
      <c r="CY50" s="1224">
        <v>3376923.0630140724</v>
      </c>
      <c r="CZ50" s="1225">
        <v>133618837.67030001</v>
      </c>
      <c r="DA50" s="1223"/>
      <c r="DB50" s="1224">
        <v>19674373.746800169</v>
      </c>
      <c r="DC50" s="1225">
        <v>19588655.469999999</v>
      </c>
      <c r="DD50" s="1223"/>
      <c r="DE50" s="1224">
        <v>1299846.1756923152</v>
      </c>
      <c r="DF50" s="1225">
        <v>1648850.83</v>
      </c>
      <c r="DG50" s="1223"/>
      <c r="DH50" s="1224">
        <v>56106.359137412008</v>
      </c>
      <c r="DI50" s="1225"/>
      <c r="DJ50" s="1223"/>
      <c r="DK50" s="1224"/>
      <c r="DL50" s="1225">
        <v>22089377.790000003</v>
      </c>
      <c r="DM50" s="1223"/>
      <c r="DN50" s="1224">
        <v>1874440.3530549468</v>
      </c>
      <c r="DO50" s="1225"/>
      <c r="DP50" s="1223"/>
      <c r="DQ50" s="1224"/>
      <c r="DR50" s="1225"/>
      <c r="DS50" s="1223"/>
      <c r="DT50" s="1224"/>
      <c r="DU50" s="1225"/>
      <c r="DV50" s="1223"/>
      <c r="DW50" s="1224"/>
      <c r="DX50" s="1225"/>
      <c r="DY50" s="1223"/>
      <c r="DZ50" s="1224"/>
      <c r="EA50" s="1225"/>
      <c r="EB50" s="1223"/>
      <c r="EC50" s="1224"/>
      <c r="ED50" s="1225"/>
      <c r="EE50" s="1223"/>
      <c r="EF50" s="1224"/>
      <c r="EG50" s="1225"/>
      <c r="EH50" s="1223"/>
      <c r="EI50" s="1224"/>
      <c r="EJ50" s="1225"/>
      <c r="EK50" s="1223"/>
      <c r="EL50" s="1224"/>
      <c r="EM50" s="1225"/>
      <c r="EN50" s="1223"/>
      <c r="EO50" s="1224"/>
      <c r="EP50" s="1225"/>
      <c r="EQ50" s="1223"/>
      <c r="ER50" s="1224"/>
      <c r="ES50" s="1225"/>
      <c r="ET50" s="1223"/>
      <c r="EU50" s="1224"/>
      <c r="EV50" s="1225"/>
      <c r="EW50" s="1223"/>
      <c r="EX50" s="1224"/>
      <c r="EY50" s="1225"/>
      <c r="EZ50" s="1223"/>
      <c r="FA50" s="1224"/>
      <c r="FB50" s="1225"/>
      <c r="FC50" s="1223"/>
      <c r="FD50" s="1224"/>
      <c r="FE50" s="1225"/>
      <c r="FF50" s="1223"/>
      <c r="FG50" s="1224"/>
      <c r="FH50" s="1225"/>
      <c r="FI50" s="1223"/>
      <c r="FJ50" s="1224"/>
      <c r="FK50" s="1225"/>
      <c r="FL50" s="1223"/>
      <c r="FM50" s="1224"/>
      <c r="FN50" s="1225"/>
      <c r="FO50" s="1223"/>
      <c r="FP50" s="1224"/>
      <c r="FQ50" s="1225"/>
      <c r="FR50" s="1223"/>
      <c r="FS50" s="1224"/>
      <c r="FT50" s="1225"/>
      <c r="FU50" s="1223"/>
      <c r="FV50" s="1224"/>
      <c r="FW50" s="1225"/>
      <c r="FX50" s="1223"/>
      <c r="FY50" s="1224"/>
      <c r="FZ50" s="1225"/>
      <c r="GA50" s="1223"/>
      <c r="GB50" s="1224"/>
      <c r="GC50" s="1225"/>
      <c r="GD50" s="1223"/>
      <c r="GE50" s="1224"/>
      <c r="GF50" s="1225"/>
      <c r="GG50" s="1223"/>
      <c r="GH50" s="1224"/>
      <c r="GI50" s="1404">
        <v>78438322.205827594</v>
      </c>
      <c r="GJ50" s="1612"/>
      <c r="GK50" s="1612">
        <f>+GI50</f>
        <v>78438322.205827594</v>
      </c>
      <c r="GL50" s="1407">
        <f>+GJ50-GK49</f>
        <v>0</v>
      </c>
      <c r="GN50" s="1500"/>
      <c r="GO50" s="1500"/>
      <c r="GP50" s="1500"/>
      <c r="GQ50" s="1500"/>
      <c r="GR50" s="1500"/>
      <c r="GS50" s="1500"/>
    </row>
    <row r="51" spans="1:221" s="1500" customFormat="1" ht="20.399999999999999">
      <c r="A51" s="1615">
        <f t="shared" si="6"/>
        <v>33</v>
      </c>
      <c r="B51" s="1139"/>
      <c r="C51" s="1614" t="str">
        <f t="shared" si="7"/>
        <v>W Increased ROE</v>
      </c>
      <c r="D51" s="1613">
        <f t="shared" si="8"/>
        <v>2011</v>
      </c>
      <c r="E51" s="1225">
        <v>18218621.16666666</v>
      </c>
      <c r="F51" s="1223">
        <v>492395.16666666669</v>
      </c>
      <c r="G51" s="1224">
        <v>3746857.9192441981</v>
      </c>
      <c r="H51" s="1225">
        <v>7412613.4642857127</v>
      </c>
      <c r="I51" s="1223">
        <v>192119.57142857142</v>
      </c>
      <c r="J51" s="1224">
        <v>1516263.3800122137</v>
      </c>
      <c r="K51" s="1225">
        <v>79523583.68267858</v>
      </c>
      <c r="L51" s="1223">
        <v>2061086.4021428572</v>
      </c>
      <c r="M51" s="1224">
        <v>16266691.68254026</v>
      </c>
      <c r="N51" s="1225">
        <v>20119663.474206317</v>
      </c>
      <c r="O51" s="1223">
        <v>528306.26190476189</v>
      </c>
      <c r="P51" s="1224">
        <v>4122359.5534349093</v>
      </c>
      <c r="Q51" s="1225">
        <v>25630831.907806139</v>
      </c>
      <c r="R51" s="1223">
        <v>642986.71428571432</v>
      </c>
      <c r="S51" s="1224">
        <v>5221521.3354538986</v>
      </c>
      <c r="T51" s="1225">
        <v>24896838.380897436</v>
      </c>
      <c r="U51" s="1223">
        <v>614263.21428571432</v>
      </c>
      <c r="V51" s="1224">
        <v>5061681.733301891</v>
      </c>
      <c r="W51" s="1225">
        <v>15121424.868553113</v>
      </c>
      <c r="X51" s="1223">
        <v>374560.80952380953</v>
      </c>
      <c r="Y51" s="1224">
        <v>3075759.4101427016</v>
      </c>
      <c r="Z51" s="1225">
        <v>6604622.5314651988</v>
      </c>
      <c r="AA51" s="1223">
        <v>165749.87071428573</v>
      </c>
      <c r="AB51" s="1224">
        <v>1345559.1343711205</v>
      </c>
      <c r="AC51" s="1225">
        <v>20302520.008113556</v>
      </c>
      <c r="AD51" s="1223">
        <v>501724.90476190473</v>
      </c>
      <c r="AE51" s="1224">
        <v>4128442.5660718763</v>
      </c>
      <c r="AF51" s="1225">
        <v>25878.40476190476</v>
      </c>
      <c r="AG51" s="1223">
        <v>666.38095238095241</v>
      </c>
      <c r="AH51" s="1224">
        <v>5289.1404698704582</v>
      </c>
      <c r="AI51" s="1225">
        <v>9140218.2493772898</v>
      </c>
      <c r="AJ51" s="1223">
        <v>218069.47619047618</v>
      </c>
      <c r="AK51" s="1224">
        <v>1850822.0083882969</v>
      </c>
      <c r="AL51" s="1225">
        <v>20623951.165907715</v>
      </c>
      <c r="AM51" s="1223">
        <v>300197.63980935473</v>
      </c>
      <c r="AN51" s="1224">
        <v>2435793.1619387087</v>
      </c>
      <c r="AO51" s="1225">
        <v>20511158.153256074</v>
      </c>
      <c r="AP51" s="1223">
        <v>37566.223723912226</v>
      </c>
      <c r="AQ51" s="1224">
        <v>284734.90182532498</v>
      </c>
      <c r="AR51" s="1225"/>
      <c r="AS51" s="1223"/>
      <c r="AT51" s="1224"/>
      <c r="AU51" s="1225"/>
      <c r="AV51" s="1223"/>
      <c r="AW51" s="1224"/>
      <c r="AX51" s="1225"/>
      <c r="AY51" s="1223"/>
      <c r="AZ51" s="1224"/>
      <c r="BA51" s="1225"/>
      <c r="BB51" s="1223"/>
      <c r="BC51" s="1224"/>
      <c r="BD51" s="1225"/>
      <c r="BE51" s="1223"/>
      <c r="BF51" s="1224"/>
      <c r="BG51" s="1225">
        <v>2640253.4234263953</v>
      </c>
      <c r="BH51" s="1223">
        <v>9537.1034128688552</v>
      </c>
      <c r="BI51" s="1224">
        <v>73000.179690770354</v>
      </c>
      <c r="BJ51" s="1225"/>
      <c r="BK51" s="1223"/>
      <c r="BL51" s="1224"/>
      <c r="BM51" s="1225"/>
      <c r="BN51" s="1223"/>
      <c r="BO51" s="1224"/>
      <c r="BP51" s="1225"/>
      <c r="BQ51" s="1223"/>
      <c r="BR51" s="1224"/>
      <c r="BS51" s="1225"/>
      <c r="BT51" s="1223"/>
      <c r="BU51" s="1224"/>
      <c r="BV51" s="1225"/>
      <c r="BW51" s="1223"/>
      <c r="BX51" s="1224"/>
      <c r="BY51" s="1223"/>
      <c r="BZ51" s="1223"/>
      <c r="CA51" s="1223"/>
      <c r="CB51" s="1225">
        <v>5849884.5531135527</v>
      </c>
      <c r="CC51" s="1223">
        <v>116061.39743589744</v>
      </c>
      <c r="CD51" s="1224">
        <v>1014845.1256138145</v>
      </c>
      <c r="CE51" s="1225">
        <v>7844331.3999999994</v>
      </c>
      <c r="CF51" s="1223">
        <v>111778.00822344322</v>
      </c>
      <c r="CG51" s="1224">
        <v>952449.42224491225</v>
      </c>
      <c r="CH51" s="1225"/>
      <c r="CI51" s="1223"/>
      <c r="CJ51" s="1224"/>
      <c r="CK51" s="1225">
        <v>19902938.599999998</v>
      </c>
      <c r="CL51" s="1223">
        <v>147204.10692307691</v>
      </c>
      <c r="CM51" s="1224">
        <v>1150143.751808109</v>
      </c>
      <c r="CN51" s="1225"/>
      <c r="CO51" s="1223"/>
      <c r="CP51" s="1224"/>
      <c r="CQ51" s="1225"/>
      <c r="CR51" s="1223"/>
      <c r="CS51" s="1224"/>
      <c r="CT51" s="1225"/>
      <c r="CU51" s="1223"/>
      <c r="CV51" s="1224"/>
      <c r="CW51" s="1225">
        <v>30831149.829700004</v>
      </c>
      <c r="CX51" s="1223"/>
      <c r="CY51" s="1224">
        <v>3565874.2684558947</v>
      </c>
      <c r="CZ51" s="1225">
        <v>133618837.67030001</v>
      </c>
      <c r="DA51" s="1223"/>
      <c r="DB51" s="1224">
        <v>20775226.969216432</v>
      </c>
      <c r="DC51" s="1225">
        <v>19588655.469999999</v>
      </c>
      <c r="DD51" s="1223"/>
      <c r="DE51" s="1224">
        <v>1299846.1756923152</v>
      </c>
      <c r="DF51" s="1225">
        <v>1648850.83</v>
      </c>
      <c r="DG51" s="1223"/>
      <c r="DH51" s="1224">
        <v>56106.359137412008</v>
      </c>
      <c r="DI51" s="1225"/>
      <c r="DJ51" s="1223"/>
      <c r="DK51" s="1224"/>
      <c r="DL51" s="1225">
        <v>22089377.790000003</v>
      </c>
      <c r="DM51" s="1223"/>
      <c r="DN51" s="1224">
        <v>1874440.3530549468</v>
      </c>
      <c r="DO51" s="1225"/>
      <c r="DP51" s="1223"/>
      <c r="DQ51" s="1224"/>
      <c r="DR51" s="1225"/>
      <c r="DS51" s="1223"/>
      <c r="DT51" s="1224"/>
      <c r="DU51" s="1225"/>
      <c r="DV51" s="1223"/>
      <c r="DW51" s="1224"/>
      <c r="DX51" s="1225"/>
      <c r="DY51" s="1223"/>
      <c r="DZ51" s="1224"/>
      <c r="EA51" s="1225"/>
      <c r="EB51" s="1223"/>
      <c r="EC51" s="1224"/>
      <c r="ED51" s="1225"/>
      <c r="EE51" s="1223"/>
      <c r="EF51" s="1224"/>
      <c r="EG51" s="1225"/>
      <c r="EH51" s="1223"/>
      <c r="EI51" s="1224"/>
      <c r="EJ51" s="1225"/>
      <c r="EK51" s="1223"/>
      <c r="EL51" s="1224"/>
      <c r="EM51" s="1225"/>
      <c r="EN51" s="1223"/>
      <c r="EO51" s="1224"/>
      <c r="EP51" s="1225"/>
      <c r="EQ51" s="1223"/>
      <c r="ER51" s="1224"/>
      <c r="ES51" s="1225"/>
      <c r="ET51" s="1223"/>
      <c r="EU51" s="1224"/>
      <c r="EV51" s="1225"/>
      <c r="EW51" s="1223"/>
      <c r="EX51" s="1224"/>
      <c r="EY51" s="1225"/>
      <c r="EZ51" s="1223"/>
      <c r="FA51" s="1224"/>
      <c r="FB51" s="1225"/>
      <c r="FC51" s="1223"/>
      <c r="FD51" s="1224"/>
      <c r="FE51" s="1225"/>
      <c r="FF51" s="1223"/>
      <c r="FG51" s="1224"/>
      <c r="FH51" s="1225"/>
      <c r="FI51" s="1223"/>
      <c r="FJ51" s="1224"/>
      <c r="FK51" s="1225"/>
      <c r="FL51" s="1223"/>
      <c r="FM51" s="1224"/>
      <c r="FN51" s="1225"/>
      <c r="FO51" s="1223"/>
      <c r="FP51" s="1224"/>
      <c r="FQ51" s="1225"/>
      <c r="FR51" s="1223"/>
      <c r="FS51" s="1224"/>
      <c r="FT51" s="1225"/>
      <c r="FU51" s="1223"/>
      <c r="FV51" s="1224"/>
      <c r="FW51" s="1225"/>
      <c r="FX51" s="1223"/>
      <c r="FY51" s="1224"/>
      <c r="FZ51" s="1225"/>
      <c r="GA51" s="1223"/>
      <c r="GB51" s="1224"/>
      <c r="GC51" s="1225"/>
      <c r="GD51" s="1223"/>
      <c r="GE51" s="1224"/>
      <c r="GF51" s="1225"/>
      <c r="GG51" s="1223"/>
      <c r="GH51" s="1224"/>
      <c r="GI51" s="1404">
        <v>79823708.532109886</v>
      </c>
      <c r="GJ51" s="1612">
        <f>+GI51</f>
        <v>79823708.532109886</v>
      </c>
      <c r="GK51" s="1612"/>
      <c r="GL51" s="1407">
        <f>+GJ51-GK50</f>
        <v>1385386.3262822926</v>
      </c>
    </row>
    <row r="52" spans="1:221" s="1500" customFormat="1" ht="20.399999999999999">
      <c r="A52" s="1615">
        <f t="shared" si="6"/>
        <v>34</v>
      </c>
      <c r="B52" s="1139"/>
      <c r="C52" s="1614" t="str">
        <f t="shared" si="7"/>
        <v>W  11.68 % ROE</v>
      </c>
      <c r="D52" s="1613">
        <f t="shared" si="8"/>
        <v>2012</v>
      </c>
      <c r="E52" s="1225">
        <v>17726225.999999993</v>
      </c>
      <c r="F52" s="1226">
        <v>492395.16999999993</v>
      </c>
      <c r="G52" s="1224">
        <v>3154416.2377389586</v>
      </c>
      <c r="H52" s="1225">
        <v>7220493.8928571409</v>
      </c>
      <c r="I52" s="1226">
        <v>192119.57190476189</v>
      </c>
      <c r="J52" s="1224">
        <v>1276451.1641041508</v>
      </c>
      <c r="K52" s="1225">
        <v>77462497.280535728</v>
      </c>
      <c r="L52" s="1226">
        <v>2061086.4021428572</v>
      </c>
      <c r="M52" s="1224">
        <v>13693951.72386774</v>
      </c>
      <c r="N52" s="1225">
        <v>19591357.212301556</v>
      </c>
      <c r="O52" s="1226">
        <v>528306.26404761907</v>
      </c>
      <c r="P52" s="1224">
        <v>3470421.841539769</v>
      </c>
      <c r="Q52" s="1225">
        <v>24987651.543520425</v>
      </c>
      <c r="R52" s="1226">
        <v>642982.09523809503</v>
      </c>
      <c r="S52" s="1224">
        <v>4395481.6313588303</v>
      </c>
      <c r="T52" s="1225">
        <v>24282575.526611723</v>
      </c>
      <c r="U52" s="1226">
        <v>614263.2228571428</v>
      </c>
      <c r="V52" s="1224">
        <v>4260878.561666593</v>
      </c>
      <c r="W52" s="1225">
        <v>14746864.239029303</v>
      </c>
      <c r="X52" s="1226">
        <v>374560.81380952382</v>
      </c>
      <c r="Y52" s="1224">
        <v>2589158.7371002613</v>
      </c>
      <c r="Z52" s="1225">
        <v>6438872.6607509134</v>
      </c>
      <c r="AA52" s="1226">
        <v>165749.87071428573</v>
      </c>
      <c r="AB52" s="1224">
        <v>1132702.152345319</v>
      </c>
      <c r="AC52" s="1225">
        <v>19802055.103351653</v>
      </c>
      <c r="AD52" s="1226">
        <v>501754.90476190473</v>
      </c>
      <c r="AE52" s="1224">
        <v>3475511.8606785163</v>
      </c>
      <c r="AF52" s="1225">
        <v>25212.373809523804</v>
      </c>
      <c r="AG52" s="1226">
        <v>666.38928571428573</v>
      </c>
      <c r="AH52" s="1224">
        <v>4452.6362989624722</v>
      </c>
      <c r="AI52" s="1225">
        <v>8922148.773186814</v>
      </c>
      <c r="AJ52" s="1226">
        <v>218069.47619047618</v>
      </c>
      <c r="AK52" s="1224">
        <v>1557945.6576023919</v>
      </c>
      <c r="AL52" s="1225">
        <v>20326793.360190645</v>
      </c>
      <c r="AM52" s="1226">
        <v>491118.83333333331</v>
      </c>
      <c r="AN52" s="1224">
        <v>3543677.9152498064</v>
      </c>
      <c r="AO52" s="1225">
        <v>21132706.776276089</v>
      </c>
      <c r="AP52" s="1226">
        <v>504054.11904761905</v>
      </c>
      <c r="AQ52" s="1224">
        <v>3677640.5698125381</v>
      </c>
      <c r="AR52" s="1225">
        <v>79937193.560000017</v>
      </c>
      <c r="AS52" s="1226">
        <v>1240232.576868132</v>
      </c>
      <c r="AT52" s="1224">
        <v>9062769.6717807297</v>
      </c>
      <c r="AU52" s="1225">
        <v>14401476.969999997</v>
      </c>
      <c r="AV52" s="1226">
        <v>210412.28346153843</v>
      </c>
      <c r="AW52" s="1224">
        <v>1537548.7603629632</v>
      </c>
      <c r="AX52" s="1225">
        <v>19820556.989808105</v>
      </c>
      <c r="AY52" s="1226">
        <v>318342.47789497575</v>
      </c>
      <c r="AZ52" s="1224">
        <v>2326228.6507515828</v>
      </c>
      <c r="BA52" s="1225">
        <v>4404011.6801918941</v>
      </c>
      <c r="BB52" s="1226">
        <v>57853.135493302674</v>
      </c>
      <c r="BC52" s="1224">
        <v>422751.06423194043</v>
      </c>
      <c r="BD52" s="1225">
        <v>22800866.409999996</v>
      </c>
      <c r="BE52" s="1226">
        <v>123007.88282051282</v>
      </c>
      <c r="BF52" s="1224">
        <v>898857.30354769737</v>
      </c>
      <c r="BG52" s="1225">
        <v>7275941.1800135253</v>
      </c>
      <c r="BH52" s="1226">
        <v>108279.15588744162</v>
      </c>
      <c r="BI52" s="1224">
        <v>790335.84040490841</v>
      </c>
      <c r="BJ52" s="1225"/>
      <c r="BK52" s="1226"/>
      <c r="BL52" s="1224"/>
      <c r="BM52" s="1225"/>
      <c r="BN52" s="1226"/>
      <c r="BO52" s="1224"/>
      <c r="BP52" s="1225"/>
      <c r="BQ52" s="1226"/>
      <c r="BR52" s="1224"/>
      <c r="BS52" s="1225"/>
      <c r="BT52" s="1226"/>
      <c r="BU52" s="1224"/>
      <c r="BV52" s="1225"/>
      <c r="BW52" s="1226"/>
      <c r="BX52" s="1224"/>
      <c r="BY52" s="1223"/>
      <c r="BZ52" s="1223"/>
      <c r="CA52" s="1223"/>
      <c r="CB52" s="1225">
        <v>5733823.1556776557</v>
      </c>
      <c r="CC52" s="1226">
        <v>139468.73809523811</v>
      </c>
      <c r="CD52" s="1224">
        <v>1000540.8038075565</v>
      </c>
      <c r="CE52" s="1225">
        <v>7628073.941776556</v>
      </c>
      <c r="CF52" s="1226">
        <v>184491.25137362638</v>
      </c>
      <c r="CG52" s="1224">
        <v>1331330.4113339363</v>
      </c>
      <c r="CH52" s="1225">
        <v>4694511.12</v>
      </c>
      <c r="CI52" s="1226">
        <v>8598.0057142857131</v>
      </c>
      <c r="CJ52" s="1224">
        <v>62828.333071201865</v>
      </c>
      <c r="CK52" s="1225">
        <v>19848510.643076919</v>
      </c>
      <c r="CL52" s="1226">
        <v>475501.18809523806</v>
      </c>
      <c r="CM52" s="1224">
        <v>3452557.8107111696</v>
      </c>
      <c r="CN52" s="1225"/>
      <c r="CO52" s="1226"/>
      <c r="CP52" s="1224"/>
      <c r="CQ52" s="1225">
        <v>16441747.629999999</v>
      </c>
      <c r="CR52" s="1226">
        <v>30113.090897435894</v>
      </c>
      <c r="CS52" s="1224">
        <v>220045.83011197211</v>
      </c>
      <c r="CT52" s="1225"/>
      <c r="CU52" s="1226"/>
      <c r="CV52" s="1224"/>
      <c r="CW52" s="1225">
        <v>38077851.209699996</v>
      </c>
      <c r="CX52" s="1226"/>
      <c r="CY52" s="1224">
        <v>5359126.8976357039</v>
      </c>
      <c r="CZ52" s="1225">
        <v>264235890.59029999</v>
      </c>
      <c r="DA52" s="1226"/>
      <c r="DB52" s="1224">
        <v>27190938.252708111</v>
      </c>
      <c r="DC52" s="1225">
        <v>139052336.69000003</v>
      </c>
      <c r="DD52" s="1226"/>
      <c r="DE52" s="1224">
        <v>10137161.37377511</v>
      </c>
      <c r="DF52" s="1225">
        <v>22706716.600000001</v>
      </c>
      <c r="DG52" s="1226"/>
      <c r="DH52" s="1224">
        <v>1587334.6569875183</v>
      </c>
      <c r="DI52" s="1225">
        <v>532375</v>
      </c>
      <c r="DJ52" s="1226"/>
      <c r="DK52" s="1224">
        <v>24599.682300156735</v>
      </c>
      <c r="DL52" s="1225">
        <v>128653137.84</v>
      </c>
      <c r="DM52" s="1226"/>
      <c r="DN52" s="1224">
        <v>10501317.846032757</v>
      </c>
      <c r="DO52" s="1225">
        <v>9231711.5</v>
      </c>
      <c r="DP52" s="1226"/>
      <c r="DQ52" s="1224">
        <v>791084.29427387135</v>
      </c>
      <c r="DR52" s="1225">
        <v>81587177.299999997</v>
      </c>
      <c r="DS52" s="1226"/>
      <c r="DT52" s="1224">
        <v>6341371.7861611629</v>
      </c>
      <c r="DU52" s="1225">
        <v>5537184.6700000018</v>
      </c>
      <c r="DV52" s="1226"/>
      <c r="DW52" s="1224">
        <v>457198.20390412718</v>
      </c>
      <c r="DX52" s="1225"/>
      <c r="DY52" s="1226"/>
      <c r="DZ52" s="1224"/>
      <c r="EA52" s="1225"/>
      <c r="EB52" s="1226"/>
      <c r="EC52" s="1224"/>
      <c r="ED52" s="1225"/>
      <c r="EE52" s="1226"/>
      <c r="EF52" s="1224"/>
      <c r="EG52" s="1225"/>
      <c r="EH52" s="1226"/>
      <c r="EI52" s="1224"/>
      <c r="EJ52" s="1225"/>
      <c r="EK52" s="1226"/>
      <c r="EL52" s="1224"/>
      <c r="EM52" s="1225"/>
      <c r="EN52" s="1226"/>
      <c r="EO52" s="1224"/>
      <c r="EP52" s="1225"/>
      <c r="EQ52" s="1226"/>
      <c r="ER52" s="1224"/>
      <c r="ES52" s="1225"/>
      <c r="ET52" s="1226"/>
      <c r="EU52" s="1224"/>
      <c r="EV52" s="1225"/>
      <c r="EW52" s="1226"/>
      <c r="EX52" s="1224"/>
      <c r="EY52" s="1225"/>
      <c r="EZ52" s="1226"/>
      <c r="FA52" s="1224"/>
      <c r="FB52" s="1225"/>
      <c r="FC52" s="1226"/>
      <c r="FD52" s="1224"/>
      <c r="FE52" s="1225"/>
      <c r="FF52" s="1226"/>
      <c r="FG52" s="1224"/>
      <c r="FH52" s="1225"/>
      <c r="FI52" s="1226"/>
      <c r="FJ52" s="1224"/>
      <c r="FK52" s="1225"/>
      <c r="FL52" s="1226"/>
      <c r="FM52" s="1224"/>
      <c r="FN52" s="1225"/>
      <c r="FO52" s="1226"/>
      <c r="FP52" s="1224"/>
      <c r="FQ52" s="1225"/>
      <c r="FR52" s="1226"/>
      <c r="FS52" s="1224"/>
      <c r="FT52" s="1225"/>
      <c r="FU52" s="1226"/>
      <c r="FV52" s="1224"/>
      <c r="FW52" s="1225"/>
      <c r="FX52" s="1226"/>
      <c r="FY52" s="1224"/>
      <c r="FZ52" s="1225"/>
      <c r="GA52" s="1226"/>
      <c r="GB52" s="1224"/>
      <c r="GC52" s="1225"/>
      <c r="GD52" s="1226"/>
      <c r="GE52" s="1224"/>
      <c r="GF52" s="1225"/>
      <c r="GG52" s="1226"/>
      <c r="GH52" s="1224"/>
      <c r="GI52" s="1405">
        <v>129728618.16325797</v>
      </c>
      <c r="GJ52" s="1612"/>
      <c r="GK52" s="1612">
        <f>+GI52</f>
        <v>129728618.16325797</v>
      </c>
      <c r="GL52" s="1407"/>
    </row>
    <row r="53" spans="1:221" s="694" customFormat="1" ht="20.399999999999999">
      <c r="A53" s="1615">
        <f t="shared" si="6"/>
        <v>35</v>
      </c>
      <c r="B53" s="1139"/>
      <c r="C53" s="1616" t="str">
        <f t="shared" si="7"/>
        <v>W Increased ROE</v>
      </c>
      <c r="D53" s="1617">
        <f t="shared" si="8"/>
        <v>2012</v>
      </c>
      <c r="E53" s="1225">
        <v>17726225.999999993</v>
      </c>
      <c r="F53" s="1223">
        <v>492395.16999999993</v>
      </c>
      <c r="G53" s="1224">
        <v>3154416.2377389586</v>
      </c>
      <c r="H53" s="1225">
        <v>7220493.8928571409</v>
      </c>
      <c r="I53" s="1223">
        <v>192119.57190476189</v>
      </c>
      <c r="J53" s="1224">
        <v>1276451.1641041508</v>
      </c>
      <c r="K53" s="1225">
        <v>77462497.280535728</v>
      </c>
      <c r="L53" s="1223">
        <v>2061086.4021428572</v>
      </c>
      <c r="M53" s="1224">
        <v>13693951.72386774</v>
      </c>
      <c r="N53" s="1225">
        <v>19591357.212301556</v>
      </c>
      <c r="O53" s="1223">
        <v>528306.26404761907</v>
      </c>
      <c r="P53" s="1224">
        <v>3470421.841539769</v>
      </c>
      <c r="Q53" s="1225">
        <v>24987651.543520425</v>
      </c>
      <c r="R53" s="1223">
        <v>642982.09523809503</v>
      </c>
      <c r="S53" s="1224">
        <v>4395481.6313588303</v>
      </c>
      <c r="T53" s="1225">
        <v>24282575.526611723</v>
      </c>
      <c r="U53" s="1223">
        <v>614263.2228571428</v>
      </c>
      <c r="V53" s="1224">
        <v>4260878.561666593</v>
      </c>
      <c r="W53" s="1225">
        <v>14746864.239029303</v>
      </c>
      <c r="X53" s="1223">
        <v>374560.81380952382</v>
      </c>
      <c r="Y53" s="1224">
        <v>2589158.7371002613</v>
      </c>
      <c r="Z53" s="1225">
        <v>6438872.6607509134</v>
      </c>
      <c r="AA53" s="1223">
        <v>165749.87071428573</v>
      </c>
      <c r="AB53" s="1224">
        <v>1132702.152345319</v>
      </c>
      <c r="AC53" s="1225">
        <v>19802055.103351653</v>
      </c>
      <c r="AD53" s="1223">
        <v>501754.90476190473</v>
      </c>
      <c r="AE53" s="1224">
        <v>3475511.8606785163</v>
      </c>
      <c r="AF53" s="1225">
        <v>25212.373809523804</v>
      </c>
      <c r="AG53" s="1223">
        <v>666.38928571428573</v>
      </c>
      <c r="AH53" s="1224">
        <v>4452.6362989624722</v>
      </c>
      <c r="AI53" s="1225">
        <v>8922148.773186814</v>
      </c>
      <c r="AJ53" s="1223">
        <v>218069.47619047618</v>
      </c>
      <c r="AK53" s="1224">
        <v>1557945.6576023919</v>
      </c>
      <c r="AL53" s="1225">
        <v>20326793.360190645</v>
      </c>
      <c r="AM53" s="1223">
        <v>491118.83333333331</v>
      </c>
      <c r="AN53" s="1224">
        <v>3543677.9152498064</v>
      </c>
      <c r="AO53" s="1225">
        <v>21132706.776276089</v>
      </c>
      <c r="AP53" s="1223">
        <v>504054.11904761905</v>
      </c>
      <c r="AQ53" s="1224">
        <v>3677640.5698125381</v>
      </c>
      <c r="AR53" s="1225">
        <v>79937193.560000017</v>
      </c>
      <c r="AS53" s="1223">
        <v>1240232.576868132</v>
      </c>
      <c r="AT53" s="1224">
        <v>9062769.6717807297</v>
      </c>
      <c r="AU53" s="1225">
        <v>14401476.969999997</v>
      </c>
      <c r="AV53" s="1223">
        <v>210412.28346153843</v>
      </c>
      <c r="AW53" s="1224">
        <v>1537548.7603629632</v>
      </c>
      <c r="AX53" s="1225">
        <v>19820556.989808105</v>
      </c>
      <c r="AY53" s="1223">
        <v>318342.47789497575</v>
      </c>
      <c r="AZ53" s="1224">
        <v>2326228.6507515828</v>
      </c>
      <c r="BA53" s="1225">
        <v>4404011.6801918941</v>
      </c>
      <c r="BB53" s="1223">
        <v>57853.135493302674</v>
      </c>
      <c r="BC53" s="1224">
        <v>422751.06423194043</v>
      </c>
      <c r="BD53" s="1225">
        <v>22800866.409999996</v>
      </c>
      <c r="BE53" s="1223">
        <v>123007.88282051282</v>
      </c>
      <c r="BF53" s="1224">
        <v>898857.30354769737</v>
      </c>
      <c r="BG53" s="1225">
        <v>7275941.1800135253</v>
      </c>
      <c r="BH53" s="1223">
        <v>108279.15588744162</v>
      </c>
      <c r="BI53" s="1224">
        <v>790335.84040490841</v>
      </c>
      <c r="BJ53" s="1225"/>
      <c r="BK53" s="1223"/>
      <c r="BL53" s="1224"/>
      <c r="BM53" s="1225"/>
      <c r="BN53" s="1223"/>
      <c r="BO53" s="1224"/>
      <c r="BP53" s="1225"/>
      <c r="BQ53" s="1223"/>
      <c r="BR53" s="1224"/>
      <c r="BS53" s="1225"/>
      <c r="BT53" s="1223"/>
      <c r="BU53" s="1224"/>
      <c r="BV53" s="1225"/>
      <c r="BW53" s="1223"/>
      <c r="BX53" s="1224"/>
      <c r="BY53" s="1223"/>
      <c r="BZ53" s="1223"/>
      <c r="CA53" s="1223"/>
      <c r="CB53" s="1225">
        <v>5733823.1556776557</v>
      </c>
      <c r="CC53" s="1223">
        <v>139468.73809523811</v>
      </c>
      <c r="CD53" s="1224">
        <v>1051531.0402820173</v>
      </c>
      <c r="CE53" s="1225">
        <v>7628073.941776556</v>
      </c>
      <c r="CF53" s="1223">
        <v>184491.25137362638</v>
      </c>
      <c r="CG53" s="1224">
        <v>1399242.9616222479</v>
      </c>
      <c r="CH53" s="1225">
        <v>4694511.12</v>
      </c>
      <c r="CI53" s="1223">
        <v>8598.0057142857131</v>
      </c>
      <c r="CJ53" s="1224">
        <v>66039.698677086519</v>
      </c>
      <c r="CK53" s="1225">
        <v>19848510.643076919</v>
      </c>
      <c r="CL53" s="1223">
        <v>475501.18809523806</v>
      </c>
      <c r="CM53" s="1224">
        <v>3452557.8107111696</v>
      </c>
      <c r="CN53" s="1225"/>
      <c r="CO53" s="1223"/>
      <c r="CP53" s="1224"/>
      <c r="CQ53" s="1225">
        <v>16441747.629999999</v>
      </c>
      <c r="CR53" s="1223">
        <v>30113.090897435894</v>
      </c>
      <c r="CS53" s="1224">
        <v>220045.83011197211</v>
      </c>
      <c r="CT53" s="1225"/>
      <c r="CU53" s="1223"/>
      <c r="CV53" s="1224"/>
      <c r="CW53" s="1225">
        <v>38077851.209699996</v>
      </c>
      <c r="CX53" s="1223"/>
      <c r="CY53" s="1224">
        <v>5676479.1364184506</v>
      </c>
      <c r="CZ53" s="1225">
        <v>264235890.59029999</v>
      </c>
      <c r="DA53" s="1223"/>
      <c r="DB53" s="1224">
        <v>28801108.210226234</v>
      </c>
      <c r="DC53" s="1225">
        <v>139052336.69000003</v>
      </c>
      <c r="DD53" s="1223"/>
      <c r="DE53" s="1224">
        <v>10137161.37377511</v>
      </c>
      <c r="DF53" s="1225">
        <v>22706716.600000001</v>
      </c>
      <c r="DG53" s="1223"/>
      <c r="DH53" s="1224">
        <v>1587334.6569875183</v>
      </c>
      <c r="DI53" s="1225">
        <v>532375</v>
      </c>
      <c r="DJ53" s="1223"/>
      <c r="DK53" s="1224">
        <v>24599.682300156735</v>
      </c>
      <c r="DL53" s="1225">
        <v>128653137.84</v>
      </c>
      <c r="DM53" s="1223"/>
      <c r="DN53" s="1224">
        <v>10501317.846032757</v>
      </c>
      <c r="DO53" s="1225">
        <v>9231711.5</v>
      </c>
      <c r="DP53" s="1223"/>
      <c r="DQ53" s="1224">
        <v>791084.29427387135</v>
      </c>
      <c r="DR53" s="1225">
        <v>81587177.299999997</v>
      </c>
      <c r="DS53" s="1223"/>
      <c r="DT53" s="1224">
        <v>6416475.3831362519</v>
      </c>
      <c r="DU53" s="1225">
        <v>5537184.6700000018</v>
      </c>
      <c r="DV53" s="1223"/>
      <c r="DW53" s="1224">
        <v>462612.9991253576</v>
      </c>
      <c r="DX53" s="1225"/>
      <c r="DY53" s="1223"/>
      <c r="DZ53" s="1224"/>
      <c r="EA53" s="1225"/>
      <c r="EB53" s="1223"/>
      <c r="EC53" s="1224"/>
      <c r="ED53" s="1225"/>
      <c r="EE53" s="1223"/>
      <c r="EF53" s="1224"/>
      <c r="EG53" s="1225"/>
      <c r="EH53" s="1223"/>
      <c r="EI53" s="1224"/>
      <c r="EJ53" s="1225"/>
      <c r="EK53" s="1223"/>
      <c r="EL53" s="1224"/>
      <c r="EM53" s="1225"/>
      <c r="EN53" s="1223"/>
      <c r="EO53" s="1224"/>
      <c r="EP53" s="1225"/>
      <c r="EQ53" s="1223"/>
      <c r="ER53" s="1224"/>
      <c r="ES53" s="1225"/>
      <c r="ET53" s="1223"/>
      <c r="EU53" s="1224"/>
      <c r="EV53" s="1225"/>
      <c r="EW53" s="1223"/>
      <c r="EX53" s="1224"/>
      <c r="EY53" s="1225"/>
      <c r="EZ53" s="1223"/>
      <c r="FA53" s="1224"/>
      <c r="FB53" s="1225"/>
      <c r="FC53" s="1223"/>
      <c r="FD53" s="1224"/>
      <c r="FE53" s="1225"/>
      <c r="FF53" s="1223"/>
      <c r="FG53" s="1224"/>
      <c r="FH53" s="1225"/>
      <c r="FI53" s="1223"/>
      <c r="FJ53" s="1224"/>
      <c r="FK53" s="1225"/>
      <c r="FL53" s="1223"/>
      <c r="FM53" s="1224"/>
      <c r="FN53" s="1225"/>
      <c r="FO53" s="1223"/>
      <c r="FP53" s="1224"/>
      <c r="FQ53" s="1225"/>
      <c r="FR53" s="1223"/>
      <c r="FS53" s="1224"/>
      <c r="FT53" s="1225"/>
      <c r="FU53" s="1223"/>
      <c r="FV53" s="1224"/>
      <c r="FW53" s="1225"/>
      <c r="FX53" s="1223"/>
      <c r="FY53" s="1224"/>
      <c r="FZ53" s="1225"/>
      <c r="GA53" s="1223"/>
      <c r="GB53" s="1224"/>
      <c r="GC53" s="1225"/>
      <c r="GD53" s="1223"/>
      <c r="GE53" s="1224"/>
      <c r="GF53" s="1225"/>
      <c r="GG53" s="1223"/>
      <c r="GH53" s="1224"/>
      <c r="GI53" s="1405">
        <v>131858772.90412384</v>
      </c>
      <c r="GJ53" s="1612">
        <f>+GI53</f>
        <v>131858772.90412384</v>
      </c>
      <c r="GK53" s="1616"/>
      <c r="GL53" s="1612">
        <f>+GJ53-GK52</f>
        <v>2130154.7408658713</v>
      </c>
      <c r="GN53" s="1500"/>
      <c r="GO53" s="1500"/>
      <c r="GP53" s="1500"/>
      <c r="GQ53" s="1500"/>
      <c r="GR53" s="1500"/>
      <c r="GS53" s="1500"/>
    </row>
    <row r="54" spans="1:221" s="1500" customFormat="1" ht="20.399999999999999">
      <c r="A54" s="1615">
        <f t="shared" si="6"/>
        <v>36</v>
      </c>
      <c r="B54" s="1139"/>
      <c r="C54" s="1614" t="str">
        <f t="shared" si="7"/>
        <v>W  11.68 % ROE</v>
      </c>
      <c r="D54" s="1613">
        <f t="shared" si="8"/>
        <v>2013</v>
      </c>
      <c r="E54" s="1225">
        <v>17233830.969999991</v>
      </c>
      <c r="F54" s="1226">
        <v>492395.17</v>
      </c>
      <c r="G54" s="1224">
        <v>2886755.7766589443</v>
      </c>
      <c r="H54" s="1225">
        <v>7028374.3409523787</v>
      </c>
      <c r="I54" s="1226">
        <v>192119.57190476189</v>
      </c>
      <c r="J54" s="1224">
        <v>1168597.9115219517</v>
      </c>
      <c r="K54" s="1225">
        <v>75401410.878392875</v>
      </c>
      <c r="L54" s="1226">
        <v>2061086.4021428572</v>
      </c>
      <c r="M54" s="1224">
        <v>12536886.484434668</v>
      </c>
      <c r="N54" s="1225">
        <v>19063051.03825397</v>
      </c>
      <c r="O54" s="1226">
        <v>528306.26404761907</v>
      </c>
      <c r="P54" s="1224">
        <v>3176807.2577140443</v>
      </c>
      <c r="Q54" s="1225">
        <v>24344669.448282331</v>
      </c>
      <c r="R54" s="1226">
        <v>642982.09523809503</v>
      </c>
      <c r="S54" s="1224">
        <v>4025278.0926033738</v>
      </c>
      <c r="T54" s="1225">
        <v>23668312.303754579</v>
      </c>
      <c r="U54" s="1226">
        <v>614263.2228571428</v>
      </c>
      <c r="V54" s="1224">
        <v>3902590.3919503652</v>
      </c>
      <c r="W54" s="1225">
        <v>14372303.42521978</v>
      </c>
      <c r="X54" s="1226">
        <v>374560.81380952382</v>
      </c>
      <c r="Y54" s="1224">
        <v>2371358.6939906403</v>
      </c>
      <c r="Z54" s="1225">
        <v>6273123.2200366315</v>
      </c>
      <c r="AA54" s="1226">
        <v>165749.88095238095</v>
      </c>
      <c r="AB54" s="1224">
        <v>1037298.3570236434</v>
      </c>
      <c r="AC54" s="1225">
        <v>19300300.308589749</v>
      </c>
      <c r="AD54" s="1226">
        <v>501754.90738095244</v>
      </c>
      <c r="AE54" s="1224">
        <v>3183217.8297003526</v>
      </c>
      <c r="AF54" s="1225">
        <v>24545.984523809519</v>
      </c>
      <c r="AG54" s="1226">
        <v>666.38928571428573</v>
      </c>
      <c r="AH54" s="1224">
        <v>4076.6547396216383</v>
      </c>
      <c r="AI54" s="1225">
        <v>8704079.2069963384</v>
      </c>
      <c r="AJ54" s="1226">
        <v>218069.47404761909</v>
      </c>
      <c r="AK54" s="1224">
        <v>1427359.7593446013</v>
      </c>
      <c r="AL54" s="1225">
        <v>19835674.212928168</v>
      </c>
      <c r="AM54" s="1226">
        <v>491118.82585882989</v>
      </c>
      <c r="AN54" s="1224">
        <v>3246963.2474869187</v>
      </c>
      <c r="AO54" s="1225">
        <v>20628652.157466929</v>
      </c>
      <c r="AP54" s="1226">
        <v>504054.10714853473</v>
      </c>
      <c r="AQ54" s="1224">
        <v>3370069.9210606795</v>
      </c>
      <c r="AR54" s="1225">
        <v>79195082.423131868</v>
      </c>
      <c r="AS54" s="1226">
        <v>1915126.5476190476</v>
      </c>
      <c r="AT54" s="1224">
        <v>12917995.609358206</v>
      </c>
      <c r="AU54" s="1225">
        <v>14194429.336538462</v>
      </c>
      <c r="AV54" s="1226">
        <v>342972.41952380957</v>
      </c>
      <c r="AW54" s="1224">
        <v>2315057.5871556802</v>
      </c>
      <c r="AX54" s="1225">
        <v>18294504.522105023</v>
      </c>
      <c r="AY54" s="1226">
        <v>443163.02380952379</v>
      </c>
      <c r="AZ54" s="1224">
        <v>2984886.9749335614</v>
      </c>
      <c r="BA54" s="1225">
        <v>6291725.0700066965</v>
      </c>
      <c r="BB54" s="1226">
        <v>151180.43346428568</v>
      </c>
      <c r="BC54" s="1224">
        <v>1025313.3341395051</v>
      </c>
      <c r="BD54" s="1225">
        <v>45385800.117179491</v>
      </c>
      <c r="BE54" s="1226">
        <v>1083543.0476190476</v>
      </c>
      <c r="BF54" s="1224">
        <v>7389162.0415293453</v>
      </c>
      <c r="BG54" s="1225">
        <v>9926683.1941260844</v>
      </c>
      <c r="BH54" s="1226">
        <v>192971.91321344892</v>
      </c>
      <c r="BI54" s="1224">
        <v>1305797.1983677433</v>
      </c>
      <c r="BJ54" s="1225">
        <v>22127064.879999999</v>
      </c>
      <c r="BK54" s="1226">
        <v>248542.17271062266</v>
      </c>
      <c r="BL54" s="1224">
        <v>1698839.7133817573</v>
      </c>
      <c r="BM54" s="1225">
        <v>0</v>
      </c>
      <c r="BN54" s="1226">
        <v>0</v>
      </c>
      <c r="BO54" s="1224">
        <v>0</v>
      </c>
      <c r="BP54" s="1225">
        <v>0</v>
      </c>
      <c r="BQ54" s="1226">
        <v>0</v>
      </c>
      <c r="BR54" s="1224">
        <v>0</v>
      </c>
      <c r="BS54" s="1225">
        <v>20876285.520985916</v>
      </c>
      <c r="BT54" s="1226">
        <v>101812.12022339166</v>
      </c>
      <c r="BU54" s="1224">
        <v>695907.94694015838</v>
      </c>
      <c r="BV54" s="1225"/>
      <c r="BW54" s="1226"/>
      <c r="BX54" s="1224"/>
      <c r="BY54" s="1223"/>
      <c r="BZ54" s="1223"/>
      <c r="CA54" s="1223"/>
      <c r="CB54" s="1225">
        <v>5594354.4175824178</v>
      </c>
      <c r="CC54" s="1226">
        <v>139468.73809523811</v>
      </c>
      <c r="CD54" s="1224">
        <v>916713.32523695519</v>
      </c>
      <c r="CE54" s="1225">
        <v>6391895.3904029308</v>
      </c>
      <c r="CF54" s="1226">
        <v>159242.01547619049</v>
      </c>
      <c r="CG54" s="1224">
        <v>1047291.9534909695</v>
      </c>
      <c r="CH54" s="1225">
        <v>25426869.764285713</v>
      </c>
      <c r="CI54" s="1226">
        <v>605606.37547619047</v>
      </c>
      <c r="CJ54" s="1224">
        <v>4138256.5111443796</v>
      </c>
      <c r="CK54" s="1225">
        <v>118115741.13498169</v>
      </c>
      <c r="CL54" s="1226">
        <v>2827105.8673809525</v>
      </c>
      <c r="CM54" s="1224">
        <v>19237367.64215602</v>
      </c>
      <c r="CN54" s="1225">
        <v>777713.85</v>
      </c>
      <c r="CO54" s="1226">
        <v>1424.3843406593405</v>
      </c>
      <c r="CP54" s="1224">
        <v>9735.9762274571749</v>
      </c>
      <c r="CQ54" s="1225">
        <v>257640264.19910261</v>
      </c>
      <c r="CR54" s="1226">
        <v>6135008.9830952389</v>
      </c>
      <c r="CS54" s="1224">
        <v>41929934.69412154</v>
      </c>
      <c r="CT54" s="1225">
        <v>23466021.930000011</v>
      </c>
      <c r="CU54" s="1226">
        <v>86647.283058608111</v>
      </c>
      <c r="CV54" s="1224">
        <v>592252.99236431147</v>
      </c>
      <c r="CW54" s="1225">
        <v>40538247.99000001</v>
      </c>
      <c r="CX54" s="1226"/>
      <c r="CY54" s="1224">
        <v>5381625.0668539396</v>
      </c>
      <c r="CZ54" s="1225">
        <v>567928476.70000005</v>
      </c>
      <c r="DA54" s="1226"/>
      <c r="DB54" s="1224">
        <v>56420757.596587025</v>
      </c>
      <c r="DC54" s="1225">
        <v>79292223.319999859</v>
      </c>
      <c r="DD54" s="1226"/>
      <c r="DE54" s="1224">
        <v>21408868.696985207</v>
      </c>
      <c r="DF54" s="1225">
        <v>117558985.90000004</v>
      </c>
      <c r="DG54" s="1226"/>
      <c r="DH54" s="1224">
        <v>7924474.9686765131</v>
      </c>
      <c r="DI54" s="1225">
        <v>532375</v>
      </c>
      <c r="DJ54" s="1226"/>
      <c r="DK54" s="1224">
        <v>73964.850310357666</v>
      </c>
      <c r="DL54" s="1225">
        <v>155344759.90562543</v>
      </c>
      <c r="DM54" s="1226"/>
      <c r="DN54" s="1224">
        <v>22819787.830590311</v>
      </c>
      <c r="DO54" s="1225">
        <v>8854017.5</v>
      </c>
      <c r="DP54" s="1226"/>
      <c r="DQ54" s="1224">
        <v>1275855.2660333251</v>
      </c>
      <c r="DR54" s="1225">
        <v>184611449.07000002</v>
      </c>
      <c r="DS54" s="1226"/>
      <c r="DT54" s="1224">
        <v>18512178.946807817</v>
      </c>
      <c r="DU54" s="1225">
        <v>18052410.339999996</v>
      </c>
      <c r="DV54" s="1226"/>
      <c r="DW54" s="1224">
        <v>1627530.7398079592</v>
      </c>
      <c r="DX54" s="1225"/>
      <c r="DY54" s="1226"/>
      <c r="DZ54" s="1224"/>
      <c r="EA54" s="1225"/>
      <c r="EB54" s="1226"/>
      <c r="EC54" s="1224"/>
      <c r="ED54" s="1225"/>
      <c r="EE54" s="1226"/>
      <c r="EF54" s="1224"/>
      <c r="EG54" s="1225"/>
      <c r="EH54" s="1226"/>
      <c r="EI54" s="1224"/>
      <c r="EJ54" s="1225"/>
      <c r="EK54" s="1226"/>
      <c r="EL54" s="1224"/>
      <c r="EM54" s="1225"/>
      <c r="EN54" s="1226"/>
      <c r="EO54" s="1224"/>
      <c r="EP54" s="1225"/>
      <c r="EQ54" s="1226"/>
      <c r="ER54" s="1224"/>
      <c r="ES54" s="1225"/>
      <c r="ET54" s="1226"/>
      <c r="EU54" s="1224"/>
      <c r="EV54" s="1225"/>
      <c r="EW54" s="1226"/>
      <c r="EX54" s="1224"/>
      <c r="EY54" s="1225"/>
      <c r="EZ54" s="1226"/>
      <c r="FA54" s="1224"/>
      <c r="FB54" s="1225"/>
      <c r="FC54" s="1226"/>
      <c r="FD54" s="1224"/>
      <c r="FE54" s="1225"/>
      <c r="FF54" s="1226"/>
      <c r="FG54" s="1224"/>
      <c r="FH54" s="1225"/>
      <c r="FI54" s="1226"/>
      <c r="FJ54" s="1224"/>
      <c r="FK54" s="1225"/>
      <c r="FL54" s="1226"/>
      <c r="FM54" s="1224"/>
      <c r="FN54" s="1225"/>
      <c r="FO54" s="1226"/>
      <c r="FP54" s="1224"/>
      <c r="FQ54" s="1225"/>
      <c r="FR54" s="1226"/>
      <c r="FS54" s="1224"/>
      <c r="FT54" s="1225"/>
      <c r="FU54" s="1226"/>
      <c r="FV54" s="1224"/>
      <c r="FW54" s="1225"/>
      <c r="FX54" s="1226"/>
      <c r="FY54" s="1224"/>
      <c r="FZ54" s="1225"/>
      <c r="GA54" s="1226"/>
      <c r="GB54" s="1224"/>
      <c r="GC54" s="1225"/>
      <c r="GD54" s="1226"/>
      <c r="GE54" s="1224"/>
      <c r="GF54" s="1225">
        <v>1750000</v>
      </c>
      <c r="GG54" s="1226">
        <v>3500000</v>
      </c>
      <c r="GH54" s="1224">
        <v>3721714.8846894</v>
      </c>
      <c r="GI54" s="1405">
        <v>279708532.72611928</v>
      </c>
      <c r="GJ54" s="1612"/>
      <c r="GK54" s="1612">
        <f>+GI54</f>
        <v>279708532.72611928</v>
      </c>
      <c r="GL54" s="1407"/>
      <c r="GN54" s="1223"/>
      <c r="GO54" s="1223"/>
      <c r="GP54" s="1223"/>
      <c r="GQ54" s="1223"/>
      <c r="GR54" s="1223"/>
    </row>
    <row r="55" spans="1:221" s="1500" customFormat="1" ht="20.399999999999999">
      <c r="A55" s="1615">
        <f t="shared" si="6"/>
        <v>37</v>
      </c>
      <c r="B55" s="1139"/>
      <c r="C55" s="1614" t="str">
        <f t="shared" si="7"/>
        <v>W Increased ROE</v>
      </c>
      <c r="D55" s="1613">
        <f t="shared" si="8"/>
        <v>2013</v>
      </c>
      <c r="E55" s="1225">
        <v>17233830.969999991</v>
      </c>
      <c r="F55" s="1226">
        <v>492395.17</v>
      </c>
      <c r="G55" s="1224">
        <v>2886755.7766589443</v>
      </c>
      <c r="H55" s="1225">
        <v>7028374.3409523787</v>
      </c>
      <c r="I55" s="1226">
        <v>192119.57190476189</v>
      </c>
      <c r="J55" s="1224">
        <v>1168597.9115219517</v>
      </c>
      <c r="K55" s="1225">
        <v>75401410.878392875</v>
      </c>
      <c r="L55" s="1226">
        <v>2061086.4021428572</v>
      </c>
      <c r="M55" s="1224">
        <v>12536886.484434668</v>
      </c>
      <c r="N55" s="1225">
        <v>19063051.03825397</v>
      </c>
      <c r="O55" s="1226">
        <v>528306.26404761907</v>
      </c>
      <c r="P55" s="1224">
        <v>3176807.2577140443</v>
      </c>
      <c r="Q55" s="1225">
        <v>24344669.448282331</v>
      </c>
      <c r="R55" s="1226">
        <v>642982.09523809503</v>
      </c>
      <c r="S55" s="1224">
        <v>4025278.0926033738</v>
      </c>
      <c r="T55" s="1225">
        <v>23668312.303754579</v>
      </c>
      <c r="U55" s="1226">
        <v>614263.2228571428</v>
      </c>
      <c r="V55" s="1224">
        <v>3902590.3919503652</v>
      </c>
      <c r="W55" s="1225">
        <v>14372303.42521978</v>
      </c>
      <c r="X55" s="1226">
        <v>374560.81380952382</v>
      </c>
      <c r="Y55" s="1224">
        <v>2371358.6939906403</v>
      </c>
      <c r="Z55" s="1225">
        <v>6273123.2200366315</v>
      </c>
      <c r="AA55" s="1226">
        <v>165749.88095238095</v>
      </c>
      <c r="AB55" s="1224">
        <v>1037298.3570236434</v>
      </c>
      <c r="AC55" s="1225">
        <v>19300300.308589749</v>
      </c>
      <c r="AD55" s="1226">
        <v>501754.90738095244</v>
      </c>
      <c r="AE55" s="1224">
        <v>3183217.8297003526</v>
      </c>
      <c r="AF55" s="1225">
        <v>24545.984523809519</v>
      </c>
      <c r="AG55" s="1226">
        <v>666.38928571428573</v>
      </c>
      <c r="AH55" s="1224">
        <v>4076.6547396216383</v>
      </c>
      <c r="AI55" s="1225">
        <v>8704079.2069963384</v>
      </c>
      <c r="AJ55" s="1226">
        <v>218069.47404761909</v>
      </c>
      <c r="AK55" s="1224">
        <v>1427359.7593446013</v>
      </c>
      <c r="AL55" s="1225">
        <v>19835674.212928168</v>
      </c>
      <c r="AM55" s="1226">
        <v>491118.82585882989</v>
      </c>
      <c r="AN55" s="1224">
        <v>3246963.2474869187</v>
      </c>
      <c r="AO55" s="1225">
        <v>20628652.157466929</v>
      </c>
      <c r="AP55" s="1226">
        <v>504054.10714853473</v>
      </c>
      <c r="AQ55" s="1224">
        <v>3370069.9210606795</v>
      </c>
      <c r="AR55" s="1225">
        <v>79195082.423131868</v>
      </c>
      <c r="AS55" s="1226">
        <v>1915126.5476190476</v>
      </c>
      <c r="AT55" s="1224">
        <v>12917995.609358206</v>
      </c>
      <c r="AU55" s="1225">
        <v>14194429.336538462</v>
      </c>
      <c r="AV55" s="1226">
        <v>342972.41952380957</v>
      </c>
      <c r="AW55" s="1224">
        <v>2315057.5871556802</v>
      </c>
      <c r="AX55" s="1225">
        <v>18294504.522105023</v>
      </c>
      <c r="AY55" s="1226">
        <v>443163.02380952379</v>
      </c>
      <c r="AZ55" s="1224">
        <v>2984886.9749335614</v>
      </c>
      <c r="BA55" s="1225">
        <v>6291725.0700066965</v>
      </c>
      <c r="BB55" s="1226">
        <v>151180.43346428568</v>
      </c>
      <c r="BC55" s="1224">
        <v>1025313.3341395051</v>
      </c>
      <c r="BD55" s="1225">
        <v>45385800.117179491</v>
      </c>
      <c r="BE55" s="1226">
        <v>1083543.0476190476</v>
      </c>
      <c r="BF55" s="1224">
        <v>7389162.0415293453</v>
      </c>
      <c r="BG55" s="1225">
        <v>9926683.1941260844</v>
      </c>
      <c r="BH55" s="1226">
        <v>192971.91321344892</v>
      </c>
      <c r="BI55" s="1224">
        <v>1305797.1983677433</v>
      </c>
      <c r="BJ55" s="1225">
        <v>22127064.879999999</v>
      </c>
      <c r="BK55" s="1226">
        <v>248542.17271062266</v>
      </c>
      <c r="BL55" s="1224">
        <v>1698839.7133817573</v>
      </c>
      <c r="BM55" s="1225">
        <v>0</v>
      </c>
      <c r="BN55" s="1226">
        <v>0</v>
      </c>
      <c r="BO55" s="1224">
        <v>0</v>
      </c>
      <c r="BP55" s="1225">
        <v>0</v>
      </c>
      <c r="BQ55" s="1226">
        <v>0</v>
      </c>
      <c r="BR55" s="1224">
        <v>0</v>
      </c>
      <c r="BS55" s="1225">
        <v>20876285.520985916</v>
      </c>
      <c r="BT55" s="1226">
        <v>101812.12022339166</v>
      </c>
      <c r="BU55" s="1224">
        <v>695907.94694015838</v>
      </c>
      <c r="BV55" s="1225"/>
      <c r="BW55" s="1226"/>
      <c r="BX55" s="1224"/>
      <c r="BY55" s="1223"/>
      <c r="BZ55" s="1223"/>
      <c r="CA55" s="1223"/>
      <c r="CB55" s="1225">
        <v>5594354.4175824178</v>
      </c>
      <c r="CC55" s="1226">
        <v>139468.73809523811</v>
      </c>
      <c r="CD55" s="1224">
        <v>967046.86937369872</v>
      </c>
      <c r="CE55" s="1225">
        <v>6391895.3904029308</v>
      </c>
      <c r="CF55" s="1226">
        <v>159242.01547619049</v>
      </c>
      <c r="CG55" s="1224">
        <v>1104801.1359158694</v>
      </c>
      <c r="CH55" s="1225">
        <v>25426869.764285713</v>
      </c>
      <c r="CI55" s="1226">
        <v>605606.37547619047</v>
      </c>
      <c r="CJ55" s="1224">
        <v>4367027.2281939751</v>
      </c>
      <c r="CK55" s="1225">
        <v>118115741.13498169</v>
      </c>
      <c r="CL55" s="1226">
        <v>2827105.8673809525</v>
      </c>
      <c r="CM55" s="1224">
        <v>19237367.64215602</v>
      </c>
      <c r="CN55" s="1225">
        <v>777713.85</v>
      </c>
      <c r="CO55" s="1226">
        <v>1424.3843406593405</v>
      </c>
      <c r="CP55" s="1224">
        <v>9735.9762274571749</v>
      </c>
      <c r="CQ55" s="1225">
        <v>257640264.19910261</v>
      </c>
      <c r="CR55" s="1226">
        <v>6135008.9830952389</v>
      </c>
      <c r="CS55" s="1224">
        <v>41929934.69412154</v>
      </c>
      <c r="CT55" s="1225">
        <v>23466021.930000011</v>
      </c>
      <c r="CU55" s="1226">
        <v>86647.283058608111</v>
      </c>
      <c r="CV55" s="1224">
        <v>598801.49143555376</v>
      </c>
      <c r="CW55" s="1225">
        <v>40538247.99000001</v>
      </c>
      <c r="CX55" s="1226"/>
      <c r="CY55" s="1224">
        <v>5730133.4608795987</v>
      </c>
      <c r="CZ55" s="1225">
        <v>567928476.70000005</v>
      </c>
      <c r="DA55" s="1226"/>
      <c r="DB55" s="1224">
        <v>60074506.673386335</v>
      </c>
      <c r="DC55" s="1225">
        <v>79292223.319999859</v>
      </c>
      <c r="DD55" s="1226"/>
      <c r="DE55" s="1224">
        <v>21408868.696985207</v>
      </c>
      <c r="DF55" s="1225">
        <v>117558985.90000004</v>
      </c>
      <c r="DG55" s="1226"/>
      <c r="DH55" s="1224">
        <v>7924474.9686765131</v>
      </c>
      <c r="DI55" s="1225">
        <v>532375</v>
      </c>
      <c r="DJ55" s="1226"/>
      <c r="DK55" s="1224">
        <v>73964.850310357666</v>
      </c>
      <c r="DL55" s="1225">
        <v>155344759.90562543</v>
      </c>
      <c r="DM55" s="1226"/>
      <c r="DN55" s="1224">
        <v>22819787.830590311</v>
      </c>
      <c r="DO55" s="1225">
        <v>8854017.5</v>
      </c>
      <c r="DP55" s="1226"/>
      <c r="DQ55" s="1224">
        <v>1275855.2660333251</v>
      </c>
      <c r="DR55" s="1225">
        <v>184611449.07000002</v>
      </c>
      <c r="DS55" s="1226"/>
      <c r="DT55" s="1224">
        <v>18751944.804686103</v>
      </c>
      <c r="DU55" s="1225">
        <v>18052410.339999996</v>
      </c>
      <c r="DV55" s="1226"/>
      <c r="DW55" s="1224">
        <v>1648610.1764952666</v>
      </c>
      <c r="DX55" s="1225"/>
      <c r="DY55" s="1226"/>
      <c r="DZ55" s="1224"/>
      <c r="EA55" s="1225"/>
      <c r="EB55" s="1226"/>
      <c r="EC55" s="1224"/>
      <c r="ED55" s="1225"/>
      <c r="EE55" s="1226"/>
      <c r="EF55" s="1224"/>
      <c r="EG55" s="1225"/>
      <c r="EH55" s="1226"/>
      <c r="EI55" s="1224"/>
      <c r="EJ55" s="1225"/>
      <c r="EK55" s="1226"/>
      <c r="EL55" s="1224"/>
      <c r="EM55" s="1225"/>
      <c r="EN55" s="1226"/>
      <c r="EO55" s="1224"/>
      <c r="EP55" s="1225"/>
      <c r="EQ55" s="1226"/>
      <c r="ER55" s="1224"/>
      <c r="ES55" s="1225"/>
      <c r="ET55" s="1226"/>
      <c r="EU55" s="1224"/>
      <c r="EV55" s="1225"/>
      <c r="EW55" s="1226"/>
      <c r="EX55" s="1224"/>
      <c r="EY55" s="1225"/>
      <c r="EZ55" s="1226"/>
      <c r="FA55" s="1224"/>
      <c r="FB55" s="1225"/>
      <c r="FC55" s="1226"/>
      <c r="FD55" s="1224"/>
      <c r="FE55" s="1225"/>
      <c r="FF55" s="1226"/>
      <c r="FG55" s="1224"/>
      <c r="FH55" s="1225"/>
      <c r="FI55" s="1226"/>
      <c r="FJ55" s="1224"/>
      <c r="FK55" s="1225"/>
      <c r="FL55" s="1226"/>
      <c r="FM55" s="1224"/>
      <c r="FN55" s="1225"/>
      <c r="FO55" s="1226"/>
      <c r="FP55" s="1224"/>
      <c r="FQ55" s="1225"/>
      <c r="FR55" s="1226"/>
      <c r="FS55" s="1224"/>
      <c r="FT55" s="1225"/>
      <c r="FU55" s="1226"/>
      <c r="FV55" s="1224"/>
      <c r="FW55" s="1225"/>
      <c r="FX55" s="1226"/>
      <c r="FY55" s="1224"/>
      <c r="FZ55" s="1225"/>
      <c r="GA55" s="1226"/>
      <c r="GB55" s="1224"/>
      <c r="GC55" s="1225"/>
      <c r="GD55" s="1226"/>
      <c r="GE55" s="1224"/>
      <c r="GF55" s="1225">
        <v>1750000</v>
      </c>
      <c r="GG55" s="1226">
        <v>3500000</v>
      </c>
      <c r="GH55" s="1224">
        <v>3721714.8846894</v>
      </c>
      <c r="GI55" s="1405">
        <v>284314797.43419236</v>
      </c>
      <c r="GJ55" s="1612">
        <f>+GI55</f>
        <v>284314797.43419236</v>
      </c>
      <c r="GK55" s="1612"/>
      <c r="GL55" s="1407">
        <f>+GJ55-GK54</f>
        <v>4606264.7080730796</v>
      </c>
      <c r="GN55" s="1223"/>
      <c r="GO55" s="1223"/>
      <c r="GP55" s="1223"/>
      <c r="GQ55" s="1223"/>
      <c r="GR55" s="1223"/>
    </row>
    <row r="56" spans="1:221" s="1500" customFormat="1" ht="20.399999999999999">
      <c r="A56" s="1615">
        <f t="shared" si="6"/>
        <v>38</v>
      </c>
      <c r="B56" s="1139"/>
      <c r="C56" s="1614" t="str">
        <f t="shared" si="7"/>
        <v>W  11.68 % ROE</v>
      </c>
      <c r="D56" s="1613">
        <v>2014</v>
      </c>
      <c r="E56" s="1225">
        <f>+E35-F54-F52-F50-F48-F46-F44-F42-F40</f>
        <v>16741435.799999991</v>
      </c>
      <c r="F56" s="1226">
        <f>+E36/13*(E37)</f>
        <v>492395.17</v>
      </c>
      <c r="G56" s="1224">
        <f>+E56*E33*E37/13+F56</f>
        <v>2555171.6555022607</v>
      </c>
      <c r="H56" s="1225">
        <f>+H35-I54-I52-I50-I48-I46-I44-I42-I40</f>
        <v>6836254.769047617</v>
      </c>
      <c r="I56" s="1226">
        <f>+H36/13*(H37)</f>
        <v>192119.57190476189</v>
      </c>
      <c r="J56" s="1224">
        <f>+H56*H33*H37/13+I56</f>
        <v>1034440.7297169324</v>
      </c>
      <c r="K56" s="1225">
        <f>+K35-L54-L52-L50-L48-L46-L44-L42-L40</f>
        <v>73340324.476250023</v>
      </c>
      <c r="L56" s="1226">
        <f>+K36/13*(K37)</f>
        <v>2061086.4021428572</v>
      </c>
      <c r="M56" s="1224">
        <f>+K56*K33*K37/13+L56</f>
        <v>11097628.941027995</v>
      </c>
      <c r="N56" s="1225">
        <f>+N35-O54-O52-O50-O48-O46-O44-O42-O40</f>
        <v>18534744.774206351</v>
      </c>
      <c r="O56" s="1226">
        <f>+N36/13*(N37)</f>
        <v>528306.26404761907</v>
      </c>
      <c r="P56" s="1224">
        <f>+N56*N33*N37/13+O56</f>
        <v>2812043.2231571111</v>
      </c>
      <c r="Q56" s="1225">
        <f>+Q35-R54-R52-R50-R48-R46-R44-R42-R40</f>
        <v>23701687.353044238</v>
      </c>
      <c r="R56" s="1226">
        <f>+Q36/13*(Q37)</f>
        <v>642982.09523809503</v>
      </c>
      <c r="S56" s="1224">
        <f>+Q56*Q33*Q37/13+R56</f>
        <v>3563357.8576673842</v>
      </c>
      <c r="T56" s="1225">
        <f>+T35-U54-U52-U50-U48-U46-U44-U42-U40</f>
        <v>23054049.080897436</v>
      </c>
      <c r="U56" s="1226">
        <f>+T36/13*(T37)</f>
        <v>614263.2228571428</v>
      </c>
      <c r="V56" s="1224">
        <f>+T56*T33*T37/13+U56</f>
        <v>3454840.9909653161</v>
      </c>
      <c r="W56" s="1225">
        <f>+W35-X54-X52-X50-X48-X46-X44-X42-X40</f>
        <v>13997742.611410256</v>
      </c>
      <c r="X56" s="1226">
        <f>+W36/13*(W37)</f>
        <v>374560.81380952382</v>
      </c>
      <c r="Y56" s="1224">
        <f>+W56*W33*W37/13+X56</f>
        <v>2099276.3432224849</v>
      </c>
      <c r="Z56" s="1225">
        <f>+Z35-AA54-AA52-AA50-AA48-AA46-AA44-AA42-AA40</f>
        <v>6107373.3390842509</v>
      </c>
      <c r="AA56" s="1226">
        <f>+Z36/13*(Z37)</f>
        <v>165749.88095238095</v>
      </c>
      <c r="AB56" s="1224">
        <f>+Z56*Z33*Z37/13+AA56</f>
        <v>918262.76351209683</v>
      </c>
      <c r="AC56" s="1225">
        <f>+AC35-AD54-AD52-AD50-AD48-AD46-AD44-AD42-AD40</f>
        <v>18798545.401208796</v>
      </c>
      <c r="AD56" s="1226">
        <f>+AC36/13*(AC37)</f>
        <v>501754.90738095244</v>
      </c>
      <c r="AE56" s="1224">
        <f>+AC56*AC33*AC37/13+AD56</f>
        <v>2817995.7530592056</v>
      </c>
      <c r="AF56" s="1225">
        <f>+AF35-AG54-AG52-AG50-AG48-AG46-AG44-AG42-AG40</f>
        <v>23879.595238095233</v>
      </c>
      <c r="AG56" s="1226">
        <f>+AF36/13*(AF37)</f>
        <v>666.38928571428573</v>
      </c>
      <c r="AH56" s="1224">
        <f>+AF56*AF33*AF37/13+AG56</f>
        <v>3608.6857606949225</v>
      </c>
      <c r="AI56" s="1225">
        <f>+AI35-AJ54-AJ52-AJ50-AJ48-AJ46-AJ44-AJ42-AJ40</f>
        <v>8486009.7329487186</v>
      </c>
      <c r="AJ56" s="1226">
        <f>+AI36/13*(AI37)</f>
        <v>218069.47404761909</v>
      </c>
      <c r="AK56" s="1224">
        <f>+AI56*AI33*AI37/13+AJ56</f>
        <v>1263663.2655233743</v>
      </c>
      <c r="AL56" s="1225">
        <f>+AL35-AM54-AM52-AM50-AM48-AM46-AM44-AM42-AM40</f>
        <v>19344555.387069337</v>
      </c>
      <c r="AM56" s="1226">
        <f>+AL36/13*(AL37)</f>
        <v>491118.82585882989</v>
      </c>
      <c r="AN56" s="1224">
        <f>+AL56*AL33*AL37/13+AM56</f>
        <v>2874635.6550989319</v>
      </c>
      <c r="AO56" s="1225">
        <f>+AO35-AP54-AP52-AP50-AP48-AP46-AP44-AP42-AP40</f>
        <v>20124598.050318394</v>
      </c>
      <c r="AP56" s="1226">
        <f>+AO36/13*(AO37)</f>
        <v>504054.10714853473</v>
      </c>
      <c r="AQ56" s="1224">
        <f>+AO56*AO33*AO37/13+AP56</f>
        <v>2983682.9833278074</v>
      </c>
      <c r="AR56" s="1225">
        <f>+AR35-AS54-AS52-AS50-AS48-AS46-AS44-AS42-AS40</f>
        <v>77279955.395512834</v>
      </c>
      <c r="AS56" s="1226">
        <f>+AR36/13*(AR37)</f>
        <v>1915126.5361904763</v>
      </c>
      <c r="AT56" s="1224">
        <f>+AR56*AR33*AR37/13+AS56</f>
        <v>11437086.10375203</v>
      </c>
      <c r="AU56" s="1225">
        <f>+AU35-AV54-AV52-AV50-AV48-AV46-AV44-AV42-AV40</f>
        <v>13851456.917014653</v>
      </c>
      <c r="AV56" s="1226">
        <f>+AU36/13*(AU37)</f>
        <v>342972.41952380957</v>
      </c>
      <c r="AW56" s="1224">
        <f>+AU56*AU33*AU37/13+AV56</f>
        <v>2049663.5277240679</v>
      </c>
      <c r="AX56" s="1225">
        <f>+AX35-AY54-AY52-AY50-AY48-AY46-AY44-AY42-AY40</f>
        <v>17903425.162795499</v>
      </c>
      <c r="AY56" s="1226">
        <f>+AX36/13*(AX37)</f>
        <v>444403.11105952383</v>
      </c>
      <c r="AZ56" s="1224">
        <f>+AX56*AX33*AX37/13+AY56</f>
        <v>2650352.7605969938</v>
      </c>
      <c r="BA56" s="1225">
        <f>+BA35-BB54-BB52-BB50-BB48-BB46-BB44-BB42-BB40</f>
        <v>6181331.7365424102</v>
      </c>
      <c r="BB56" s="1226">
        <f>+BA36/13*(BA37)</f>
        <v>152151.55489285712</v>
      </c>
      <c r="BC56" s="1224">
        <f>+BA56*BA33*BA37/13+BB56</f>
        <v>913777.13513302652</v>
      </c>
      <c r="BD56" s="1225">
        <f>+BD35-BE54-BE52-BE50-BE48-BE46-BE44-BE42-BE40</f>
        <v>44747660.139560454</v>
      </c>
      <c r="BE56" s="1226">
        <f>+BD36/13*(BD37)</f>
        <v>1094147.8826190478</v>
      </c>
      <c r="BF56" s="1224">
        <f>+BD56*BD33*BD37/13+BE56</f>
        <v>6607678.634690633</v>
      </c>
      <c r="BG56" s="1225">
        <f>+BG35-BH54-BH52-BH50-BH48-BH46-BH44-BH42-BH40</f>
        <v>15445872.230912635</v>
      </c>
      <c r="BH56" s="1226">
        <f>+BG36/13*(BG37)</f>
        <v>289093.16757242329</v>
      </c>
      <c r="BI56" s="1224">
        <f>+BG56*BG33*BG37/13+BH56</f>
        <v>1755636.3368108408</v>
      </c>
      <c r="BJ56" s="1225">
        <f>+BJ35-BK54-BK52-BK50-BK48-BK46-BK44-BK42-BK40</f>
        <v>21792104.087289374</v>
      </c>
      <c r="BK56" s="1226">
        <f>+BJ36/13*(BJ37)</f>
        <v>524777.29190476181</v>
      </c>
      <c r="BL56" s="1224">
        <f>+BJ56*BJ33*BJ37/13+BK56</f>
        <v>3209865.9795117257</v>
      </c>
      <c r="BM56" s="1225">
        <v>0</v>
      </c>
      <c r="BN56" s="1226">
        <v>0</v>
      </c>
      <c r="BO56" s="1224">
        <f>+BM56*BM33*BM37/13+BN56</f>
        <v>0</v>
      </c>
      <c r="BP56" s="1225">
        <v>0</v>
      </c>
      <c r="BQ56" s="1226">
        <v>0</v>
      </c>
      <c r="BR56" s="1224">
        <f>+BP56*BP33*BP37/13+BQ56</f>
        <v>0</v>
      </c>
      <c r="BS56" s="1225">
        <f>+BS35-BT54-BT52-BT50-BT48-BT46-BT44-BT42-BT40</f>
        <v>60374268.580762535</v>
      </c>
      <c r="BT56" s="1226">
        <f>+BS36/13*(BS37)</f>
        <v>1439906.6833568078</v>
      </c>
      <c r="BU56" s="1224">
        <f>+BS56*BS33*BS37/13+BT56</f>
        <v>8878851.7682099827</v>
      </c>
      <c r="BV56" s="1225">
        <f>+BV35-BW54-BW52-BW50-BW48-BW46-BW44-BW42-BW40</f>
        <v>68405611.270000011</v>
      </c>
      <c r="BW56" s="1226">
        <f>+BV36/13*(BV37)</f>
        <v>556909.1195970698</v>
      </c>
      <c r="BX56" s="1224">
        <f>+BV56*BV33*BV37/13+BW56</f>
        <v>3438903.2393366266</v>
      </c>
      <c r="BY56" s="1223">
        <f>+BY35-BZ54-BZ52-BZ50-BZ48-BZ46-BZ44-BZ42-BZ40</f>
        <v>7389782.2199999997</v>
      </c>
      <c r="BZ56" s="1223">
        <f>+BY36/13*(BY37)</f>
        <v>37991.859047619051</v>
      </c>
      <c r="CA56" s="1223">
        <f>+BY56*BY33*BY37/13+BZ56</f>
        <v>234599.00825794463</v>
      </c>
      <c r="CB56" s="1225">
        <f>+CB35-CC54-CC52-CC50-CC48-CC46-CC44-CC42-CC40</f>
        <v>5454885.67948718</v>
      </c>
      <c r="CC56" s="1226">
        <f>+CB36/13*(CB37)</f>
        <v>139468.73809523811</v>
      </c>
      <c r="CD56" s="1224">
        <f>+CB56*CB33*CB37/13+CC56</f>
        <v>811586.11471529969</v>
      </c>
      <c r="CE56" s="1225">
        <f>+CE35-CF54-CF52-CF50-CF48-CF46-CF44-CF42-CF40</f>
        <v>40082736.72492674</v>
      </c>
      <c r="CF56" s="1226">
        <f>+CE36/13*(CE37)</f>
        <v>717210.42234432243</v>
      </c>
      <c r="CG56" s="1224">
        <f>+CE56*CE33*CE37/13+CF56</f>
        <v>4387055.6072840048</v>
      </c>
      <c r="CH56" s="1225">
        <f>+CH35-CI54-CI52-CI50-CI48-CI46-CI44-CI42-CI40</f>
        <v>666962999.9288094</v>
      </c>
      <c r="CI56" s="1223">
        <f>+CH36/13*(CH37)</f>
        <v>10160548.050567763</v>
      </c>
      <c r="CJ56" s="1224">
        <f>+CH56*CH33*CH37/13+CI56</f>
        <v>62692814.472547956</v>
      </c>
      <c r="CK56" s="1225">
        <f>+CK35-CL54-CL52-CL50-CL48-CL46-CL44-CL42-CL40</f>
        <v>333325376.1501947</v>
      </c>
      <c r="CL56" s="1226">
        <f>+CK36/13*(CK37)</f>
        <v>6107990.0417127991</v>
      </c>
      <c r="CM56" s="1224">
        <f>+CK56*CK33*CK37/13+CL56</f>
        <v>37392933.364198133</v>
      </c>
      <c r="CN56" s="1225">
        <f>+CN35-CO54-CO52-CO50-CO48-CO46-CO44-CO42-CO40</f>
        <v>83696796.295659333</v>
      </c>
      <c r="CO56" s="1226">
        <f>+CN36/13*(CN37)</f>
        <v>854944.45829670329</v>
      </c>
      <c r="CP56" s="1224">
        <f>+CN56*CN33*CN37/13+CO56</f>
        <v>5279190.5034094471</v>
      </c>
      <c r="CQ56" s="1225">
        <f>+CQ35-CR54-CR52-CR50-CR48-CR46-CR44-CR42-CR40</f>
        <v>360673483.62600726</v>
      </c>
      <c r="CR56" s="1226">
        <f>+CQ36/13*(CQ37)</f>
        <v>7742354.0829670317</v>
      </c>
      <c r="CS56" s="1224">
        <f>+CQ56*CQ33*CQ37/13+CR56</f>
        <v>47135527.716749653</v>
      </c>
      <c r="CT56" s="1225">
        <f>+CT35-CU54-CU52-CU50-CU48-CU46-CU44-CU42-CU40</f>
        <v>274113324.99694139</v>
      </c>
      <c r="CU56" s="1226">
        <f>+CT36/13*(CT37)</f>
        <v>2382627.0937912092</v>
      </c>
      <c r="CV56" s="1224">
        <f>+CT56*CT33*CT37/13+CU56</f>
        <v>14708780.764693713</v>
      </c>
      <c r="CW56" s="1225">
        <f>+CW35</f>
        <v>12476737.449230772</v>
      </c>
      <c r="CX56" s="1226"/>
      <c r="CY56" s="1224">
        <f>+CW56*CW33*CW37/13+CX56</f>
        <v>1537306.6523994734</v>
      </c>
      <c r="CZ56" s="1225">
        <f>+CZ35</f>
        <v>34481067.2823148</v>
      </c>
      <c r="DA56" s="1226"/>
      <c r="DB56" s="1224">
        <f>+CZ56*CZ33*CZ37/13+DA56</f>
        <v>28945163.059726175</v>
      </c>
      <c r="DC56" s="1225">
        <f>+DC35</f>
        <v>31617516.507692255</v>
      </c>
      <c r="DD56" s="1226"/>
      <c r="DE56" s="1224">
        <f>+DC56*DC33*DC37/13+DD56</f>
        <v>3895715.418987371</v>
      </c>
      <c r="DF56" s="1225">
        <f>+DF35</f>
        <v>160260925.22970003</v>
      </c>
      <c r="DG56" s="1226"/>
      <c r="DH56" s="1224">
        <f>+DF56*DF33*DF37/13+DG56</f>
        <v>16099944.238242168</v>
      </c>
      <c r="DI56" s="1225">
        <f>+DI35</f>
        <v>532375</v>
      </c>
      <c r="DJ56" s="1226"/>
      <c r="DK56" s="1224">
        <f>+DI56*DI33*DI37/13+DJ56</f>
        <v>65595.964682388032</v>
      </c>
      <c r="DL56" s="1225">
        <f>+DL35</f>
        <v>56976437.795739248</v>
      </c>
      <c r="DM56" s="1226"/>
      <c r="DN56" s="1224">
        <f>+DL56*DL33*DL37/13+DM56</f>
        <v>7020285.3277813382</v>
      </c>
      <c r="DO56" s="1225">
        <f>+DO35</f>
        <v>3745932.153846154</v>
      </c>
      <c r="DP56" s="1226"/>
      <c r="DQ56" s="1224">
        <f>+DO56*DO33*DO37/13+DP56</f>
        <v>461550.66121871618</v>
      </c>
      <c r="DR56" s="1225">
        <f>+DR35-DS54-DS52-DS50-DS48-DS46-DS44-DS42-DS40</f>
        <v>211553988.13594681</v>
      </c>
      <c r="DS56" s="1226"/>
      <c r="DT56" s="1224">
        <f>+DR56*DR33*DR37/13+DS56</f>
        <v>28743491.170379005</v>
      </c>
      <c r="DU56" s="1225">
        <f>+DU35</f>
        <v>33293621.139453173</v>
      </c>
      <c r="DV56" s="1226"/>
      <c r="DW56" s="1224">
        <f>+DU56*DU33*DU37/13+DV56</f>
        <v>3699551.1462757778</v>
      </c>
      <c r="DX56" s="1225">
        <f>+DX35-DY54-DY52-DY50-DY48-DY46-DY44-DY42-DY40</f>
        <v>9496612.4013040196</v>
      </c>
      <c r="DY56" s="1226"/>
      <c r="DZ56" s="1224">
        <f>+DX56*DX33*DX37/13+DY56</f>
        <v>391382.80879032012</v>
      </c>
      <c r="EA56" s="1225">
        <f>+EA35-EB54-EB52-EB50-EB48-EB46-EB44-EB42-EB40</f>
        <v>1589541.2253701026</v>
      </c>
      <c r="EB56" s="1226"/>
      <c r="EC56" s="1224">
        <f>+EA56*EA33*EA37/13+EB56</f>
        <v>61526.379599046748</v>
      </c>
      <c r="ED56" s="1225">
        <f>+ED35-EE54-EE52-EE50-EE48-EE46-EE44-EE42-EE40</f>
        <v>1531032.2462593953</v>
      </c>
      <c r="EE56" s="1226"/>
      <c r="EF56" s="1224">
        <f>+ED56*ED33*ED37/13+EE56</f>
        <v>58653.275446504427</v>
      </c>
      <c r="EG56" s="1225">
        <f>+EG35-EH54-EH52-EH50-EH48-EH46-EH44-EH42-EH40</f>
        <v>2114341.9261709633</v>
      </c>
      <c r="EH56" s="1226"/>
      <c r="EI56" s="1224">
        <f>+EG56*EG33*EG37/13+EH56</f>
        <v>74196.743197111238</v>
      </c>
      <c r="EJ56" s="1225">
        <f>+EJ35-EK54-EK52-EK50-EK48-EK46-EK44-EK42-EK40</f>
        <v>1476460.2950320875</v>
      </c>
      <c r="EK56" s="1226"/>
      <c r="EL56" s="1224">
        <f>+EJ56*EJ33*EJ37/13+EK56</f>
        <v>58912.078228358143</v>
      </c>
      <c r="EM56" s="1225">
        <f>+EM35-EN54-EN52-EN50-EN48-EN46-EN44-EN42-EN40</f>
        <v>838905.61719283112</v>
      </c>
      <c r="EN56" s="1226"/>
      <c r="EO56" s="1224">
        <f>+EM56*EM33*EM37/13+EN56</f>
        <v>41990.917170161265</v>
      </c>
      <c r="EP56" s="1225">
        <f>+EP35-EQ54-EQ52-EQ50-EQ48-EQ46-EQ44-EQ42-EQ40</f>
        <v>433918.16895370069</v>
      </c>
      <c r="EQ56" s="1226"/>
      <c r="ER56" s="1224">
        <f>+EP56*EP33*EP37/13+EQ56</f>
        <v>21259.275875232033</v>
      </c>
      <c r="ES56" s="1225">
        <f>+ES35-ET54-ET52-ET50-ET48-ET46-ET44-ET42-ET40</f>
        <v>1370003.0723767879</v>
      </c>
      <c r="ET56" s="1226"/>
      <c r="EU56" s="1224">
        <f>+ES56*ES33*ES37/13+ET56</f>
        <v>56093.391458519436</v>
      </c>
      <c r="EV56" s="1225">
        <f>+EV35-EW54-EW52-EW50-EW48-EW46-EW44-EW42-EW40</f>
        <v>597317.15348679014</v>
      </c>
      <c r="EW56" s="1226"/>
      <c r="EX56" s="1224">
        <f>+EV56*EV33*EV37/13+EW56</f>
        <v>24145.472368313996</v>
      </c>
      <c r="EY56" s="1225">
        <f>+EY35-EZ54-EZ52-EZ50-EZ48-EZ46-EZ44-EZ42-EZ40</f>
        <v>597317.15348679014</v>
      </c>
      <c r="EZ56" s="1226"/>
      <c r="FA56" s="1224">
        <f>+EY56*EY33*EY37/13+EZ56</f>
        <v>24145.472368313996</v>
      </c>
      <c r="FB56" s="1225">
        <f>+FB35-FC54-FC52-FC50-FC48-FC46-FC44-FC42-FC40</f>
        <v>569297.01229923731</v>
      </c>
      <c r="FC56" s="1226"/>
      <c r="FD56" s="1224">
        <f>+FB56*FB33*FB37/13+FC56</f>
        <v>24114.283704203899</v>
      </c>
      <c r="FE56" s="1225">
        <f>+FE35-FF54-FF52-FF50-FF48-FF46-FF44-FF42-FF40</f>
        <v>569297.01229923731</v>
      </c>
      <c r="FF56" s="1226"/>
      <c r="FG56" s="1224">
        <f>+FE56*FE33*FE37/13+FF56</f>
        <v>24114.283704203899</v>
      </c>
      <c r="FH56" s="1225">
        <f>+FH35-FI54-FI52-FI50-FI48-FI46-FI44-FI42-FI40</f>
        <v>1581596.5195341937</v>
      </c>
      <c r="FI56" s="1226"/>
      <c r="FJ56" s="1224">
        <f>+FH56*FH33*FH37/13+FI56</f>
        <v>63897.720679805156</v>
      </c>
      <c r="FK56" s="1225">
        <f>+FK35-FL54-FL52-FL50-FL48-FL46-FL44-FL42-FL40</f>
        <v>1286902.9638557974</v>
      </c>
      <c r="FL56" s="1226"/>
      <c r="FM56" s="1224">
        <f>+FK56*FK33*FK37/13+FL56</f>
        <v>48434.162927231118</v>
      </c>
      <c r="FN56" s="1225">
        <f>+FN35-FO54-FO52-FO50-FO48-FO46-FO44-FO42-FO40</f>
        <v>4799333.6418779958</v>
      </c>
      <c r="FO56" s="1226"/>
      <c r="FP56" s="1224">
        <f>+FN56*FN33*FN37/13+FO56</f>
        <v>220160.11769001556</v>
      </c>
      <c r="FQ56" s="1225">
        <f>+FQ35-FR54-FR52-FR50-FR48-FR46-FR44-FR42-FR40</f>
        <v>5002105.3953405414</v>
      </c>
      <c r="FR56" s="1226"/>
      <c r="FS56" s="1224">
        <f>+FQ56*FQ33*FQ37/13+FR56</f>
        <v>223170.6138342859</v>
      </c>
      <c r="FT56" s="1225">
        <f>+FT35-FU54-FU52-FU50-FU48-FU46-FU44-FU42-FU40</f>
        <v>123508.98856493362</v>
      </c>
      <c r="FU56" s="1226"/>
      <c r="FV56" s="1224">
        <f>+FT56*FT33*FT37/13+FU56</f>
        <v>4945.7111265270805</v>
      </c>
      <c r="FW56" s="1225">
        <f>+FW35-FX54-FX52-FX50-FX48-FX46-FX44-FX42-FX40</f>
        <v>124051.07637136296</v>
      </c>
      <c r="FX56" s="1226"/>
      <c r="FY56" s="1224">
        <f>+FW56*FW33*FW37/13+FX56</f>
        <v>4951.8013056518648</v>
      </c>
      <c r="FZ56" s="1225">
        <f>+FZ35-GA54-GA52-GA50-GA48-GA46-GA44-GA42-GA40</f>
        <v>337481.2572371409</v>
      </c>
      <c r="GA56" s="1226"/>
      <c r="GB56" s="1224">
        <f>+FZ56*FZ33*FZ37/13+GA56</f>
        <v>13854.298291254789</v>
      </c>
      <c r="GC56" s="1225">
        <f>+GC35-GD54-GD52-GD50-GD48-GD46-GD44-GD42-GD40</f>
        <v>133459.97288607579</v>
      </c>
      <c r="GD56" s="1226"/>
      <c r="GE56" s="1224">
        <f>+GC56*GC33*GC37/13+GD56</f>
        <v>5677.337354321664</v>
      </c>
      <c r="GF56" s="1225"/>
      <c r="GG56" s="1226"/>
      <c r="GH56" s="1224"/>
      <c r="GI56" s="1405">
        <f>G56+J56+M56+P56+S56+V56+Y56+AB56+AE56+AH56+AK56+AN56+AQ56+AT56+AW56+AZ56+BC56+BF56+BI56+BL56+BO56+BR56+BU56+BX56+CA56+CD56+CG56+CJ56+CM56+CP56+CS56+CV56+CY56+DB56+DE56+DH56+DK56+DN56+DQ56+DT56+DW56+DZ56+EC56+EF56+EI56+EL56+EO56+ER56+EU56+EX56+FA56+FD56+FG56+FJ56+FM56+FP56+FS56+FV56+FY56+GB56+GE56</f>
        <v>342977141.66997534</v>
      </c>
      <c r="GJ56" s="1612"/>
      <c r="GK56" s="1612">
        <f>+GI56</f>
        <v>342977141.66997534</v>
      </c>
      <c r="GL56" s="1407"/>
      <c r="GN56" s="1223"/>
      <c r="GO56" s="1223"/>
      <c r="GP56" s="1223"/>
      <c r="GQ56" s="1223"/>
      <c r="GR56" s="1223"/>
    </row>
    <row r="57" spans="1:221" s="1500" customFormat="1" ht="21" thickBot="1">
      <c r="A57" s="2432">
        <f t="shared" si="6"/>
        <v>39</v>
      </c>
      <c r="B57" s="2433"/>
      <c r="C57" s="2423" t="str">
        <f t="shared" si="7"/>
        <v>W Increased ROE</v>
      </c>
      <c r="D57" s="2424">
        <v>2014</v>
      </c>
      <c r="E57" s="1319">
        <f>+E56</f>
        <v>16741435.799999991</v>
      </c>
      <c r="F57" s="1320">
        <f>+F56</f>
        <v>492395.17</v>
      </c>
      <c r="G57" s="1321">
        <f t="shared" ref="G57:BR57" si="9">+G56</f>
        <v>2555171.6555022607</v>
      </c>
      <c r="H57" s="1319">
        <f t="shared" si="9"/>
        <v>6836254.769047617</v>
      </c>
      <c r="I57" s="1320">
        <f t="shared" si="9"/>
        <v>192119.57190476189</v>
      </c>
      <c r="J57" s="1321">
        <f t="shared" si="9"/>
        <v>1034440.7297169324</v>
      </c>
      <c r="K57" s="1319">
        <f t="shared" si="9"/>
        <v>73340324.476250023</v>
      </c>
      <c r="L57" s="1320">
        <f t="shared" si="9"/>
        <v>2061086.4021428572</v>
      </c>
      <c r="M57" s="1321">
        <f t="shared" si="9"/>
        <v>11097628.941027995</v>
      </c>
      <c r="N57" s="1319">
        <f t="shared" si="9"/>
        <v>18534744.774206351</v>
      </c>
      <c r="O57" s="1320">
        <f t="shared" si="9"/>
        <v>528306.26404761907</v>
      </c>
      <c r="P57" s="1321">
        <f t="shared" si="9"/>
        <v>2812043.2231571111</v>
      </c>
      <c r="Q57" s="1319">
        <f t="shared" si="9"/>
        <v>23701687.353044238</v>
      </c>
      <c r="R57" s="1320">
        <f t="shared" si="9"/>
        <v>642982.09523809503</v>
      </c>
      <c r="S57" s="1321">
        <f t="shared" si="9"/>
        <v>3563357.8576673842</v>
      </c>
      <c r="T57" s="1319">
        <f t="shared" si="9"/>
        <v>23054049.080897436</v>
      </c>
      <c r="U57" s="1320">
        <f t="shared" si="9"/>
        <v>614263.2228571428</v>
      </c>
      <c r="V57" s="1321">
        <f t="shared" si="9"/>
        <v>3454840.9909653161</v>
      </c>
      <c r="W57" s="1319">
        <f t="shared" si="9"/>
        <v>13997742.611410256</v>
      </c>
      <c r="X57" s="1320">
        <f t="shared" si="9"/>
        <v>374560.81380952382</v>
      </c>
      <c r="Y57" s="1321">
        <f t="shared" si="9"/>
        <v>2099276.3432224849</v>
      </c>
      <c r="Z57" s="1319">
        <f t="shared" si="9"/>
        <v>6107373.3390842509</v>
      </c>
      <c r="AA57" s="1320">
        <f t="shared" si="9"/>
        <v>165749.88095238095</v>
      </c>
      <c r="AB57" s="1321">
        <f t="shared" si="9"/>
        <v>918262.76351209683</v>
      </c>
      <c r="AC57" s="1319">
        <f t="shared" si="9"/>
        <v>18798545.401208796</v>
      </c>
      <c r="AD57" s="1320">
        <f t="shared" si="9"/>
        <v>501754.90738095244</v>
      </c>
      <c r="AE57" s="1321">
        <f t="shared" si="9"/>
        <v>2817995.7530592056</v>
      </c>
      <c r="AF57" s="1319">
        <f t="shared" si="9"/>
        <v>23879.595238095233</v>
      </c>
      <c r="AG57" s="1320">
        <f t="shared" si="9"/>
        <v>666.38928571428573</v>
      </c>
      <c r="AH57" s="1321">
        <f t="shared" si="9"/>
        <v>3608.6857606949225</v>
      </c>
      <c r="AI57" s="1319">
        <f t="shared" si="9"/>
        <v>8486009.7329487186</v>
      </c>
      <c r="AJ57" s="1320">
        <f t="shared" si="9"/>
        <v>218069.47404761909</v>
      </c>
      <c r="AK57" s="1321">
        <f t="shared" si="9"/>
        <v>1263663.2655233743</v>
      </c>
      <c r="AL57" s="1319">
        <f t="shared" si="9"/>
        <v>19344555.387069337</v>
      </c>
      <c r="AM57" s="1320">
        <f t="shared" si="9"/>
        <v>491118.82585882989</v>
      </c>
      <c r="AN57" s="1321">
        <f t="shared" si="9"/>
        <v>2874635.6550989319</v>
      </c>
      <c r="AO57" s="1319">
        <f t="shared" si="9"/>
        <v>20124598.050318394</v>
      </c>
      <c r="AP57" s="1320">
        <f t="shared" si="9"/>
        <v>504054.10714853473</v>
      </c>
      <c r="AQ57" s="1321">
        <f t="shared" si="9"/>
        <v>2983682.9833278074</v>
      </c>
      <c r="AR57" s="1319">
        <f t="shared" si="9"/>
        <v>77279955.395512834</v>
      </c>
      <c r="AS57" s="1320">
        <f t="shared" si="9"/>
        <v>1915126.5361904763</v>
      </c>
      <c r="AT57" s="1321">
        <f t="shared" si="9"/>
        <v>11437086.10375203</v>
      </c>
      <c r="AU57" s="1319">
        <f t="shared" si="9"/>
        <v>13851456.917014653</v>
      </c>
      <c r="AV57" s="1320">
        <f t="shared" si="9"/>
        <v>342972.41952380957</v>
      </c>
      <c r="AW57" s="1321">
        <f t="shared" si="9"/>
        <v>2049663.5277240679</v>
      </c>
      <c r="AX57" s="1319">
        <f t="shared" si="9"/>
        <v>17903425.162795499</v>
      </c>
      <c r="AY57" s="1320">
        <f t="shared" si="9"/>
        <v>444403.11105952383</v>
      </c>
      <c r="AZ57" s="1321">
        <f t="shared" si="9"/>
        <v>2650352.7605969938</v>
      </c>
      <c r="BA57" s="1319">
        <f t="shared" si="9"/>
        <v>6181331.7365424102</v>
      </c>
      <c r="BB57" s="1320">
        <f t="shared" si="9"/>
        <v>152151.55489285712</v>
      </c>
      <c r="BC57" s="1321">
        <f t="shared" si="9"/>
        <v>913777.13513302652</v>
      </c>
      <c r="BD57" s="1319">
        <f t="shared" si="9"/>
        <v>44747660.139560454</v>
      </c>
      <c r="BE57" s="1320">
        <f t="shared" si="9"/>
        <v>1094147.8826190478</v>
      </c>
      <c r="BF57" s="1321">
        <f t="shared" si="9"/>
        <v>6607678.634690633</v>
      </c>
      <c r="BG57" s="1319">
        <f t="shared" si="9"/>
        <v>15445872.230912635</v>
      </c>
      <c r="BH57" s="1320">
        <f t="shared" si="9"/>
        <v>289093.16757242329</v>
      </c>
      <c r="BI57" s="1321">
        <f t="shared" si="9"/>
        <v>1755636.3368108408</v>
      </c>
      <c r="BJ57" s="1319">
        <f t="shared" si="9"/>
        <v>21792104.087289374</v>
      </c>
      <c r="BK57" s="1320">
        <f t="shared" si="9"/>
        <v>524777.29190476181</v>
      </c>
      <c r="BL57" s="1321">
        <f t="shared" si="9"/>
        <v>3209865.9795117257</v>
      </c>
      <c r="BM57" s="1319">
        <f t="shared" si="9"/>
        <v>0</v>
      </c>
      <c r="BN57" s="1320">
        <f t="shared" si="9"/>
        <v>0</v>
      </c>
      <c r="BO57" s="1321">
        <f t="shared" si="9"/>
        <v>0</v>
      </c>
      <c r="BP57" s="1319">
        <f t="shared" si="9"/>
        <v>0</v>
      </c>
      <c r="BQ57" s="1320">
        <f t="shared" si="9"/>
        <v>0</v>
      </c>
      <c r="BR57" s="1321">
        <f t="shared" si="9"/>
        <v>0</v>
      </c>
      <c r="BS57" s="1319">
        <f t="shared" ref="BS57:DX57" si="10">+BS56</f>
        <v>60374268.580762535</v>
      </c>
      <c r="BT57" s="1320">
        <f t="shared" si="10"/>
        <v>1439906.6833568078</v>
      </c>
      <c r="BU57" s="1321">
        <f t="shared" si="10"/>
        <v>8878851.7682099827</v>
      </c>
      <c r="BV57" s="1319">
        <f t="shared" si="10"/>
        <v>68405611.270000011</v>
      </c>
      <c r="BW57" s="1320">
        <f t="shared" si="10"/>
        <v>556909.1195970698</v>
      </c>
      <c r="BX57" s="1321">
        <f t="shared" si="10"/>
        <v>3438903.2393366266</v>
      </c>
      <c r="BY57" s="2400">
        <f t="shared" si="10"/>
        <v>7389782.2199999997</v>
      </c>
      <c r="BZ57" s="2400">
        <f t="shared" si="10"/>
        <v>37991.859047619051</v>
      </c>
      <c r="CA57" s="2400">
        <f t="shared" si="10"/>
        <v>234599.00825794463</v>
      </c>
      <c r="CB57" s="1319">
        <f t="shared" si="10"/>
        <v>5454885.67948718</v>
      </c>
      <c r="CC57" s="1320">
        <f t="shared" si="10"/>
        <v>139468.73809523811</v>
      </c>
      <c r="CD57" s="1321">
        <f>+CB57*CB34*CB37/13+CC57</f>
        <v>859361.12225169642</v>
      </c>
      <c r="CE57" s="1319">
        <f t="shared" si="10"/>
        <v>40082736.72492674</v>
      </c>
      <c r="CF57" s="1320">
        <f t="shared" si="10"/>
        <v>717210.42234432243</v>
      </c>
      <c r="CG57" s="1321">
        <f>+CE57*CE34*CE37/13+CF57</f>
        <v>4647913.14120105</v>
      </c>
      <c r="CH57" s="1319">
        <f t="shared" ref="CH57" si="11">+CH56</f>
        <v>666962999.9288094</v>
      </c>
      <c r="CI57" s="2400">
        <f>+CH36/13*(CH37)</f>
        <v>10160548.050567763</v>
      </c>
      <c r="CJ57" s="1322">
        <f>+CH57*CH34*CH37/13+CI57</f>
        <v>66426878.657638691</v>
      </c>
      <c r="CK57" s="1319">
        <f t="shared" si="10"/>
        <v>333325376.1501947</v>
      </c>
      <c r="CL57" s="1320">
        <f t="shared" si="10"/>
        <v>6107990.0417127991</v>
      </c>
      <c r="CM57" s="1321">
        <f t="shared" si="10"/>
        <v>37392933.364198133</v>
      </c>
      <c r="CN57" s="1319">
        <f t="shared" si="10"/>
        <v>83696796.295659333</v>
      </c>
      <c r="CO57" s="1320">
        <f t="shared" si="10"/>
        <v>854944.45829670329</v>
      </c>
      <c r="CP57" s="1321">
        <f t="shared" si="10"/>
        <v>5279190.5034094471</v>
      </c>
      <c r="CQ57" s="1319">
        <f t="shared" si="10"/>
        <v>360673483.62600726</v>
      </c>
      <c r="CR57" s="1320">
        <f t="shared" si="10"/>
        <v>7742354.0829670317</v>
      </c>
      <c r="CS57" s="1321">
        <f t="shared" si="10"/>
        <v>47135527.716749653</v>
      </c>
      <c r="CT57" s="1319">
        <f t="shared" si="10"/>
        <v>274113324.99694139</v>
      </c>
      <c r="CU57" s="1320">
        <f t="shared" si="10"/>
        <v>2382627.0937912092</v>
      </c>
      <c r="CV57" s="1321">
        <f>+CT57*CT34*CT37/13+CU57</f>
        <v>14884012.682512447</v>
      </c>
      <c r="CW57" s="1319">
        <f>+CW56</f>
        <v>12476737.449230772</v>
      </c>
      <c r="CX57" s="1320"/>
      <c r="CY57" s="1321">
        <f>+CW57*CW34*CW37/13+CX57</f>
        <v>1646580.4778635267</v>
      </c>
      <c r="CZ57" s="1319">
        <f>+CZ56</f>
        <v>34481067.2823148</v>
      </c>
      <c r="DA57" s="1320"/>
      <c r="DB57" s="1321">
        <f>+CZ57*CZ34*CZ37/13+DA57</f>
        <v>31002624.1988426</v>
      </c>
      <c r="DC57" s="1319">
        <f>+DC56</f>
        <v>31617516.507692255</v>
      </c>
      <c r="DD57" s="1320"/>
      <c r="DE57" s="1321">
        <f>+DC57*DC34*DC37/13+DD57</f>
        <v>3895715.418987371</v>
      </c>
      <c r="DF57" s="1319">
        <f>+DF56</f>
        <v>160260925.22970003</v>
      </c>
      <c r="DG57" s="1320"/>
      <c r="DH57" s="1321">
        <f>+DF57*DF34*DF37/13+DG57</f>
        <v>16099944.238242168</v>
      </c>
      <c r="DI57" s="1319">
        <f>+DI56</f>
        <v>532375</v>
      </c>
      <c r="DJ57" s="1320"/>
      <c r="DK57" s="1321">
        <f>+DI57*DI34*DI37/13+DJ57</f>
        <v>65595.964682388032</v>
      </c>
      <c r="DL57" s="1319">
        <f>+DL56</f>
        <v>56976437.795739248</v>
      </c>
      <c r="DM57" s="1320"/>
      <c r="DN57" s="1321">
        <f>+DL57*DL34*DL37/13+DM57</f>
        <v>7020285.3277813382</v>
      </c>
      <c r="DO57" s="1319">
        <f>+DO56</f>
        <v>3745932.153846154</v>
      </c>
      <c r="DP57" s="1320"/>
      <c r="DQ57" s="1321">
        <f>+DO57*DO34*DO37/13+DP57</f>
        <v>461550.66121871618</v>
      </c>
      <c r="DR57" s="1319">
        <f t="shared" si="10"/>
        <v>211553988.13594681</v>
      </c>
      <c r="DS57" s="1320"/>
      <c r="DT57" s="1321">
        <f>+DR57*DR34*DR37/13+DS57</f>
        <v>29152116.376349088</v>
      </c>
      <c r="DU57" s="1319">
        <f t="shared" si="10"/>
        <v>33293621.139453173</v>
      </c>
      <c r="DV57" s="1320"/>
      <c r="DW57" s="1321">
        <f>+DU57*DU34*DU37/13+DV57</f>
        <v>3752144.9610000532</v>
      </c>
      <c r="DX57" s="1319">
        <f t="shared" si="10"/>
        <v>9496612.4013040196</v>
      </c>
      <c r="DY57" s="1320"/>
      <c r="DZ57" s="1321">
        <f t="shared" ref="DZ57:EA57" si="12">+DZ56</f>
        <v>391382.80879032012</v>
      </c>
      <c r="EA57" s="1319">
        <f t="shared" si="12"/>
        <v>1589541.2253701026</v>
      </c>
      <c r="EB57" s="1320"/>
      <c r="EC57" s="1321">
        <f t="shared" ref="EC57:GE57" si="13">+EC56</f>
        <v>61526.379599046748</v>
      </c>
      <c r="ED57" s="1319">
        <f t="shared" si="13"/>
        <v>1531032.2462593953</v>
      </c>
      <c r="EE57" s="1320"/>
      <c r="EF57" s="1321">
        <f t="shared" si="13"/>
        <v>58653.275446504427</v>
      </c>
      <c r="EG57" s="1319">
        <f t="shared" si="13"/>
        <v>2114341.9261709633</v>
      </c>
      <c r="EH57" s="1320"/>
      <c r="EI57" s="1321">
        <f t="shared" si="13"/>
        <v>74196.743197111238</v>
      </c>
      <c r="EJ57" s="1319">
        <f t="shared" si="13"/>
        <v>1476460.2950320875</v>
      </c>
      <c r="EK57" s="1320"/>
      <c r="EL57" s="1321">
        <f t="shared" si="13"/>
        <v>58912.078228358143</v>
      </c>
      <c r="EM57" s="1319">
        <f t="shared" si="13"/>
        <v>838905.61719283112</v>
      </c>
      <c r="EN57" s="1320"/>
      <c r="EO57" s="1321">
        <f t="shared" si="13"/>
        <v>41990.917170161265</v>
      </c>
      <c r="EP57" s="1319">
        <f t="shared" si="13"/>
        <v>433918.16895370069</v>
      </c>
      <c r="EQ57" s="1320"/>
      <c r="ER57" s="1321">
        <f t="shared" si="13"/>
        <v>21259.275875232033</v>
      </c>
      <c r="ES57" s="1319">
        <f t="shared" si="13"/>
        <v>1370003.0723767879</v>
      </c>
      <c r="ET57" s="1320"/>
      <c r="EU57" s="1321">
        <f t="shared" si="13"/>
        <v>56093.391458519436</v>
      </c>
      <c r="EV57" s="1319">
        <f t="shared" si="13"/>
        <v>597317.15348679014</v>
      </c>
      <c r="EW57" s="1320"/>
      <c r="EX57" s="1321">
        <f t="shared" si="13"/>
        <v>24145.472368313996</v>
      </c>
      <c r="EY57" s="1319">
        <f t="shared" si="13"/>
        <v>597317.15348679014</v>
      </c>
      <c r="EZ57" s="1320"/>
      <c r="FA57" s="1321">
        <f t="shared" si="13"/>
        <v>24145.472368313996</v>
      </c>
      <c r="FB57" s="1319">
        <f t="shared" si="13"/>
        <v>569297.01229923731</v>
      </c>
      <c r="FC57" s="1320"/>
      <c r="FD57" s="1321">
        <f t="shared" si="13"/>
        <v>24114.283704203899</v>
      </c>
      <c r="FE57" s="1319">
        <f t="shared" si="13"/>
        <v>569297.01229923731</v>
      </c>
      <c r="FF57" s="1320"/>
      <c r="FG57" s="1321">
        <f t="shared" si="13"/>
        <v>24114.283704203899</v>
      </c>
      <c r="FH57" s="1319">
        <f t="shared" si="13"/>
        <v>1581596.5195341937</v>
      </c>
      <c r="FI57" s="1320"/>
      <c r="FJ57" s="1321">
        <f t="shared" si="13"/>
        <v>63897.720679805156</v>
      </c>
      <c r="FK57" s="1319">
        <f t="shared" si="13"/>
        <v>1286902.9638557974</v>
      </c>
      <c r="FL57" s="1320"/>
      <c r="FM57" s="1321">
        <f t="shared" si="13"/>
        <v>48434.162927231118</v>
      </c>
      <c r="FN57" s="1319">
        <f t="shared" si="13"/>
        <v>4799333.6418779958</v>
      </c>
      <c r="FO57" s="1320"/>
      <c r="FP57" s="1321">
        <f t="shared" si="13"/>
        <v>220160.11769001556</v>
      </c>
      <c r="FQ57" s="1319">
        <f t="shared" si="13"/>
        <v>5002105.3953405414</v>
      </c>
      <c r="FR57" s="1320"/>
      <c r="FS57" s="1321">
        <f t="shared" si="13"/>
        <v>223170.6138342859</v>
      </c>
      <c r="FT57" s="1319">
        <f t="shared" si="13"/>
        <v>123508.98856493362</v>
      </c>
      <c r="FU57" s="1320"/>
      <c r="FV57" s="1321">
        <f t="shared" si="13"/>
        <v>4945.7111265270805</v>
      </c>
      <c r="FW57" s="1319">
        <f t="shared" si="13"/>
        <v>124051.07637136296</v>
      </c>
      <c r="FX57" s="1320"/>
      <c r="FY57" s="1321">
        <f t="shared" si="13"/>
        <v>4951.8013056518648</v>
      </c>
      <c r="FZ57" s="1319">
        <f t="shared" si="13"/>
        <v>337481.2572371409</v>
      </c>
      <c r="GA57" s="1320"/>
      <c r="GB57" s="1321">
        <f t="shared" si="13"/>
        <v>13854.298291254789</v>
      </c>
      <c r="GC57" s="1319">
        <f t="shared" si="13"/>
        <v>133459.97288607579</v>
      </c>
      <c r="GD57" s="1320"/>
      <c r="GE57" s="1321">
        <f t="shared" si="13"/>
        <v>5677.337354321664</v>
      </c>
      <c r="GF57" s="1319"/>
      <c r="GG57" s="1320"/>
      <c r="GH57" s="1321"/>
      <c r="GI57" s="1408">
        <f>G57+J57+M57+P57+S57+V57+Y57+AB57+AE57+AH57+AK57+AN57+AQ57+AT57+AW57+AZ57+BC57+BF57+BI57+BL57+BO57+BR57+BU57+BX57+CA57+CD57+CG57+CJ57+CM57+CP57+CS57+CV57+CY57+DB57+DE57+DH57+DK57+DN57+DQ57+DT57+DW57+DZ57+EC57+EF57+EI57+EL57+EO57+ER57+EU57+EX57+FA57+FD57+FG57+FJ57+FM57+FP57+FS57+FV57+FY57+GB57+GE57</f>
        <v>349823024.29961312</v>
      </c>
      <c r="GJ57" s="2401">
        <f>+GI57</f>
        <v>349823024.29961312</v>
      </c>
      <c r="GK57" s="2401"/>
      <c r="GL57" s="2425">
        <f>+GJ57-GK56</f>
        <v>6845882.6296377778</v>
      </c>
      <c r="GN57" s="1223"/>
      <c r="GO57" s="1223"/>
      <c r="GP57" s="1223"/>
      <c r="GQ57" s="1223"/>
      <c r="GR57" s="1223"/>
    </row>
    <row r="58" spans="1:221" s="1602" customFormat="1" ht="42.75" customHeight="1">
      <c r="A58" s="1605"/>
      <c r="B58" s="1606"/>
      <c r="D58" s="1605"/>
      <c r="E58" s="1607"/>
      <c r="H58" s="1607"/>
      <c r="J58" s="1604"/>
      <c r="K58" s="1607"/>
      <c r="L58" s="1604"/>
      <c r="M58" s="1604"/>
      <c r="N58" s="1607"/>
      <c r="O58" s="1604"/>
      <c r="P58" s="1604"/>
      <c r="Q58" s="1607"/>
      <c r="R58" s="1604"/>
      <c r="S58" s="1604"/>
      <c r="T58" s="1607"/>
      <c r="U58" s="1604"/>
      <c r="V58" s="1604"/>
      <c r="W58" s="1607"/>
      <c r="X58" s="1604"/>
      <c r="Y58" s="1604"/>
      <c r="Z58" s="1607"/>
      <c r="AA58" s="1604"/>
      <c r="AB58" s="1604"/>
      <c r="AC58" s="1607"/>
      <c r="AD58" s="1604"/>
      <c r="AE58" s="1604"/>
      <c r="AF58" s="1607"/>
      <c r="AG58" s="1604"/>
      <c r="AH58" s="1604"/>
      <c r="AI58" s="1607"/>
      <c r="AJ58" s="1604"/>
      <c r="AK58" s="1604"/>
      <c r="AL58" s="1607"/>
      <c r="AM58" s="1604"/>
      <c r="AN58" s="1604"/>
      <c r="AO58" s="1607"/>
      <c r="AR58" s="1607"/>
      <c r="AU58" s="1607"/>
      <c r="AX58" s="1607"/>
      <c r="BA58" s="1607"/>
      <c r="BD58" s="1607"/>
      <c r="BG58" s="1607"/>
      <c r="BJ58" s="1607"/>
      <c r="BS58" s="1607"/>
      <c r="BV58" s="1607"/>
      <c r="BY58" s="1607"/>
      <c r="CB58" s="1607"/>
      <c r="CE58" s="1607"/>
      <c r="CH58" s="1607"/>
      <c r="CK58" s="1607"/>
      <c r="CN58" s="1607"/>
      <c r="CQ58" s="1607"/>
      <c r="CT58" s="1607"/>
      <c r="CW58" s="1607"/>
      <c r="CX58" s="1611"/>
      <c r="CZ58" s="1607"/>
      <c r="DB58" s="1610"/>
      <c r="DC58" s="1607"/>
      <c r="DF58" s="1607"/>
      <c r="DI58" s="1607"/>
      <c r="DL58" s="1607"/>
      <c r="DM58" s="1603"/>
      <c r="DN58" s="1603"/>
      <c r="DO58" s="1607"/>
      <c r="DP58" s="1603"/>
      <c r="DQ58" s="1603"/>
      <c r="DR58" s="1607"/>
      <c r="DS58" s="1603"/>
      <c r="DT58" s="1603"/>
      <c r="DU58" s="1607"/>
      <c r="DV58" s="1603"/>
      <c r="DW58" s="1603"/>
      <c r="DX58" s="1607"/>
      <c r="DY58" s="1603"/>
      <c r="DZ58" s="1603"/>
      <c r="EA58" s="1607"/>
      <c r="EB58" s="1603"/>
      <c r="EC58" s="1603"/>
      <c r="ED58" s="1607"/>
      <c r="EE58" s="1603"/>
      <c r="EF58" s="1603"/>
      <c r="EG58" s="1607"/>
      <c r="EH58" s="1603"/>
      <c r="EI58" s="1603"/>
      <c r="EJ58" s="1607"/>
      <c r="EM58" s="1607"/>
      <c r="EP58" s="1607"/>
      <c r="ES58" s="1607"/>
      <c r="EV58" s="1607"/>
      <c r="EY58" s="1607"/>
      <c r="FB58" s="1607"/>
      <c r="FE58" s="1607"/>
      <c r="FH58" s="1607"/>
      <c r="FK58" s="1607"/>
      <c r="FN58" s="1607"/>
      <c r="FQ58" s="1607"/>
      <c r="FT58" s="1607"/>
      <c r="FW58" s="1607"/>
      <c r="FZ58" s="1607"/>
      <c r="GC58" s="1607"/>
      <c r="GF58" s="1607"/>
    </row>
    <row r="59" spans="1:221" ht="20.399999999999999">
      <c r="D59" s="1608"/>
      <c r="E59" s="1226"/>
      <c r="F59" s="1223"/>
      <c r="G59" s="1223"/>
      <c r="GL59" s="1609"/>
    </row>
    <row r="60" spans="1:221" ht="21" customHeight="1">
      <c r="D60" s="1608"/>
      <c r="E60" s="1226"/>
      <c r="F60" s="1226"/>
      <c r="G60" s="1226"/>
      <c r="H60" s="1532"/>
      <c r="I60" s="1532"/>
      <c r="AP60" s="1599"/>
      <c r="AQ60" s="1599"/>
      <c r="AR60" s="1599"/>
      <c r="AS60" s="1599"/>
      <c r="AT60" s="1599"/>
      <c r="AU60" s="1599"/>
      <c r="AV60" s="1599"/>
      <c r="AW60" s="1599"/>
      <c r="AX60" s="1599"/>
      <c r="AY60" s="1599"/>
      <c r="AZ60" s="1599"/>
      <c r="BA60" s="1599"/>
      <c r="BB60" s="1599"/>
      <c r="BC60" s="1599"/>
      <c r="BD60" s="1599"/>
      <c r="BE60" s="1599"/>
      <c r="BF60" s="1599"/>
      <c r="BG60" s="1599"/>
      <c r="BH60" s="1599"/>
      <c r="BI60" s="1599"/>
      <c r="BJ60" s="1599"/>
      <c r="BK60" s="1599"/>
      <c r="BL60" s="1599"/>
      <c r="BM60" s="1599"/>
      <c r="BN60" s="1599"/>
      <c r="BO60" s="1599"/>
      <c r="BP60" s="1599"/>
    </row>
    <row r="61" spans="1:221">
      <c r="D61" s="1608"/>
      <c r="E61" s="1608"/>
      <c r="F61" s="1598"/>
      <c r="G61" s="1598"/>
    </row>
    <row r="64" spans="1:221">
      <c r="A64" s="560"/>
      <c r="B64" s="560"/>
      <c r="D64" s="560"/>
      <c r="E64" s="560"/>
      <c r="J64" s="560"/>
      <c r="K64" s="560"/>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0"/>
      <c r="AI64" s="560"/>
      <c r="AJ64" s="560"/>
      <c r="AK64" s="560"/>
      <c r="AL64" s="560"/>
      <c r="AM64" s="560"/>
      <c r="AN64" s="560"/>
      <c r="AO64" s="560"/>
      <c r="CX64" s="560"/>
      <c r="DM64" s="560"/>
      <c r="DN64" s="560"/>
      <c r="DO64" s="560"/>
      <c r="DP64" s="560"/>
      <c r="DQ64" s="560"/>
      <c r="DR64" s="560"/>
      <c r="DS64" s="560"/>
      <c r="DT64" s="560"/>
      <c r="DU64" s="560"/>
      <c r="DV64" s="560"/>
      <c r="DW64" s="560"/>
      <c r="DX64" s="560"/>
      <c r="DY64" s="560"/>
      <c r="DZ64" s="560"/>
      <c r="EA64" s="560"/>
      <c r="EB64" s="560"/>
      <c r="EC64" s="560"/>
      <c r="ED64" s="560"/>
      <c r="EE64" s="560"/>
      <c r="EF64" s="560"/>
      <c r="EG64" s="560"/>
      <c r="EH64" s="560"/>
      <c r="EI64" s="560"/>
    </row>
    <row r="65" spans="1:139">
      <c r="A65" s="560"/>
      <c r="B65" s="560"/>
      <c r="D65" s="560"/>
      <c r="E65" s="560"/>
      <c r="J65" s="560"/>
      <c r="K65" s="560"/>
      <c r="L65" s="560"/>
      <c r="M65" s="560"/>
      <c r="N65" s="560"/>
      <c r="O65" s="560"/>
      <c r="P65" s="560"/>
      <c r="Q65" s="560"/>
      <c r="R65" s="560"/>
      <c r="S65" s="560"/>
      <c r="T65" s="560"/>
      <c r="U65" s="560"/>
      <c r="V65" s="560"/>
      <c r="W65" s="560"/>
      <c r="X65" s="560"/>
      <c r="Y65" s="560"/>
      <c r="Z65" s="560"/>
      <c r="AA65" s="560"/>
      <c r="AB65" s="560"/>
      <c r="AC65" s="560"/>
      <c r="AD65" s="560"/>
      <c r="AE65" s="560"/>
      <c r="AF65" s="560"/>
      <c r="AG65" s="560"/>
      <c r="AH65" s="560"/>
      <c r="AI65" s="560"/>
      <c r="AJ65" s="560"/>
      <c r="AK65" s="560"/>
      <c r="AL65" s="560"/>
      <c r="AM65" s="560"/>
      <c r="AN65" s="560"/>
      <c r="AO65" s="560"/>
      <c r="CX65" s="560"/>
      <c r="DM65" s="560"/>
      <c r="DN65" s="560"/>
      <c r="DO65" s="560"/>
      <c r="DP65" s="560"/>
      <c r="DQ65" s="560"/>
      <c r="DR65" s="560"/>
      <c r="DS65" s="560"/>
      <c r="DT65" s="560"/>
      <c r="DU65" s="560"/>
      <c r="DV65" s="560"/>
      <c r="DW65" s="560"/>
      <c r="DX65" s="560"/>
      <c r="DY65" s="560"/>
      <c r="DZ65" s="560"/>
      <c r="EA65" s="560"/>
      <c r="EB65" s="560"/>
      <c r="EC65" s="560"/>
      <c r="ED65" s="560"/>
      <c r="EE65" s="560"/>
      <c r="EF65" s="560"/>
      <c r="EG65" s="560"/>
      <c r="EH65" s="560"/>
      <c r="EI65" s="560"/>
    </row>
    <row r="66" spans="1:139" ht="22.8">
      <c r="A66" s="560"/>
      <c r="B66" s="560"/>
      <c r="D66" s="560"/>
      <c r="E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560"/>
      <c r="AG66" s="560"/>
      <c r="AH66" s="560"/>
      <c r="AI66" s="560"/>
      <c r="AJ66" s="560"/>
      <c r="AK66" s="560"/>
      <c r="AL66" s="560"/>
      <c r="AM66" s="560"/>
      <c r="AN66" s="560"/>
      <c r="AO66" s="560"/>
      <c r="BN66" s="1607"/>
      <c r="CE66" s="1607"/>
      <c r="CX66" s="560"/>
      <c r="DM66" s="560"/>
      <c r="DN66" s="560"/>
      <c r="DO66" s="560"/>
      <c r="DP66" s="560"/>
      <c r="DQ66" s="560"/>
      <c r="DR66" s="560"/>
      <c r="DS66" s="560"/>
      <c r="DT66" s="560"/>
      <c r="DU66" s="560"/>
      <c r="DV66" s="560"/>
      <c r="DW66" s="560"/>
      <c r="DX66" s="560"/>
      <c r="DY66" s="560"/>
      <c r="DZ66" s="560"/>
      <c r="EA66" s="560"/>
      <c r="EB66" s="560"/>
      <c r="EC66" s="560"/>
      <c r="ED66" s="560"/>
      <c r="EE66" s="560"/>
      <c r="EF66" s="560"/>
      <c r="EG66" s="560"/>
      <c r="EH66" s="560"/>
      <c r="EI66" s="560"/>
    </row>
    <row r="67" spans="1:139">
      <c r="A67" s="560"/>
      <c r="B67" s="560"/>
      <c r="D67" s="560"/>
      <c r="E67" s="560"/>
      <c r="J67" s="560"/>
      <c r="K67" s="560"/>
      <c r="L67" s="560"/>
      <c r="M67" s="560"/>
      <c r="N67" s="560"/>
      <c r="O67" s="560"/>
      <c r="P67" s="560"/>
      <c r="Q67" s="560"/>
      <c r="R67" s="560"/>
      <c r="S67" s="560"/>
      <c r="T67" s="560"/>
      <c r="U67" s="560"/>
      <c r="V67" s="560"/>
      <c r="W67" s="560"/>
      <c r="X67" s="560"/>
      <c r="Y67" s="560"/>
      <c r="Z67" s="560"/>
      <c r="AA67" s="560"/>
      <c r="AB67" s="560"/>
      <c r="AC67" s="560"/>
      <c r="AD67" s="560"/>
      <c r="AE67" s="560"/>
      <c r="AF67" s="560"/>
      <c r="AG67" s="560"/>
      <c r="AH67" s="560"/>
      <c r="AI67" s="560"/>
      <c r="AJ67" s="560"/>
      <c r="AK67" s="560"/>
      <c r="AL67" s="560"/>
      <c r="AM67" s="560"/>
      <c r="AN67" s="560"/>
      <c r="AO67" s="560"/>
      <c r="CX67" s="560"/>
      <c r="DM67" s="560"/>
      <c r="DN67" s="560"/>
      <c r="DO67" s="560"/>
      <c r="DP67" s="560"/>
      <c r="DQ67" s="560"/>
      <c r="DR67" s="560"/>
      <c r="DS67" s="560"/>
      <c r="DT67" s="560"/>
      <c r="DU67" s="560"/>
      <c r="DV67" s="560"/>
      <c r="DW67" s="560"/>
      <c r="DX67" s="560"/>
      <c r="DY67" s="560"/>
      <c r="DZ67" s="560"/>
      <c r="EA67" s="560"/>
      <c r="EB67" s="560"/>
      <c r="EC67" s="560"/>
      <c r="ED67" s="560"/>
      <c r="EE67" s="560"/>
      <c r="EF67" s="560"/>
      <c r="EG67" s="560"/>
      <c r="EH67" s="560"/>
      <c r="EI67" s="560"/>
    </row>
    <row r="68" spans="1:139">
      <c r="A68" s="560"/>
      <c r="B68" s="560"/>
      <c r="D68" s="560"/>
      <c r="E68" s="560"/>
      <c r="J68" s="560"/>
      <c r="K68" s="560"/>
      <c r="L68" s="560"/>
      <c r="M68" s="560"/>
      <c r="N68" s="560"/>
      <c r="O68" s="560"/>
      <c r="P68" s="560"/>
      <c r="Q68" s="560"/>
      <c r="R68" s="560"/>
      <c r="S68" s="560"/>
      <c r="T68" s="560"/>
      <c r="U68" s="560"/>
      <c r="V68" s="560"/>
      <c r="W68" s="560"/>
      <c r="X68" s="560"/>
      <c r="Y68" s="560"/>
      <c r="Z68" s="560"/>
      <c r="AA68" s="560"/>
      <c r="AB68" s="560"/>
      <c r="AC68" s="560"/>
      <c r="AD68" s="560"/>
      <c r="AE68" s="560"/>
      <c r="AF68" s="560"/>
      <c r="AG68" s="560"/>
      <c r="AH68" s="560"/>
      <c r="AI68" s="560"/>
      <c r="AJ68" s="560"/>
      <c r="AK68" s="560"/>
      <c r="AL68" s="560"/>
      <c r="AM68" s="560"/>
      <c r="AN68" s="560"/>
      <c r="AO68" s="560"/>
      <c r="CX68" s="560"/>
      <c r="DM68" s="560"/>
      <c r="DN68" s="560"/>
      <c r="DO68" s="560"/>
      <c r="DP68" s="560"/>
      <c r="DQ68" s="560"/>
      <c r="DR68" s="560"/>
      <c r="DS68" s="560"/>
      <c r="DT68" s="560"/>
      <c r="DU68" s="560"/>
      <c r="DV68" s="560"/>
      <c r="DW68" s="560"/>
      <c r="DX68" s="560"/>
      <c r="DY68" s="560"/>
      <c r="DZ68" s="560"/>
      <c r="EA68" s="560"/>
      <c r="EB68" s="560"/>
      <c r="EC68" s="560"/>
      <c r="ED68" s="560"/>
      <c r="EE68" s="560"/>
      <c r="EF68" s="560"/>
      <c r="EG68" s="560"/>
      <c r="EH68" s="560"/>
      <c r="EI68" s="560"/>
    </row>
    <row r="69" spans="1:139">
      <c r="A69" s="560"/>
      <c r="B69" s="560"/>
      <c r="D69" s="560"/>
      <c r="E69" s="560"/>
      <c r="J69" s="560"/>
      <c r="K69" s="560"/>
      <c r="L69" s="560"/>
      <c r="M69" s="560"/>
      <c r="N69" s="560"/>
      <c r="O69" s="560"/>
      <c r="P69" s="560"/>
      <c r="Q69" s="560"/>
      <c r="R69" s="560"/>
      <c r="S69" s="560"/>
      <c r="T69" s="560"/>
      <c r="U69" s="560"/>
      <c r="V69" s="560"/>
      <c r="W69" s="560"/>
      <c r="X69" s="560"/>
      <c r="Y69" s="560"/>
      <c r="Z69" s="560"/>
      <c r="AA69" s="560"/>
      <c r="AB69" s="560"/>
      <c r="AC69" s="560"/>
      <c r="AD69" s="560"/>
      <c r="AE69" s="560"/>
      <c r="AF69" s="560"/>
      <c r="AG69" s="560"/>
      <c r="AH69" s="560"/>
      <c r="AI69" s="560"/>
      <c r="AJ69" s="560"/>
      <c r="AK69" s="560"/>
      <c r="AL69" s="560"/>
      <c r="AM69" s="560"/>
      <c r="AN69" s="560"/>
      <c r="AO69" s="560"/>
      <c r="CX69" s="560"/>
      <c r="DM69" s="560"/>
      <c r="DN69" s="560"/>
      <c r="DO69" s="560"/>
      <c r="DP69" s="560"/>
      <c r="DQ69" s="560"/>
      <c r="DR69" s="560"/>
      <c r="DS69" s="560"/>
      <c r="DT69" s="560"/>
      <c r="DU69" s="560"/>
      <c r="DV69" s="560"/>
      <c r="DW69" s="560"/>
      <c r="DX69" s="560"/>
      <c r="DY69" s="560"/>
      <c r="DZ69" s="560"/>
      <c r="EA69" s="560"/>
      <c r="EB69" s="560"/>
      <c r="EC69" s="560"/>
      <c r="ED69" s="560"/>
      <c r="EE69" s="560"/>
      <c r="EF69" s="560"/>
      <c r="EG69" s="560"/>
      <c r="EH69" s="560"/>
      <c r="EI69" s="560"/>
    </row>
    <row r="70" spans="1:139">
      <c r="A70" s="560"/>
      <c r="B70" s="560"/>
      <c r="D70" s="560"/>
      <c r="E70" s="560"/>
      <c r="J70" s="560"/>
      <c r="K70" s="560"/>
      <c r="L70" s="560"/>
      <c r="M70" s="560"/>
      <c r="N70" s="560"/>
      <c r="O70" s="560"/>
      <c r="P70" s="560"/>
      <c r="Q70" s="560"/>
      <c r="R70" s="560"/>
      <c r="S70" s="560"/>
      <c r="T70" s="560"/>
      <c r="U70" s="560"/>
      <c r="V70" s="560"/>
      <c r="W70" s="560"/>
      <c r="X70" s="560"/>
      <c r="Y70" s="560"/>
      <c r="Z70" s="560"/>
      <c r="AA70" s="560"/>
      <c r="AB70" s="560"/>
      <c r="AC70" s="560"/>
      <c r="AD70" s="560"/>
      <c r="AE70" s="560"/>
      <c r="AF70" s="560"/>
      <c r="AG70" s="560"/>
      <c r="AH70" s="560"/>
      <c r="AI70" s="560"/>
      <c r="AJ70" s="560"/>
      <c r="AK70" s="560"/>
      <c r="AL70" s="560"/>
      <c r="AM70" s="560"/>
      <c r="AN70" s="560"/>
      <c r="AO70" s="560"/>
      <c r="CX70" s="560"/>
      <c r="DM70" s="560"/>
      <c r="DN70" s="560"/>
      <c r="DO70" s="560"/>
      <c r="DP70" s="560"/>
      <c r="DQ70" s="560"/>
      <c r="DR70" s="560"/>
      <c r="DS70" s="560"/>
      <c r="DT70" s="560"/>
      <c r="DU70" s="560"/>
      <c r="DV70" s="560"/>
      <c r="DW70" s="560"/>
      <c r="DX70" s="560"/>
      <c r="DY70" s="560"/>
      <c r="DZ70" s="560"/>
      <c r="EA70" s="560"/>
      <c r="EB70" s="560"/>
      <c r="EC70" s="560"/>
      <c r="ED70" s="560"/>
      <c r="EE70" s="560"/>
      <c r="EF70" s="560"/>
      <c r="EG70" s="560"/>
      <c r="EH70" s="560"/>
      <c r="EI70" s="560"/>
    </row>
    <row r="71" spans="1:139">
      <c r="A71" s="560"/>
      <c r="B71" s="560"/>
      <c r="D71" s="560"/>
      <c r="E71" s="560"/>
      <c r="J71" s="560"/>
      <c r="K71" s="560"/>
      <c r="L71" s="560"/>
      <c r="M71" s="560"/>
      <c r="N71" s="560"/>
      <c r="O71" s="560"/>
      <c r="P71" s="560"/>
      <c r="Q71" s="560"/>
      <c r="R71" s="560"/>
      <c r="S71" s="560"/>
      <c r="T71" s="560"/>
      <c r="U71" s="560"/>
      <c r="V71" s="560"/>
      <c r="W71" s="560"/>
      <c r="X71" s="560"/>
      <c r="Y71" s="560"/>
      <c r="Z71" s="560"/>
      <c r="AA71" s="560"/>
      <c r="AB71" s="560"/>
      <c r="AC71" s="560"/>
      <c r="AD71" s="560"/>
      <c r="AE71" s="560"/>
      <c r="AF71" s="560"/>
      <c r="AG71" s="560"/>
      <c r="AH71" s="560"/>
      <c r="AI71" s="560"/>
      <c r="AJ71" s="560"/>
      <c r="AK71" s="560"/>
      <c r="AL71" s="560"/>
      <c r="AM71" s="560"/>
      <c r="AN71" s="560"/>
      <c r="AO71" s="560"/>
      <c r="CX71" s="560"/>
      <c r="DM71" s="560"/>
      <c r="DN71" s="560"/>
      <c r="DO71" s="560"/>
      <c r="DP71" s="560"/>
      <c r="DQ71" s="560"/>
      <c r="DR71" s="560"/>
      <c r="DS71" s="560"/>
      <c r="DT71" s="560"/>
      <c r="DU71" s="560"/>
      <c r="DV71" s="560"/>
      <c r="DW71" s="560"/>
      <c r="DX71" s="560"/>
      <c r="DY71" s="560"/>
      <c r="DZ71" s="560"/>
      <c r="EA71" s="560"/>
      <c r="EB71" s="560"/>
      <c r="EC71" s="560"/>
      <c r="ED71" s="560"/>
      <c r="EE71" s="560"/>
      <c r="EF71" s="560"/>
      <c r="EG71" s="560"/>
      <c r="EH71" s="560"/>
      <c r="EI71" s="560"/>
    </row>
    <row r="95" spans="1:191" s="1602" customFormat="1" ht="22.8">
      <c r="A95" s="1605"/>
      <c r="B95" s="1606"/>
      <c r="D95" s="1605"/>
      <c r="E95" s="1605"/>
      <c r="J95" s="1604"/>
      <c r="M95" s="1604"/>
      <c r="P95" s="1604"/>
      <c r="S95" s="1604"/>
      <c r="V95" s="1604"/>
      <c r="Y95" s="1604"/>
      <c r="AB95" s="1604"/>
      <c r="AE95" s="1604"/>
      <c r="AH95" s="1604"/>
      <c r="AK95" s="1604"/>
      <c r="AN95" s="1604"/>
      <c r="DM95" s="1603"/>
      <c r="DN95" s="1603"/>
      <c r="DO95" s="1603"/>
      <c r="DP95" s="1603"/>
      <c r="DQ95" s="1603"/>
      <c r="DT95" s="1603"/>
      <c r="DW95" s="1603"/>
      <c r="DZ95" s="1603"/>
      <c r="EC95" s="1603"/>
      <c r="EF95" s="1603"/>
      <c r="EI95" s="1603"/>
      <c r="GI95" s="1601"/>
    </row>
    <row r="96" spans="1:191" s="1602" customFormat="1" ht="22.8">
      <c r="A96" s="1605"/>
      <c r="B96" s="1606"/>
      <c r="D96" s="1605"/>
      <c r="E96" s="1605"/>
      <c r="J96" s="1604"/>
      <c r="M96" s="1604"/>
      <c r="P96" s="1604"/>
      <c r="S96" s="1604"/>
      <c r="V96" s="1604"/>
      <c r="Y96" s="1604"/>
      <c r="AB96" s="1604"/>
      <c r="AE96" s="1604"/>
      <c r="AH96" s="1604"/>
      <c r="AK96" s="1604"/>
      <c r="AN96" s="1604"/>
      <c r="DM96" s="1603"/>
      <c r="DN96" s="1603"/>
      <c r="DO96" s="1603"/>
      <c r="DP96" s="1603"/>
      <c r="DQ96" s="1603"/>
      <c r="DT96" s="1603"/>
      <c r="DW96" s="1603"/>
      <c r="DZ96" s="1603"/>
      <c r="EC96" s="1603"/>
      <c r="EF96" s="1603"/>
      <c r="EI96" s="1603"/>
      <c r="GI96" s="1601"/>
    </row>
    <row r="99" spans="191:191" ht="22.8">
      <c r="GI99" s="1601"/>
    </row>
    <row r="100" spans="191:191" ht="22.8">
      <c r="GI100" s="1601"/>
    </row>
    <row r="101" spans="191:191" ht="22.8">
      <c r="GI101" s="1601"/>
    </row>
  </sheetData>
  <customSheetViews>
    <customSheetView guid="{416404B7-8533-4A12-ABD0-58CFDEB49D80}" scale="50">
      <selection activeCell="F45" sqref="F45"/>
      <colBreaks count="9" manualBreakCount="9">
        <brk id="16" max="56" man="1"/>
        <brk id="25" max="56" man="1"/>
        <brk id="37" max="56" man="1"/>
        <brk id="49" max="56" man="1"/>
        <brk id="61" max="56" man="1"/>
        <brk id="73" max="56" man="1"/>
        <brk id="88" max="56" man="1"/>
        <brk id="100" max="56" man="1"/>
        <brk id="112" max="1048575" man="1"/>
      </colBreaks>
      <pageMargins left="0.49" right="0.21" top="0.55000000000000004" bottom="0.22" header="0.45" footer="0.4"/>
      <printOptions horizontalCentered="1" verticalCentered="1"/>
      <pageSetup scale="28" fitToWidth="3" fitToHeight="3" orientation="landscape" r:id="rId1"/>
      <headerFooter alignWithMargins="0"/>
    </customSheetView>
  </customSheetViews>
  <mergeCells count="65">
    <mergeCell ref="FW28:FY28"/>
    <mergeCell ref="FZ28:GB28"/>
    <mergeCell ref="GC28:GE28"/>
    <mergeCell ref="GF28:GH28"/>
    <mergeCell ref="FH28:FJ28"/>
    <mergeCell ref="FK28:FM28"/>
    <mergeCell ref="FN28:FP28"/>
    <mergeCell ref="FQ28:FS28"/>
    <mergeCell ref="FT28:FV28"/>
    <mergeCell ref="ES28:EU28"/>
    <mergeCell ref="EV28:EX28"/>
    <mergeCell ref="EY28:FA28"/>
    <mergeCell ref="FB28:FD28"/>
    <mergeCell ref="FE28:FG28"/>
    <mergeCell ref="ED28:EF28"/>
    <mergeCell ref="EG28:EI28"/>
    <mergeCell ref="EJ28:EL28"/>
    <mergeCell ref="EM28:EO28"/>
    <mergeCell ref="EP28:ER28"/>
    <mergeCell ref="DO28:DQ28"/>
    <mergeCell ref="DR28:DT28"/>
    <mergeCell ref="DU28:DW28"/>
    <mergeCell ref="DX28:DZ28"/>
    <mergeCell ref="EA28:EC28"/>
    <mergeCell ref="DL28:DN28"/>
    <mergeCell ref="DI28:DK28"/>
    <mergeCell ref="BY28:CA28"/>
    <mergeCell ref="BP28:BR28"/>
    <mergeCell ref="BV28:BX28"/>
    <mergeCell ref="DF28:DH28"/>
    <mergeCell ref="DC28:DE28"/>
    <mergeCell ref="CT28:CV28"/>
    <mergeCell ref="CQ28:CS28"/>
    <mergeCell ref="CZ28:DB28"/>
    <mergeCell ref="CN28:CP28"/>
    <mergeCell ref="CK28:CM28"/>
    <mergeCell ref="CE28:CG28"/>
    <mergeCell ref="CW28:CY28"/>
    <mergeCell ref="CH28:CJ28"/>
    <mergeCell ref="CB28:CD28"/>
    <mergeCell ref="T28:V28"/>
    <mergeCell ref="AC28:AE28"/>
    <mergeCell ref="BA28:BC28"/>
    <mergeCell ref="E6:G6"/>
    <mergeCell ref="E7:G7"/>
    <mergeCell ref="E8:G8"/>
    <mergeCell ref="AF28:AH28"/>
    <mergeCell ref="AR28:AT28"/>
    <mergeCell ref="E28:G28"/>
    <mergeCell ref="K28:M28"/>
    <mergeCell ref="N28:P28"/>
    <mergeCell ref="Q28:S28"/>
    <mergeCell ref="H28:J28"/>
    <mergeCell ref="Z28:AB28"/>
    <mergeCell ref="AI28:AK28"/>
    <mergeCell ref="AL28:AN28"/>
    <mergeCell ref="BJ28:BL28"/>
    <mergeCell ref="BS28:BU28"/>
    <mergeCell ref="W28:Y28"/>
    <mergeCell ref="AO28:AQ28"/>
    <mergeCell ref="BD28:BF28"/>
    <mergeCell ref="AX28:AZ28"/>
    <mergeCell ref="BG28:BI28"/>
    <mergeCell ref="AU28:AW28"/>
    <mergeCell ref="BM28:BO28"/>
  </mergeCells>
  <phoneticPr fontId="0" type="noConversion"/>
  <printOptions horizontalCentered="1" verticalCentered="1"/>
  <pageMargins left="0.49" right="0.21" top="0.55000000000000004" bottom="0.22" header="0.45" footer="0.4"/>
  <pageSetup scale="28" fitToWidth="3" fitToHeight="3" orientation="landscape" r:id="rId2"/>
  <headerFooter alignWithMargins="0"/>
  <colBreaks count="15" manualBreakCount="15">
    <brk id="16" max="56" man="1"/>
    <brk id="25" max="56" man="1"/>
    <brk id="37" max="56" man="1"/>
    <brk id="49" max="56" man="1"/>
    <brk id="61" max="56" man="1"/>
    <brk id="73" max="56" man="1"/>
    <brk id="85" max="1048575" man="1"/>
    <brk id="97" max="1048575" man="1"/>
    <brk id="109" max="1048575" man="1"/>
    <brk id="121" max="1048575" man="1"/>
    <brk id="133" max="1048575" man="1"/>
    <brk id="145" max="1048575" man="1"/>
    <brk id="157" max="1048575" man="1"/>
    <brk id="169" max="1048575" man="1"/>
    <brk id="181" max="1048575" man="1"/>
  </colBreaks>
  <ignoredErrors>
    <ignoredError sqref="BJ38 BY38 BV38" numberStoredAsText="1"/>
    <ignoredError sqref="CG57 CD57 CV57"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H29"/>
  <sheetViews>
    <sheetView workbookViewId="0"/>
  </sheetViews>
  <sheetFormatPr defaultColWidth="9.109375" defaultRowHeight="13.2"/>
  <cols>
    <col min="1" max="1" width="14.6640625" style="560" customWidth="1"/>
    <col min="2" max="2" width="38.6640625" style="560" customWidth="1"/>
    <col min="3" max="3" width="13.44140625" style="560" customWidth="1"/>
    <col min="4" max="16384" width="9.109375" style="560"/>
  </cols>
  <sheetData>
    <row r="2" spans="1:5" ht="17.399999999999999">
      <c r="A2" s="2570" t="str">
        <f>+'[1]Appendix A'!A3</f>
        <v>Public Service Electric and Gas Company</v>
      </c>
      <c r="B2" s="2570"/>
      <c r="C2" s="2570"/>
      <c r="D2" s="2570"/>
      <c r="E2" s="2570"/>
    </row>
    <row r="3" spans="1:5" ht="17.399999999999999">
      <c r="A3" s="2570" t="str">
        <f>+'[1]Appendix A'!A4</f>
        <v xml:space="preserve">ATTACHMENT H-10A </v>
      </c>
      <c r="B3" s="2570"/>
      <c r="C3" s="2570"/>
      <c r="D3" s="2570"/>
      <c r="E3" s="2570"/>
    </row>
    <row r="4" spans="1:5" ht="17.399999999999999">
      <c r="A4" s="2570" t="s">
        <v>690</v>
      </c>
      <c r="B4" s="2570"/>
      <c r="C4" s="2570"/>
      <c r="D4" s="2570"/>
      <c r="E4" s="2570"/>
    </row>
    <row r="7" spans="1:5">
      <c r="C7" s="561"/>
    </row>
    <row r="8" spans="1:5">
      <c r="A8" s="562" t="s">
        <v>652</v>
      </c>
      <c r="B8" s="563"/>
      <c r="C8" s="562" t="s">
        <v>96</v>
      </c>
    </row>
    <row r="10" spans="1:5">
      <c r="A10" s="563" t="s">
        <v>544</v>
      </c>
      <c r="C10" s="564">
        <v>2.4</v>
      </c>
      <c r="D10" s="565"/>
    </row>
    <row r="12" spans="1:5">
      <c r="A12" s="563" t="s">
        <v>653</v>
      </c>
    </row>
    <row r="13" spans="1:5">
      <c r="A13" s="566" t="s">
        <v>654</v>
      </c>
      <c r="C13" s="560">
        <v>2.4900000000000002</v>
      </c>
    </row>
    <row r="14" spans="1:5">
      <c r="A14" s="566" t="s">
        <v>655</v>
      </c>
      <c r="C14" s="560">
        <v>2.4900000000000002</v>
      </c>
    </row>
    <row r="15" spans="1:5">
      <c r="A15" s="566" t="s">
        <v>656</v>
      </c>
      <c r="C15" s="560">
        <v>2.4900000000000002</v>
      </c>
    </row>
    <row r="16" spans="1:5">
      <c r="A16" s="566" t="s">
        <v>657</v>
      </c>
      <c r="C16" s="560">
        <v>2.4900000000000002</v>
      </c>
    </row>
    <row r="18" spans="1:8">
      <c r="C18" s="567"/>
    </row>
    <row r="19" spans="1:8">
      <c r="A19" s="563" t="s">
        <v>287</v>
      </c>
    </row>
    <row r="20" spans="1:8">
      <c r="A20" s="566" t="s">
        <v>658</v>
      </c>
      <c r="C20" s="567">
        <v>1.4</v>
      </c>
      <c r="H20" s="568"/>
    </row>
    <row r="21" spans="1:8">
      <c r="A21" s="566" t="s">
        <v>177</v>
      </c>
      <c r="C21" s="567">
        <v>5</v>
      </c>
    </row>
    <row r="22" spans="1:8">
      <c r="A22" s="566" t="s">
        <v>178</v>
      </c>
      <c r="C22" s="567">
        <v>25</v>
      </c>
    </row>
    <row r="23" spans="1:8">
      <c r="A23" s="566" t="s">
        <v>660</v>
      </c>
      <c r="C23" s="567">
        <v>14.29</v>
      </c>
    </row>
    <row r="24" spans="1:8">
      <c r="A24" s="566" t="s">
        <v>828</v>
      </c>
      <c r="C24" s="567">
        <v>33.33</v>
      </c>
    </row>
    <row r="25" spans="1:8">
      <c r="A25" s="566" t="s">
        <v>829</v>
      </c>
      <c r="C25" s="567">
        <v>14.29</v>
      </c>
    </row>
    <row r="26" spans="1:8">
      <c r="A26" s="566" t="s">
        <v>661</v>
      </c>
      <c r="C26" s="567">
        <v>14.29</v>
      </c>
    </row>
    <row r="27" spans="1:8">
      <c r="A27" s="566" t="s">
        <v>175</v>
      </c>
      <c r="C27" s="567">
        <v>20</v>
      </c>
    </row>
    <row r="28" spans="1:8">
      <c r="A28" s="566" t="s">
        <v>659</v>
      </c>
      <c r="C28" s="567">
        <v>10</v>
      </c>
    </row>
    <row r="29" spans="1:8">
      <c r="A29" s="566" t="s">
        <v>176</v>
      </c>
      <c r="C29" s="567">
        <v>14.29</v>
      </c>
    </row>
  </sheetData>
  <sheetProtection password="C338" sheet="1" objects="1" scenarios="1"/>
  <customSheetViews>
    <customSheetView guid="{416404B7-8533-4A12-ABD0-58CFDEB49D80}">
      <selection activeCell="F45" sqref="F45"/>
      <pageMargins left="0.7" right="0.7" top="0.75" bottom="0.75" header="0.3" footer="0.3"/>
      <pageSetup orientation="portrait" r:id="rId1"/>
    </customSheetView>
  </customSheetViews>
  <mergeCells count="3">
    <mergeCell ref="A2:E2"/>
    <mergeCell ref="A3:E3"/>
    <mergeCell ref="A4:E4"/>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540"/>
  <sheetViews>
    <sheetView zoomScale="50" zoomScaleNormal="50" workbookViewId="0">
      <selection sqref="A1:G1"/>
    </sheetView>
  </sheetViews>
  <sheetFormatPr defaultColWidth="18.88671875" defaultRowHeight="15"/>
  <cols>
    <col min="1" max="1" width="65.88671875" style="1288" customWidth="1"/>
    <col min="2" max="2" width="59.88671875" style="1203" customWidth="1"/>
    <col min="3" max="3" width="22.88671875" style="1203" customWidth="1"/>
    <col min="4" max="4" width="28.33203125" style="1203" bestFit="1" customWidth="1"/>
    <col min="5" max="5" width="24.6640625" style="1203" customWidth="1"/>
    <col min="6" max="6" width="28.44140625" style="1203" customWidth="1"/>
    <col min="7" max="7" width="126.5546875" style="1203" customWidth="1"/>
    <col min="8" max="8" width="18.88671875" style="1203"/>
    <col min="9" max="9" width="23.33203125" style="1203" bestFit="1" customWidth="1"/>
    <col min="10" max="10" width="22.5546875" style="1203" bestFit="1" customWidth="1"/>
    <col min="11" max="11" width="21.5546875" style="1203" bestFit="1" customWidth="1"/>
    <col min="12" max="12" width="23.33203125" style="1203" bestFit="1" customWidth="1"/>
    <col min="13" max="13" width="21.33203125" style="1203" bestFit="1" customWidth="1"/>
    <col min="14" max="14" width="19.88671875" style="1203" bestFit="1" customWidth="1"/>
    <col min="15" max="16384" width="18.88671875" style="1203"/>
  </cols>
  <sheetData>
    <row r="1" spans="1:20" ht="17.399999999999999">
      <c r="A1" s="2570" t="s">
        <v>494</v>
      </c>
      <c r="B1" s="2571"/>
      <c r="C1" s="2571"/>
      <c r="D1" s="2571"/>
      <c r="E1" s="2571"/>
      <c r="F1" s="2571"/>
      <c r="G1" s="2571"/>
      <c r="H1" s="1202"/>
      <c r="I1" s="1202"/>
    </row>
    <row r="2" spans="1:20" ht="17.399999999999999">
      <c r="A2" s="2572" t="s">
        <v>495</v>
      </c>
      <c r="B2" s="2572"/>
      <c r="C2" s="2572"/>
      <c r="D2" s="2572"/>
      <c r="E2" s="2572"/>
      <c r="F2" s="2572"/>
      <c r="G2" s="2572"/>
      <c r="H2" s="1202"/>
      <c r="I2" s="1202"/>
    </row>
    <row r="3" spans="1:20" s="1202" customFormat="1" ht="17.399999999999999">
      <c r="A3" s="2572" t="s">
        <v>1082</v>
      </c>
      <c r="B3" s="2572"/>
      <c r="C3" s="2572"/>
      <c r="D3" s="2572"/>
      <c r="E3" s="2572"/>
      <c r="F3" s="2572"/>
      <c r="G3" s="2572"/>
      <c r="H3" s="1204"/>
    </row>
    <row r="4" spans="1:20" ht="15.6">
      <c r="A4" s="1242"/>
      <c r="B4" s="1241"/>
      <c r="C4" s="1241"/>
      <c r="D4" s="1241"/>
      <c r="E4" s="1241"/>
      <c r="F4" s="1241"/>
      <c r="G4" s="1241"/>
    </row>
    <row r="5" spans="1:20" ht="15.6">
      <c r="A5" s="1243"/>
      <c r="B5" s="1218"/>
      <c r="C5" s="1242" t="s">
        <v>555</v>
      </c>
      <c r="D5" s="1242"/>
      <c r="E5" s="1218"/>
      <c r="F5" s="1242"/>
      <c r="G5" s="1218"/>
      <c r="H5" s="1218"/>
      <c r="I5" s="1241"/>
      <c r="J5" s="1241"/>
      <c r="K5" s="1241"/>
      <c r="L5" s="1241"/>
      <c r="M5" s="1241"/>
      <c r="N5" s="1241"/>
      <c r="O5" s="1241"/>
      <c r="P5" s="1241"/>
      <c r="Q5" s="1241"/>
      <c r="R5" s="1241"/>
      <c r="S5" s="1241"/>
      <c r="T5" s="1301"/>
    </row>
    <row r="6" spans="1:20" ht="15.6">
      <c r="A6" s="1243"/>
      <c r="B6" s="1218"/>
      <c r="C6" s="1242" t="s">
        <v>544</v>
      </c>
      <c r="D6" s="1242" t="s">
        <v>550</v>
      </c>
      <c r="E6" s="1242" t="s">
        <v>552</v>
      </c>
      <c r="F6" s="1242" t="s">
        <v>330</v>
      </c>
      <c r="G6" s="2554" t="s">
        <v>1123</v>
      </c>
      <c r="I6" s="1241"/>
      <c r="J6" s="1241"/>
      <c r="K6" s="1241"/>
      <c r="L6" s="1241"/>
      <c r="M6" s="1241"/>
      <c r="N6" s="1241"/>
      <c r="O6" s="1241"/>
      <c r="P6" s="1241"/>
      <c r="Q6" s="1241"/>
      <c r="R6" s="1241"/>
      <c r="S6" s="1241"/>
      <c r="T6" s="1301"/>
    </row>
    <row r="7" spans="1:20" ht="15.6">
      <c r="A7" s="1243"/>
      <c r="B7" s="1218"/>
      <c r="C7" s="1242" t="s">
        <v>551</v>
      </c>
      <c r="D7" s="1242" t="s">
        <v>551</v>
      </c>
      <c r="E7" s="1242" t="s">
        <v>551</v>
      </c>
      <c r="F7" s="1242" t="s">
        <v>560</v>
      </c>
      <c r="G7" s="1218"/>
    </row>
    <row r="8" spans="1:20" ht="24.6">
      <c r="A8" s="1302"/>
      <c r="B8" s="1218"/>
      <c r="C8" s="1218"/>
      <c r="D8" s="1218"/>
      <c r="E8" s="1218"/>
      <c r="F8" s="1218"/>
      <c r="G8" s="1218"/>
    </row>
    <row r="9" spans="1:20">
      <c r="A9" s="1243"/>
      <c r="B9" s="1218"/>
      <c r="C9" s="1218"/>
      <c r="D9" s="1218"/>
      <c r="E9" s="1218"/>
      <c r="F9" s="1218"/>
      <c r="G9" s="1218"/>
    </row>
    <row r="10" spans="1:20" ht="15.6">
      <c r="A10" s="1243"/>
      <c r="B10" s="1244" t="s">
        <v>546</v>
      </c>
      <c r="C10" s="1245">
        <f>+D77</f>
        <v>0</v>
      </c>
      <c r="D10" s="1245">
        <f>+E77</f>
        <v>-2543202000.9750519</v>
      </c>
      <c r="E10" s="1245">
        <f>+F77</f>
        <v>0</v>
      </c>
      <c r="F10" s="1245"/>
      <c r="G10" s="1218" t="s">
        <v>468</v>
      </c>
      <c r="L10" s="1248"/>
    </row>
    <row r="11" spans="1:20" ht="15.6">
      <c r="A11" s="1243"/>
      <c r="B11" s="1244" t="s">
        <v>547</v>
      </c>
      <c r="C11" s="1245">
        <f>+D114</f>
        <v>0</v>
      </c>
      <c r="D11" s="1245">
        <f>+E114</f>
        <v>-257503479.76830998</v>
      </c>
      <c r="E11" s="1245">
        <f>+F114</f>
        <v>0</v>
      </c>
      <c r="F11" s="1245"/>
      <c r="G11" s="1218" t="s">
        <v>469</v>
      </c>
      <c r="L11" s="1248"/>
    </row>
    <row r="12" spans="1:20" ht="15.6">
      <c r="A12" s="1243"/>
      <c r="B12" s="1244" t="s">
        <v>545</v>
      </c>
      <c r="C12" s="1245">
        <f>+D46</f>
        <v>0</v>
      </c>
      <c r="D12" s="1245">
        <f>E46</f>
        <v>52205139.263762936</v>
      </c>
      <c r="E12" s="1245">
        <f>F46</f>
        <v>5809729.992981106</v>
      </c>
      <c r="F12" s="1245"/>
      <c r="G12" s="1218" t="s">
        <v>470</v>
      </c>
      <c r="L12" s="1248"/>
    </row>
    <row r="13" spans="1:20" ht="15.6">
      <c r="A13" s="1243"/>
      <c r="B13" s="1244" t="s">
        <v>353</v>
      </c>
      <c r="C13" s="1245">
        <f>SUM(C10:C12)</f>
        <v>0</v>
      </c>
      <c r="D13" s="1245">
        <f>SUM(D10:D12)</f>
        <v>-2748500341.479599</v>
      </c>
      <c r="E13" s="1245">
        <f>SUM(E10:E12)</f>
        <v>5809729.992981106</v>
      </c>
      <c r="F13" s="1245"/>
      <c r="G13" s="1245"/>
      <c r="L13" s="1248"/>
    </row>
    <row r="14" spans="1:20" ht="15.6">
      <c r="A14" s="1243"/>
      <c r="B14" s="1244" t="s">
        <v>260</v>
      </c>
      <c r="C14" s="1218"/>
      <c r="D14" s="1218"/>
      <c r="E14" s="1246">
        <f>+'Appendix A'!H16</f>
        <v>0.1470486672554692</v>
      </c>
      <c r="F14" s="1218"/>
      <c r="G14" s="1218"/>
      <c r="L14" s="1248"/>
    </row>
    <row r="15" spans="1:20" ht="15.6">
      <c r="A15" s="1243"/>
      <c r="B15" s="1244" t="s">
        <v>322</v>
      </c>
      <c r="C15" s="1218"/>
      <c r="D15" s="1246">
        <f>+'Appendix A'!H35</f>
        <v>0.43405102133469092</v>
      </c>
      <c r="E15" s="1218"/>
      <c r="F15" s="1218"/>
      <c r="G15" s="1218"/>
      <c r="L15" s="1248"/>
    </row>
    <row r="16" spans="1:20" ht="15.6">
      <c r="A16" s="1243"/>
      <c r="B16" s="1244" t="s">
        <v>23</v>
      </c>
      <c r="C16" s="1245">
        <f>+C13</f>
        <v>0</v>
      </c>
      <c r="D16" s="1245">
        <f>+D15*D13</f>
        <v>-1192989380.3579667</v>
      </c>
      <c r="E16" s="1245">
        <f>+E14*E13</f>
        <v>854313.05258199805</v>
      </c>
      <c r="F16" s="1247">
        <f>SUM(C16:E16)</f>
        <v>-1192135067.3053846</v>
      </c>
      <c r="G16" s="1249"/>
      <c r="L16" s="1248"/>
    </row>
    <row r="17" spans="1:12" ht="15.6">
      <c r="A17" s="1243"/>
      <c r="B17" s="1244" t="s">
        <v>24</v>
      </c>
      <c r="C17" s="1245">
        <f>+'ADITI-ADIT'!C16</f>
        <v>-164297</v>
      </c>
      <c r="D17" s="1245">
        <f>+'ADITI-ADIT'!D16</f>
        <v>-1005406454.2876173</v>
      </c>
      <c r="E17" s="1245">
        <f>+'ADITI-ADIT'!E16</f>
        <v>-3859613.4003814608</v>
      </c>
      <c r="F17" s="1247">
        <f>SUM(C17:E17)</f>
        <v>-1009430364.6879988</v>
      </c>
      <c r="G17" s="1249"/>
      <c r="L17" s="1248"/>
    </row>
    <row r="18" spans="1:12" ht="15.6">
      <c r="A18" s="1243"/>
      <c r="B18" s="1244" t="s">
        <v>25</v>
      </c>
      <c r="C18" s="1245">
        <f>(C16+C17)/2</f>
        <v>-82148.5</v>
      </c>
      <c r="D18" s="1245">
        <f>(D16+D17)/2</f>
        <v>-1099197917.3227921</v>
      </c>
      <c r="E18" s="1245">
        <f>(E16+E17)/2</f>
        <v>-1502650.1738997314</v>
      </c>
      <c r="F18" s="1247">
        <f>(F16+F17)/2</f>
        <v>-1100782715.9966917</v>
      </c>
      <c r="G18" s="1249" t="s">
        <v>53</v>
      </c>
      <c r="L18" s="1248"/>
    </row>
    <row r="19" spans="1:12" ht="15.6">
      <c r="A19" s="1243"/>
      <c r="B19" s="1218"/>
      <c r="F19" s="1304"/>
      <c r="G19" s="1249"/>
    </row>
    <row r="20" spans="1:12" ht="15.6">
      <c r="A20" s="1243"/>
      <c r="B20" s="1244"/>
      <c r="C20" s="1245"/>
      <c r="D20" s="1245"/>
      <c r="E20" s="1245"/>
      <c r="F20" s="1247"/>
      <c r="G20" s="1249"/>
    </row>
    <row r="21" spans="1:12" ht="15.6">
      <c r="A21" s="1250" t="s">
        <v>26</v>
      </c>
      <c r="B21" s="1218"/>
      <c r="C21" s="1218"/>
      <c r="D21" s="1218"/>
      <c r="E21" s="1218"/>
      <c r="F21" s="1218"/>
      <c r="G21" s="1218"/>
    </row>
    <row r="22" spans="1:12">
      <c r="A22" s="1218"/>
      <c r="B22" s="1218"/>
      <c r="C22" s="1251">
        <f>+B103</f>
        <v>-16982114.636860445</v>
      </c>
      <c r="D22" s="1218" t="s">
        <v>519</v>
      </c>
      <c r="E22" s="1218"/>
      <c r="F22" s="1218"/>
      <c r="I22" s="1248"/>
    </row>
    <row r="23" spans="1:12">
      <c r="A23" s="1218"/>
      <c r="B23" s="1218"/>
      <c r="C23" s="1218"/>
      <c r="D23" s="1218"/>
      <c r="E23" s="1218"/>
      <c r="F23" s="1218"/>
      <c r="G23" s="1218"/>
      <c r="I23" s="1248"/>
    </row>
    <row r="24" spans="1:12" ht="15.6">
      <c r="A24" s="1252" t="s">
        <v>471</v>
      </c>
      <c r="B24" s="1218"/>
      <c r="C24" s="1218"/>
      <c r="D24" s="1218"/>
      <c r="E24" s="1218"/>
      <c r="F24" s="1218"/>
      <c r="G24" s="1218"/>
      <c r="I24" s="1248"/>
    </row>
    <row r="25" spans="1:12" ht="15.6">
      <c r="A25" s="1252" t="s">
        <v>472</v>
      </c>
      <c r="B25" s="1218"/>
      <c r="C25" s="1218"/>
      <c r="D25" s="1218"/>
      <c r="E25" s="1218"/>
      <c r="F25" s="1218"/>
      <c r="G25" s="1218"/>
    </row>
    <row r="26" spans="1:12" ht="15.6">
      <c r="A26" s="1243"/>
      <c r="B26" s="1218"/>
      <c r="C26" s="1218"/>
      <c r="D26" s="1218"/>
      <c r="E26" s="1218"/>
      <c r="F26" s="1244"/>
      <c r="G26" s="1218"/>
    </row>
    <row r="27" spans="1:12" ht="15.6">
      <c r="A27" s="1253" t="s">
        <v>123</v>
      </c>
      <c r="B27" s="1254" t="s">
        <v>331</v>
      </c>
      <c r="C27" s="1254" t="s">
        <v>108</v>
      </c>
      <c r="D27" s="1254" t="s">
        <v>124</v>
      </c>
      <c r="E27" s="1254" t="s">
        <v>122</v>
      </c>
      <c r="F27" s="1254" t="s">
        <v>730</v>
      </c>
      <c r="G27" s="1254" t="s">
        <v>125</v>
      </c>
    </row>
    <row r="28" spans="1:12" ht="15.6">
      <c r="A28" s="1243"/>
      <c r="B28" s="1242" t="s">
        <v>330</v>
      </c>
      <c r="C28" s="1242" t="s">
        <v>553</v>
      </c>
      <c r="D28" s="1242" t="s">
        <v>555</v>
      </c>
      <c r="E28" s="1242"/>
      <c r="F28" s="1242"/>
    </row>
    <row r="29" spans="1:12" ht="15.6">
      <c r="A29" s="1255" t="s">
        <v>545</v>
      </c>
      <c r="B29" s="1242"/>
      <c r="C29" s="1242" t="s">
        <v>554</v>
      </c>
      <c r="D29" s="1242" t="s">
        <v>544</v>
      </c>
      <c r="E29" s="1242" t="s">
        <v>550</v>
      </c>
      <c r="F29" s="1242" t="s">
        <v>552</v>
      </c>
    </row>
    <row r="30" spans="1:12" ht="24.9" customHeight="1" thickBot="1">
      <c r="A30" s="1243"/>
      <c r="B30" s="1242"/>
      <c r="C30" s="1242" t="s">
        <v>551</v>
      </c>
      <c r="D30" s="1242" t="s">
        <v>551</v>
      </c>
      <c r="E30" s="1242" t="s">
        <v>551</v>
      </c>
      <c r="F30" s="1242" t="s">
        <v>551</v>
      </c>
      <c r="G30" s="1242" t="s">
        <v>97</v>
      </c>
    </row>
    <row r="31" spans="1:12" ht="24.9" customHeight="1">
      <c r="A31" s="1323" t="s">
        <v>923</v>
      </c>
      <c r="B31" s="1435">
        <f>SUM(C31:F31)</f>
        <v>53150774.325499997</v>
      </c>
      <c r="C31" s="2558"/>
      <c r="D31" s="2558"/>
      <c r="E31" s="2558">
        <v>53150774.325499997</v>
      </c>
      <c r="F31" s="2558"/>
      <c r="G31" s="1333" t="s">
        <v>923</v>
      </c>
      <c r="H31" s="1205"/>
    </row>
    <row r="32" spans="1:12" ht="24.9" customHeight="1">
      <c r="A32" s="1325" t="s">
        <v>265</v>
      </c>
      <c r="B32" s="1430">
        <f t="shared" ref="B32:B42" si="0">SUM(C32:F32)</f>
        <v>-945635.06173705682</v>
      </c>
      <c r="C32" s="458"/>
      <c r="D32" s="458"/>
      <c r="E32" s="458">
        <v>-945635.06173705682</v>
      </c>
      <c r="F32" s="458"/>
      <c r="G32" s="1334" t="s">
        <v>209</v>
      </c>
      <c r="H32" s="1205"/>
    </row>
    <row r="33" spans="1:14" ht="24.9" customHeight="1">
      <c r="A33" s="1326" t="s">
        <v>268</v>
      </c>
      <c r="B33" s="1430">
        <f t="shared" si="0"/>
        <v>223825.47949999571</v>
      </c>
      <c r="C33" s="465">
        <v>223825.47949999571</v>
      </c>
      <c r="D33" s="465"/>
      <c r="E33" s="465"/>
      <c r="F33" s="465"/>
      <c r="G33" s="1334" t="s">
        <v>382</v>
      </c>
      <c r="H33" s="1205"/>
    </row>
    <row r="34" spans="1:14" ht="24.9" customHeight="1">
      <c r="A34" s="1326" t="s">
        <v>269</v>
      </c>
      <c r="B34" s="1430">
        <f t="shared" si="0"/>
        <v>2592159.2446750002</v>
      </c>
      <c r="C34" s="465"/>
      <c r="D34" s="465"/>
      <c r="E34" s="465"/>
      <c r="F34" s="465">
        <v>2592159.2446750002</v>
      </c>
      <c r="G34" s="1334" t="s">
        <v>383</v>
      </c>
      <c r="H34" s="1205"/>
    </row>
    <row r="35" spans="1:14" ht="24.9" customHeight="1">
      <c r="A35" s="1326" t="s">
        <v>270</v>
      </c>
      <c r="B35" s="1430">
        <f>SUM(C35:F35)</f>
        <v>157699091.96498311</v>
      </c>
      <c r="C35" s="465"/>
      <c r="D35" s="465"/>
      <c r="E35" s="465"/>
      <c r="F35" s="465">
        <v>157699091.96498311</v>
      </c>
      <c r="G35" s="1334" t="s">
        <v>6</v>
      </c>
      <c r="H35" s="1205"/>
    </row>
    <row r="36" spans="1:14" ht="24.9" customHeight="1">
      <c r="A36" s="1326" t="s">
        <v>750</v>
      </c>
      <c r="B36" s="1430">
        <f t="shared" si="0"/>
        <v>3808302.0499999993</v>
      </c>
      <c r="C36" s="458"/>
      <c r="D36" s="1431"/>
      <c r="E36" s="1427"/>
      <c r="F36" s="458">
        <v>3808302.0499999993</v>
      </c>
      <c r="G36" s="1334" t="s">
        <v>751</v>
      </c>
      <c r="H36" s="1205"/>
    </row>
    <row r="37" spans="1:14" ht="24.9" customHeight="1">
      <c r="A37" s="1326" t="s">
        <v>271</v>
      </c>
      <c r="B37" s="1430">
        <f t="shared" si="0"/>
        <v>330371.29125000001</v>
      </c>
      <c r="C37" s="458"/>
      <c r="D37" s="458"/>
      <c r="E37" s="458"/>
      <c r="F37" s="458">
        <v>330371.29125000001</v>
      </c>
      <c r="G37" s="1334" t="s">
        <v>384</v>
      </c>
      <c r="H37" s="1205"/>
    </row>
    <row r="38" spans="1:14" ht="24.9" customHeight="1">
      <c r="A38" s="1326" t="s">
        <v>273</v>
      </c>
      <c r="B38" s="1430">
        <f t="shared" si="0"/>
        <v>-358460.76612499973</v>
      </c>
      <c r="C38" s="458"/>
      <c r="D38" s="458"/>
      <c r="E38" s="458"/>
      <c r="F38" s="458">
        <v>-358460.76612499973</v>
      </c>
      <c r="G38" s="1334" t="s">
        <v>384</v>
      </c>
      <c r="H38" s="1205"/>
    </row>
    <row r="39" spans="1:14" ht="24.9" customHeight="1">
      <c r="A39" s="1326" t="s">
        <v>277</v>
      </c>
      <c r="B39" s="1430">
        <f t="shared" si="0"/>
        <v>115363.38660000003</v>
      </c>
      <c r="C39" s="458">
        <v>115363.38660000003</v>
      </c>
      <c r="D39" s="458"/>
      <c r="E39" s="458"/>
      <c r="F39" s="458"/>
      <c r="G39" s="1334" t="s">
        <v>222</v>
      </c>
      <c r="H39" s="1205"/>
    </row>
    <row r="40" spans="1:14" ht="24.9" customHeight="1">
      <c r="A40" s="1326" t="s">
        <v>767</v>
      </c>
      <c r="B40" s="1430">
        <f t="shared" si="0"/>
        <v>-562641.82681890996</v>
      </c>
      <c r="C40" s="458"/>
      <c r="D40" s="458"/>
      <c r="E40" s="458"/>
      <c r="F40" s="458">
        <v>-562641.82681890996</v>
      </c>
      <c r="G40" s="1334" t="s">
        <v>753</v>
      </c>
      <c r="H40" s="1205"/>
    </row>
    <row r="41" spans="1:14" ht="24.9" customHeight="1">
      <c r="A41" s="1326" t="s">
        <v>282</v>
      </c>
      <c r="B41" s="1430">
        <f t="shared" si="0"/>
        <v>11166994.960099991</v>
      </c>
      <c r="C41" s="458"/>
      <c r="D41" s="458"/>
      <c r="E41" s="458">
        <v>11166994.960099991</v>
      </c>
      <c r="F41" s="458"/>
      <c r="G41" s="1334" t="s">
        <v>10</v>
      </c>
      <c r="H41" s="1205"/>
      <c r="J41" s="1484"/>
      <c r="K41" s="1484"/>
      <c r="L41" s="1484"/>
      <c r="M41" s="1484"/>
      <c r="N41" s="1484"/>
    </row>
    <row r="42" spans="1:14" ht="24.9" customHeight="1" thickBot="1">
      <c r="A42" s="1327" t="s">
        <v>284</v>
      </c>
      <c r="B42" s="2559">
        <f t="shared" si="0"/>
        <v>7712117.3984798817</v>
      </c>
      <c r="C42" s="469"/>
      <c r="D42" s="469"/>
      <c r="E42" s="469">
        <v>7712117.3984798817</v>
      </c>
      <c r="F42" s="469"/>
      <c r="G42" s="1335" t="s">
        <v>10</v>
      </c>
      <c r="H42" s="1205"/>
      <c r="J42" s="1484"/>
      <c r="K42" s="1484"/>
      <c r="L42" s="1484"/>
      <c r="M42" s="1484"/>
      <c r="N42" s="1484"/>
    </row>
    <row r="43" spans="1:14" ht="24.9" customHeight="1">
      <c r="A43" s="2555" t="s">
        <v>559</v>
      </c>
      <c r="B43" s="2556">
        <f>SUM(C43:F43)</f>
        <v>234932262.44640702</v>
      </c>
      <c r="C43" s="2557">
        <f>SUM(C31:C42)</f>
        <v>339188.86609999574</v>
      </c>
      <c r="D43" s="2557"/>
      <c r="E43" s="2557">
        <f>SUM(E31:E42)</f>
        <v>71084251.62234281</v>
      </c>
      <c r="F43" s="2557">
        <f>SUM(F31:F42)</f>
        <v>163508821.95796421</v>
      </c>
      <c r="G43" s="1259"/>
      <c r="H43" s="1205"/>
    </row>
    <row r="44" spans="1:14" ht="24.9" customHeight="1">
      <c r="A44" s="1329" t="s">
        <v>841</v>
      </c>
      <c r="B44" s="1418">
        <f>SUM(C44:F44)</f>
        <v>18879112.358579874</v>
      </c>
      <c r="C44" s="1419"/>
      <c r="D44" s="1419"/>
      <c r="E44" s="1420">
        <f>SUM(E41:E42)</f>
        <v>18879112.358579874</v>
      </c>
      <c r="F44" s="1421"/>
      <c r="G44" s="1260"/>
      <c r="H44" s="1205"/>
    </row>
    <row r="45" spans="1:14" ht="24.9" customHeight="1">
      <c r="A45" s="1329" t="s">
        <v>0</v>
      </c>
      <c r="B45" s="1419">
        <f>+B35</f>
        <v>157699091.96498311</v>
      </c>
      <c r="C45" s="1419"/>
      <c r="D45" s="1419"/>
      <c r="E45" s="1419"/>
      <c r="F45" s="1419">
        <f>B45</f>
        <v>157699091.96498311</v>
      </c>
      <c r="G45" s="1282"/>
      <c r="H45" s="1205"/>
    </row>
    <row r="46" spans="1:14" s="1284" customFormat="1" ht="35.1" customHeight="1" thickBot="1">
      <c r="A46" s="1330" t="s">
        <v>330</v>
      </c>
      <c r="B46" s="1422">
        <f>SUM(C46:F46)</f>
        <v>58354058.12284404</v>
      </c>
      <c r="C46" s="1423">
        <f>+C43-C44-C45</f>
        <v>339188.86609999574</v>
      </c>
      <c r="D46" s="1423"/>
      <c r="E46" s="1423">
        <f>+E43-E44-E45</f>
        <v>52205139.263762936</v>
      </c>
      <c r="F46" s="1423">
        <f>+F43-F44-F45</f>
        <v>5809729.992981106</v>
      </c>
      <c r="G46" s="1306"/>
    </row>
    <row r="47" spans="1:14" ht="35.1" customHeight="1" thickTop="1">
      <c r="A47" s="1217" t="s">
        <v>556</v>
      </c>
      <c r="B47" s="1217"/>
      <c r="C47" s="1261"/>
      <c r="D47" s="1262"/>
      <c r="E47" s="2402"/>
      <c r="F47" s="1263"/>
      <c r="G47" s="1264"/>
      <c r="H47" s="1205"/>
    </row>
    <row r="48" spans="1:14" ht="35.1" customHeight="1">
      <c r="A48" s="2576" t="s">
        <v>740</v>
      </c>
      <c r="B48" s="2577"/>
      <c r="C48" s="2577"/>
      <c r="D48" s="2577"/>
      <c r="E48" s="2577"/>
      <c r="F48" s="2577"/>
      <c r="G48" s="2577"/>
      <c r="H48" s="1205"/>
    </row>
    <row r="49" spans="1:8" ht="35.1" customHeight="1">
      <c r="A49" s="1265" t="s">
        <v>741</v>
      </c>
      <c r="B49" s="1217"/>
      <c r="C49" s="1263"/>
      <c r="D49" s="1217"/>
      <c r="E49" s="1217"/>
      <c r="F49" s="2402"/>
      <c r="G49" s="2402"/>
      <c r="H49" s="1205"/>
    </row>
    <row r="50" spans="1:8" ht="35.1" customHeight="1">
      <c r="A50" s="1265" t="s">
        <v>186</v>
      </c>
      <c r="B50" s="1217"/>
      <c r="C50" s="1263"/>
      <c r="D50" s="1217"/>
      <c r="E50" s="1217"/>
      <c r="F50" s="2402"/>
      <c r="G50" s="2402"/>
      <c r="H50" s="1205"/>
    </row>
    <row r="51" spans="1:8" ht="35.1" customHeight="1">
      <c r="A51" s="1265" t="s">
        <v>195</v>
      </c>
      <c r="B51" s="1217"/>
      <c r="C51" s="1263"/>
      <c r="D51" s="1217"/>
      <c r="E51" s="1217"/>
      <c r="F51" s="2402"/>
      <c r="G51" s="2402"/>
      <c r="H51" s="1205"/>
    </row>
    <row r="52" spans="1:8" ht="15.75" customHeight="1">
      <c r="A52" s="2577" t="s">
        <v>764</v>
      </c>
      <c r="B52" s="2577"/>
      <c r="C52" s="2577"/>
      <c r="D52" s="2577"/>
      <c r="E52" s="2577"/>
      <c r="F52" s="2577"/>
      <c r="G52" s="2577"/>
      <c r="H52" s="1307"/>
    </row>
    <row r="53" spans="1:8" ht="15.6">
      <c r="A53" s="1266"/>
      <c r="B53" s="2404"/>
      <c r="C53" s="1267"/>
      <c r="D53" s="2404"/>
      <c r="E53" s="2404"/>
      <c r="F53" s="2404"/>
      <c r="G53" s="1268"/>
      <c r="H53" s="1205"/>
    </row>
    <row r="54" spans="1:8" ht="38.25" customHeight="1">
      <c r="A54" s="1266"/>
      <c r="B54" s="1205"/>
      <c r="C54" s="1205"/>
      <c r="D54" s="1205"/>
      <c r="E54" s="1205"/>
      <c r="F54" s="1205"/>
      <c r="G54" s="1205"/>
      <c r="H54" s="1205"/>
    </row>
    <row r="55" spans="1:8" ht="15.6">
      <c r="A55" s="1266"/>
      <c r="B55" s="2404"/>
      <c r="C55" s="2404"/>
      <c r="D55" s="2404"/>
      <c r="E55" s="2404"/>
      <c r="F55" s="2404"/>
      <c r="G55" s="1268"/>
      <c r="H55" s="1205"/>
    </row>
    <row r="56" spans="1:8" s="1202" customFormat="1" ht="17.399999999999999">
      <c r="A56" s="2574" t="str">
        <f>+A1</f>
        <v>Public Service Electric and Gas Company</v>
      </c>
      <c r="B56" s="2579"/>
      <c r="C56" s="2579"/>
      <c r="D56" s="2579"/>
      <c r="E56" s="2579"/>
      <c r="F56" s="2579"/>
      <c r="G56" s="2579"/>
      <c r="H56" s="1204"/>
    </row>
    <row r="57" spans="1:8" s="1202" customFormat="1" ht="17.399999999999999">
      <c r="A57" s="2573" t="s">
        <v>495</v>
      </c>
      <c r="B57" s="2573"/>
      <c r="C57" s="2573"/>
      <c r="D57" s="2573"/>
      <c r="E57" s="2573"/>
      <c r="F57" s="2573"/>
      <c r="G57" s="2573"/>
      <c r="H57" s="1204"/>
    </row>
    <row r="58" spans="1:8" s="1202" customFormat="1" ht="17.399999999999999">
      <c r="A58" s="2573" t="str">
        <f>+A3</f>
        <v xml:space="preserve">Attachment 1 - Accumulated Deferred Income Taxes (ADIT) Worksheet - December 31,2014   </v>
      </c>
      <c r="B58" s="2573"/>
      <c r="C58" s="2573"/>
      <c r="D58" s="2573"/>
      <c r="E58" s="2573"/>
      <c r="F58" s="2573"/>
      <c r="G58" s="2573"/>
      <c r="H58" s="1204"/>
    </row>
    <row r="59" spans="1:8" ht="15.6">
      <c r="A59" s="2578"/>
      <c r="B59" s="2578"/>
      <c r="C59" s="2578"/>
      <c r="D59" s="2578"/>
      <c r="E59" s="2578"/>
      <c r="F59" s="2578"/>
      <c r="G59" s="2578"/>
      <c r="H59" s="1205"/>
    </row>
    <row r="60" spans="1:8" ht="15.6">
      <c r="A60" s="2404"/>
      <c r="B60" s="2404"/>
      <c r="C60" s="2404"/>
      <c r="D60" s="2404"/>
      <c r="E60" s="2404"/>
      <c r="F60" s="2404"/>
      <c r="G60" s="2404"/>
      <c r="H60" s="1205"/>
    </row>
    <row r="61" spans="1:8" ht="15.6">
      <c r="A61" s="2404"/>
      <c r="B61" s="2404"/>
      <c r="C61" s="2404"/>
      <c r="D61" s="2404"/>
      <c r="E61" s="2404"/>
      <c r="F61" s="2404"/>
      <c r="G61" s="2554" t="s">
        <v>1124</v>
      </c>
      <c r="H61" s="1205"/>
    </row>
    <row r="62" spans="1:8" ht="15.6">
      <c r="A62" s="2404"/>
      <c r="B62" s="2404"/>
      <c r="C62" s="2404"/>
      <c r="D62" s="2404"/>
      <c r="E62" s="2404"/>
      <c r="F62" s="2404"/>
      <c r="G62" s="2404"/>
      <c r="H62" s="1205"/>
    </row>
    <row r="63" spans="1:8" ht="15.6">
      <c r="A63" s="2404"/>
      <c r="B63" s="2404"/>
      <c r="C63" s="2404"/>
      <c r="D63" s="2404"/>
      <c r="E63" s="2404"/>
      <c r="F63" s="2404"/>
      <c r="G63" s="2404"/>
      <c r="H63" s="1205"/>
    </row>
    <row r="64" spans="1:8" ht="15.6">
      <c r="A64" s="1269"/>
      <c r="B64" s="1205"/>
      <c r="C64" s="1205"/>
      <c r="D64" s="1205"/>
      <c r="E64" s="1205"/>
      <c r="F64" s="1205"/>
      <c r="G64" s="491"/>
      <c r="H64" s="1205"/>
    </row>
    <row r="65" spans="1:12" ht="15.6">
      <c r="A65" s="1270" t="s">
        <v>821</v>
      </c>
      <c r="B65" s="1271"/>
      <c r="C65" s="1271"/>
      <c r="D65" s="1271"/>
      <c r="E65" s="1271"/>
      <c r="F65" s="1271"/>
      <c r="G65" s="1271"/>
      <c r="H65" s="1205"/>
    </row>
    <row r="66" spans="1:12" ht="15.6">
      <c r="A66" s="1272"/>
      <c r="B66" s="1271"/>
      <c r="C66" s="1271"/>
      <c r="D66" s="1271"/>
      <c r="E66" s="1271"/>
      <c r="F66" s="1271"/>
      <c r="G66" s="1271"/>
      <c r="H66" s="1205"/>
    </row>
    <row r="67" spans="1:12" ht="15.6">
      <c r="A67" s="2404" t="s">
        <v>123</v>
      </c>
      <c r="B67" s="2404" t="s">
        <v>331</v>
      </c>
      <c r="C67" s="2404" t="s">
        <v>108</v>
      </c>
      <c r="D67" s="2404" t="s">
        <v>124</v>
      </c>
      <c r="E67" s="2404" t="s">
        <v>122</v>
      </c>
      <c r="F67" s="2404" t="s">
        <v>730</v>
      </c>
      <c r="G67" s="2404" t="s">
        <v>125</v>
      </c>
      <c r="H67" s="1205"/>
    </row>
    <row r="68" spans="1:12" ht="15.6">
      <c r="A68" s="1205"/>
      <c r="B68" s="1273" t="s">
        <v>330</v>
      </c>
      <c r="C68" s="1273" t="s">
        <v>553</v>
      </c>
      <c r="D68" s="1273" t="s">
        <v>555</v>
      </c>
      <c r="E68" s="1273"/>
      <c r="F68" s="1273"/>
      <c r="G68" s="1205"/>
      <c r="H68" s="1205"/>
    </row>
    <row r="69" spans="1:12" ht="15.6">
      <c r="A69" s="1274" t="s">
        <v>546</v>
      </c>
      <c r="B69" s="1273"/>
      <c r="C69" s="1273" t="s">
        <v>554</v>
      </c>
      <c r="D69" s="1273" t="s">
        <v>544</v>
      </c>
      <c r="E69" s="1273" t="s">
        <v>550</v>
      </c>
      <c r="F69" s="1273" t="s">
        <v>552</v>
      </c>
      <c r="G69" s="1205"/>
      <c r="H69" s="1205"/>
    </row>
    <row r="70" spans="1:12" ht="16.2" thickBot="1">
      <c r="A70" s="1266"/>
      <c r="B70" s="1273"/>
      <c r="C70" s="1273" t="s">
        <v>551</v>
      </c>
      <c r="D70" s="1273" t="s">
        <v>551</v>
      </c>
      <c r="E70" s="1273" t="s">
        <v>551</v>
      </c>
      <c r="F70" s="1273" t="s">
        <v>551</v>
      </c>
      <c r="G70" s="1273" t="s">
        <v>97</v>
      </c>
      <c r="H70" s="1205"/>
    </row>
    <row r="71" spans="1:12" ht="30.75" customHeight="1">
      <c r="A71" s="1331" t="s">
        <v>831</v>
      </c>
      <c r="B71" s="1425">
        <f>SUM(C71:F71)</f>
        <v>-2485817877.6265521</v>
      </c>
      <c r="C71" s="466"/>
      <c r="D71" s="466"/>
      <c r="E71" s="1426">
        <v>-2485817877.6265521</v>
      </c>
      <c r="F71" s="466"/>
      <c r="G71" s="1333" t="s">
        <v>385</v>
      </c>
      <c r="H71" s="1205"/>
    </row>
    <row r="72" spans="1:12" ht="24.9" customHeight="1">
      <c r="A72" s="1326" t="s">
        <v>285</v>
      </c>
      <c r="B72" s="1427">
        <f>SUM(C72:F72)</f>
        <v>-57384123.348500006</v>
      </c>
      <c r="C72" s="467"/>
      <c r="D72" s="467"/>
      <c r="E72" s="467">
        <v>-57384123.348500006</v>
      </c>
      <c r="F72" s="467"/>
      <c r="G72" s="1334" t="s">
        <v>11</v>
      </c>
      <c r="H72" s="1205"/>
    </row>
    <row r="73" spans="1:12" ht="24.9" customHeight="1" thickBot="1">
      <c r="A73" s="1327" t="s">
        <v>288</v>
      </c>
      <c r="B73" s="1437">
        <f>SUM(C73:F73)</f>
        <v>-243035647.72938463</v>
      </c>
      <c r="C73" s="2560"/>
      <c r="D73" s="2560"/>
      <c r="E73" s="2560">
        <v>-243035647.72938463</v>
      </c>
      <c r="F73" s="2560"/>
      <c r="G73" s="1335" t="s">
        <v>12</v>
      </c>
      <c r="H73" s="1205"/>
    </row>
    <row r="74" spans="1:12" ht="24.9" customHeight="1">
      <c r="A74" s="1278" t="s">
        <v>408</v>
      </c>
      <c r="B74" s="1417">
        <f>SUBTOTAL(9,B71:B73)</f>
        <v>-2786237648.7044363</v>
      </c>
      <c r="C74" s="1417"/>
      <c r="D74" s="1417"/>
      <c r="E74" s="1417">
        <f>SUM(E71:E73)</f>
        <v>-2786237648.7044363</v>
      </c>
      <c r="F74" s="1417"/>
      <c r="G74" s="1279"/>
      <c r="H74" s="1205"/>
      <c r="I74" s="1484"/>
      <c r="J74" s="1484"/>
      <c r="K74" s="1484"/>
      <c r="L74" s="1484"/>
    </row>
    <row r="75" spans="1:12" ht="24.9" customHeight="1">
      <c r="A75" s="1280" t="s">
        <v>841</v>
      </c>
      <c r="B75" s="1419">
        <f>SUM(C75:F75)</f>
        <v>-243035647.72938463</v>
      </c>
      <c r="C75" s="1419"/>
      <c r="D75" s="1419"/>
      <c r="E75" s="1419">
        <f>+E73</f>
        <v>-243035647.72938463</v>
      </c>
      <c r="F75" s="1419"/>
      <c r="G75" s="1260"/>
      <c r="H75" s="1205"/>
      <c r="I75" s="1484"/>
      <c r="J75" s="1484"/>
      <c r="K75" s="1484"/>
      <c r="L75" s="1484"/>
    </row>
    <row r="76" spans="1:12" ht="24.9" customHeight="1">
      <c r="A76" s="1281" t="s">
        <v>0</v>
      </c>
      <c r="B76" s="1428"/>
      <c r="C76" s="1428"/>
      <c r="D76" s="1428"/>
      <c r="E76" s="1428"/>
      <c r="F76" s="1428"/>
      <c r="G76" s="1282"/>
      <c r="H76" s="1205"/>
      <c r="I76" s="1484"/>
      <c r="J76" s="1484"/>
      <c r="K76" s="1484"/>
      <c r="L76" s="1484"/>
    </row>
    <row r="77" spans="1:12" s="1284" customFormat="1" ht="24.9" customHeight="1" thickBot="1">
      <c r="A77" s="1216" t="s">
        <v>330</v>
      </c>
      <c r="B77" s="1423">
        <f>+B74-B75-B76</f>
        <v>-2543202000.9750519</v>
      </c>
      <c r="C77" s="1423"/>
      <c r="D77" s="1423"/>
      <c r="E77" s="1423">
        <f>+E74-E75-E76</f>
        <v>-2543202000.9750519</v>
      </c>
      <c r="F77" s="1423"/>
      <c r="G77" s="1283"/>
      <c r="I77" s="1485"/>
      <c r="J77" s="1485"/>
      <c r="K77" s="1485"/>
      <c r="L77" s="1485"/>
    </row>
    <row r="78" spans="1:12" ht="24.9" customHeight="1" thickTop="1">
      <c r="A78" s="1217" t="s">
        <v>558</v>
      </c>
      <c r="B78" s="1217"/>
      <c r="C78" s="1217"/>
      <c r="D78" s="2402"/>
      <c r="E78" s="1262"/>
      <c r="F78" s="1263"/>
      <c r="G78" s="2403"/>
      <c r="H78" s="1205"/>
    </row>
    <row r="79" spans="1:12" ht="24.9" customHeight="1">
      <c r="A79" s="2576" t="s">
        <v>740</v>
      </c>
      <c r="B79" s="2577"/>
      <c r="C79" s="2577"/>
      <c r="D79" s="2577"/>
      <c r="E79" s="2577"/>
      <c r="F79" s="2577"/>
      <c r="G79" s="2577"/>
      <c r="H79" s="1205"/>
    </row>
    <row r="80" spans="1:12" ht="24.9" customHeight="1">
      <c r="A80" s="1265" t="s">
        <v>741</v>
      </c>
      <c r="B80" s="1217"/>
      <c r="C80" s="1263"/>
      <c r="D80" s="1217"/>
      <c r="E80" s="1217"/>
      <c r="F80" s="2402"/>
      <c r="G80" s="2402"/>
      <c r="H80" s="1205"/>
    </row>
    <row r="81" spans="1:8" ht="24.9" customHeight="1">
      <c r="A81" s="1265" t="s">
        <v>186</v>
      </c>
      <c r="B81" s="1217"/>
      <c r="C81" s="1263"/>
      <c r="D81" s="1217"/>
      <c r="E81" s="1217"/>
      <c r="F81" s="2402"/>
      <c r="G81" s="2402"/>
      <c r="H81" s="1205"/>
    </row>
    <row r="82" spans="1:8" ht="24.9" customHeight="1">
      <c r="A82" s="1265" t="s">
        <v>195</v>
      </c>
      <c r="B82" s="1217"/>
      <c r="C82" s="1263"/>
      <c r="D82" s="1217"/>
      <c r="E82" s="1217"/>
      <c r="F82" s="2402"/>
      <c r="G82" s="2402"/>
      <c r="H82" s="1205"/>
    </row>
    <row r="83" spans="1:8" ht="15.75" customHeight="1">
      <c r="A83" s="2577" t="s">
        <v>764</v>
      </c>
      <c r="B83" s="2577"/>
      <c r="C83" s="2577"/>
      <c r="D83" s="2577"/>
      <c r="E83" s="2577"/>
      <c r="F83" s="2577"/>
      <c r="G83" s="2577"/>
      <c r="H83" s="1307"/>
    </row>
    <row r="84" spans="1:8">
      <c r="A84" s="1266"/>
      <c r="B84" s="1205"/>
      <c r="C84" s="491"/>
      <c r="D84" s="491"/>
      <c r="E84" s="541"/>
      <c r="F84" s="541"/>
      <c r="G84" s="1268"/>
      <c r="H84" s="1205"/>
    </row>
    <row r="85" spans="1:8" ht="15.6">
      <c r="A85" s="2404"/>
      <c r="B85" s="1271"/>
      <c r="C85" s="1271"/>
      <c r="D85" s="1271"/>
      <c r="E85" s="1271"/>
      <c r="F85" s="1271"/>
      <c r="G85" s="1271"/>
      <c r="H85" s="1205"/>
    </row>
    <row r="86" spans="1:8" s="1202" customFormat="1" ht="17.399999999999999">
      <c r="A86" s="1312" t="str">
        <f>A1</f>
        <v>Public Service Electric and Gas Company</v>
      </c>
      <c r="B86" s="1313"/>
      <c r="C86" s="1313"/>
      <c r="D86" s="1313"/>
      <c r="E86" s="1313"/>
      <c r="F86" s="1313"/>
      <c r="G86" s="1314"/>
      <c r="H86" s="1204"/>
    </row>
    <row r="87" spans="1:8" s="1202" customFormat="1" ht="17.399999999999999">
      <c r="A87" s="2574" t="s">
        <v>495</v>
      </c>
      <c r="B87" s="2574"/>
      <c r="C87" s="2574"/>
      <c r="D87" s="2574"/>
      <c r="E87" s="2574"/>
      <c r="F87" s="2574"/>
      <c r="G87" s="2574"/>
      <c r="H87" s="1204"/>
    </row>
    <row r="88" spans="1:8" s="1202" customFormat="1" ht="17.399999999999999">
      <c r="A88" s="2574" t="str">
        <f>+A3</f>
        <v xml:space="preserve">Attachment 1 - Accumulated Deferred Income Taxes (ADIT) Worksheet - December 31,2014   </v>
      </c>
      <c r="B88" s="2574"/>
      <c r="C88" s="2574"/>
      <c r="D88" s="2574"/>
      <c r="E88" s="2574"/>
      <c r="F88" s="2574"/>
      <c r="G88" s="2574"/>
      <c r="H88" s="1204"/>
    </row>
    <row r="89" spans="1:8" s="1202" customFormat="1" ht="17.399999999999999">
      <c r="A89" s="1285"/>
      <c r="B89" s="1204"/>
      <c r="C89" s="1204"/>
      <c r="D89" s="1204"/>
      <c r="E89" s="1204"/>
      <c r="F89" s="1195"/>
      <c r="G89" s="1286"/>
      <c r="H89" s="1204"/>
    </row>
    <row r="90" spans="1:8" ht="15.6">
      <c r="A90" s="1266"/>
      <c r="B90" s="1205"/>
      <c r="C90" s="1205"/>
      <c r="D90" s="1205"/>
      <c r="E90" s="1205"/>
      <c r="F90" s="1274"/>
      <c r="G90" s="2554" t="s">
        <v>1125</v>
      </c>
      <c r="H90" s="1205"/>
    </row>
    <row r="91" spans="1:8" ht="15.6">
      <c r="A91" s="1266"/>
      <c r="B91" s="1205"/>
      <c r="C91" s="1205"/>
      <c r="D91" s="1205"/>
      <c r="E91" s="1205"/>
      <c r="F91" s="1274"/>
      <c r="G91" s="1268"/>
      <c r="H91" s="1205"/>
    </row>
    <row r="92" spans="1:8" ht="15.6">
      <c r="A92" s="1253" t="s">
        <v>123</v>
      </c>
      <c r="B92" s="1254" t="s">
        <v>331</v>
      </c>
      <c r="C92" s="1254" t="s">
        <v>108</v>
      </c>
      <c r="D92" s="1254" t="s">
        <v>124</v>
      </c>
      <c r="E92" s="1254" t="s">
        <v>122</v>
      </c>
      <c r="F92" s="1254" t="s">
        <v>730</v>
      </c>
      <c r="G92" s="1254" t="s">
        <v>125</v>
      </c>
    </row>
    <row r="93" spans="1:8" ht="31.2">
      <c r="A93" s="1274" t="s">
        <v>547</v>
      </c>
      <c r="B93" s="1242" t="s">
        <v>330</v>
      </c>
      <c r="C93" s="1287" t="s">
        <v>768</v>
      </c>
      <c r="D93" s="1287" t="s">
        <v>769</v>
      </c>
      <c r="E93" s="1287" t="s">
        <v>550</v>
      </c>
      <c r="F93" s="1287" t="s">
        <v>552</v>
      </c>
      <c r="H93" s="1205"/>
    </row>
    <row r="94" spans="1:8" ht="24.9" customHeight="1" thickBot="1">
      <c r="B94" s="1242"/>
      <c r="C94" s="1242"/>
      <c r="D94" s="1242"/>
      <c r="E94" s="1242"/>
      <c r="F94" s="1242"/>
      <c r="H94" s="1205"/>
    </row>
    <row r="95" spans="1:8" ht="24.9" customHeight="1">
      <c r="A95" s="2561" t="s">
        <v>289</v>
      </c>
      <c r="B95" s="2562">
        <f t="shared" ref="B95:B110" si="1">SUM(C95:F95)</f>
        <v>1022247426.1800001</v>
      </c>
      <c r="C95" s="2562">
        <v>1022247426.1800001</v>
      </c>
      <c r="D95" s="2562"/>
      <c r="E95" s="2562"/>
      <c r="F95" s="2562"/>
      <c r="G95" s="2563" t="s">
        <v>228</v>
      </c>
      <c r="H95" s="1205"/>
    </row>
    <row r="96" spans="1:8" ht="24.9" customHeight="1">
      <c r="A96" s="2405" t="s">
        <v>294</v>
      </c>
      <c r="B96" s="2406">
        <f t="shared" si="1"/>
        <v>-968676612.66082096</v>
      </c>
      <c r="C96" s="2406">
        <v>-968676612.66082096</v>
      </c>
      <c r="D96" s="2406"/>
      <c r="E96" s="2406"/>
      <c r="F96" s="2406"/>
      <c r="G96" s="2407" t="s">
        <v>228</v>
      </c>
      <c r="H96" s="1205"/>
    </row>
    <row r="97" spans="1:13" ht="24.9" customHeight="1">
      <c r="A97" s="2405" t="s">
        <v>295</v>
      </c>
      <c r="B97" s="2406">
        <f t="shared" si="1"/>
        <v>-161907376.68759441</v>
      </c>
      <c r="C97" s="2406">
        <v>-161907376.68759441</v>
      </c>
      <c r="D97" s="2406"/>
      <c r="E97" s="2406"/>
      <c r="F97" s="2406"/>
      <c r="G97" s="2407" t="s">
        <v>228</v>
      </c>
      <c r="H97" s="1205"/>
    </row>
    <row r="98" spans="1:13" ht="24.9" customHeight="1">
      <c r="A98" s="2405" t="s">
        <v>291</v>
      </c>
      <c r="B98" s="2406">
        <f t="shared" si="1"/>
        <v>-24412903.024424735</v>
      </c>
      <c r="C98" s="2406">
        <v>-24412903.024424735</v>
      </c>
      <c r="D98" s="2406"/>
      <c r="E98" s="2406"/>
      <c r="F98" s="2406"/>
      <c r="G98" s="2407" t="s">
        <v>13</v>
      </c>
      <c r="H98" s="1205"/>
    </row>
    <row r="99" spans="1:13" ht="24.75" customHeight="1">
      <c r="A99" s="2405" t="s">
        <v>292</v>
      </c>
      <c r="B99" s="2406">
        <f t="shared" si="1"/>
        <v>-293553366.99955821</v>
      </c>
      <c r="C99" s="2406">
        <v>-53032001.86810869</v>
      </c>
      <c r="D99" s="2406"/>
      <c r="E99" s="465">
        <v>-240521365.13144952</v>
      </c>
      <c r="F99" s="2406"/>
      <c r="G99" s="2407" t="s">
        <v>230</v>
      </c>
      <c r="H99" s="1205"/>
    </row>
    <row r="100" spans="1:13" ht="24.75" customHeight="1">
      <c r="A100" s="2408" t="s">
        <v>830</v>
      </c>
      <c r="B100" s="2406">
        <f t="shared" si="1"/>
        <v>115317595</v>
      </c>
      <c r="C100" s="2406">
        <v>115317595</v>
      </c>
      <c r="D100" s="2406"/>
      <c r="E100" s="2406"/>
      <c r="F100" s="2406"/>
      <c r="G100" s="2407" t="s">
        <v>208</v>
      </c>
      <c r="H100" s="1205"/>
    </row>
    <row r="101" spans="1:13" ht="24.75" customHeight="1">
      <c r="A101" s="2405" t="s">
        <v>848</v>
      </c>
      <c r="B101" s="2406">
        <f t="shared" si="1"/>
        <v>-1913316.2999999998</v>
      </c>
      <c r="C101" s="2406">
        <v>-1913316.2999999998</v>
      </c>
      <c r="D101" s="2406"/>
      <c r="E101" s="2406"/>
      <c r="F101" s="2406"/>
      <c r="G101" s="2407" t="s">
        <v>231</v>
      </c>
      <c r="H101" s="1205"/>
    </row>
    <row r="102" spans="1:13" ht="24.75" customHeight="1">
      <c r="A102" s="2405" t="s">
        <v>849</v>
      </c>
      <c r="B102" s="2406">
        <f t="shared" si="1"/>
        <v>-113677935.65403694</v>
      </c>
      <c r="C102" s="2406">
        <v>-113677935.65403694</v>
      </c>
      <c r="D102" s="2406"/>
      <c r="E102" s="2406"/>
      <c r="F102" s="2406"/>
      <c r="G102" s="2407" t="s">
        <v>232</v>
      </c>
      <c r="H102" s="1205"/>
    </row>
    <row r="103" spans="1:13" ht="24.9" customHeight="1">
      <c r="A103" s="2405" t="s">
        <v>299</v>
      </c>
      <c r="B103" s="2406">
        <f t="shared" si="1"/>
        <v>-16982114.636860445</v>
      </c>
      <c r="C103" s="2406"/>
      <c r="D103" s="2406"/>
      <c r="E103" s="2406">
        <v>-16982114.636860445</v>
      </c>
      <c r="F103" s="2406"/>
      <c r="G103" s="2407" t="s">
        <v>405</v>
      </c>
      <c r="H103" s="1205"/>
    </row>
    <row r="104" spans="1:13" ht="24.9" customHeight="1">
      <c r="A104" s="2405" t="s">
        <v>300</v>
      </c>
      <c r="B104" s="2406">
        <f t="shared" si="1"/>
        <v>-161702087.29550421</v>
      </c>
      <c r="C104" s="2406">
        <v>-161702087.29550421</v>
      </c>
      <c r="D104" s="2406"/>
      <c r="E104" s="2406"/>
      <c r="F104" s="2406"/>
      <c r="G104" s="2407" t="s">
        <v>755</v>
      </c>
      <c r="H104" s="1205"/>
    </row>
    <row r="105" spans="1:13" ht="24.9" customHeight="1">
      <c r="A105" s="2405" t="s">
        <v>932</v>
      </c>
      <c r="B105" s="2406">
        <f t="shared" si="1"/>
        <v>-1781312</v>
      </c>
      <c r="C105" s="2406">
        <v>-1781312</v>
      </c>
      <c r="D105" s="2406"/>
      <c r="E105" s="2406"/>
      <c r="F105" s="2406"/>
      <c r="G105" s="2407" t="s">
        <v>933</v>
      </c>
      <c r="H105" s="1205"/>
    </row>
    <row r="106" spans="1:13" ht="24.9" customHeight="1">
      <c r="A106" s="2405" t="s">
        <v>934</v>
      </c>
      <c r="B106" s="2406">
        <f t="shared" si="1"/>
        <v>1122289.2070000004</v>
      </c>
      <c r="C106" s="2406">
        <v>1122289.2070000004</v>
      </c>
      <c r="D106" s="2406"/>
      <c r="E106" s="2406"/>
      <c r="F106" s="2406"/>
      <c r="G106" s="2407" t="s">
        <v>935</v>
      </c>
      <c r="H106" s="1205"/>
    </row>
    <row r="107" spans="1:13" ht="24.9" customHeight="1">
      <c r="A107" s="2405" t="s">
        <v>936</v>
      </c>
      <c r="B107" s="2406">
        <f t="shared" si="1"/>
        <v>-1270089.1000000001</v>
      </c>
      <c r="C107" s="2406">
        <v>-1270089.1000000001</v>
      </c>
      <c r="D107" s="2406"/>
      <c r="E107" s="2406"/>
      <c r="F107" s="2406"/>
      <c r="G107" s="2407" t="s">
        <v>937</v>
      </c>
      <c r="H107" s="1205"/>
    </row>
    <row r="108" spans="1:13" ht="24.9" customHeight="1">
      <c r="A108" s="2405" t="s">
        <v>938</v>
      </c>
      <c r="B108" s="2406">
        <f t="shared" si="1"/>
        <v>-53280534.649999999</v>
      </c>
      <c r="C108" s="2406">
        <v>-53280534.649999999</v>
      </c>
      <c r="D108" s="2406"/>
      <c r="E108" s="2406"/>
      <c r="F108" s="2406"/>
      <c r="G108" s="2407" t="s">
        <v>939</v>
      </c>
      <c r="H108" s="1205"/>
    </row>
    <row r="109" spans="1:13" ht="24.9" customHeight="1">
      <c r="A109" s="2405" t="s">
        <v>316</v>
      </c>
      <c r="B109" s="2406">
        <f t="shared" si="1"/>
        <v>-1618471.0319499758</v>
      </c>
      <c r="C109" s="2406"/>
      <c r="D109" s="2406"/>
      <c r="E109" s="2406">
        <v>-1618471.0319499758</v>
      </c>
      <c r="F109" s="2406"/>
      <c r="G109" s="2407" t="s">
        <v>16</v>
      </c>
      <c r="H109" s="1205"/>
    </row>
    <row r="110" spans="1:13" ht="35.1" customHeight="1" thickBot="1">
      <c r="A110" s="2564" t="s">
        <v>318</v>
      </c>
      <c r="B110" s="2565">
        <f t="shared" si="1"/>
        <v>-174214043.15942454</v>
      </c>
      <c r="C110" s="2565"/>
      <c r="D110" s="2565"/>
      <c r="E110" s="2565">
        <v>-174214043.15942454</v>
      </c>
      <c r="F110" s="2565"/>
      <c r="G110" s="2566" t="s">
        <v>17</v>
      </c>
      <c r="H110" s="1205"/>
      <c r="J110" s="1484"/>
      <c r="K110" s="1484"/>
      <c r="L110" s="1484"/>
      <c r="M110" s="1484"/>
    </row>
    <row r="111" spans="1:13" ht="24.9" customHeight="1">
      <c r="A111" s="1315" t="s">
        <v>407</v>
      </c>
      <c r="B111" s="1433">
        <f>SUM(B94:B110)</f>
        <v>-836302852.81317437</v>
      </c>
      <c r="C111" s="1433">
        <f>SUM(C94:C110)</f>
        <v>-402966858.85348988</v>
      </c>
      <c r="D111" s="1433"/>
      <c r="E111" s="1433">
        <f>SUM(E94:E110)</f>
        <v>-433335993.95968449</v>
      </c>
      <c r="F111" s="1433"/>
      <c r="G111" s="1316"/>
      <c r="H111" s="1205"/>
      <c r="J111" s="1484"/>
      <c r="K111" s="1484"/>
      <c r="L111" s="1484"/>
      <c r="M111" s="1484"/>
    </row>
    <row r="112" spans="1:13" ht="24.9" customHeight="1">
      <c r="A112" s="1291" t="s">
        <v>841</v>
      </c>
      <c r="B112" s="978">
        <f>SUM(C112:F112)</f>
        <v>-175832514.19137451</v>
      </c>
      <c r="C112" s="978"/>
      <c r="D112" s="978"/>
      <c r="E112" s="978">
        <f>SUM(E109:E110)</f>
        <v>-175832514.19137451</v>
      </c>
      <c r="F112" s="461"/>
      <c r="G112" s="1292"/>
      <c r="H112" s="1205"/>
      <c r="J112" s="1486"/>
      <c r="K112" s="1486"/>
      <c r="L112" s="1486"/>
      <c r="M112" s="1486"/>
    </row>
    <row r="113" spans="1:8" ht="24.9" customHeight="1">
      <c r="A113" s="1317" t="s">
        <v>0</v>
      </c>
      <c r="B113" s="978"/>
      <c r="C113" s="978"/>
      <c r="D113" s="978"/>
      <c r="E113" s="978"/>
      <c r="F113" s="978"/>
      <c r="G113" s="1318"/>
      <c r="H113" s="1205"/>
    </row>
    <row r="114" spans="1:8" s="1284" customFormat="1" ht="24.9" customHeight="1" thickBot="1">
      <c r="A114" s="1216" t="s">
        <v>330</v>
      </c>
      <c r="B114" s="486">
        <f>+B111-B112</f>
        <v>-660470338.62179983</v>
      </c>
      <c r="C114" s="486">
        <f>+C111-C112-C113</f>
        <v>-402966858.85348988</v>
      </c>
      <c r="D114" s="486"/>
      <c r="E114" s="486">
        <f>+E111-E112-E113</f>
        <v>-257503479.76830998</v>
      </c>
      <c r="F114" s="486"/>
      <c r="G114" s="1293"/>
    </row>
    <row r="115" spans="1:8" s="1205" customFormat="1" ht="15.6" thickTop="1">
      <c r="A115" s="1266"/>
      <c r="B115" s="1294"/>
      <c r="C115" s="1295"/>
      <c r="D115" s="1295"/>
      <c r="E115" s="1295"/>
      <c r="F115" s="1295"/>
      <c r="G115" s="1268"/>
    </row>
    <row r="116" spans="1:8" s="1205" customFormat="1" ht="35.1" customHeight="1">
      <c r="A116" s="1217" t="s">
        <v>557</v>
      </c>
      <c r="B116" s="491"/>
      <c r="C116" s="491"/>
      <c r="D116" s="541"/>
      <c r="E116" s="541"/>
      <c r="G116" s="1296"/>
    </row>
    <row r="117" spans="1:8" ht="35.1" customHeight="1">
      <c r="A117" s="2576" t="s">
        <v>740</v>
      </c>
      <c r="B117" s="2580"/>
      <c r="C117" s="2580"/>
      <c r="D117" s="2580"/>
      <c r="E117" s="2580"/>
      <c r="F117" s="2580"/>
      <c r="G117" s="2580"/>
      <c r="H117" s="1205"/>
    </row>
    <row r="118" spans="1:8" ht="35.1" customHeight="1">
      <c r="A118" s="1265" t="s">
        <v>741</v>
      </c>
      <c r="B118" s="491"/>
      <c r="C118" s="1205"/>
      <c r="D118" s="491"/>
      <c r="E118" s="491"/>
      <c r="F118" s="541"/>
      <c r="G118" s="541"/>
      <c r="H118" s="1205"/>
    </row>
    <row r="119" spans="1:8" ht="35.1" customHeight="1">
      <c r="A119" s="1265" t="s">
        <v>186</v>
      </c>
      <c r="B119" s="491"/>
      <c r="C119" s="1205"/>
      <c r="D119" s="491"/>
      <c r="E119" s="491"/>
      <c r="F119" s="541"/>
      <c r="G119" s="541"/>
      <c r="H119" s="1205"/>
    </row>
    <row r="120" spans="1:8" ht="35.1" customHeight="1">
      <c r="A120" s="1265" t="s">
        <v>195</v>
      </c>
      <c r="B120" s="491"/>
      <c r="C120" s="1205"/>
      <c r="D120" s="491"/>
      <c r="E120" s="491"/>
      <c r="F120" s="541"/>
      <c r="G120" s="541"/>
      <c r="H120" s="1205"/>
    </row>
    <row r="121" spans="1:8" ht="35.1" customHeight="1">
      <c r="A121" s="2577" t="s">
        <v>764</v>
      </c>
      <c r="B121" s="2580"/>
      <c r="C121" s="2580"/>
      <c r="D121" s="2580"/>
      <c r="E121" s="2580"/>
      <c r="F121" s="2580"/>
      <c r="G121" s="2580"/>
      <c r="H121" s="1205"/>
    </row>
    <row r="122" spans="1:8">
      <c r="A122" s="1266"/>
      <c r="B122" s="1205"/>
      <c r="C122" s="1205"/>
      <c r="D122" s="1205"/>
      <c r="E122" s="1205"/>
      <c r="F122" s="1205"/>
      <c r="G122" s="1205"/>
      <c r="H122" s="1205"/>
    </row>
    <row r="123" spans="1:8" ht="15.6">
      <c r="A123" s="1297"/>
      <c r="B123" s="1298"/>
      <c r="C123" s="1298"/>
      <c r="D123" s="1298"/>
      <c r="E123" s="1298"/>
      <c r="F123" s="1298"/>
      <c r="G123" s="1298"/>
      <c r="H123" s="1205"/>
    </row>
    <row r="124" spans="1:8" ht="15.6">
      <c r="A124" s="2575"/>
      <c r="B124" s="2575"/>
      <c r="C124" s="2575"/>
      <c r="D124" s="2575"/>
      <c r="E124" s="2575"/>
      <c r="F124" s="2575"/>
      <c r="G124" s="2575"/>
      <c r="H124" s="1271"/>
    </row>
    <row r="125" spans="1:8">
      <c r="A125" s="491"/>
      <c r="B125" s="491"/>
      <c r="C125" s="491"/>
      <c r="D125" s="491"/>
      <c r="E125" s="491"/>
      <c r="F125" s="491"/>
      <c r="G125" s="491"/>
      <c r="H125" s="1205"/>
    </row>
    <row r="126" spans="1:8">
      <c r="A126" s="491"/>
      <c r="B126" s="491"/>
      <c r="C126" s="491"/>
      <c r="D126" s="491"/>
      <c r="E126" s="491"/>
      <c r="F126" s="491"/>
      <c r="G126" s="491"/>
      <c r="H126" s="1205"/>
    </row>
    <row r="127" spans="1:8">
      <c r="A127" s="491"/>
      <c r="B127" s="491"/>
      <c r="C127" s="491"/>
      <c r="D127" s="491"/>
      <c r="E127" s="491"/>
      <c r="F127" s="491"/>
      <c r="G127" s="491"/>
      <c r="H127" s="1205"/>
    </row>
    <row r="128" spans="1:8" ht="15.6">
      <c r="A128" s="1217"/>
      <c r="B128" s="491"/>
      <c r="C128" s="1299"/>
      <c r="D128" s="1299"/>
      <c r="E128" s="1299"/>
      <c r="F128" s="1299"/>
      <c r="G128" s="1299"/>
      <c r="H128" s="1267"/>
    </row>
    <row r="129" spans="1:8" ht="15.6">
      <c r="A129" s="1217"/>
      <c r="B129" s="491"/>
      <c r="C129" s="1299"/>
      <c r="D129" s="1299"/>
      <c r="E129" s="1299"/>
      <c r="F129" s="1299"/>
      <c r="G129" s="1299"/>
      <c r="H129" s="1267"/>
    </row>
    <row r="130" spans="1:8">
      <c r="A130" s="1300"/>
      <c r="B130" s="491"/>
      <c r="C130" s="541"/>
      <c r="D130" s="541"/>
      <c r="E130" s="491"/>
      <c r="F130" s="491"/>
      <c r="G130" s="491"/>
      <c r="H130" s="1205"/>
    </row>
    <row r="131" spans="1:8">
      <c r="A131" s="1300"/>
      <c r="B131" s="491"/>
      <c r="C131" s="271"/>
      <c r="D131" s="271"/>
      <c r="E131" s="491"/>
      <c r="F131" s="491"/>
      <c r="G131" s="491"/>
      <c r="H131" s="1205"/>
    </row>
    <row r="132" spans="1:8">
      <c r="A132" s="1300"/>
      <c r="B132" s="491"/>
      <c r="C132" s="271"/>
      <c r="D132" s="271"/>
      <c r="E132" s="491"/>
      <c r="F132" s="491"/>
      <c r="G132" s="491"/>
      <c r="H132" s="1205"/>
    </row>
    <row r="133" spans="1:8">
      <c r="A133" s="1300"/>
      <c r="B133" s="491"/>
      <c r="C133" s="271"/>
      <c r="D133" s="271"/>
      <c r="E133" s="491"/>
      <c r="F133" s="491"/>
      <c r="G133" s="491"/>
      <c r="H133" s="1205"/>
    </row>
    <row r="134" spans="1:8">
      <c r="A134" s="1300"/>
      <c r="B134" s="491"/>
      <c r="C134" s="271"/>
      <c r="D134" s="271"/>
      <c r="E134" s="491"/>
      <c r="F134" s="491"/>
      <c r="G134" s="491"/>
      <c r="H134" s="1205"/>
    </row>
    <row r="135" spans="1:8">
      <c r="A135" s="1300"/>
      <c r="B135" s="491"/>
      <c r="C135" s="271"/>
      <c r="D135" s="271"/>
      <c r="E135" s="491"/>
      <c r="F135" s="491"/>
      <c r="G135" s="491"/>
      <c r="H135" s="1205"/>
    </row>
    <row r="136" spans="1:8">
      <c r="A136" s="1300"/>
      <c r="B136" s="491"/>
      <c r="C136" s="271"/>
      <c r="D136" s="271"/>
      <c r="E136" s="491"/>
      <c r="F136" s="491"/>
      <c r="G136" s="491"/>
      <c r="H136" s="1205"/>
    </row>
    <row r="137" spans="1:8">
      <c r="A137" s="1300"/>
      <c r="B137" s="491"/>
      <c r="C137" s="271"/>
      <c r="D137" s="271"/>
      <c r="E137" s="491"/>
      <c r="F137" s="491"/>
      <c r="G137" s="491"/>
      <c r="H137" s="1205"/>
    </row>
    <row r="138" spans="1:8">
      <c r="A138" s="1300"/>
      <c r="B138" s="491"/>
      <c r="C138" s="271"/>
      <c r="D138" s="271"/>
      <c r="E138" s="491"/>
      <c r="F138" s="491"/>
      <c r="G138" s="491"/>
      <c r="H138" s="1205"/>
    </row>
    <row r="139" spans="1:8">
      <c r="A139" s="1300"/>
      <c r="B139" s="491"/>
      <c r="C139" s="271"/>
      <c r="D139" s="271"/>
      <c r="E139" s="491"/>
      <c r="F139" s="491"/>
      <c r="G139" s="491"/>
      <c r="H139" s="1205"/>
    </row>
    <row r="140" spans="1:8">
      <c r="A140" s="1300"/>
      <c r="B140" s="491"/>
      <c r="C140" s="271"/>
      <c r="D140" s="271"/>
      <c r="E140" s="491"/>
      <c r="F140" s="491"/>
      <c r="G140" s="491"/>
      <c r="H140" s="1205"/>
    </row>
    <row r="141" spans="1:8">
      <c r="A141" s="491"/>
      <c r="B141" s="491"/>
      <c r="C141" s="271"/>
      <c r="D141" s="271"/>
      <c r="E141" s="491"/>
      <c r="F141" s="491"/>
      <c r="G141" s="491"/>
      <c r="H141" s="1205"/>
    </row>
    <row r="142" spans="1:8">
      <c r="A142" s="1300"/>
      <c r="B142" s="491"/>
      <c r="C142" s="271"/>
      <c r="D142" s="271"/>
      <c r="E142" s="491"/>
      <c r="F142" s="491"/>
      <c r="G142" s="491"/>
      <c r="H142" s="1205"/>
    </row>
    <row r="143" spans="1:8">
      <c r="A143" s="491"/>
      <c r="B143" s="491"/>
      <c r="C143" s="271"/>
      <c r="D143" s="271"/>
      <c r="E143" s="491"/>
      <c r="F143" s="491"/>
      <c r="G143" s="491"/>
      <c r="H143" s="1205"/>
    </row>
    <row r="144" spans="1:8">
      <c r="A144" s="1300"/>
      <c r="B144" s="491"/>
      <c r="C144" s="491"/>
      <c r="D144" s="491"/>
      <c r="E144" s="491"/>
      <c r="F144" s="491"/>
      <c r="G144" s="491"/>
      <c r="H144" s="1205"/>
    </row>
    <row r="145" spans="1:7">
      <c r="A145" s="1300"/>
      <c r="B145" s="491"/>
      <c r="C145" s="491"/>
      <c r="D145" s="491"/>
      <c r="E145" s="491"/>
      <c r="F145" s="491"/>
      <c r="G145" s="491"/>
    </row>
    <row r="146" spans="1:7">
      <c r="A146" s="1300"/>
      <c r="B146" s="491"/>
      <c r="C146" s="491"/>
      <c r="D146" s="491"/>
      <c r="E146" s="491"/>
      <c r="F146" s="491"/>
      <c r="G146" s="491"/>
    </row>
    <row r="147" spans="1:7">
      <c r="A147" s="1300"/>
      <c r="B147" s="491"/>
      <c r="C147" s="491"/>
      <c r="D147" s="491"/>
      <c r="E147" s="491"/>
      <c r="F147" s="491"/>
      <c r="G147" s="491"/>
    </row>
    <row r="148" spans="1:7">
      <c r="A148" s="1300"/>
      <c r="B148" s="491"/>
      <c r="C148" s="491"/>
      <c r="D148" s="491"/>
      <c r="E148" s="491"/>
      <c r="F148" s="491"/>
      <c r="G148" s="491"/>
    </row>
    <row r="149" spans="1:7">
      <c r="A149" s="1300"/>
      <c r="B149" s="491"/>
      <c r="C149" s="491"/>
      <c r="D149" s="491"/>
      <c r="E149" s="491"/>
      <c r="F149" s="491"/>
      <c r="G149" s="491"/>
    </row>
    <row r="150" spans="1:7">
      <c r="A150" s="1300"/>
      <c r="B150" s="491"/>
      <c r="C150" s="491"/>
      <c r="D150" s="491"/>
      <c r="E150" s="491"/>
      <c r="F150" s="491"/>
      <c r="G150" s="491"/>
    </row>
    <row r="151" spans="1:7">
      <c r="A151" s="1300"/>
      <c r="B151" s="491"/>
      <c r="C151" s="491"/>
      <c r="D151" s="491"/>
      <c r="E151" s="491"/>
      <c r="F151" s="491"/>
      <c r="G151" s="491"/>
    </row>
    <row r="152" spans="1:7">
      <c r="A152" s="1300"/>
      <c r="B152" s="491"/>
      <c r="C152" s="491"/>
      <c r="D152" s="491"/>
      <c r="E152" s="491"/>
      <c r="F152" s="491"/>
      <c r="G152" s="491"/>
    </row>
    <row r="153" spans="1:7">
      <c r="A153" s="1300"/>
      <c r="B153" s="491"/>
      <c r="C153" s="491"/>
      <c r="D153" s="491"/>
      <c r="E153" s="491"/>
      <c r="F153" s="491"/>
      <c r="G153" s="491"/>
    </row>
    <row r="154" spans="1:7">
      <c r="A154" s="1300"/>
      <c r="B154" s="491"/>
      <c r="C154" s="491"/>
      <c r="D154" s="491"/>
      <c r="E154" s="491"/>
      <c r="F154" s="491"/>
      <c r="G154" s="491"/>
    </row>
    <row r="155" spans="1:7">
      <c r="A155" s="1300"/>
      <c r="B155" s="491"/>
      <c r="C155" s="491"/>
      <c r="D155" s="491"/>
      <c r="E155" s="491"/>
      <c r="F155" s="491"/>
      <c r="G155" s="491"/>
    </row>
    <row r="156" spans="1:7">
      <c r="A156" s="1300"/>
      <c r="B156" s="491"/>
      <c r="C156" s="491"/>
      <c r="D156" s="491"/>
      <c r="E156" s="491"/>
      <c r="F156" s="491"/>
      <c r="G156" s="491"/>
    </row>
    <row r="157" spans="1:7">
      <c r="A157" s="1300"/>
      <c r="B157" s="491"/>
      <c r="C157" s="491"/>
      <c r="D157" s="491"/>
      <c r="E157" s="491"/>
      <c r="F157" s="491"/>
      <c r="G157" s="491"/>
    </row>
    <row r="158" spans="1:7">
      <c r="A158" s="1300"/>
      <c r="B158" s="491"/>
      <c r="C158" s="491"/>
      <c r="D158" s="491"/>
      <c r="E158" s="491"/>
      <c r="F158" s="491"/>
      <c r="G158" s="491"/>
    </row>
    <row r="159" spans="1:7">
      <c r="A159" s="1300"/>
      <c r="B159" s="491"/>
      <c r="C159" s="491"/>
      <c r="D159" s="491"/>
      <c r="E159" s="491"/>
      <c r="F159" s="491"/>
      <c r="G159" s="491"/>
    </row>
    <row r="160" spans="1:7">
      <c r="A160" s="1300"/>
      <c r="B160" s="491"/>
      <c r="C160" s="491"/>
      <c r="D160" s="491"/>
      <c r="E160" s="491"/>
      <c r="F160" s="491"/>
      <c r="G160" s="491"/>
    </row>
    <row r="161" spans="1:7">
      <c r="A161" s="1300"/>
      <c r="B161" s="491"/>
      <c r="C161" s="491"/>
      <c r="D161" s="491"/>
      <c r="E161" s="491"/>
      <c r="F161" s="491"/>
      <c r="G161" s="491"/>
    </row>
    <row r="162" spans="1:7">
      <c r="A162" s="1300"/>
      <c r="B162" s="491"/>
      <c r="C162" s="491"/>
      <c r="D162" s="491"/>
      <c r="E162" s="491"/>
      <c r="F162" s="491"/>
      <c r="G162" s="491"/>
    </row>
    <row r="163" spans="1:7">
      <c r="A163" s="1300"/>
      <c r="B163" s="491"/>
      <c r="C163" s="491"/>
      <c r="D163" s="491"/>
      <c r="E163" s="491"/>
      <c r="F163" s="491"/>
      <c r="G163" s="491"/>
    </row>
    <row r="164" spans="1:7">
      <c r="A164" s="1300"/>
      <c r="B164" s="491"/>
      <c r="C164" s="491"/>
      <c r="D164" s="491"/>
      <c r="E164" s="491"/>
      <c r="F164" s="491"/>
      <c r="G164" s="491"/>
    </row>
    <row r="165" spans="1:7">
      <c r="A165" s="1300"/>
      <c r="B165" s="491"/>
      <c r="C165" s="491"/>
      <c r="D165" s="491"/>
      <c r="E165" s="491"/>
      <c r="F165" s="491"/>
      <c r="G165" s="491"/>
    </row>
    <row r="166" spans="1:7">
      <c r="A166" s="1300"/>
      <c r="B166" s="491"/>
      <c r="C166" s="491"/>
      <c r="D166" s="491"/>
      <c r="E166" s="491"/>
      <c r="F166" s="491"/>
      <c r="G166" s="491"/>
    </row>
    <row r="167" spans="1:7">
      <c r="A167" s="1300"/>
      <c r="B167" s="491"/>
      <c r="C167" s="491"/>
      <c r="D167" s="491"/>
      <c r="E167" s="491"/>
      <c r="F167" s="491"/>
      <c r="G167" s="491"/>
    </row>
    <row r="168" spans="1:7">
      <c r="A168" s="1300"/>
      <c r="B168" s="491"/>
      <c r="C168" s="491"/>
      <c r="D168" s="491"/>
      <c r="E168" s="491"/>
      <c r="F168" s="491"/>
      <c r="G168" s="491"/>
    </row>
    <row r="169" spans="1:7">
      <c r="A169" s="1300"/>
      <c r="B169" s="491"/>
      <c r="C169" s="491"/>
      <c r="D169" s="491"/>
      <c r="E169" s="491"/>
      <c r="F169" s="491"/>
      <c r="G169" s="491"/>
    </row>
    <row r="170" spans="1:7">
      <c r="A170" s="1300"/>
      <c r="B170" s="491"/>
      <c r="C170" s="491"/>
      <c r="D170" s="491"/>
      <c r="E170" s="491"/>
      <c r="F170" s="491"/>
      <c r="G170" s="491"/>
    </row>
    <row r="171" spans="1:7">
      <c r="A171" s="1300"/>
      <c r="B171" s="491"/>
      <c r="C171" s="491"/>
      <c r="D171" s="491"/>
      <c r="E171" s="491"/>
      <c r="F171" s="491"/>
      <c r="G171" s="491"/>
    </row>
    <row r="172" spans="1:7">
      <c r="A172" s="1300"/>
      <c r="B172" s="491"/>
      <c r="C172" s="491"/>
      <c r="D172" s="491"/>
      <c r="E172" s="491"/>
      <c r="F172" s="491"/>
      <c r="G172" s="491"/>
    </row>
    <row r="173" spans="1:7">
      <c r="A173" s="1300"/>
      <c r="B173" s="491"/>
      <c r="C173" s="491"/>
      <c r="D173" s="491"/>
      <c r="E173" s="491"/>
      <c r="F173" s="491"/>
      <c r="G173" s="491"/>
    </row>
    <row r="174" spans="1:7">
      <c r="A174" s="1300"/>
      <c r="B174" s="491"/>
      <c r="C174" s="491"/>
      <c r="D174" s="491"/>
      <c r="E174" s="491"/>
      <c r="F174" s="491"/>
      <c r="G174" s="491"/>
    </row>
    <row r="175" spans="1:7">
      <c r="A175" s="1300"/>
      <c r="B175" s="491"/>
      <c r="C175" s="491"/>
      <c r="D175" s="491"/>
      <c r="E175" s="491"/>
      <c r="F175" s="491"/>
      <c r="G175" s="491"/>
    </row>
    <row r="176" spans="1:7">
      <c r="A176" s="1300"/>
      <c r="B176" s="491"/>
      <c r="C176" s="491"/>
      <c r="D176" s="491"/>
      <c r="E176" s="491"/>
      <c r="F176" s="491"/>
      <c r="G176" s="491"/>
    </row>
    <row r="177" spans="1:7">
      <c r="A177" s="1300"/>
      <c r="B177" s="491"/>
      <c r="C177" s="491"/>
      <c r="D177" s="491"/>
      <c r="E177" s="491"/>
      <c r="F177" s="491"/>
      <c r="G177" s="491"/>
    </row>
    <row r="178" spans="1:7">
      <c r="A178" s="1300"/>
      <c r="B178" s="491"/>
      <c r="C178" s="491"/>
      <c r="D178" s="491"/>
      <c r="E178" s="491"/>
      <c r="F178" s="491"/>
      <c r="G178" s="491"/>
    </row>
    <row r="179" spans="1:7">
      <c r="A179" s="1300"/>
      <c r="B179" s="491"/>
      <c r="C179" s="491"/>
      <c r="D179" s="491"/>
      <c r="E179" s="491"/>
      <c r="F179" s="491"/>
      <c r="G179" s="491"/>
    </row>
    <row r="180" spans="1:7">
      <c r="A180" s="1300"/>
      <c r="B180" s="491"/>
      <c r="C180" s="491"/>
      <c r="D180" s="491"/>
      <c r="E180" s="491"/>
      <c r="F180" s="491"/>
      <c r="G180" s="491"/>
    </row>
    <row r="181" spans="1:7">
      <c r="A181" s="1300"/>
      <c r="B181" s="491"/>
      <c r="C181" s="491"/>
      <c r="D181" s="491"/>
      <c r="E181" s="491"/>
      <c r="F181" s="491"/>
      <c r="G181" s="491"/>
    </row>
    <row r="182" spans="1:7">
      <c r="A182" s="1300"/>
      <c r="B182" s="491"/>
      <c r="C182" s="491"/>
      <c r="D182" s="491"/>
      <c r="E182" s="491"/>
      <c r="F182" s="491"/>
      <c r="G182" s="491"/>
    </row>
    <row r="183" spans="1:7">
      <c r="A183" s="1300"/>
      <c r="B183" s="491"/>
      <c r="C183" s="491"/>
      <c r="D183" s="491"/>
      <c r="E183" s="491"/>
      <c r="F183" s="491"/>
      <c r="G183" s="491"/>
    </row>
    <row r="184" spans="1:7">
      <c r="A184" s="1300"/>
      <c r="B184" s="491"/>
      <c r="C184" s="491"/>
      <c r="D184" s="491"/>
      <c r="E184" s="491"/>
      <c r="F184" s="491"/>
      <c r="G184" s="491"/>
    </row>
    <row r="185" spans="1:7">
      <c r="A185" s="1300"/>
      <c r="B185" s="491"/>
      <c r="C185" s="491"/>
      <c r="D185" s="491"/>
      <c r="E185" s="491"/>
      <c r="F185" s="491"/>
      <c r="G185" s="491"/>
    </row>
    <row r="186" spans="1:7">
      <c r="A186" s="1300"/>
      <c r="B186" s="491"/>
      <c r="C186" s="491"/>
      <c r="D186" s="491"/>
      <c r="E186" s="491"/>
      <c r="F186" s="491"/>
      <c r="G186" s="491"/>
    </row>
    <row r="187" spans="1:7">
      <c r="A187" s="1300"/>
      <c r="B187" s="491"/>
      <c r="C187" s="491"/>
      <c r="D187" s="491"/>
      <c r="E187" s="491"/>
      <c r="F187" s="491"/>
      <c r="G187" s="491"/>
    </row>
    <row r="188" spans="1:7">
      <c r="A188" s="1300"/>
      <c r="B188" s="491"/>
      <c r="C188" s="491"/>
      <c r="D188" s="491"/>
      <c r="E188" s="491"/>
      <c r="F188" s="491"/>
      <c r="G188" s="491"/>
    </row>
    <row r="189" spans="1:7">
      <c r="A189" s="1300"/>
      <c r="B189" s="491"/>
      <c r="C189" s="491"/>
      <c r="D189" s="491"/>
      <c r="E189" s="491"/>
      <c r="F189" s="491"/>
      <c r="G189" s="491"/>
    </row>
    <row r="190" spans="1:7">
      <c r="A190" s="1300"/>
      <c r="B190" s="491"/>
      <c r="C190" s="491"/>
      <c r="D190" s="491"/>
      <c r="E190" s="491"/>
      <c r="F190" s="491"/>
      <c r="G190" s="491"/>
    </row>
    <row r="191" spans="1:7">
      <c r="A191" s="1300"/>
      <c r="B191" s="491"/>
      <c r="C191" s="491"/>
      <c r="D191" s="491"/>
      <c r="E191" s="491"/>
      <c r="F191" s="491"/>
      <c r="G191" s="491"/>
    </row>
    <row r="192" spans="1:7">
      <c r="A192" s="1300"/>
      <c r="B192" s="491"/>
      <c r="C192" s="491"/>
      <c r="D192" s="491"/>
      <c r="E192" s="491"/>
      <c r="F192" s="491"/>
      <c r="G192" s="491"/>
    </row>
    <row r="193" spans="1:7">
      <c r="A193" s="1300"/>
      <c r="B193" s="491"/>
      <c r="C193" s="491"/>
      <c r="D193" s="491"/>
      <c r="E193" s="491"/>
      <c r="F193" s="491"/>
      <c r="G193" s="491"/>
    </row>
    <row r="194" spans="1:7">
      <c r="A194" s="1300"/>
      <c r="B194" s="491"/>
      <c r="C194" s="491"/>
      <c r="D194" s="491"/>
      <c r="E194" s="491"/>
      <c r="F194" s="491"/>
      <c r="G194" s="491"/>
    </row>
    <row r="195" spans="1:7">
      <c r="A195" s="1300"/>
      <c r="B195" s="491"/>
      <c r="C195" s="491"/>
      <c r="D195" s="491"/>
      <c r="E195" s="491"/>
      <c r="F195" s="491"/>
      <c r="G195" s="491"/>
    </row>
    <row r="196" spans="1:7">
      <c r="A196" s="1300"/>
      <c r="B196" s="491"/>
      <c r="C196" s="491"/>
      <c r="D196" s="491"/>
      <c r="E196" s="491"/>
      <c r="F196" s="491"/>
      <c r="G196" s="491"/>
    </row>
    <row r="197" spans="1:7">
      <c r="A197" s="1300"/>
      <c r="B197" s="491"/>
      <c r="C197" s="491"/>
      <c r="D197" s="491"/>
      <c r="E197" s="491"/>
      <c r="F197" s="491"/>
      <c r="G197" s="491"/>
    </row>
    <row r="198" spans="1:7">
      <c r="A198" s="1300"/>
      <c r="B198" s="491"/>
      <c r="C198" s="491"/>
      <c r="D198" s="491"/>
      <c r="E198" s="491"/>
      <c r="F198" s="491"/>
      <c r="G198" s="491"/>
    </row>
    <row r="199" spans="1:7">
      <c r="A199" s="1300"/>
      <c r="B199" s="491"/>
      <c r="C199" s="491"/>
      <c r="D199" s="491"/>
      <c r="E199" s="491"/>
      <c r="F199" s="491"/>
      <c r="G199" s="491"/>
    </row>
    <row r="200" spans="1:7">
      <c r="A200" s="1300"/>
      <c r="B200" s="491"/>
      <c r="C200" s="491"/>
      <c r="D200" s="491"/>
      <c r="E200" s="491"/>
      <c r="F200" s="491"/>
      <c r="G200" s="491"/>
    </row>
    <row r="201" spans="1:7">
      <c r="A201" s="1300"/>
      <c r="B201" s="491"/>
      <c r="C201" s="491"/>
      <c r="D201" s="491"/>
      <c r="E201" s="491"/>
      <c r="F201" s="491"/>
      <c r="G201" s="491"/>
    </row>
    <row r="202" spans="1:7">
      <c r="A202" s="1300"/>
      <c r="B202" s="491"/>
      <c r="C202" s="491"/>
      <c r="D202" s="491"/>
      <c r="E202" s="491"/>
      <c r="F202" s="491"/>
      <c r="G202" s="491"/>
    </row>
    <row r="203" spans="1:7">
      <c r="A203" s="1300"/>
      <c r="B203" s="491"/>
      <c r="C203" s="491"/>
      <c r="D203" s="491"/>
      <c r="E203" s="491"/>
      <c r="F203" s="491"/>
      <c r="G203" s="491"/>
    </row>
    <row r="204" spans="1:7">
      <c r="A204" s="1300"/>
      <c r="B204" s="491"/>
      <c r="C204" s="491"/>
      <c r="D204" s="491"/>
      <c r="E204" s="491"/>
      <c r="F204" s="491"/>
      <c r="G204" s="491"/>
    </row>
    <row r="205" spans="1:7">
      <c r="A205" s="1300"/>
      <c r="B205" s="491"/>
      <c r="C205" s="491"/>
      <c r="D205" s="491"/>
      <c r="E205" s="491"/>
      <c r="F205" s="491"/>
      <c r="G205" s="491"/>
    </row>
    <row r="206" spans="1:7">
      <c r="A206" s="1300"/>
      <c r="B206" s="491"/>
      <c r="C206" s="491"/>
      <c r="D206" s="491"/>
      <c r="E206" s="491"/>
      <c r="F206" s="491"/>
      <c r="G206" s="491"/>
    </row>
    <row r="207" spans="1:7">
      <c r="A207" s="1300"/>
      <c r="B207" s="491"/>
      <c r="C207" s="491"/>
      <c r="D207" s="491"/>
      <c r="E207" s="491"/>
      <c r="F207" s="491"/>
      <c r="G207" s="491"/>
    </row>
    <row r="208" spans="1:7">
      <c r="A208" s="1300"/>
      <c r="B208" s="491"/>
      <c r="C208" s="491"/>
      <c r="D208" s="491"/>
      <c r="E208" s="491"/>
      <c r="F208" s="491"/>
      <c r="G208" s="491"/>
    </row>
    <row r="209" spans="1:7">
      <c r="A209" s="1300"/>
      <c r="B209" s="491"/>
      <c r="C209" s="491"/>
      <c r="D209" s="491"/>
      <c r="E209" s="491"/>
      <c r="F209" s="491"/>
      <c r="G209" s="491"/>
    </row>
    <row r="210" spans="1:7">
      <c r="A210" s="1300"/>
      <c r="B210" s="491"/>
      <c r="C210" s="491"/>
      <c r="D210" s="491"/>
      <c r="E210" s="491"/>
      <c r="F210" s="491"/>
      <c r="G210" s="491"/>
    </row>
    <row r="211" spans="1:7">
      <c r="A211" s="1300"/>
      <c r="B211" s="491"/>
      <c r="C211" s="491"/>
      <c r="D211" s="491"/>
      <c r="E211" s="491"/>
      <c r="F211" s="491"/>
      <c r="G211" s="491"/>
    </row>
    <row r="212" spans="1:7">
      <c r="A212" s="1300"/>
      <c r="B212" s="491"/>
      <c r="C212" s="491"/>
      <c r="D212" s="491"/>
      <c r="E212" s="491"/>
      <c r="F212" s="491"/>
      <c r="G212" s="491"/>
    </row>
    <row r="213" spans="1:7">
      <c r="A213" s="1300"/>
      <c r="B213" s="491"/>
      <c r="C213" s="491"/>
      <c r="D213" s="491"/>
      <c r="E213" s="491"/>
      <c r="F213" s="491"/>
      <c r="G213" s="491"/>
    </row>
    <row r="214" spans="1:7">
      <c r="A214" s="1300"/>
      <c r="B214" s="491"/>
      <c r="C214" s="491"/>
      <c r="D214" s="491"/>
      <c r="E214" s="491"/>
      <c r="F214" s="491"/>
      <c r="G214" s="491"/>
    </row>
    <row r="215" spans="1:7">
      <c r="A215" s="1300"/>
      <c r="B215" s="491"/>
      <c r="C215" s="491"/>
      <c r="D215" s="491"/>
      <c r="E215" s="491"/>
      <c r="F215" s="491"/>
      <c r="G215" s="491"/>
    </row>
    <row r="216" spans="1:7">
      <c r="A216" s="1300"/>
      <c r="B216" s="491"/>
      <c r="C216" s="491"/>
      <c r="D216" s="491"/>
      <c r="E216" s="491"/>
      <c r="F216" s="491"/>
      <c r="G216" s="491"/>
    </row>
    <row r="217" spans="1:7">
      <c r="A217" s="1300"/>
      <c r="B217" s="491"/>
      <c r="C217" s="491"/>
      <c r="D217" s="491"/>
      <c r="E217" s="491"/>
      <c r="F217" s="491"/>
      <c r="G217" s="491"/>
    </row>
    <row r="218" spans="1:7">
      <c r="A218" s="1300"/>
      <c r="B218" s="491"/>
      <c r="C218" s="491"/>
      <c r="D218" s="491"/>
      <c r="E218" s="491"/>
      <c r="F218" s="491"/>
      <c r="G218" s="491"/>
    </row>
    <row r="219" spans="1:7">
      <c r="A219" s="1300"/>
      <c r="B219" s="491"/>
      <c r="C219" s="491"/>
      <c r="D219" s="491"/>
      <c r="E219" s="491"/>
      <c r="F219" s="491"/>
      <c r="G219" s="491"/>
    </row>
    <row r="220" spans="1:7">
      <c r="A220" s="1300"/>
      <c r="B220" s="491"/>
      <c r="C220" s="491"/>
      <c r="D220" s="491"/>
      <c r="E220" s="491"/>
      <c r="F220" s="491"/>
      <c r="G220" s="491"/>
    </row>
    <row r="221" spans="1:7">
      <c r="A221" s="1300"/>
      <c r="B221" s="491"/>
      <c r="C221" s="491"/>
      <c r="D221" s="491"/>
      <c r="E221" s="491"/>
      <c r="F221" s="491"/>
      <c r="G221" s="491"/>
    </row>
    <row r="222" spans="1:7">
      <c r="A222" s="1300"/>
      <c r="B222" s="491"/>
      <c r="C222" s="491"/>
      <c r="D222" s="491"/>
      <c r="E222" s="491"/>
      <c r="F222" s="491"/>
      <c r="G222" s="491"/>
    </row>
    <row r="223" spans="1:7">
      <c r="A223" s="1300"/>
      <c r="B223" s="491"/>
      <c r="C223" s="491"/>
      <c r="D223" s="491"/>
      <c r="E223" s="491"/>
      <c r="F223" s="491"/>
      <c r="G223" s="491"/>
    </row>
    <row r="224" spans="1:7">
      <c r="A224" s="1300"/>
      <c r="B224" s="491"/>
      <c r="C224" s="491"/>
      <c r="D224" s="491"/>
      <c r="E224" s="491"/>
      <c r="F224" s="491"/>
      <c r="G224" s="491"/>
    </row>
    <row r="225" spans="1:7">
      <c r="A225" s="1300"/>
      <c r="B225" s="491"/>
      <c r="C225" s="491"/>
      <c r="D225" s="491"/>
      <c r="E225" s="491"/>
      <c r="F225" s="491"/>
      <c r="G225" s="491"/>
    </row>
    <row r="226" spans="1:7">
      <c r="A226" s="1300"/>
      <c r="B226" s="491"/>
      <c r="C226" s="491"/>
      <c r="D226" s="491"/>
      <c r="E226" s="491"/>
      <c r="F226" s="491"/>
      <c r="G226" s="491"/>
    </row>
    <row r="227" spans="1:7">
      <c r="A227" s="1300"/>
      <c r="B227" s="491"/>
      <c r="C227" s="491"/>
      <c r="D227" s="491"/>
      <c r="E227" s="491"/>
      <c r="F227" s="491"/>
      <c r="G227" s="491"/>
    </row>
    <row r="228" spans="1:7">
      <c r="A228" s="1300"/>
      <c r="B228" s="491"/>
      <c r="C228" s="491"/>
      <c r="D228" s="491"/>
      <c r="E228" s="491"/>
      <c r="F228" s="491"/>
      <c r="G228" s="491"/>
    </row>
    <row r="229" spans="1:7">
      <c r="A229" s="1300"/>
      <c r="B229" s="491"/>
      <c r="C229" s="491"/>
      <c r="D229" s="491"/>
      <c r="E229" s="491"/>
      <c r="F229" s="491"/>
      <c r="G229" s="491"/>
    </row>
    <row r="230" spans="1:7">
      <c r="A230" s="1300"/>
      <c r="B230" s="491"/>
      <c r="C230" s="491"/>
      <c r="D230" s="491"/>
      <c r="E230" s="491"/>
      <c r="F230" s="491"/>
      <c r="G230" s="491"/>
    </row>
    <row r="231" spans="1:7">
      <c r="A231" s="1300"/>
      <c r="B231" s="491"/>
      <c r="C231" s="491"/>
      <c r="D231" s="491"/>
      <c r="E231" s="491"/>
      <c r="F231" s="491"/>
      <c r="G231" s="491"/>
    </row>
    <row r="232" spans="1:7">
      <c r="A232" s="1300"/>
      <c r="B232" s="491"/>
      <c r="C232" s="491"/>
      <c r="D232" s="491"/>
      <c r="E232" s="491"/>
      <c r="F232" s="491"/>
      <c r="G232" s="491"/>
    </row>
    <row r="233" spans="1:7">
      <c r="A233" s="1300"/>
      <c r="B233" s="491"/>
      <c r="C233" s="491"/>
      <c r="D233" s="491"/>
      <c r="E233" s="491"/>
      <c r="F233" s="491"/>
      <c r="G233" s="491"/>
    </row>
    <row r="234" spans="1:7">
      <c r="A234" s="1300"/>
      <c r="B234" s="491"/>
      <c r="C234" s="491"/>
      <c r="D234" s="491"/>
      <c r="E234" s="491"/>
      <c r="F234" s="491"/>
      <c r="G234" s="491"/>
    </row>
    <row r="235" spans="1:7">
      <c r="A235" s="1300"/>
      <c r="B235" s="491"/>
      <c r="C235" s="491"/>
      <c r="D235" s="491"/>
      <c r="E235" s="491"/>
      <c r="F235" s="491"/>
      <c r="G235" s="491"/>
    </row>
    <row r="236" spans="1:7">
      <c r="A236" s="1300"/>
      <c r="B236" s="491"/>
      <c r="C236" s="491"/>
      <c r="D236" s="491"/>
      <c r="E236" s="491"/>
      <c r="F236" s="491"/>
      <c r="G236" s="491"/>
    </row>
    <row r="237" spans="1:7">
      <c r="A237" s="1300"/>
      <c r="B237" s="491"/>
      <c r="C237" s="491"/>
      <c r="D237" s="491"/>
      <c r="E237" s="491"/>
      <c r="F237" s="491"/>
      <c r="G237" s="491"/>
    </row>
    <row r="238" spans="1:7">
      <c r="A238" s="1300"/>
      <c r="B238" s="491"/>
      <c r="C238" s="491"/>
      <c r="D238" s="491"/>
      <c r="E238" s="491"/>
      <c r="F238" s="491"/>
      <c r="G238" s="491"/>
    </row>
    <row r="239" spans="1:7">
      <c r="A239" s="1300"/>
      <c r="B239" s="491"/>
      <c r="C239" s="491"/>
      <c r="D239" s="491"/>
      <c r="E239" s="491"/>
      <c r="F239" s="491"/>
      <c r="G239" s="491"/>
    </row>
    <row r="240" spans="1:7">
      <c r="A240" s="1300"/>
      <c r="B240" s="491"/>
      <c r="C240" s="491"/>
      <c r="D240" s="491"/>
      <c r="E240" s="491"/>
      <c r="F240" s="491"/>
      <c r="G240" s="491"/>
    </row>
    <row r="241" spans="1:7">
      <c r="A241" s="1300"/>
      <c r="B241" s="491"/>
      <c r="C241" s="491"/>
      <c r="D241" s="491"/>
      <c r="E241" s="491"/>
      <c r="F241" s="491"/>
      <c r="G241" s="491"/>
    </row>
    <row r="242" spans="1:7">
      <c r="A242" s="1300"/>
      <c r="B242" s="491"/>
      <c r="C242" s="491"/>
      <c r="D242" s="491"/>
      <c r="E242" s="491"/>
      <c r="F242" s="491"/>
      <c r="G242" s="491"/>
    </row>
    <row r="243" spans="1:7">
      <c r="A243" s="1300"/>
      <c r="B243" s="491"/>
      <c r="C243" s="491"/>
      <c r="D243" s="491"/>
      <c r="E243" s="491"/>
      <c r="F243" s="491"/>
      <c r="G243" s="491"/>
    </row>
    <row r="244" spans="1:7">
      <c r="A244" s="1300"/>
      <c r="B244" s="491"/>
      <c r="C244" s="491"/>
      <c r="D244" s="491"/>
      <c r="E244" s="491"/>
      <c r="F244" s="491"/>
      <c r="G244" s="491"/>
    </row>
    <row r="245" spans="1:7">
      <c r="A245" s="1300"/>
      <c r="B245" s="491"/>
      <c r="C245" s="491"/>
      <c r="D245" s="491"/>
      <c r="E245" s="491"/>
      <c r="F245" s="491"/>
      <c r="G245" s="491"/>
    </row>
    <row r="246" spans="1:7">
      <c r="A246" s="1300"/>
      <c r="B246" s="491"/>
      <c r="C246" s="491"/>
      <c r="D246" s="491"/>
      <c r="E246" s="491"/>
      <c r="F246" s="491"/>
      <c r="G246" s="491"/>
    </row>
    <row r="247" spans="1:7">
      <c r="A247" s="1300"/>
      <c r="B247" s="491"/>
      <c r="C247" s="491"/>
      <c r="D247" s="491"/>
      <c r="E247" s="491"/>
      <c r="F247" s="491"/>
      <c r="G247" s="491"/>
    </row>
    <row r="248" spans="1:7">
      <c r="A248" s="1300"/>
      <c r="B248" s="491"/>
      <c r="C248" s="491"/>
      <c r="D248" s="491"/>
      <c r="E248" s="491"/>
      <c r="F248" s="491"/>
      <c r="G248" s="491"/>
    </row>
    <row r="249" spans="1:7">
      <c r="A249" s="1300"/>
      <c r="B249" s="491"/>
      <c r="C249" s="491"/>
      <c r="D249" s="491"/>
      <c r="E249" s="491"/>
      <c r="F249" s="491"/>
      <c r="G249" s="491"/>
    </row>
    <row r="250" spans="1:7">
      <c r="A250" s="1300"/>
      <c r="B250" s="491"/>
      <c r="C250" s="491"/>
      <c r="D250" s="491"/>
      <c r="E250" s="491"/>
      <c r="F250" s="491"/>
      <c r="G250" s="491"/>
    </row>
    <row r="251" spans="1:7">
      <c r="A251" s="1300"/>
      <c r="B251" s="491"/>
      <c r="C251" s="491"/>
      <c r="D251" s="491"/>
      <c r="E251" s="491"/>
      <c r="F251" s="491"/>
      <c r="G251" s="491"/>
    </row>
    <row r="252" spans="1:7">
      <c r="A252" s="1300"/>
      <c r="B252" s="491"/>
      <c r="C252" s="491"/>
      <c r="D252" s="491"/>
      <c r="E252" s="491"/>
      <c r="F252" s="491"/>
      <c r="G252" s="491"/>
    </row>
    <row r="253" spans="1:7">
      <c r="A253" s="1300"/>
      <c r="B253" s="491"/>
      <c r="C253" s="491"/>
      <c r="D253" s="491"/>
      <c r="E253" s="491"/>
      <c r="F253" s="491"/>
      <c r="G253" s="491"/>
    </row>
    <row r="254" spans="1:7">
      <c r="A254" s="1300"/>
      <c r="B254" s="491"/>
      <c r="C254" s="491"/>
      <c r="D254" s="491"/>
      <c r="E254" s="491"/>
      <c r="F254" s="491"/>
      <c r="G254" s="491"/>
    </row>
    <row r="255" spans="1:7">
      <c r="A255" s="1300"/>
      <c r="B255" s="491"/>
      <c r="C255" s="491"/>
      <c r="D255" s="491"/>
      <c r="E255" s="491"/>
      <c r="F255" s="491"/>
      <c r="G255" s="491"/>
    </row>
    <row r="256" spans="1:7">
      <c r="A256" s="1300"/>
      <c r="B256" s="491"/>
      <c r="C256" s="491"/>
      <c r="D256" s="491"/>
      <c r="E256" s="491"/>
      <c r="F256" s="491"/>
      <c r="G256" s="491"/>
    </row>
    <row r="257" spans="1:7">
      <c r="A257" s="1300"/>
      <c r="B257" s="491"/>
      <c r="C257" s="491"/>
      <c r="D257" s="491"/>
      <c r="E257" s="491"/>
      <c r="F257" s="491"/>
      <c r="G257" s="491"/>
    </row>
    <row r="258" spans="1:7">
      <c r="A258" s="1300"/>
      <c r="B258" s="491"/>
      <c r="C258" s="491"/>
      <c r="D258" s="491"/>
      <c r="E258" s="491"/>
      <c r="F258" s="491"/>
      <c r="G258" s="491"/>
    </row>
    <row r="259" spans="1:7">
      <c r="A259" s="1300"/>
      <c r="B259" s="491"/>
      <c r="C259" s="491"/>
      <c r="D259" s="491"/>
      <c r="E259" s="491"/>
      <c r="F259" s="491"/>
      <c r="G259" s="491"/>
    </row>
    <row r="260" spans="1:7">
      <c r="A260" s="1300"/>
      <c r="B260" s="491"/>
      <c r="C260" s="491"/>
      <c r="D260" s="491"/>
      <c r="E260" s="491"/>
      <c r="F260" s="491"/>
      <c r="G260" s="491"/>
    </row>
    <row r="261" spans="1:7">
      <c r="A261" s="1300"/>
      <c r="B261" s="491"/>
      <c r="C261" s="491"/>
      <c r="D261" s="491"/>
      <c r="E261" s="491"/>
      <c r="F261" s="491"/>
      <c r="G261" s="491"/>
    </row>
    <row r="262" spans="1:7">
      <c r="A262" s="1300"/>
      <c r="B262" s="491"/>
      <c r="C262" s="491"/>
      <c r="D262" s="491"/>
      <c r="E262" s="491"/>
      <c r="F262" s="491"/>
      <c r="G262" s="491"/>
    </row>
    <row r="263" spans="1:7">
      <c r="A263" s="1300"/>
      <c r="B263" s="491"/>
      <c r="C263" s="491"/>
      <c r="D263" s="491"/>
      <c r="E263" s="491"/>
      <c r="F263" s="491"/>
      <c r="G263" s="491"/>
    </row>
    <row r="264" spans="1:7">
      <c r="A264" s="1300"/>
      <c r="B264" s="491"/>
      <c r="C264" s="491"/>
      <c r="D264" s="491"/>
      <c r="E264" s="491"/>
      <c r="F264" s="491"/>
      <c r="G264" s="491"/>
    </row>
    <row r="265" spans="1:7">
      <c r="A265" s="1300"/>
      <c r="B265" s="491"/>
      <c r="C265" s="491"/>
      <c r="D265" s="491"/>
      <c r="E265" s="491"/>
      <c r="F265" s="491"/>
      <c r="G265" s="491"/>
    </row>
    <row r="266" spans="1:7">
      <c r="A266" s="1300"/>
      <c r="B266" s="491"/>
      <c r="C266" s="491"/>
      <c r="D266" s="491"/>
      <c r="E266" s="491"/>
      <c r="F266" s="491"/>
      <c r="G266" s="491"/>
    </row>
    <row r="267" spans="1:7">
      <c r="A267" s="1300"/>
      <c r="B267" s="491"/>
      <c r="C267" s="491"/>
      <c r="D267" s="491"/>
      <c r="E267" s="491"/>
      <c r="F267" s="491"/>
      <c r="G267" s="491"/>
    </row>
    <row r="268" spans="1:7">
      <c r="A268" s="1300"/>
      <c r="B268" s="491"/>
      <c r="C268" s="491"/>
      <c r="D268" s="491"/>
      <c r="E268" s="491"/>
      <c r="F268" s="491"/>
      <c r="G268" s="491"/>
    </row>
    <row r="269" spans="1:7">
      <c r="A269" s="1300"/>
      <c r="B269" s="491"/>
      <c r="C269" s="491"/>
      <c r="D269" s="491"/>
      <c r="E269" s="491"/>
      <c r="F269" s="491"/>
      <c r="G269" s="491"/>
    </row>
    <row r="270" spans="1:7">
      <c r="A270" s="1300"/>
      <c r="B270" s="491"/>
      <c r="C270" s="491"/>
      <c r="D270" s="491"/>
      <c r="E270" s="491"/>
      <c r="F270" s="491"/>
      <c r="G270" s="491"/>
    </row>
    <row r="271" spans="1:7">
      <c r="A271" s="1300"/>
      <c r="B271" s="491"/>
      <c r="C271" s="491"/>
      <c r="D271" s="491"/>
      <c r="E271" s="491"/>
      <c r="F271" s="491"/>
      <c r="G271" s="491"/>
    </row>
    <row r="272" spans="1:7">
      <c r="A272" s="1300"/>
      <c r="B272" s="491"/>
      <c r="C272" s="491"/>
      <c r="D272" s="491"/>
      <c r="E272" s="491"/>
      <c r="F272" s="491"/>
      <c r="G272" s="491"/>
    </row>
    <row r="273" spans="1:7">
      <c r="A273" s="1300"/>
      <c r="B273" s="491"/>
      <c r="C273" s="491"/>
      <c r="D273" s="491"/>
      <c r="E273" s="491"/>
      <c r="F273" s="491"/>
      <c r="G273" s="491"/>
    </row>
    <row r="274" spans="1:7">
      <c r="A274" s="1300"/>
      <c r="B274" s="491"/>
      <c r="C274" s="491"/>
      <c r="D274" s="491"/>
      <c r="E274" s="491"/>
      <c r="F274" s="491"/>
      <c r="G274" s="491"/>
    </row>
    <row r="275" spans="1:7">
      <c r="A275" s="1300"/>
      <c r="B275" s="491"/>
      <c r="C275" s="491"/>
      <c r="D275" s="491"/>
      <c r="E275" s="491"/>
      <c r="F275" s="491"/>
      <c r="G275" s="491"/>
    </row>
    <row r="276" spans="1:7">
      <c r="A276" s="1300"/>
      <c r="B276" s="491"/>
      <c r="C276" s="491"/>
      <c r="D276" s="491"/>
      <c r="E276" s="491"/>
      <c r="F276" s="491"/>
      <c r="G276" s="491"/>
    </row>
    <row r="277" spans="1:7">
      <c r="A277" s="1300"/>
      <c r="B277" s="491"/>
      <c r="C277" s="491"/>
      <c r="D277" s="491"/>
      <c r="E277" s="491"/>
      <c r="F277" s="491"/>
      <c r="G277" s="491"/>
    </row>
    <row r="278" spans="1:7">
      <c r="A278" s="1300"/>
      <c r="B278" s="491"/>
      <c r="C278" s="491"/>
      <c r="D278" s="491"/>
      <c r="E278" s="491"/>
      <c r="F278" s="491"/>
      <c r="G278" s="491"/>
    </row>
    <row r="279" spans="1:7">
      <c r="A279" s="1300"/>
      <c r="B279" s="491"/>
      <c r="C279" s="491"/>
      <c r="D279" s="491"/>
      <c r="E279" s="491"/>
      <c r="F279" s="491"/>
      <c r="G279" s="491"/>
    </row>
    <row r="280" spans="1:7">
      <c r="A280" s="1300"/>
      <c r="B280" s="491"/>
      <c r="C280" s="491"/>
      <c r="D280" s="491"/>
      <c r="E280" s="491"/>
      <c r="F280" s="491"/>
      <c r="G280" s="491"/>
    </row>
    <row r="281" spans="1:7">
      <c r="A281" s="1300"/>
      <c r="B281" s="491"/>
      <c r="C281" s="491"/>
      <c r="D281" s="491"/>
      <c r="E281" s="491"/>
      <c r="F281" s="491"/>
      <c r="G281" s="491"/>
    </row>
    <row r="282" spans="1:7">
      <c r="A282" s="1300"/>
      <c r="B282" s="491"/>
      <c r="C282" s="491"/>
      <c r="D282" s="491"/>
      <c r="E282" s="491"/>
      <c r="F282" s="491"/>
      <c r="G282" s="491"/>
    </row>
    <row r="283" spans="1:7">
      <c r="A283" s="1300"/>
      <c r="B283" s="491"/>
      <c r="C283" s="491"/>
      <c r="D283" s="491"/>
      <c r="E283" s="491"/>
      <c r="F283" s="491"/>
      <c r="G283" s="491"/>
    </row>
    <row r="284" spans="1:7">
      <c r="A284" s="1300"/>
      <c r="B284" s="491"/>
      <c r="C284" s="491"/>
      <c r="D284" s="491"/>
      <c r="E284" s="491"/>
      <c r="F284" s="491"/>
      <c r="G284" s="491"/>
    </row>
    <row r="285" spans="1:7">
      <c r="A285" s="1300"/>
      <c r="B285" s="491"/>
      <c r="C285" s="491"/>
      <c r="D285" s="491"/>
      <c r="E285" s="491"/>
      <c r="F285" s="491"/>
      <c r="G285" s="491"/>
    </row>
    <row r="286" spans="1:7">
      <c r="A286" s="1300"/>
      <c r="B286" s="491"/>
      <c r="C286" s="491"/>
      <c r="D286" s="491"/>
      <c r="E286" s="491"/>
      <c r="F286" s="491"/>
      <c r="G286" s="491"/>
    </row>
    <row r="287" spans="1:7">
      <c r="A287" s="1300"/>
      <c r="B287" s="491"/>
      <c r="C287" s="491"/>
      <c r="D287" s="491"/>
      <c r="E287" s="491"/>
      <c r="F287" s="491"/>
      <c r="G287" s="491"/>
    </row>
    <row r="288" spans="1:7">
      <c r="A288" s="1300"/>
      <c r="B288" s="491"/>
      <c r="C288" s="491"/>
      <c r="D288" s="491"/>
      <c r="E288" s="491"/>
      <c r="F288" s="491"/>
      <c r="G288" s="491"/>
    </row>
    <row r="289" spans="1:7">
      <c r="A289" s="1300"/>
      <c r="B289" s="491"/>
      <c r="C289" s="491"/>
      <c r="D289" s="491"/>
      <c r="E289" s="491"/>
      <c r="F289" s="491"/>
      <c r="G289" s="491"/>
    </row>
    <row r="290" spans="1:7">
      <c r="A290" s="1300"/>
      <c r="B290" s="491"/>
      <c r="C290" s="491"/>
      <c r="D290" s="491"/>
      <c r="E290" s="491"/>
      <c r="F290" s="491"/>
      <c r="G290" s="491"/>
    </row>
    <row r="291" spans="1:7">
      <c r="A291" s="1300"/>
      <c r="B291" s="491"/>
      <c r="C291" s="491"/>
      <c r="D291" s="491"/>
      <c r="E291" s="491"/>
      <c r="F291" s="491"/>
      <c r="G291" s="491"/>
    </row>
    <row r="292" spans="1:7">
      <c r="A292" s="1300"/>
      <c r="B292" s="491"/>
      <c r="C292" s="491"/>
      <c r="D292" s="491"/>
      <c r="E292" s="491"/>
      <c r="F292" s="491"/>
      <c r="G292" s="491"/>
    </row>
    <row r="293" spans="1:7">
      <c r="A293" s="1300"/>
      <c r="B293" s="491"/>
      <c r="C293" s="491"/>
      <c r="D293" s="491"/>
      <c r="E293" s="491"/>
      <c r="F293" s="491"/>
      <c r="G293" s="491"/>
    </row>
    <row r="294" spans="1:7">
      <c r="A294" s="1300"/>
      <c r="B294" s="491"/>
      <c r="C294" s="491"/>
      <c r="D294" s="491"/>
      <c r="E294" s="491"/>
      <c r="F294" s="491"/>
      <c r="G294" s="491"/>
    </row>
    <row r="295" spans="1:7">
      <c r="A295" s="1300"/>
      <c r="B295" s="491"/>
      <c r="C295" s="491"/>
      <c r="D295" s="491"/>
      <c r="E295" s="491"/>
      <c r="F295" s="491"/>
      <c r="G295" s="491"/>
    </row>
    <row r="296" spans="1:7">
      <c r="A296" s="1300"/>
      <c r="B296" s="491"/>
      <c r="C296" s="491"/>
      <c r="D296" s="491"/>
      <c r="E296" s="491"/>
      <c r="F296" s="491"/>
      <c r="G296" s="491"/>
    </row>
    <row r="297" spans="1:7">
      <c r="A297" s="1300"/>
      <c r="B297" s="491"/>
      <c r="C297" s="491"/>
      <c r="D297" s="491"/>
      <c r="E297" s="491"/>
      <c r="F297" s="491"/>
      <c r="G297" s="491"/>
    </row>
    <row r="298" spans="1:7">
      <c r="A298" s="1300"/>
      <c r="B298" s="491"/>
      <c r="C298" s="491"/>
      <c r="D298" s="491"/>
      <c r="E298" s="491"/>
      <c r="F298" s="491"/>
      <c r="G298" s="491"/>
    </row>
    <row r="299" spans="1:7">
      <c r="A299" s="1300"/>
      <c r="B299" s="491"/>
      <c r="C299" s="491"/>
      <c r="D299" s="491"/>
      <c r="E299" s="491"/>
      <c r="F299" s="491"/>
      <c r="G299" s="491"/>
    </row>
    <row r="300" spans="1:7">
      <c r="A300" s="1300"/>
      <c r="B300" s="491"/>
      <c r="C300" s="491"/>
      <c r="D300" s="491"/>
      <c r="E300" s="491"/>
      <c r="F300" s="491"/>
      <c r="G300" s="491"/>
    </row>
    <row r="301" spans="1:7">
      <c r="A301" s="1300"/>
      <c r="B301" s="491"/>
      <c r="C301" s="491"/>
      <c r="D301" s="491"/>
      <c r="E301" s="491"/>
      <c r="F301" s="491"/>
      <c r="G301" s="491"/>
    </row>
    <row r="302" spans="1:7">
      <c r="A302" s="1300"/>
      <c r="B302" s="491"/>
      <c r="C302" s="491"/>
      <c r="D302" s="491"/>
      <c r="E302" s="491"/>
      <c r="F302" s="491"/>
      <c r="G302" s="491"/>
    </row>
    <row r="303" spans="1:7">
      <c r="A303" s="1300"/>
      <c r="B303" s="491"/>
      <c r="C303" s="491"/>
      <c r="D303" s="491"/>
      <c r="E303" s="491"/>
      <c r="F303" s="491"/>
      <c r="G303" s="491"/>
    </row>
    <row r="304" spans="1:7">
      <c r="A304" s="1300"/>
      <c r="B304" s="491"/>
      <c r="C304" s="491"/>
      <c r="D304" s="491"/>
      <c r="E304" s="491"/>
      <c r="F304" s="491"/>
      <c r="G304" s="491"/>
    </row>
    <row r="305" spans="1:7">
      <c r="A305" s="1300"/>
      <c r="B305" s="491"/>
      <c r="C305" s="491"/>
      <c r="D305" s="491"/>
      <c r="E305" s="491"/>
      <c r="F305" s="491"/>
      <c r="G305" s="491"/>
    </row>
    <row r="306" spans="1:7">
      <c r="A306" s="1300"/>
      <c r="B306" s="491"/>
      <c r="C306" s="491"/>
      <c r="D306" s="491"/>
      <c r="E306" s="491"/>
      <c r="F306" s="491"/>
      <c r="G306" s="491"/>
    </row>
    <row r="307" spans="1:7">
      <c r="A307" s="1300"/>
      <c r="B307" s="491"/>
      <c r="C307" s="491"/>
      <c r="D307" s="491"/>
      <c r="E307" s="491"/>
      <c r="F307" s="491"/>
      <c r="G307" s="491"/>
    </row>
    <row r="308" spans="1:7">
      <c r="A308" s="1300"/>
      <c r="B308" s="491"/>
      <c r="C308" s="491"/>
      <c r="D308" s="491"/>
      <c r="E308" s="491"/>
      <c r="F308" s="491"/>
      <c r="G308" s="491"/>
    </row>
    <row r="309" spans="1:7">
      <c r="A309" s="1300"/>
      <c r="B309" s="491"/>
      <c r="C309" s="491"/>
      <c r="D309" s="491"/>
      <c r="E309" s="491"/>
      <c r="F309" s="491"/>
      <c r="G309" s="491"/>
    </row>
    <row r="310" spans="1:7">
      <c r="A310" s="1300"/>
      <c r="B310" s="491"/>
      <c r="C310" s="491"/>
      <c r="D310" s="491"/>
      <c r="E310" s="491"/>
      <c r="F310" s="491"/>
      <c r="G310" s="491"/>
    </row>
    <row r="311" spans="1:7">
      <c r="A311" s="1300"/>
      <c r="B311" s="491"/>
      <c r="C311" s="491"/>
      <c r="D311" s="491"/>
      <c r="E311" s="491"/>
      <c r="F311" s="491"/>
      <c r="G311" s="491"/>
    </row>
    <row r="312" spans="1:7">
      <c r="A312" s="1300"/>
      <c r="B312" s="491"/>
      <c r="C312" s="491"/>
      <c r="D312" s="491"/>
      <c r="E312" s="491"/>
      <c r="F312" s="491"/>
      <c r="G312" s="491"/>
    </row>
    <row r="313" spans="1:7">
      <c r="A313" s="1300"/>
      <c r="B313" s="491"/>
      <c r="C313" s="491"/>
      <c r="D313" s="491"/>
      <c r="E313" s="491"/>
      <c r="F313" s="491"/>
      <c r="G313" s="491"/>
    </row>
    <row r="314" spans="1:7">
      <c r="A314" s="1300"/>
      <c r="B314" s="491"/>
      <c r="C314" s="491"/>
      <c r="D314" s="491"/>
      <c r="E314" s="491"/>
      <c r="F314" s="491"/>
      <c r="G314" s="491"/>
    </row>
    <row r="315" spans="1:7">
      <c r="A315" s="1300"/>
      <c r="B315" s="491"/>
      <c r="C315" s="491"/>
      <c r="D315" s="491"/>
      <c r="E315" s="491"/>
      <c r="F315" s="491"/>
      <c r="G315" s="491"/>
    </row>
    <row r="316" spans="1:7">
      <c r="A316" s="1300"/>
      <c r="B316" s="491"/>
      <c r="C316" s="491"/>
      <c r="D316" s="491"/>
      <c r="E316" s="491"/>
      <c r="F316" s="491"/>
      <c r="G316" s="491"/>
    </row>
    <row r="317" spans="1:7">
      <c r="A317" s="1300"/>
      <c r="B317" s="491"/>
      <c r="C317" s="491"/>
      <c r="D317" s="491"/>
      <c r="E317" s="491"/>
      <c r="F317" s="491"/>
      <c r="G317" s="491"/>
    </row>
    <row r="318" spans="1:7">
      <c r="A318" s="1300"/>
      <c r="B318" s="491"/>
      <c r="C318" s="491"/>
      <c r="D318" s="491"/>
      <c r="E318" s="491"/>
      <c r="F318" s="491"/>
      <c r="G318" s="491"/>
    </row>
    <row r="319" spans="1:7">
      <c r="A319" s="1300"/>
      <c r="B319" s="491"/>
      <c r="C319" s="491"/>
      <c r="D319" s="491"/>
      <c r="E319" s="491"/>
      <c r="F319" s="491"/>
      <c r="G319" s="491"/>
    </row>
    <row r="320" spans="1:7">
      <c r="A320" s="1300"/>
      <c r="B320" s="491"/>
      <c r="C320" s="491"/>
      <c r="D320" s="491"/>
      <c r="E320" s="491"/>
      <c r="F320" s="491"/>
      <c r="G320" s="491"/>
    </row>
    <row r="321" spans="1:7">
      <c r="A321" s="1300"/>
      <c r="B321" s="491"/>
      <c r="C321" s="491"/>
      <c r="D321" s="491"/>
      <c r="E321" s="491"/>
      <c r="F321" s="491"/>
      <c r="G321" s="491"/>
    </row>
    <row r="322" spans="1:7">
      <c r="A322" s="1300"/>
      <c r="B322" s="491"/>
      <c r="C322" s="491"/>
      <c r="D322" s="491"/>
      <c r="E322" s="491"/>
      <c r="F322" s="491"/>
      <c r="G322" s="491"/>
    </row>
    <row r="323" spans="1:7">
      <c r="A323" s="1300"/>
      <c r="B323" s="491"/>
      <c r="C323" s="491"/>
      <c r="D323" s="491"/>
      <c r="E323" s="491"/>
      <c r="F323" s="491"/>
      <c r="G323" s="491"/>
    </row>
    <row r="324" spans="1:7">
      <c r="A324" s="1300"/>
      <c r="B324" s="491"/>
      <c r="C324" s="491"/>
      <c r="D324" s="491"/>
      <c r="E324" s="491"/>
      <c r="F324" s="491"/>
      <c r="G324" s="491"/>
    </row>
    <row r="325" spans="1:7">
      <c r="A325" s="1300"/>
      <c r="B325" s="491"/>
      <c r="C325" s="491"/>
      <c r="D325" s="491"/>
      <c r="E325" s="491"/>
      <c r="F325" s="491"/>
      <c r="G325" s="491"/>
    </row>
    <row r="326" spans="1:7">
      <c r="A326" s="1300"/>
      <c r="B326" s="491"/>
      <c r="C326" s="491"/>
      <c r="D326" s="491"/>
      <c r="E326" s="491"/>
      <c r="F326" s="491"/>
      <c r="G326" s="491"/>
    </row>
    <row r="327" spans="1:7">
      <c r="A327" s="1300"/>
      <c r="B327" s="491"/>
      <c r="C327" s="491"/>
      <c r="D327" s="491"/>
      <c r="E327" s="491"/>
      <c r="F327" s="491"/>
      <c r="G327" s="491"/>
    </row>
    <row r="328" spans="1:7">
      <c r="A328" s="1300"/>
      <c r="B328" s="491"/>
      <c r="C328" s="491"/>
      <c r="D328" s="491"/>
      <c r="E328" s="491"/>
      <c r="F328" s="491"/>
      <c r="G328" s="491"/>
    </row>
    <row r="329" spans="1:7">
      <c r="A329" s="1300"/>
      <c r="B329" s="491"/>
      <c r="C329" s="491"/>
      <c r="D329" s="491"/>
      <c r="E329" s="491"/>
      <c r="F329" s="491"/>
      <c r="G329" s="491"/>
    </row>
    <row r="330" spans="1:7">
      <c r="A330" s="1300"/>
      <c r="B330" s="491"/>
      <c r="C330" s="491"/>
      <c r="D330" s="491"/>
      <c r="E330" s="491"/>
      <c r="F330" s="491"/>
      <c r="G330" s="491"/>
    </row>
    <row r="331" spans="1:7">
      <c r="A331" s="1300"/>
      <c r="B331" s="491"/>
      <c r="C331" s="491"/>
      <c r="D331" s="491"/>
      <c r="E331" s="491"/>
      <c r="F331" s="491"/>
      <c r="G331" s="491"/>
    </row>
    <row r="332" spans="1:7">
      <c r="A332" s="1300"/>
      <c r="B332" s="491"/>
      <c r="C332" s="491"/>
      <c r="D332" s="491"/>
      <c r="E332" s="491"/>
      <c r="F332" s="491"/>
      <c r="G332" s="491"/>
    </row>
    <row r="333" spans="1:7">
      <c r="A333" s="1300"/>
      <c r="B333" s="491"/>
      <c r="C333" s="491"/>
      <c r="D333" s="491"/>
      <c r="E333" s="491"/>
      <c r="F333" s="491"/>
      <c r="G333" s="491"/>
    </row>
    <row r="334" spans="1:7">
      <c r="A334" s="1300"/>
      <c r="B334" s="491"/>
      <c r="C334" s="491"/>
      <c r="D334" s="491"/>
      <c r="E334" s="491"/>
      <c r="F334" s="491"/>
      <c r="G334" s="491"/>
    </row>
    <row r="335" spans="1:7">
      <c r="A335" s="1300"/>
      <c r="B335" s="491"/>
      <c r="C335" s="491"/>
      <c r="D335" s="491"/>
      <c r="E335" s="491"/>
      <c r="F335" s="491"/>
      <c r="G335" s="491"/>
    </row>
    <row r="336" spans="1:7">
      <c r="A336" s="1300"/>
      <c r="B336" s="491"/>
      <c r="C336" s="491"/>
      <c r="D336" s="491"/>
      <c r="E336" s="491"/>
      <c r="F336" s="491"/>
      <c r="G336" s="491"/>
    </row>
    <row r="337" spans="1:7">
      <c r="A337" s="1300"/>
      <c r="B337" s="491"/>
      <c r="C337" s="491"/>
      <c r="D337" s="491"/>
      <c r="E337" s="491"/>
      <c r="F337" s="491"/>
      <c r="G337" s="491"/>
    </row>
    <row r="338" spans="1:7">
      <c r="A338" s="1300"/>
      <c r="B338" s="491"/>
      <c r="C338" s="491"/>
      <c r="D338" s="491"/>
      <c r="E338" s="491"/>
      <c r="F338" s="491"/>
      <c r="G338" s="491"/>
    </row>
    <row r="339" spans="1:7">
      <c r="A339" s="1300"/>
      <c r="B339" s="491"/>
      <c r="C339" s="491"/>
      <c r="D339" s="491"/>
      <c r="E339" s="491"/>
      <c r="F339" s="491"/>
      <c r="G339" s="491"/>
    </row>
    <row r="340" spans="1:7">
      <c r="A340" s="1300"/>
      <c r="B340" s="491"/>
      <c r="C340" s="491"/>
      <c r="D340" s="491"/>
      <c r="E340" s="491"/>
      <c r="F340" s="491"/>
      <c r="G340" s="491"/>
    </row>
    <row r="341" spans="1:7">
      <c r="A341" s="1300"/>
      <c r="B341" s="491"/>
      <c r="C341" s="491"/>
      <c r="D341" s="491"/>
      <c r="E341" s="491"/>
      <c r="F341" s="491"/>
      <c r="G341" s="491"/>
    </row>
    <row r="342" spans="1:7">
      <c r="A342" s="1300"/>
      <c r="B342" s="491"/>
      <c r="C342" s="491"/>
      <c r="D342" s="491"/>
      <c r="E342" s="491"/>
      <c r="F342" s="491"/>
      <c r="G342" s="491"/>
    </row>
    <row r="343" spans="1:7">
      <c r="A343" s="1300"/>
      <c r="B343" s="491"/>
      <c r="C343" s="491"/>
      <c r="D343" s="491"/>
      <c r="E343" s="491"/>
      <c r="F343" s="491"/>
      <c r="G343" s="491"/>
    </row>
    <row r="344" spans="1:7">
      <c r="A344" s="1300"/>
      <c r="B344" s="491"/>
      <c r="C344" s="491"/>
      <c r="D344" s="491"/>
      <c r="E344" s="491"/>
      <c r="F344" s="491"/>
      <c r="G344" s="491"/>
    </row>
    <row r="345" spans="1:7">
      <c r="A345" s="1300"/>
      <c r="B345" s="491"/>
      <c r="C345" s="491"/>
      <c r="D345" s="491"/>
      <c r="E345" s="491"/>
      <c r="F345" s="491"/>
      <c r="G345" s="491"/>
    </row>
    <row r="346" spans="1:7">
      <c r="A346" s="1300"/>
      <c r="B346" s="491"/>
      <c r="C346" s="491"/>
      <c r="D346" s="491"/>
      <c r="E346" s="491"/>
      <c r="F346" s="491"/>
      <c r="G346" s="491"/>
    </row>
    <row r="347" spans="1:7">
      <c r="A347" s="1300"/>
      <c r="B347" s="491"/>
      <c r="C347" s="491"/>
      <c r="D347" s="491"/>
      <c r="E347" s="491"/>
      <c r="F347" s="491"/>
      <c r="G347" s="491"/>
    </row>
    <row r="348" spans="1:7">
      <c r="A348" s="1300"/>
      <c r="B348" s="491"/>
      <c r="C348" s="491"/>
      <c r="D348" s="491"/>
      <c r="E348" s="491"/>
      <c r="F348" s="491"/>
      <c r="G348" s="491"/>
    </row>
    <row r="349" spans="1:7">
      <c r="A349" s="1300"/>
      <c r="B349" s="491"/>
      <c r="C349" s="491"/>
      <c r="D349" s="491"/>
      <c r="E349" s="491"/>
      <c r="F349" s="491"/>
      <c r="G349" s="491"/>
    </row>
    <row r="350" spans="1:7">
      <c r="A350" s="1300"/>
      <c r="B350" s="491"/>
      <c r="C350" s="491"/>
      <c r="D350" s="491"/>
      <c r="E350" s="491"/>
      <c r="F350" s="491"/>
      <c r="G350" s="491"/>
    </row>
    <row r="351" spans="1:7">
      <c r="A351" s="1300"/>
      <c r="B351" s="491"/>
      <c r="C351" s="491"/>
      <c r="D351" s="491"/>
      <c r="E351" s="491"/>
      <c r="F351" s="491"/>
      <c r="G351" s="491"/>
    </row>
    <row r="352" spans="1:7">
      <c r="A352" s="1300"/>
      <c r="B352" s="491"/>
      <c r="C352" s="491"/>
      <c r="D352" s="491"/>
      <c r="E352" s="491"/>
      <c r="F352" s="491"/>
      <c r="G352" s="491"/>
    </row>
    <row r="353" spans="1:7">
      <c r="A353" s="1300"/>
      <c r="B353" s="491"/>
      <c r="C353" s="491"/>
      <c r="D353" s="491"/>
      <c r="E353" s="491"/>
      <c r="F353" s="491"/>
      <c r="G353" s="491"/>
    </row>
    <row r="354" spans="1:7">
      <c r="A354" s="1300"/>
      <c r="B354" s="491"/>
      <c r="C354" s="491"/>
      <c r="D354" s="491"/>
      <c r="E354" s="491"/>
      <c r="F354" s="491"/>
      <c r="G354" s="491"/>
    </row>
    <row r="355" spans="1:7">
      <c r="A355" s="1300"/>
      <c r="B355" s="491"/>
      <c r="C355" s="491"/>
      <c r="D355" s="491"/>
      <c r="E355" s="491"/>
      <c r="F355" s="491"/>
      <c r="G355" s="491"/>
    </row>
    <row r="356" spans="1:7">
      <c r="A356" s="1300"/>
      <c r="B356" s="491"/>
      <c r="C356" s="491"/>
      <c r="D356" s="491"/>
      <c r="E356" s="491"/>
      <c r="F356" s="491"/>
      <c r="G356" s="491"/>
    </row>
    <row r="357" spans="1:7">
      <c r="A357" s="1300"/>
      <c r="B357" s="491"/>
      <c r="C357" s="491"/>
      <c r="D357" s="491"/>
      <c r="E357" s="491"/>
      <c r="F357" s="491"/>
      <c r="G357" s="491"/>
    </row>
    <row r="358" spans="1:7">
      <c r="A358" s="1300"/>
      <c r="B358" s="491"/>
      <c r="C358" s="491"/>
      <c r="D358" s="491"/>
      <c r="E358" s="491"/>
      <c r="F358" s="491"/>
      <c r="G358" s="491"/>
    </row>
    <row r="359" spans="1:7">
      <c r="A359" s="1300"/>
      <c r="B359" s="491"/>
      <c r="C359" s="491"/>
      <c r="D359" s="491"/>
      <c r="E359" s="491"/>
      <c r="F359" s="491"/>
      <c r="G359" s="491"/>
    </row>
    <row r="360" spans="1:7">
      <c r="A360" s="1300"/>
      <c r="B360" s="491"/>
      <c r="C360" s="491"/>
      <c r="D360" s="491"/>
      <c r="E360" s="491"/>
      <c r="F360" s="491"/>
      <c r="G360" s="491"/>
    </row>
    <row r="361" spans="1:7">
      <c r="A361" s="1300"/>
      <c r="B361" s="491"/>
      <c r="C361" s="491"/>
      <c r="D361" s="491"/>
      <c r="E361" s="491"/>
      <c r="F361" s="491"/>
      <c r="G361" s="491"/>
    </row>
    <row r="362" spans="1:7">
      <c r="A362" s="1300"/>
      <c r="B362" s="491"/>
      <c r="C362" s="491"/>
      <c r="D362" s="491"/>
      <c r="E362" s="491"/>
      <c r="F362" s="491"/>
      <c r="G362" s="491"/>
    </row>
    <row r="363" spans="1:7">
      <c r="A363" s="1300"/>
      <c r="B363" s="491"/>
      <c r="C363" s="491"/>
      <c r="D363" s="491"/>
      <c r="E363" s="491"/>
      <c r="F363" s="491"/>
      <c r="G363" s="491"/>
    </row>
    <row r="364" spans="1:7">
      <c r="A364" s="1300"/>
      <c r="B364" s="491"/>
      <c r="C364" s="491"/>
      <c r="D364" s="491"/>
      <c r="E364" s="491"/>
      <c r="F364" s="491"/>
      <c r="G364" s="491"/>
    </row>
    <row r="365" spans="1:7">
      <c r="A365" s="1300"/>
      <c r="B365" s="491"/>
      <c r="C365" s="491"/>
      <c r="D365" s="491"/>
      <c r="E365" s="491"/>
      <c r="F365" s="491"/>
      <c r="G365" s="491"/>
    </row>
    <row r="366" spans="1:7">
      <c r="A366" s="1300"/>
      <c r="B366" s="491"/>
      <c r="C366" s="491"/>
      <c r="D366" s="491"/>
      <c r="E366" s="491"/>
      <c r="F366" s="491"/>
      <c r="G366" s="491"/>
    </row>
    <row r="367" spans="1:7">
      <c r="A367" s="1300"/>
      <c r="B367" s="491"/>
      <c r="C367" s="491"/>
      <c r="D367" s="491"/>
      <c r="E367" s="491"/>
      <c r="F367" s="491"/>
      <c r="G367" s="491"/>
    </row>
    <row r="368" spans="1:7">
      <c r="A368" s="1300"/>
      <c r="B368" s="491"/>
      <c r="C368" s="491"/>
      <c r="D368" s="491"/>
      <c r="E368" s="491"/>
      <c r="F368" s="491"/>
      <c r="G368" s="491"/>
    </row>
    <row r="369" spans="1:7">
      <c r="A369" s="1300"/>
      <c r="B369" s="491"/>
      <c r="C369" s="491"/>
      <c r="D369" s="491"/>
      <c r="E369" s="491"/>
      <c r="F369" s="491"/>
      <c r="G369" s="491"/>
    </row>
    <row r="370" spans="1:7">
      <c r="A370" s="1300"/>
      <c r="B370" s="491"/>
      <c r="C370" s="491"/>
      <c r="D370" s="491"/>
      <c r="E370" s="491"/>
      <c r="F370" s="491"/>
      <c r="G370" s="491"/>
    </row>
    <row r="371" spans="1:7">
      <c r="A371" s="1300"/>
      <c r="B371" s="491"/>
      <c r="C371" s="491"/>
      <c r="D371" s="491"/>
      <c r="E371" s="491"/>
      <c r="F371" s="491"/>
      <c r="G371" s="491"/>
    </row>
    <row r="372" spans="1:7">
      <c r="A372" s="1300"/>
      <c r="B372" s="491"/>
      <c r="C372" s="491"/>
      <c r="D372" s="491"/>
      <c r="E372" s="491"/>
      <c r="F372" s="491"/>
      <c r="G372" s="491"/>
    </row>
    <row r="373" spans="1:7">
      <c r="A373" s="1300"/>
      <c r="B373" s="491"/>
      <c r="C373" s="491"/>
      <c r="D373" s="491"/>
      <c r="E373" s="491"/>
      <c r="F373" s="491"/>
      <c r="G373" s="491"/>
    </row>
    <row r="374" spans="1:7">
      <c r="A374" s="1300"/>
      <c r="B374" s="491"/>
      <c r="C374" s="491"/>
      <c r="D374" s="491"/>
      <c r="E374" s="491"/>
      <c r="F374" s="491"/>
      <c r="G374" s="491"/>
    </row>
    <row r="375" spans="1:7">
      <c r="A375" s="1300"/>
      <c r="B375" s="491"/>
      <c r="C375" s="491"/>
      <c r="D375" s="491"/>
      <c r="E375" s="491"/>
      <c r="F375" s="491"/>
      <c r="G375" s="491"/>
    </row>
    <row r="376" spans="1:7">
      <c r="A376" s="1300"/>
      <c r="B376" s="491"/>
      <c r="C376" s="491"/>
      <c r="D376" s="491"/>
      <c r="E376" s="491"/>
      <c r="F376" s="491"/>
      <c r="G376" s="491"/>
    </row>
    <row r="377" spans="1:7">
      <c r="A377" s="1300"/>
      <c r="B377" s="491"/>
      <c r="C377" s="491"/>
      <c r="D377" s="491"/>
      <c r="E377" s="491"/>
      <c r="F377" s="491"/>
      <c r="G377" s="491"/>
    </row>
    <row r="378" spans="1:7">
      <c r="A378" s="1300"/>
      <c r="B378" s="491"/>
      <c r="C378" s="491"/>
      <c r="D378" s="491"/>
      <c r="E378" s="491"/>
      <c r="F378" s="491"/>
      <c r="G378" s="491"/>
    </row>
    <row r="379" spans="1:7">
      <c r="A379" s="1300"/>
      <c r="B379" s="491"/>
      <c r="C379" s="491"/>
      <c r="D379" s="491"/>
      <c r="E379" s="491"/>
      <c r="F379" s="491"/>
      <c r="G379" s="491"/>
    </row>
    <row r="380" spans="1:7">
      <c r="A380" s="1300"/>
      <c r="B380" s="491"/>
      <c r="C380" s="491"/>
      <c r="D380" s="491"/>
      <c r="E380" s="491"/>
      <c r="F380" s="491"/>
      <c r="G380" s="491"/>
    </row>
    <row r="381" spans="1:7">
      <c r="A381" s="1300"/>
      <c r="B381" s="491"/>
      <c r="C381" s="491"/>
      <c r="D381" s="491"/>
      <c r="E381" s="491"/>
      <c r="F381" s="491"/>
      <c r="G381" s="491"/>
    </row>
    <row r="382" spans="1:7">
      <c r="A382" s="1300"/>
      <c r="B382" s="491"/>
      <c r="C382" s="491"/>
      <c r="D382" s="491"/>
      <c r="E382" s="491"/>
      <c r="F382" s="491"/>
      <c r="G382" s="491"/>
    </row>
    <row r="383" spans="1:7">
      <c r="A383" s="1300"/>
      <c r="B383" s="491"/>
      <c r="C383" s="491"/>
      <c r="D383" s="491"/>
      <c r="E383" s="491"/>
      <c r="F383" s="491"/>
      <c r="G383" s="491"/>
    </row>
    <row r="384" spans="1:7">
      <c r="A384" s="1300"/>
      <c r="B384" s="491"/>
      <c r="C384" s="491"/>
      <c r="D384" s="491"/>
      <c r="E384" s="491"/>
      <c r="F384" s="491"/>
      <c r="G384" s="491"/>
    </row>
    <row r="385" spans="1:7">
      <c r="A385" s="1300"/>
      <c r="B385" s="491"/>
      <c r="C385" s="491"/>
      <c r="D385" s="491"/>
      <c r="E385" s="491"/>
      <c r="F385" s="491"/>
      <c r="G385" s="491"/>
    </row>
    <row r="386" spans="1:7">
      <c r="A386" s="1300"/>
      <c r="B386" s="491"/>
      <c r="C386" s="491"/>
      <c r="D386" s="491"/>
      <c r="E386" s="491"/>
      <c r="F386" s="491"/>
      <c r="G386" s="491"/>
    </row>
    <row r="387" spans="1:7">
      <c r="A387" s="1300"/>
      <c r="B387" s="491"/>
      <c r="C387" s="491"/>
      <c r="D387" s="491"/>
      <c r="E387" s="491"/>
      <c r="F387" s="491"/>
      <c r="G387" s="491"/>
    </row>
    <row r="388" spans="1:7">
      <c r="A388" s="1300"/>
      <c r="B388" s="491"/>
      <c r="C388" s="491"/>
      <c r="D388" s="491"/>
      <c r="E388" s="491"/>
      <c r="F388" s="491"/>
      <c r="G388" s="491"/>
    </row>
    <row r="389" spans="1:7">
      <c r="A389" s="1300"/>
      <c r="B389" s="491"/>
      <c r="C389" s="491"/>
      <c r="D389" s="491"/>
      <c r="E389" s="491"/>
      <c r="F389" s="491"/>
      <c r="G389" s="491"/>
    </row>
    <row r="390" spans="1:7">
      <c r="A390" s="1300"/>
      <c r="B390" s="491"/>
      <c r="C390" s="491"/>
      <c r="D390" s="491"/>
      <c r="E390" s="491"/>
      <c r="F390" s="491"/>
      <c r="G390" s="491"/>
    </row>
    <row r="391" spans="1:7">
      <c r="A391" s="1300"/>
      <c r="B391" s="491"/>
      <c r="C391" s="491"/>
      <c r="D391" s="491"/>
      <c r="E391" s="491"/>
      <c r="F391" s="491"/>
      <c r="G391" s="491"/>
    </row>
    <row r="392" spans="1:7">
      <c r="A392" s="1300"/>
      <c r="B392" s="491"/>
      <c r="C392" s="491"/>
      <c r="D392" s="491"/>
      <c r="E392" s="491"/>
      <c r="F392" s="491"/>
      <c r="G392" s="491"/>
    </row>
    <row r="393" spans="1:7">
      <c r="A393" s="1300"/>
      <c r="B393" s="491"/>
      <c r="C393" s="491"/>
      <c r="D393" s="491"/>
      <c r="E393" s="491"/>
      <c r="F393" s="491"/>
      <c r="G393" s="491"/>
    </row>
    <row r="394" spans="1:7">
      <c r="A394" s="1300"/>
      <c r="B394" s="491"/>
      <c r="C394" s="491"/>
      <c r="D394" s="491"/>
      <c r="E394" s="491"/>
      <c r="F394" s="491"/>
      <c r="G394" s="491"/>
    </row>
    <row r="395" spans="1:7">
      <c r="A395" s="1300"/>
      <c r="B395" s="491"/>
      <c r="C395" s="491"/>
      <c r="D395" s="491"/>
      <c r="E395" s="491"/>
      <c r="F395" s="491"/>
      <c r="G395" s="491"/>
    </row>
    <row r="396" spans="1:7">
      <c r="A396" s="1300"/>
      <c r="B396" s="491"/>
      <c r="C396" s="491"/>
      <c r="D396" s="491"/>
      <c r="E396" s="491"/>
      <c r="F396" s="491"/>
      <c r="G396" s="491"/>
    </row>
    <row r="397" spans="1:7">
      <c r="A397" s="1300"/>
      <c r="B397" s="491"/>
      <c r="C397" s="491"/>
      <c r="D397" s="491"/>
      <c r="E397" s="491"/>
      <c r="F397" s="491"/>
      <c r="G397" s="491"/>
    </row>
    <row r="398" spans="1:7">
      <c r="A398" s="1300"/>
      <c r="B398" s="491"/>
      <c r="C398" s="491"/>
      <c r="D398" s="491"/>
      <c r="E398" s="491"/>
      <c r="F398" s="491"/>
      <c r="G398" s="491"/>
    </row>
    <row r="399" spans="1:7">
      <c r="A399" s="1300"/>
      <c r="B399" s="491"/>
      <c r="C399" s="491"/>
      <c r="D399" s="491"/>
      <c r="E399" s="491"/>
      <c r="F399" s="491"/>
      <c r="G399" s="491"/>
    </row>
    <row r="400" spans="1:7">
      <c r="A400" s="1300"/>
      <c r="B400" s="491"/>
      <c r="C400" s="491"/>
      <c r="D400" s="491"/>
      <c r="E400" s="491"/>
      <c r="F400" s="491"/>
      <c r="G400" s="491"/>
    </row>
    <row r="401" spans="1:7">
      <c r="A401" s="1300"/>
      <c r="B401" s="491"/>
      <c r="C401" s="491"/>
      <c r="D401" s="491"/>
      <c r="E401" s="491"/>
      <c r="F401" s="491"/>
      <c r="G401" s="491"/>
    </row>
    <row r="402" spans="1:7">
      <c r="A402" s="1300"/>
      <c r="B402" s="491"/>
      <c r="C402" s="491"/>
      <c r="D402" s="491"/>
      <c r="E402" s="491"/>
      <c r="F402" s="491"/>
      <c r="G402" s="491"/>
    </row>
    <row r="403" spans="1:7">
      <c r="A403" s="1300"/>
      <c r="B403" s="491"/>
      <c r="C403" s="491"/>
      <c r="D403" s="491"/>
      <c r="E403" s="491"/>
      <c r="F403" s="491"/>
      <c r="G403" s="491"/>
    </row>
    <row r="404" spans="1:7">
      <c r="A404" s="1300"/>
      <c r="B404" s="491"/>
      <c r="C404" s="491"/>
      <c r="D404" s="491"/>
      <c r="E404" s="491"/>
      <c r="F404" s="491"/>
      <c r="G404" s="491"/>
    </row>
    <row r="405" spans="1:7">
      <c r="A405" s="1300"/>
      <c r="B405" s="491"/>
      <c r="C405" s="491"/>
      <c r="D405" s="491"/>
      <c r="E405" s="491"/>
      <c r="F405" s="491"/>
      <c r="G405" s="491"/>
    </row>
    <row r="406" spans="1:7">
      <c r="A406" s="1300"/>
      <c r="B406" s="491"/>
      <c r="C406" s="491"/>
      <c r="D406" s="491"/>
      <c r="E406" s="491"/>
      <c r="F406" s="491"/>
      <c r="G406" s="491"/>
    </row>
    <row r="407" spans="1:7">
      <c r="A407" s="1300"/>
      <c r="B407" s="491"/>
      <c r="C407" s="491"/>
      <c r="D407" s="491"/>
      <c r="E407" s="491"/>
      <c r="F407" s="491"/>
      <c r="G407" s="491"/>
    </row>
    <row r="408" spans="1:7">
      <c r="A408" s="1300"/>
      <c r="B408" s="491"/>
      <c r="C408" s="491"/>
      <c r="D408" s="491"/>
      <c r="E408" s="491"/>
      <c r="F408" s="491"/>
      <c r="G408" s="491"/>
    </row>
    <row r="409" spans="1:7">
      <c r="A409" s="1300"/>
      <c r="B409" s="491"/>
      <c r="C409" s="491"/>
      <c r="D409" s="491"/>
      <c r="E409" s="491"/>
      <c r="F409" s="491"/>
      <c r="G409" s="491"/>
    </row>
    <row r="410" spans="1:7">
      <c r="A410" s="1300"/>
      <c r="B410" s="491"/>
      <c r="C410" s="491"/>
      <c r="D410" s="491"/>
      <c r="E410" s="491"/>
      <c r="F410" s="491"/>
      <c r="G410" s="491"/>
    </row>
    <row r="411" spans="1:7">
      <c r="A411" s="1300"/>
      <c r="B411" s="491"/>
      <c r="C411" s="491"/>
      <c r="D411" s="491"/>
      <c r="E411" s="491"/>
      <c r="F411" s="491"/>
      <c r="G411" s="491"/>
    </row>
    <row r="412" spans="1:7">
      <c r="A412" s="1300"/>
      <c r="B412" s="491"/>
      <c r="C412" s="491"/>
      <c r="D412" s="491"/>
      <c r="E412" s="491"/>
      <c r="F412" s="491"/>
      <c r="G412" s="491"/>
    </row>
    <row r="413" spans="1:7">
      <c r="A413" s="1300"/>
      <c r="B413" s="491"/>
      <c r="C413" s="491"/>
      <c r="D413" s="491"/>
      <c r="E413" s="491"/>
      <c r="F413" s="491"/>
      <c r="G413" s="491"/>
    </row>
    <row r="414" spans="1:7">
      <c r="A414" s="1300"/>
      <c r="B414" s="491"/>
      <c r="C414" s="491"/>
      <c r="D414" s="491"/>
      <c r="E414" s="491"/>
      <c r="F414" s="491"/>
      <c r="G414" s="491"/>
    </row>
    <row r="415" spans="1:7">
      <c r="A415" s="1300"/>
      <c r="B415" s="491"/>
      <c r="C415" s="491"/>
      <c r="D415" s="491"/>
      <c r="E415" s="491"/>
      <c r="F415" s="491"/>
      <c r="G415" s="491"/>
    </row>
    <row r="416" spans="1:7">
      <c r="A416" s="1300"/>
      <c r="B416" s="491"/>
      <c r="C416" s="491"/>
      <c r="D416" s="491"/>
      <c r="E416" s="491"/>
      <c r="F416" s="491"/>
      <c r="G416" s="491"/>
    </row>
    <row r="417" spans="1:7">
      <c r="A417" s="1300"/>
      <c r="B417" s="491"/>
      <c r="C417" s="491"/>
      <c r="D417" s="491"/>
      <c r="E417" s="491"/>
      <c r="F417" s="491"/>
      <c r="G417" s="491"/>
    </row>
    <row r="418" spans="1:7">
      <c r="A418" s="1300"/>
      <c r="B418" s="491"/>
      <c r="C418" s="491"/>
      <c r="D418" s="491"/>
      <c r="E418" s="491"/>
      <c r="F418" s="491"/>
      <c r="G418" s="491"/>
    </row>
    <row r="419" spans="1:7">
      <c r="A419" s="1300"/>
      <c r="B419" s="491"/>
      <c r="C419" s="491"/>
      <c r="D419" s="491"/>
      <c r="E419" s="491"/>
      <c r="F419" s="491"/>
      <c r="G419" s="491"/>
    </row>
    <row r="420" spans="1:7">
      <c r="A420" s="1300"/>
      <c r="B420" s="491"/>
      <c r="C420" s="491"/>
      <c r="D420" s="491"/>
      <c r="E420" s="491"/>
      <c r="F420" s="491"/>
      <c r="G420" s="491"/>
    </row>
    <row r="421" spans="1:7">
      <c r="A421" s="1300"/>
      <c r="B421" s="491"/>
      <c r="C421" s="491"/>
      <c r="D421" s="491"/>
      <c r="E421" s="491"/>
      <c r="F421" s="491"/>
      <c r="G421" s="491"/>
    </row>
    <row r="422" spans="1:7">
      <c r="A422" s="1300"/>
      <c r="B422" s="491"/>
      <c r="C422" s="491"/>
      <c r="D422" s="491"/>
      <c r="E422" s="491"/>
      <c r="F422" s="491"/>
      <c r="G422" s="491"/>
    </row>
    <row r="423" spans="1:7">
      <c r="A423" s="1300"/>
      <c r="B423" s="491"/>
      <c r="C423" s="491"/>
      <c r="D423" s="491"/>
      <c r="E423" s="491"/>
      <c r="F423" s="491"/>
      <c r="G423" s="491"/>
    </row>
    <row r="424" spans="1:7">
      <c r="A424" s="1300"/>
      <c r="B424" s="491"/>
      <c r="C424" s="491"/>
      <c r="D424" s="491"/>
      <c r="E424" s="491"/>
      <c r="F424" s="491"/>
      <c r="G424" s="491"/>
    </row>
    <row r="425" spans="1:7">
      <c r="A425" s="1300"/>
      <c r="B425" s="491"/>
      <c r="C425" s="491"/>
      <c r="D425" s="491"/>
      <c r="E425" s="491"/>
      <c r="F425" s="491"/>
      <c r="G425" s="491"/>
    </row>
    <row r="426" spans="1:7">
      <c r="A426" s="1300"/>
      <c r="B426" s="491"/>
      <c r="C426" s="491"/>
      <c r="D426" s="491"/>
      <c r="E426" s="491"/>
      <c r="F426" s="491"/>
      <c r="G426" s="491"/>
    </row>
    <row r="427" spans="1:7">
      <c r="A427" s="1300"/>
      <c r="B427" s="491"/>
      <c r="C427" s="491"/>
      <c r="D427" s="491"/>
      <c r="E427" s="491"/>
      <c r="F427" s="491"/>
      <c r="G427" s="491"/>
    </row>
    <row r="428" spans="1:7">
      <c r="A428" s="1300"/>
      <c r="B428" s="491"/>
      <c r="C428" s="491"/>
      <c r="D428" s="491"/>
      <c r="E428" s="491"/>
      <c r="F428" s="491"/>
      <c r="G428" s="491"/>
    </row>
    <row r="429" spans="1:7">
      <c r="A429" s="1300"/>
      <c r="B429" s="491"/>
      <c r="C429" s="491"/>
      <c r="D429" s="491"/>
      <c r="E429" s="491"/>
      <c r="F429" s="491"/>
      <c r="G429" s="491"/>
    </row>
    <row r="430" spans="1:7">
      <c r="A430" s="1300"/>
      <c r="B430" s="491"/>
      <c r="C430" s="491"/>
      <c r="D430" s="491"/>
      <c r="E430" s="491"/>
      <c r="F430" s="491"/>
      <c r="G430" s="491"/>
    </row>
    <row r="431" spans="1:7">
      <c r="A431" s="1300"/>
      <c r="B431" s="491"/>
      <c r="C431" s="491"/>
      <c r="D431" s="491"/>
      <c r="E431" s="491"/>
      <c r="F431" s="491"/>
      <c r="G431" s="491"/>
    </row>
    <row r="432" spans="1:7">
      <c r="A432" s="1300"/>
      <c r="B432" s="491"/>
      <c r="C432" s="491"/>
      <c r="D432" s="491"/>
      <c r="E432" s="491"/>
      <c r="F432" s="491"/>
      <c r="G432" s="491"/>
    </row>
    <row r="433" spans="1:7">
      <c r="A433" s="1300"/>
      <c r="B433" s="491"/>
      <c r="C433" s="491"/>
      <c r="D433" s="491"/>
      <c r="E433" s="491"/>
      <c r="F433" s="491"/>
      <c r="G433" s="491"/>
    </row>
    <row r="434" spans="1:7">
      <c r="A434" s="1300"/>
      <c r="B434" s="491"/>
      <c r="C434" s="491"/>
      <c r="D434" s="491"/>
      <c r="E434" s="491"/>
      <c r="F434" s="491"/>
      <c r="G434" s="491"/>
    </row>
    <row r="435" spans="1:7">
      <c r="A435" s="1300"/>
      <c r="B435" s="491"/>
      <c r="C435" s="491"/>
      <c r="D435" s="491"/>
      <c r="E435" s="491"/>
      <c r="F435" s="491"/>
      <c r="G435" s="491"/>
    </row>
    <row r="436" spans="1:7">
      <c r="A436" s="1300"/>
      <c r="B436" s="491"/>
      <c r="C436" s="491"/>
      <c r="D436" s="491"/>
      <c r="E436" s="491"/>
      <c r="F436" s="491"/>
      <c r="G436" s="491"/>
    </row>
    <row r="437" spans="1:7">
      <c r="A437" s="1300"/>
      <c r="B437" s="491"/>
      <c r="C437" s="491"/>
      <c r="D437" s="491"/>
      <c r="E437" s="491"/>
      <c r="F437" s="491"/>
      <c r="G437" s="491"/>
    </row>
    <row r="438" spans="1:7">
      <c r="A438" s="1300"/>
      <c r="B438" s="491"/>
      <c r="C438" s="491"/>
      <c r="D438" s="491"/>
      <c r="E438" s="491"/>
      <c r="F438" s="491"/>
      <c r="G438" s="491"/>
    </row>
    <row r="439" spans="1:7">
      <c r="A439" s="1300"/>
      <c r="B439" s="491"/>
      <c r="C439" s="491"/>
      <c r="D439" s="491"/>
      <c r="E439" s="491"/>
      <c r="F439" s="491"/>
      <c r="G439" s="491"/>
    </row>
    <row r="440" spans="1:7">
      <c r="A440" s="1300"/>
      <c r="B440" s="491"/>
      <c r="C440" s="491"/>
      <c r="D440" s="491"/>
      <c r="E440" s="491"/>
      <c r="F440" s="491"/>
      <c r="G440" s="491"/>
    </row>
    <row r="441" spans="1:7">
      <c r="A441" s="1300"/>
      <c r="B441" s="491"/>
      <c r="C441" s="491"/>
      <c r="D441" s="491"/>
      <c r="E441" s="491"/>
      <c r="F441" s="491"/>
      <c r="G441" s="491"/>
    </row>
    <row r="442" spans="1:7">
      <c r="A442" s="1300"/>
      <c r="B442" s="491"/>
      <c r="C442" s="491"/>
      <c r="D442" s="491"/>
      <c r="E442" s="491"/>
      <c r="F442" s="491"/>
      <c r="G442" s="491"/>
    </row>
    <row r="443" spans="1:7">
      <c r="A443" s="1300"/>
      <c r="B443" s="491"/>
      <c r="C443" s="491"/>
      <c r="D443" s="491"/>
      <c r="E443" s="491"/>
      <c r="F443" s="491"/>
      <c r="G443" s="491"/>
    </row>
    <row r="444" spans="1:7">
      <c r="A444" s="1300"/>
      <c r="B444" s="491"/>
      <c r="C444" s="491"/>
      <c r="D444" s="491"/>
      <c r="E444" s="491"/>
      <c r="F444" s="491"/>
      <c r="G444" s="491"/>
    </row>
    <row r="445" spans="1:7">
      <c r="A445" s="1300"/>
      <c r="B445" s="491"/>
      <c r="C445" s="491"/>
      <c r="D445" s="491"/>
      <c r="E445" s="491"/>
      <c r="F445" s="491"/>
      <c r="G445" s="491"/>
    </row>
    <row r="446" spans="1:7">
      <c r="A446" s="1300"/>
      <c r="B446" s="491"/>
      <c r="C446" s="491"/>
      <c r="D446" s="491"/>
      <c r="E446" s="491"/>
      <c r="F446" s="491"/>
      <c r="G446" s="491"/>
    </row>
    <row r="447" spans="1:7">
      <c r="A447" s="1300"/>
      <c r="B447" s="491"/>
      <c r="C447" s="491"/>
      <c r="D447" s="491"/>
      <c r="E447" s="491"/>
      <c r="F447" s="491"/>
      <c r="G447" s="491"/>
    </row>
    <row r="448" spans="1:7">
      <c r="A448" s="1300"/>
      <c r="B448" s="491"/>
      <c r="C448" s="491"/>
      <c r="D448" s="491"/>
      <c r="E448" s="491"/>
      <c r="F448" s="491"/>
      <c r="G448" s="491"/>
    </row>
    <row r="449" spans="1:7">
      <c r="A449" s="1300"/>
      <c r="B449" s="491"/>
      <c r="C449" s="491"/>
      <c r="D449" s="491"/>
      <c r="E449" s="491"/>
      <c r="F449" s="491"/>
      <c r="G449" s="491"/>
    </row>
    <row r="450" spans="1:7">
      <c r="A450" s="1300"/>
      <c r="B450" s="491"/>
      <c r="C450" s="491"/>
      <c r="D450" s="491"/>
      <c r="E450" s="491"/>
      <c r="F450" s="491"/>
      <c r="G450" s="491"/>
    </row>
    <row r="451" spans="1:7">
      <c r="A451" s="1300"/>
      <c r="B451" s="491"/>
      <c r="C451" s="491"/>
      <c r="D451" s="491"/>
      <c r="E451" s="491"/>
      <c r="F451" s="491"/>
      <c r="G451" s="491"/>
    </row>
    <row r="452" spans="1:7">
      <c r="A452" s="1300"/>
      <c r="B452" s="491"/>
      <c r="C452" s="491"/>
      <c r="D452" s="491"/>
      <c r="E452" s="491"/>
      <c r="F452" s="491"/>
      <c r="G452" s="491"/>
    </row>
    <row r="453" spans="1:7">
      <c r="A453" s="1300"/>
      <c r="B453" s="491"/>
      <c r="C453" s="491"/>
      <c r="D453" s="491"/>
      <c r="E453" s="491"/>
      <c r="F453" s="491"/>
      <c r="G453" s="491"/>
    </row>
    <row r="454" spans="1:7">
      <c r="A454" s="1300"/>
      <c r="B454" s="491"/>
      <c r="C454" s="491"/>
      <c r="D454" s="491"/>
      <c r="E454" s="491"/>
      <c r="F454" s="491"/>
      <c r="G454" s="491"/>
    </row>
    <row r="455" spans="1:7">
      <c r="A455" s="1300"/>
      <c r="B455" s="491"/>
      <c r="C455" s="491"/>
      <c r="D455" s="491"/>
      <c r="E455" s="491"/>
      <c r="F455" s="491"/>
      <c r="G455" s="491"/>
    </row>
    <row r="456" spans="1:7">
      <c r="A456" s="1300"/>
      <c r="B456" s="491"/>
      <c r="C456" s="491"/>
      <c r="D456" s="491"/>
      <c r="E456" s="491"/>
      <c r="F456" s="491"/>
      <c r="G456" s="491"/>
    </row>
    <row r="457" spans="1:7">
      <c r="A457" s="1300"/>
      <c r="B457" s="491"/>
      <c r="C457" s="491"/>
      <c r="D457" s="491"/>
      <c r="E457" s="491"/>
      <c r="F457" s="491"/>
      <c r="G457" s="491"/>
    </row>
    <row r="458" spans="1:7">
      <c r="A458" s="1300"/>
      <c r="B458" s="491"/>
      <c r="C458" s="491"/>
      <c r="D458" s="491"/>
      <c r="E458" s="491"/>
      <c r="F458" s="491"/>
      <c r="G458" s="491"/>
    </row>
    <row r="459" spans="1:7">
      <c r="A459" s="1300"/>
      <c r="B459" s="491"/>
      <c r="C459" s="491"/>
      <c r="D459" s="491"/>
      <c r="E459" s="491"/>
      <c r="F459" s="491"/>
      <c r="G459" s="491"/>
    </row>
    <row r="460" spans="1:7">
      <c r="A460" s="1300"/>
      <c r="B460" s="491"/>
      <c r="C460" s="491"/>
      <c r="D460" s="491"/>
      <c r="E460" s="491"/>
      <c r="F460" s="491"/>
      <c r="G460" s="491"/>
    </row>
    <row r="461" spans="1:7">
      <c r="A461" s="1300"/>
      <c r="B461" s="491"/>
      <c r="C461" s="491"/>
      <c r="D461" s="491"/>
      <c r="E461" s="491"/>
      <c r="F461" s="491"/>
      <c r="G461" s="491"/>
    </row>
    <row r="462" spans="1:7">
      <c r="A462" s="1300"/>
      <c r="B462" s="491"/>
      <c r="C462" s="491"/>
      <c r="D462" s="491"/>
      <c r="E462" s="491"/>
      <c r="F462" s="491"/>
      <c r="G462" s="491"/>
    </row>
    <row r="463" spans="1:7">
      <c r="A463" s="1300"/>
      <c r="B463" s="491"/>
      <c r="C463" s="491"/>
      <c r="D463" s="491"/>
      <c r="E463" s="491"/>
      <c r="F463" s="491"/>
      <c r="G463" s="491"/>
    </row>
    <row r="464" spans="1:7">
      <c r="A464" s="1300"/>
      <c r="B464" s="491"/>
      <c r="C464" s="491"/>
      <c r="D464" s="491"/>
      <c r="E464" s="491"/>
      <c r="F464" s="491"/>
      <c r="G464" s="491"/>
    </row>
    <row r="465" spans="1:7">
      <c r="A465" s="1300"/>
      <c r="B465" s="491"/>
      <c r="C465" s="491"/>
      <c r="D465" s="491"/>
      <c r="E465" s="491"/>
      <c r="F465" s="491"/>
      <c r="G465" s="491"/>
    </row>
    <row r="466" spans="1:7">
      <c r="A466" s="1300"/>
      <c r="B466" s="491"/>
      <c r="C466" s="491"/>
      <c r="D466" s="491"/>
      <c r="E466" s="491"/>
      <c r="F466" s="491"/>
      <c r="G466" s="491"/>
    </row>
    <row r="467" spans="1:7">
      <c r="A467" s="1300"/>
      <c r="B467" s="491"/>
      <c r="C467" s="491"/>
      <c r="D467" s="491"/>
      <c r="E467" s="491"/>
      <c r="F467" s="491"/>
      <c r="G467" s="491"/>
    </row>
    <row r="468" spans="1:7">
      <c r="A468" s="1300"/>
      <c r="B468" s="491"/>
      <c r="C468" s="491"/>
      <c r="D468" s="491"/>
      <c r="E468" s="491"/>
      <c r="F468" s="491"/>
      <c r="G468" s="491"/>
    </row>
    <row r="469" spans="1:7">
      <c r="A469" s="1300"/>
      <c r="B469" s="491"/>
      <c r="C469" s="491"/>
      <c r="D469" s="491"/>
      <c r="E469" s="491"/>
      <c r="F469" s="491"/>
      <c r="G469" s="491"/>
    </row>
    <row r="470" spans="1:7">
      <c r="A470" s="1300"/>
      <c r="B470" s="491"/>
      <c r="C470" s="491"/>
      <c r="D470" s="491"/>
      <c r="E470" s="491"/>
      <c r="F470" s="491"/>
      <c r="G470" s="491"/>
    </row>
    <row r="471" spans="1:7">
      <c r="A471" s="1300"/>
      <c r="B471" s="491"/>
      <c r="C471" s="491"/>
      <c r="D471" s="491"/>
      <c r="E471" s="491"/>
      <c r="F471" s="491"/>
      <c r="G471" s="491"/>
    </row>
    <row r="472" spans="1:7">
      <c r="A472" s="1300"/>
      <c r="B472" s="491"/>
      <c r="C472" s="491"/>
      <c r="D472" s="491"/>
      <c r="E472" s="491"/>
      <c r="F472" s="491"/>
      <c r="G472" s="491"/>
    </row>
    <row r="473" spans="1:7">
      <c r="A473" s="1300"/>
      <c r="B473" s="491"/>
      <c r="C473" s="491"/>
      <c r="D473" s="491"/>
      <c r="E473" s="491"/>
      <c r="F473" s="491"/>
      <c r="G473" s="491"/>
    </row>
    <row r="474" spans="1:7">
      <c r="A474" s="1300"/>
      <c r="B474" s="491"/>
      <c r="C474" s="491"/>
      <c r="D474" s="491"/>
      <c r="E474" s="491"/>
      <c r="F474" s="491"/>
      <c r="G474" s="491"/>
    </row>
    <row r="475" spans="1:7">
      <c r="A475" s="1300"/>
      <c r="B475" s="491"/>
      <c r="C475" s="491"/>
      <c r="D475" s="491"/>
      <c r="E475" s="491"/>
      <c r="F475" s="491"/>
      <c r="G475" s="491"/>
    </row>
    <row r="476" spans="1:7">
      <c r="A476" s="1300"/>
      <c r="B476" s="491"/>
      <c r="C476" s="491"/>
      <c r="D476" s="491"/>
      <c r="E476" s="491"/>
      <c r="F476" s="491"/>
      <c r="G476" s="491"/>
    </row>
    <row r="477" spans="1:7">
      <c r="A477" s="1300"/>
      <c r="B477" s="491"/>
      <c r="C477" s="491"/>
      <c r="D477" s="491"/>
      <c r="E477" s="491"/>
      <c r="F477" s="491"/>
      <c r="G477" s="491"/>
    </row>
    <row r="478" spans="1:7">
      <c r="A478" s="1300"/>
      <c r="B478" s="491"/>
      <c r="C478" s="491"/>
      <c r="D478" s="491"/>
      <c r="E478" s="491"/>
      <c r="F478" s="491"/>
      <c r="G478" s="491"/>
    </row>
    <row r="479" spans="1:7">
      <c r="A479" s="1300"/>
      <c r="B479" s="491"/>
      <c r="C479" s="491"/>
      <c r="D479" s="491"/>
      <c r="E479" s="491"/>
      <c r="F479" s="491"/>
      <c r="G479" s="491"/>
    </row>
    <row r="480" spans="1:7">
      <c r="A480" s="1300"/>
      <c r="B480" s="491"/>
      <c r="C480" s="491"/>
      <c r="D480" s="491"/>
      <c r="E480" s="491"/>
      <c r="F480" s="491"/>
      <c r="G480" s="491"/>
    </row>
    <row r="481" spans="1:7">
      <c r="A481" s="1300"/>
      <c r="B481" s="491"/>
      <c r="C481" s="491"/>
      <c r="D481" s="491"/>
      <c r="E481" s="491"/>
      <c r="F481" s="491"/>
      <c r="G481" s="491"/>
    </row>
    <row r="482" spans="1:7">
      <c r="A482" s="1300"/>
      <c r="B482" s="491"/>
      <c r="C482" s="491"/>
      <c r="D482" s="491"/>
      <c r="E482" s="491"/>
      <c r="F482" s="491"/>
      <c r="G482" s="491"/>
    </row>
    <row r="483" spans="1:7">
      <c r="A483" s="1300"/>
      <c r="B483" s="491"/>
      <c r="C483" s="491"/>
      <c r="D483" s="491"/>
      <c r="E483" s="491"/>
      <c r="F483" s="491"/>
      <c r="G483" s="491"/>
    </row>
    <row r="484" spans="1:7">
      <c r="A484" s="1300"/>
      <c r="B484" s="491"/>
      <c r="C484" s="491"/>
      <c r="D484" s="491"/>
      <c r="E484" s="491"/>
      <c r="F484" s="491"/>
      <c r="G484" s="491"/>
    </row>
    <row r="485" spans="1:7">
      <c r="A485" s="1300"/>
      <c r="B485" s="491"/>
      <c r="C485" s="491"/>
      <c r="D485" s="491"/>
      <c r="E485" s="491"/>
      <c r="F485" s="491"/>
      <c r="G485" s="491"/>
    </row>
    <row r="486" spans="1:7">
      <c r="A486" s="1300"/>
      <c r="B486" s="491"/>
      <c r="C486" s="491"/>
      <c r="D486" s="491"/>
      <c r="E486" s="491"/>
      <c r="F486" s="491"/>
      <c r="G486" s="491"/>
    </row>
    <row r="487" spans="1:7">
      <c r="A487" s="1300"/>
      <c r="B487" s="491"/>
      <c r="C487" s="491"/>
      <c r="D487" s="491"/>
      <c r="E487" s="491"/>
      <c r="F487" s="491"/>
      <c r="G487" s="491"/>
    </row>
    <row r="488" spans="1:7">
      <c r="A488" s="1300"/>
      <c r="B488" s="491"/>
      <c r="C488" s="491"/>
      <c r="D488" s="491"/>
      <c r="E488" s="491"/>
      <c r="F488" s="491"/>
      <c r="G488" s="491"/>
    </row>
    <row r="489" spans="1:7">
      <c r="A489" s="1300"/>
      <c r="B489" s="491"/>
      <c r="C489" s="491"/>
      <c r="D489" s="491"/>
      <c r="E489" s="491"/>
      <c r="F489" s="491"/>
      <c r="G489" s="491"/>
    </row>
    <row r="490" spans="1:7">
      <c r="A490" s="1300"/>
      <c r="B490" s="491"/>
      <c r="C490" s="491"/>
      <c r="D490" s="491"/>
      <c r="E490" s="491"/>
      <c r="F490" s="491"/>
      <c r="G490" s="491"/>
    </row>
    <row r="491" spans="1:7">
      <c r="A491" s="1300"/>
      <c r="B491" s="491"/>
      <c r="C491" s="491"/>
      <c r="D491" s="491"/>
      <c r="E491" s="491"/>
      <c r="F491" s="491"/>
      <c r="G491" s="491"/>
    </row>
    <row r="492" spans="1:7">
      <c r="A492" s="1300"/>
      <c r="B492" s="491"/>
      <c r="C492" s="491"/>
      <c r="D492" s="491"/>
      <c r="E492" s="491"/>
      <c r="F492" s="491"/>
      <c r="G492" s="491"/>
    </row>
    <row r="493" spans="1:7">
      <c r="A493" s="1300"/>
      <c r="B493" s="491"/>
      <c r="C493" s="491"/>
      <c r="D493" s="491"/>
      <c r="E493" s="491"/>
      <c r="F493" s="491"/>
      <c r="G493" s="491"/>
    </row>
    <row r="494" spans="1:7">
      <c r="A494" s="1300"/>
      <c r="B494" s="491"/>
      <c r="C494" s="491"/>
      <c r="D494" s="491"/>
      <c r="E494" s="491"/>
      <c r="F494" s="491"/>
      <c r="G494" s="491"/>
    </row>
    <row r="495" spans="1:7">
      <c r="A495" s="1300"/>
      <c r="B495" s="491"/>
      <c r="C495" s="491"/>
      <c r="D495" s="491"/>
      <c r="E495" s="491"/>
      <c r="F495" s="491"/>
      <c r="G495" s="491"/>
    </row>
    <row r="496" spans="1:7">
      <c r="A496" s="1300"/>
      <c r="B496" s="491"/>
      <c r="C496" s="491"/>
      <c r="D496" s="491"/>
      <c r="E496" s="491"/>
      <c r="F496" s="491"/>
      <c r="G496" s="491"/>
    </row>
    <row r="497" spans="1:7">
      <c r="A497" s="1300"/>
      <c r="B497" s="491"/>
      <c r="C497" s="491"/>
      <c r="D497" s="491"/>
      <c r="E497" s="491"/>
      <c r="F497" s="491"/>
      <c r="G497" s="491"/>
    </row>
    <row r="498" spans="1:7">
      <c r="A498" s="1300"/>
      <c r="B498" s="491"/>
      <c r="C498" s="491"/>
      <c r="D498" s="491"/>
      <c r="E498" s="491"/>
      <c r="F498" s="491"/>
      <c r="G498" s="491"/>
    </row>
    <row r="499" spans="1:7">
      <c r="A499" s="1300"/>
      <c r="B499" s="491"/>
      <c r="C499" s="491"/>
      <c r="D499" s="491"/>
      <c r="E499" s="491"/>
      <c r="F499" s="491"/>
      <c r="G499" s="491"/>
    </row>
    <row r="500" spans="1:7">
      <c r="A500" s="1300"/>
      <c r="B500" s="491"/>
      <c r="C500" s="491"/>
      <c r="D500" s="491"/>
      <c r="E500" s="491"/>
      <c r="F500" s="491"/>
      <c r="G500" s="491"/>
    </row>
    <row r="501" spans="1:7">
      <c r="A501" s="1300"/>
      <c r="B501" s="491"/>
      <c r="C501" s="491"/>
      <c r="D501" s="491"/>
      <c r="E501" s="491"/>
      <c r="F501" s="491"/>
      <c r="G501" s="491"/>
    </row>
    <row r="502" spans="1:7">
      <c r="A502" s="1300"/>
      <c r="B502" s="491"/>
      <c r="C502" s="491"/>
      <c r="D502" s="491"/>
      <c r="E502" s="491"/>
      <c r="F502" s="491"/>
      <c r="G502" s="491"/>
    </row>
    <row r="503" spans="1:7">
      <c r="A503" s="1300"/>
      <c r="B503" s="491"/>
      <c r="C503" s="491"/>
      <c r="D503" s="491"/>
      <c r="E503" s="491"/>
      <c r="F503" s="491"/>
      <c r="G503" s="491"/>
    </row>
    <row r="504" spans="1:7">
      <c r="A504" s="1300"/>
      <c r="B504" s="491"/>
      <c r="C504" s="491"/>
      <c r="D504" s="491"/>
      <c r="E504" s="491"/>
      <c r="F504" s="491"/>
      <c r="G504" s="491"/>
    </row>
    <row r="505" spans="1:7">
      <c r="A505" s="1300"/>
      <c r="B505" s="491"/>
      <c r="C505" s="491"/>
      <c r="D505" s="491"/>
      <c r="E505" s="491"/>
      <c r="F505" s="491"/>
      <c r="G505" s="491"/>
    </row>
    <row r="506" spans="1:7">
      <c r="A506" s="1300"/>
      <c r="B506" s="491"/>
      <c r="C506" s="491"/>
      <c r="D506" s="491"/>
      <c r="E506" s="491"/>
      <c r="F506" s="491"/>
      <c r="G506" s="491"/>
    </row>
    <row r="507" spans="1:7">
      <c r="A507" s="1300"/>
      <c r="B507" s="491"/>
      <c r="C507" s="491"/>
      <c r="D507" s="491"/>
      <c r="E507" s="491"/>
      <c r="F507" s="491"/>
      <c r="G507" s="491"/>
    </row>
    <row r="508" spans="1:7">
      <c r="A508" s="1300"/>
      <c r="B508" s="491"/>
      <c r="C508" s="491"/>
      <c r="D508" s="491"/>
      <c r="E508" s="491"/>
      <c r="F508" s="491"/>
      <c r="G508" s="491"/>
    </row>
    <row r="509" spans="1:7">
      <c r="A509" s="1300"/>
      <c r="B509" s="491"/>
      <c r="C509" s="491"/>
      <c r="D509" s="491"/>
      <c r="E509" s="491"/>
      <c r="F509" s="491"/>
      <c r="G509" s="491"/>
    </row>
    <row r="510" spans="1:7">
      <c r="A510" s="1300"/>
      <c r="B510" s="491"/>
      <c r="C510" s="491"/>
      <c r="D510" s="491"/>
      <c r="E510" s="491"/>
      <c r="F510" s="491"/>
      <c r="G510" s="491"/>
    </row>
    <row r="511" spans="1:7">
      <c r="A511" s="1300"/>
      <c r="B511" s="491"/>
      <c r="C511" s="491"/>
      <c r="D511" s="491"/>
      <c r="E511" s="491"/>
      <c r="F511" s="491"/>
      <c r="G511" s="491"/>
    </row>
    <row r="512" spans="1:7">
      <c r="A512" s="1300"/>
      <c r="B512" s="491"/>
      <c r="C512" s="491"/>
      <c r="D512" s="491"/>
      <c r="E512" s="491"/>
      <c r="F512" s="491"/>
      <c r="G512" s="491"/>
    </row>
    <row r="513" spans="1:7">
      <c r="A513" s="1300"/>
      <c r="B513" s="491"/>
      <c r="C513" s="491"/>
      <c r="D513" s="491"/>
      <c r="E513" s="491"/>
      <c r="F513" s="491"/>
      <c r="G513" s="491"/>
    </row>
    <row r="514" spans="1:7">
      <c r="A514" s="1300"/>
      <c r="B514" s="491"/>
      <c r="C514" s="491"/>
      <c r="D514" s="491"/>
      <c r="E514" s="491"/>
      <c r="F514" s="491"/>
      <c r="G514" s="491"/>
    </row>
    <row r="515" spans="1:7">
      <c r="A515" s="1300"/>
      <c r="B515" s="491"/>
      <c r="C515" s="491"/>
      <c r="D515" s="491"/>
      <c r="E515" s="491"/>
      <c r="F515" s="491"/>
      <c r="G515" s="491"/>
    </row>
    <row r="516" spans="1:7">
      <c r="A516" s="1300"/>
      <c r="B516" s="491"/>
      <c r="C516" s="491"/>
      <c r="D516" s="491"/>
      <c r="E516" s="491"/>
      <c r="F516" s="491"/>
      <c r="G516" s="491"/>
    </row>
    <row r="517" spans="1:7">
      <c r="A517" s="1300"/>
      <c r="B517" s="491"/>
      <c r="C517" s="491"/>
      <c r="D517" s="491"/>
      <c r="E517" s="491"/>
      <c r="F517" s="491"/>
      <c r="G517" s="491"/>
    </row>
    <row r="518" spans="1:7">
      <c r="A518" s="1300"/>
      <c r="B518" s="491"/>
      <c r="C518" s="491"/>
      <c r="D518" s="491"/>
      <c r="E518" s="491"/>
      <c r="F518" s="491"/>
      <c r="G518" s="491"/>
    </row>
    <row r="519" spans="1:7">
      <c r="A519" s="1300"/>
      <c r="B519" s="491"/>
      <c r="C519" s="491"/>
      <c r="D519" s="491"/>
      <c r="E519" s="491"/>
      <c r="F519" s="491"/>
      <c r="G519" s="491"/>
    </row>
    <row r="520" spans="1:7">
      <c r="A520" s="1300"/>
      <c r="B520" s="491"/>
      <c r="C520" s="491"/>
      <c r="D520" s="491"/>
      <c r="E520" s="491"/>
      <c r="F520" s="491"/>
      <c r="G520" s="491"/>
    </row>
    <row r="521" spans="1:7">
      <c r="A521" s="1300"/>
      <c r="B521" s="491"/>
      <c r="C521" s="491"/>
      <c r="D521" s="491"/>
      <c r="E521" s="491"/>
      <c r="F521" s="491"/>
      <c r="G521" s="491"/>
    </row>
    <row r="522" spans="1:7">
      <c r="A522" s="1300"/>
      <c r="B522" s="491"/>
      <c r="C522" s="491"/>
      <c r="D522" s="491"/>
      <c r="E522" s="491"/>
      <c r="F522" s="491"/>
      <c r="G522" s="491"/>
    </row>
    <row r="523" spans="1:7">
      <c r="A523" s="1300"/>
      <c r="B523" s="491"/>
      <c r="C523" s="491"/>
      <c r="D523" s="491"/>
      <c r="E523" s="491"/>
      <c r="F523" s="491"/>
      <c r="G523" s="491"/>
    </row>
    <row r="524" spans="1:7">
      <c r="A524" s="1300"/>
      <c r="B524" s="491"/>
      <c r="C524" s="491"/>
      <c r="D524" s="491"/>
      <c r="E524" s="491"/>
      <c r="F524" s="491"/>
      <c r="G524" s="491"/>
    </row>
    <row r="525" spans="1:7">
      <c r="A525" s="1300"/>
      <c r="B525" s="491"/>
      <c r="C525" s="491"/>
      <c r="D525" s="491"/>
      <c r="E525" s="491"/>
      <c r="F525" s="491"/>
      <c r="G525" s="491"/>
    </row>
    <row r="526" spans="1:7">
      <c r="A526" s="1300"/>
      <c r="B526" s="491"/>
      <c r="C526" s="491"/>
      <c r="D526" s="491"/>
      <c r="E526" s="491"/>
      <c r="F526" s="491"/>
      <c r="G526" s="491"/>
    </row>
    <row r="527" spans="1:7">
      <c r="A527" s="1300"/>
      <c r="B527" s="491"/>
      <c r="C527" s="491"/>
      <c r="D527" s="491"/>
      <c r="E527" s="491"/>
      <c r="F527" s="491"/>
      <c r="G527" s="491"/>
    </row>
    <row r="528" spans="1:7">
      <c r="A528" s="1300"/>
      <c r="B528" s="491"/>
      <c r="C528" s="491"/>
      <c r="D528" s="491"/>
      <c r="E528" s="491"/>
      <c r="F528" s="491"/>
      <c r="G528" s="491"/>
    </row>
    <row r="529" spans="1:7">
      <c r="A529" s="1300"/>
      <c r="B529" s="491"/>
      <c r="C529" s="491"/>
      <c r="D529" s="491"/>
      <c r="E529" s="491"/>
      <c r="F529" s="491"/>
      <c r="G529" s="491"/>
    </row>
    <row r="530" spans="1:7">
      <c r="A530" s="1300"/>
      <c r="B530" s="491"/>
      <c r="C530" s="491"/>
      <c r="D530" s="491"/>
      <c r="E530" s="491"/>
      <c r="F530" s="491"/>
      <c r="G530" s="491"/>
    </row>
    <row r="531" spans="1:7">
      <c r="A531" s="1300"/>
      <c r="B531" s="491"/>
      <c r="C531" s="491"/>
      <c r="D531" s="491"/>
      <c r="E531" s="491"/>
      <c r="F531" s="491"/>
      <c r="G531" s="491"/>
    </row>
    <row r="532" spans="1:7">
      <c r="A532" s="1300"/>
      <c r="B532" s="491"/>
      <c r="C532" s="491"/>
      <c r="D532" s="491"/>
      <c r="E532" s="491"/>
      <c r="F532" s="491"/>
      <c r="G532" s="491"/>
    </row>
    <row r="533" spans="1:7">
      <c r="A533" s="1300"/>
      <c r="B533" s="491"/>
      <c r="C533" s="491"/>
      <c r="D533" s="491"/>
      <c r="E533" s="491"/>
      <c r="F533" s="491"/>
      <c r="G533" s="491"/>
    </row>
    <row r="534" spans="1:7">
      <c r="A534" s="1300"/>
      <c r="B534" s="491"/>
      <c r="C534" s="491"/>
      <c r="D534" s="491"/>
      <c r="E534" s="491"/>
      <c r="F534" s="491"/>
      <c r="G534" s="491"/>
    </row>
    <row r="535" spans="1:7">
      <c r="A535" s="1300"/>
      <c r="B535" s="491"/>
      <c r="C535" s="491"/>
      <c r="D535" s="491"/>
      <c r="E535" s="491"/>
      <c r="F535" s="491"/>
      <c r="G535" s="491"/>
    </row>
    <row r="536" spans="1:7">
      <c r="A536" s="1300"/>
      <c r="B536" s="491"/>
      <c r="C536" s="491"/>
      <c r="D536" s="491"/>
      <c r="E536" s="491"/>
      <c r="F536" s="491"/>
      <c r="G536" s="491"/>
    </row>
    <row r="537" spans="1:7">
      <c r="A537" s="1300"/>
      <c r="B537" s="491"/>
      <c r="C537" s="491"/>
      <c r="D537" s="491"/>
      <c r="E537" s="491"/>
      <c r="F537" s="491"/>
      <c r="G537" s="491"/>
    </row>
    <row r="538" spans="1:7">
      <c r="A538" s="1300"/>
      <c r="B538" s="491"/>
      <c r="C538" s="491"/>
      <c r="D538" s="491"/>
      <c r="E538" s="491"/>
      <c r="F538" s="491"/>
      <c r="G538" s="491"/>
    </row>
    <row r="539" spans="1:7">
      <c r="A539" s="1300"/>
      <c r="B539" s="491"/>
      <c r="C539" s="491"/>
      <c r="D539" s="491"/>
      <c r="E539" s="491"/>
      <c r="F539" s="491"/>
      <c r="G539" s="491"/>
    </row>
    <row r="540" spans="1:7">
      <c r="A540" s="1300"/>
      <c r="B540" s="491"/>
      <c r="C540" s="491"/>
      <c r="D540" s="491"/>
      <c r="E540" s="491"/>
      <c r="F540" s="491"/>
      <c r="G540" s="491"/>
    </row>
  </sheetData>
  <customSheetViews>
    <customSheetView guid="{416404B7-8533-4A12-ABD0-58CFDEB49D80}" scale="50" showPageBreaks="1" printArea="1">
      <selection sqref="A1:XFD1048576"/>
      <rowBreaks count="2" manualBreakCount="2">
        <brk id="73" max="16383" man="1"/>
        <brk id="132" max="16383" man="1"/>
      </rowBreaks>
      <pageMargins left="0.75" right="0.75" top="1" bottom="1" header="0.5" footer="0.5"/>
      <printOptions horizontalCentered="1"/>
      <pageSetup scale="30" orientation="landscape" r:id="rId1"/>
      <headerFooter alignWithMargins="0"/>
    </customSheetView>
  </customSheetViews>
  <mergeCells count="16">
    <mergeCell ref="A124:G124"/>
    <mergeCell ref="A48:G48"/>
    <mergeCell ref="A52:G52"/>
    <mergeCell ref="A59:G59"/>
    <mergeCell ref="A79:G79"/>
    <mergeCell ref="A83:G83"/>
    <mergeCell ref="A88:G88"/>
    <mergeCell ref="A56:G56"/>
    <mergeCell ref="A57:G57"/>
    <mergeCell ref="A117:G117"/>
    <mergeCell ref="A121:G121"/>
    <mergeCell ref="A1:G1"/>
    <mergeCell ref="A3:G3"/>
    <mergeCell ref="A2:G2"/>
    <mergeCell ref="A58:G58"/>
    <mergeCell ref="A87:G87"/>
  </mergeCells>
  <phoneticPr fontId="0" type="noConversion"/>
  <conditionalFormatting sqref="F19">
    <cfRule type="cellIs" dxfId="2" priority="1" stopIfTrue="1" operator="notEqual">
      <formula>0</formula>
    </cfRule>
  </conditionalFormatting>
  <printOptions horizontalCentered="1"/>
  <pageMargins left="0.75" right="0.75" top="1" bottom="1" header="0.5" footer="0.5"/>
  <pageSetup scale="30" orientation="landscape" r:id="rId2"/>
  <headerFooter alignWithMargins="0"/>
  <rowBreaks count="2" manualBreakCount="2">
    <brk id="52" max="16383" man="1"/>
    <brk id="83" max="16383" man="1"/>
  </rowBreaks>
  <ignoredErrors>
    <ignoredError sqref="B111 B4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3"/>
  <sheetViews>
    <sheetView zoomScale="50" zoomScaleNormal="50" workbookViewId="0">
      <selection sqref="A1:G1"/>
    </sheetView>
  </sheetViews>
  <sheetFormatPr defaultColWidth="18.88671875" defaultRowHeight="15"/>
  <cols>
    <col min="1" max="1" width="65.88671875" style="1288" customWidth="1"/>
    <col min="2" max="2" width="59.88671875" style="1203" customWidth="1"/>
    <col min="3" max="3" width="22.88671875" style="1203" customWidth="1"/>
    <col min="4" max="4" width="28.33203125" style="1203" bestFit="1" customWidth="1"/>
    <col min="5" max="5" width="24.6640625" style="1203" customWidth="1"/>
    <col min="6" max="6" width="54.109375" style="1203" customWidth="1"/>
    <col min="7" max="7" width="126.5546875" style="1203" customWidth="1"/>
    <col min="8" max="8" width="18.88671875" style="1203" customWidth="1"/>
    <col min="9" max="9" width="18.88671875" style="1203"/>
    <col min="10" max="10" width="21" style="1203" bestFit="1" customWidth="1"/>
    <col min="11" max="16384" width="18.88671875" style="1203"/>
  </cols>
  <sheetData>
    <row r="1" spans="1:20" ht="17.399999999999999">
      <c r="A1" s="2570" t="s">
        <v>494</v>
      </c>
      <c r="B1" s="2571"/>
      <c r="C1" s="2571"/>
      <c r="D1" s="2571"/>
      <c r="E1" s="2571"/>
      <c r="F1" s="2571"/>
      <c r="G1" s="2571"/>
      <c r="H1" s="1202"/>
      <c r="I1" s="1202"/>
    </row>
    <row r="2" spans="1:20" ht="17.399999999999999">
      <c r="A2" s="2572" t="s">
        <v>495</v>
      </c>
      <c r="B2" s="2572"/>
      <c r="C2" s="2572"/>
      <c r="D2" s="2572"/>
      <c r="E2" s="2572"/>
      <c r="F2" s="2572"/>
      <c r="G2" s="2572"/>
      <c r="H2" s="1202"/>
      <c r="I2" s="1202"/>
    </row>
    <row r="3" spans="1:20" s="1202" customFormat="1" ht="17.399999999999999">
      <c r="A3" s="2572" t="s">
        <v>926</v>
      </c>
      <c r="B3" s="2572"/>
      <c r="C3" s="2572"/>
      <c r="D3" s="2572"/>
      <c r="E3" s="2572"/>
      <c r="F3" s="2572"/>
      <c r="G3" s="2572"/>
      <c r="H3" s="1204"/>
    </row>
    <row r="4" spans="1:20" ht="15.6">
      <c r="A4" s="1242"/>
      <c r="B4" s="1241"/>
      <c r="C4" s="1241"/>
      <c r="D4" s="1241"/>
      <c r="E4" s="1241"/>
      <c r="F4" s="1241"/>
      <c r="G4" s="1241"/>
    </row>
    <row r="5" spans="1:20" ht="15.6">
      <c r="A5" s="1243"/>
      <c r="B5" s="1218"/>
      <c r="C5" s="1242" t="s">
        <v>555</v>
      </c>
      <c r="D5" s="1242"/>
      <c r="E5" s="1218"/>
      <c r="F5" s="1242"/>
      <c r="G5" s="1218"/>
      <c r="H5" s="1218"/>
      <c r="I5" s="1241"/>
      <c r="J5" s="1241"/>
      <c r="K5" s="1241"/>
      <c r="L5" s="1241"/>
      <c r="M5" s="1241"/>
      <c r="N5" s="1241"/>
      <c r="O5" s="1241"/>
      <c r="P5" s="1241"/>
      <c r="Q5" s="1241"/>
      <c r="R5" s="1241"/>
      <c r="S5" s="1241"/>
      <c r="T5" s="1301"/>
    </row>
    <row r="6" spans="1:20" ht="15.6">
      <c r="A6" s="1243"/>
      <c r="B6" s="1218"/>
      <c r="C6" s="1242" t="s">
        <v>544</v>
      </c>
      <c r="D6" s="1242" t="s">
        <v>550</v>
      </c>
      <c r="E6" s="1242" t="s">
        <v>552</v>
      </c>
      <c r="F6" s="1242" t="s">
        <v>330</v>
      </c>
      <c r="G6" s="1218"/>
      <c r="I6" s="1241"/>
      <c r="J6" s="1241"/>
      <c r="K6" s="1241"/>
      <c r="L6" s="1241"/>
      <c r="M6" s="1241"/>
      <c r="N6" s="1241"/>
      <c r="O6" s="1241"/>
      <c r="P6" s="1241"/>
      <c r="Q6" s="1241"/>
      <c r="R6" s="1241"/>
      <c r="S6" s="1241"/>
      <c r="T6" s="1301"/>
    </row>
    <row r="7" spans="1:20" ht="15.6">
      <c r="A7" s="1243"/>
      <c r="B7" s="1218"/>
      <c r="C7" s="1242" t="s">
        <v>551</v>
      </c>
      <c r="D7" s="1242" t="s">
        <v>551</v>
      </c>
      <c r="E7" s="1242" t="s">
        <v>551</v>
      </c>
      <c r="F7" s="1242" t="s">
        <v>560</v>
      </c>
      <c r="G7" s="1218"/>
    </row>
    <row r="8" spans="1:20" ht="24.6">
      <c r="A8" s="1302"/>
      <c r="B8" s="1218"/>
      <c r="C8" s="1218"/>
      <c r="D8" s="1218"/>
      <c r="E8" s="1218"/>
      <c r="F8" s="1218"/>
      <c r="G8" s="1218"/>
    </row>
    <row r="9" spans="1:20" ht="15.6">
      <c r="A9" s="1243"/>
      <c r="B9" s="1218"/>
      <c r="C9" s="1218"/>
      <c r="D9" s="1218"/>
      <c r="E9" s="1218"/>
      <c r="F9" s="1218"/>
      <c r="G9" s="1218"/>
      <c r="H9" s="1415"/>
    </row>
    <row r="10" spans="1:20" ht="15.6">
      <c r="A10" s="1243"/>
      <c r="B10" s="1244" t="s">
        <v>546</v>
      </c>
      <c r="C10" s="1245">
        <f>+D126</f>
        <v>0</v>
      </c>
      <c r="D10" s="1245">
        <f>+E126</f>
        <v>-2054374724.0296521</v>
      </c>
      <c r="E10" s="1245">
        <f>+F126</f>
        <v>-748075.08000000007</v>
      </c>
      <c r="F10" s="1245"/>
      <c r="G10" s="1218" t="s">
        <v>468</v>
      </c>
      <c r="H10" s="1415"/>
    </row>
    <row r="11" spans="1:20" ht="15.6">
      <c r="A11" s="1243"/>
      <c r="B11" s="1244" t="s">
        <v>547</v>
      </c>
      <c r="C11" s="1245">
        <f>+D187</f>
        <v>-1781312</v>
      </c>
      <c r="D11" s="1245">
        <f>+E187</f>
        <v>-336849730.0204792</v>
      </c>
      <c r="E11" s="1245">
        <f>+F187</f>
        <v>-34229991.0185</v>
      </c>
      <c r="F11" s="1245"/>
      <c r="G11" s="1218" t="s">
        <v>469</v>
      </c>
      <c r="H11" s="1415"/>
    </row>
    <row r="12" spans="1:20" ht="15.6">
      <c r="A12" s="1243"/>
      <c r="B12" s="1244" t="s">
        <v>545</v>
      </c>
      <c r="C12" s="1245">
        <f>+D67</f>
        <v>1617015</v>
      </c>
      <c r="D12" s="1245">
        <f>E67</f>
        <v>74892030.28107892</v>
      </c>
      <c r="E12" s="1245">
        <f>F67</f>
        <v>8730882.2754999995</v>
      </c>
      <c r="F12" s="1245"/>
      <c r="G12" s="1218" t="s">
        <v>470</v>
      </c>
      <c r="H12" s="1415"/>
    </row>
    <row r="13" spans="1:20" ht="15.6">
      <c r="A13" s="1243"/>
      <c r="B13" s="1244" t="s">
        <v>353</v>
      </c>
      <c r="C13" s="1245">
        <f>SUM(C10:C12)</f>
        <v>-164297</v>
      </c>
      <c r="D13" s="1245">
        <f>SUM(D10:D12)</f>
        <v>-2316332423.7690525</v>
      </c>
      <c r="E13" s="1245">
        <f>SUM(E10:E12)</f>
        <v>-26247183.822999999</v>
      </c>
      <c r="F13" s="1245"/>
      <c r="G13" s="1245"/>
      <c r="H13" s="1415"/>
    </row>
    <row r="14" spans="1:20" ht="15.6">
      <c r="A14" s="1243"/>
      <c r="B14" s="1244" t="s">
        <v>260</v>
      </c>
      <c r="C14" s="1218"/>
      <c r="D14" s="1218"/>
      <c r="E14" s="1246">
        <f>+'Appendix A'!H16</f>
        <v>0.1470486672554692</v>
      </c>
      <c r="F14" s="1218"/>
      <c r="G14" s="1218"/>
      <c r="H14" s="1415"/>
    </row>
    <row r="15" spans="1:20" ht="15.6">
      <c r="A15" s="1243"/>
      <c r="B15" s="1244" t="s">
        <v>322</v>
      </c>
      <c r="C15" s="1218"/>
      <c r="D15" s="1246">
        <f>+'Appendix A'!H35</f>
        <v>0.43405102133469092</v>
      </c>
      <c r="E15" s="1218"/>
      <c r="F15" s="1218"/>
      <c r="G15" s="1218"/>
      <c r="H15" s="1415"/>
    </row>
    <row r="16" spans="1:20" ht="15.6">
      <c r="A16" s="1243"/>
      <c r="B16" s="1244" t="s">
        <v>23</v>
      </c>
      <c r="C16" s="1245">
        <f>+C13</f>
        <v>-164297</v>
      </c>
      <c r="D16" s="1245">
        <f>+D15*D13</f>
        <v>-1005406454.2876173</v>
      </c>
      <c r="E16" s="1245">
        <f>+E14*E13</f>
        <v>-3859613.4003814608</v>
      </c>
      <c r="F16" s="1247">
        <f>SUM(C16:E16)</f>
        <v>-1009430364.6879988</v>
      </c>
      <c r="G16" s="1249"/>
    </row>
    <row r="17" spans="1:9" ht="15.6">
      <c r="A17" s="1243"/>
      <c r="B17" s="1244"/>
      <c r="C17" s="1245"/>
      <c r="D17" s="1245"/>
      <c r="E17" s="1245"/>
      <c r="F17" s="1247"/>
      <c r="G17" s="1249"/>
    </row>
    <row r="18" spans="1:9" ht="15.6">
      <c r="A18" s="1243"/>
      <c r="B18" s="1244"/>
      <c r="C18" s="1245"/>
      <c r="D18" s="1245"/>
      <c r="E18" s="1303"/>
      <c r="F18" s="1247"/>
      <c r="G18" s="1249"/>
    </row>
    <row r="19" spans="1:9" ht="15.6">
      <c r="A19" s="1243"/>
      <c r="B19" s="1218"/>
      <c r="C19" s="1245"/>
      <c r="D19" s="1245"/>
      <c r="E19" s="1303"/>
      <c r="F19" s="1304"/>
      <c r="G19" s="1249"/>
    </row>
    <row r="20" spans="1:9" ht="15.6">
      <c r="A20" s="1243"/>
      <c r="B20" s="1244"/>
      <c r="C20" s="1245"/>
      <c r="D20" s="1245"/>
      <c r="E20" s="1245"/>
      <c r="F20" s="1247"/>
      <c r="G20" s="1249"/>
    </row>
    <row r="21" spans="1:9" ht="15.6">
      <c r="A21" s="1250" t="s">
        <v>26</v>
      </c>
      <c r="B21" s="1218"/>
      <c r="C21" s="1218"/>
      <c r="D21" s="1218"/>
      <c r="E21" s="1218"/>
      <c r="F21" s="1218"/>
      <c r="G21" s="1218"/>
    </row>
    <row r="22" spans="1:9">
      <c r="A22" s="1218"/>
      <c r="B22" s="1218"/>
      <c r="C22" s="1251">
        <f>+B159</f>
        <v>-30823790.59</v>
      </c>
      <c r="D22" s="1218" t="s">
        <v>519</v>
      </c>
      <c r="E22" s="1218"/>
      <c r="F22" s="1218"/>
      <c r="I22" s="1248"/>
    </row>
    <row r="23" spans="1:9">
      <c r="A23" s="1218"/>
      <c r="B23" s="1218"/>
      <c r="C23" s="1218"/>
      <c r="D23" s="1218"/>
      <c r="E23" s="1218"/>
      <c r="F23" s="1218"/>
      <c r="G23" s="1218"/>
      <c r="I23" s="1248"/>
    </row>
    <row r="24" spans="1:9" ht="15.6">
      <c r="A24" s="1252" t="s">
        <v>471</v>
      </c>
      <c r="B24" s="1218"/>
      <c r="C24" s="1218"/>
      <c r="D24" s="1218"/>
      <c r="E24" s="1218"/>
      <c r="F24" s="1218"/>
      <c r="G24" s="1218"/>
      <c r="I24" s="1248"/>
    </row>
    <row r="25" spans="1:9" ht="15.6">
      <c r="A25" s="1252" t="s">
        <v>472</v>
      </c>
      <c r="B25" s="1218"/>
      <c r="C25" s="1218"/>
      <c r="D25" s="1218"/>
      <c r="E25" s="1218"/>
      <c r="F25" s="1218"/>
      <c r="G25" s="1218"/>
    </row>
    <row r="26" spans="1:9" ht="15.6">
      <c r="A26" s="1243"/>
      <c r="B26" s="1218"/>
      <c r="C26" s="1218"/>
      <c r="D26" s="1218"/>
      <c r="E26" s="1218"/>
      <c r="F26" s="1244"/>
      <c r="G26" s="1218"/>
    </row>
    <row r="27" spans="1:9" ht="15.6">
      <c r="A27" s="1253" t="s">
        <v>123</v>
      </c>
      <c r="B27" s="1254" t="s">
        <v>331</v>
      </c>
      <c r="C27" s="1254" t="s">
        <v>108</v>
      </c>
      <c r="D27" s="1254" t="s">
        <v>124</v>
      </c>
      <c r="E27" s="1254" t="s">
        <v>122</v>
      </c>
      <c r="F27" s="1254" t="s">
        <v>730</v>
      </c>
      <c r="G27" s="1254" t="s">
        <v>125</v>
      </c>
    </row>
    <row r="28" spans="1:9" ht="15.6">
      <c r="A28" s="1243"/>
      <c r="B28" s="1242" t="s">
        <v>330</v>
      </c>
      <c r="C28" s="1242" t="s">
        <v>553</v>
      </c>
      <c r="D28" s="1242" t="s">
        <v>555</v>
      </c>
      <c r="E28" s="1242"/>
      <c r="F28" s="1242"/>
    </row>
    <row r="29" spans="1:9" ht="15.6">
      <c r="A29" s="1255" t="s">
        <v>545</v>
      </c>
      <c r="B29" s="1242"/>
      <c r="C29" s="1242" t="s">
        <v>554</v>
      </c>
      <c r="D29" s="1242" t="s">
        <v>544</v>
      </c>
      <c r="E29" s="1242" t="s">
        <v>550</v>
      </c>
      <c r="F29" s="1242" t="s">
        <v>552</v>
      </c>
    </row>
    <row r="30" spans="1:9" ht="24.9" customHeight="1" thickBot="1">
      <c r="A30" s="1243"/>
      <c r="B30" s="1242"/>
      <c r="C30" s="1242" t="s">
        <v>551</v>
      </c>
      <c r="D30" s="1242" t="s">
        <v>551</v>
      </c>
      <c r="E30" s="1242" t="s">
        <v>551</v>
      </c>
      <c r="F30" s="1242" t="s">
        <v>551</v>
      </c>
      <c r="G30" s="1242" t="s">
        <v>97</v>
      </c>
    </row>
    <row r="31" spans="1:9" ht="24.9" customHeight="1">
      <c r="A31" s="1323" t="s">
        <v>22</v>
      </c>
      <c r="B31" s="1435">
        <f>SUM(C31:F31)</f>
        <v>1617015</v>
      </c>
      <c r="C31" s="464"/>
      <c r="D31" s="464">
        <v>1617015</v>
      </c>
      <c r="E31" s="464"/>
      <c r="F31" s="464"/>
      <c r="G31" s="1333" t="s">
        <v>681</v>
      </c>
      <c r="H31" s="1205"/>
    </row>
    <row r="32" spans="1:9" ht="24.9" customHeight="1">
      <c r="A32" s="1324" t="s">
        <v>263</v>
      </c>
      <c r="B32" s="1430">
        <f>SUM(C32:F32)</f>
        <v>1348125</v>
      </c>
      <c r="C32" s="458">
        <v>1348125</v>
      </c>
      <c r="D32" s="458"/>
      <c r="E32" s="458"/>
      <c r="F32" s="458"/>
      <c r="G32" s="1334" t="s">
        <v>198</v>
      </c>
      <c r="H32" s="1205"/>
    </row>
    <row r="33" spans="1:8" ht="24.9" customHeight="1">
      <c r="A33" s="1325" t="s">
        <v>264</v>
      </c>
      <c r="B33" s="1430">
        <f t="shared" ref="B33:B63" si="0">SUM(C33:F33)</f>
        <v>10804</v>
      </c>
      <c r="C33" s="458"/>
      <c r="D33" s="458"/>
      <c r="E33" s="458"/>
      <c r="F33" s="458">
        <v>10804</v>
      </c>
      <c r="G33" s="1334" t="s">
        <v>206</v>
      </c>
      <c r="H33" s="1205"/>
    </row>
    <row r="34" spans="1:8" ht="24.9" customHeight="1">
      <c r="A34" s="1325" t="s">
        <v>94</v>
      </c>
      <c r="B34" s="1430">
        <f t="shared" si="0"/>
        <v>8477396</v>
      </c>
      <c r="C34" s="458"/>
      <c r="D34" s="458"/>
      <c r="E34" s="458">
        <v>8477396</v>
      </c>
      <c r="F34" s="458"/>
      <c r="G34" s="1334" t="s">
        <v>207</v>
      </c>
    </row>
    <row r="35" spans="1:8" ht="24.9" customHeight="1">
      <c r="A35" s="1325" t="s">
        <v>830</v>
      </c>
      <c r="B35" s="1430"/>
      <c r="C35" s="458"/>
      <c r="D35" s="458"/>
      <c r="E35" s="458"/>
      <c r="F35" s="458"/>
      <c r="G35" s="1334" t="s">
        <v>208</v>
      </c>
      <c r="H35" s="1205"/>
    </row>
    <row r="36" spans="1:8" ht="24.9" customHeight="1">
      <c r="A36" s="1325" t="s">
        <v>923</v>
      </c>
      <c r="B36" s="1430">
        <f t="shared" si="0"/>
        <v>54005194.191078901</v>
      </c>
      <c r="C36" s="1479"/>
      <c r="D36" s="1479"/>
      <c r="E36" s="1479">
        <v>54005194.191078901</v>
      </c>
      <c r="F36" s="1479"/>
      <c r="G36" s="1334" t="s">
        <v>923</v>
      </c>
      <c r="H36" s="1205"/>
    </row>
    <row r="37" spans="1:8" ht="24.9" customHeight="1">
      <c r="A37" s="1325" t="s">
        <v>265</v>
      </c>
      <c r="B37" s="1430">
        <f t="shared" si="0"/>
        <v>-624839.10000000009</v>
      </c>
      <c r="C37" s="458"/>
      <c r="D37" s="458"/>
      <c r="E37" s="458">
        <v>-624839.10000000009</v>
      </c>
      <c r="F37" s="458"/>
      <c r="G37" s="1334" t="s">
        <v>209</v>
      </c>
      <c r="H37" s="1205"/>
    </row>
    <row r="38" spans="1:8" ht="24.9" customHeight="1">
      <c r="A38" s="1325" t="s">
        <v>95</v>
      </c>
      <c r="B38" s="1430">
        <f t="shared" si="0"/>
        <v>756443</v>
      </c>
      <c r="C38" s="1436">
        <v>756443</v>
      </c>
      <c r="D38" s="1432"/>
      <c r="E38" s="1427"/>
      <c r="F38" s="458"/>
      <c r="G38" s="1334" t="s">
        <v>747</v>
      </c>
    </row>
    <row r="39" spans="1:8" ht="24.9" customHeight="1">
      <c r="A39" s="1325" t="s">
        <v>266</v>
      </c>
      <c r="B39" s="1430">
        <f t="shared" si="0"/>
        <v>7829129.6500000004</v>
      </c>
      <c r="C39" s="458">
        <v>7829129.6500000004</v>
      </c>
      <c r="D39" s="1432"/>
      <c r="E39" s="1432"/>
      <c r="F39" s="458"/>
      <c r="G39" s="1334" t="s">
        <v>748</v>
      </c>
      <c r="H39" s="1205"/>
    </row>
    <row r="40" spans="1:8" ht="24.9" customHeight="1">
      <c r="A40" s="1326" t="s">
        <v>267</v>
      </c>
      <c r="B40" s="1430">
        <f t="shared" si="0"/>
        <v>1357594</v>
      </c>
      <c r="C40" s="465">
        <v>1357594</v>
      </c>
      <c r="D40" s="465"/>
      <c r="E40" s="465"/>
      <c r="F40" s="465"/>
      <c r="G40" s="1334" t="s">
        <v>749</v>
      </c>
      <c r="H40" s="1205"/>
    </row>
    <row r="41" spans="1:8" ht="24.9" customHeight="1">
      <c r="A41" s="1326" t="s">
        <v>268</v>
      </c>
      <c r="B41" s="1430">
        <f t="shared" si="0"/>
        <v>29167.77</v>
      </c>
      <c r="C41" s="465">
        <v>29167.77</v>
      </c>
      <c r="D41" s="465"/>
      <c r="E41" s="465"/>
      <c r="F41" s="465"/>
      <c r="G41" s="1334" t="s">
        <v>382</v>
      </c>
      <c r="H41" s="1205"/>
    </row>
    <row r="42" spans="1:8" ht="24.9" customHeight="1">
      <c r="A42" s="1326" t="s">
        <v>269</v>
      </c>
      <c r="B42" s="1430">
        <f t="shared" si="0"/>
        <v>3432268.0350000001</v>
      </c>
      <c r="C42" s="465"/>
      <c r="D42" s="465"/>
      <c r="E42" s="465"/>
      <c r="F42" s="465">
        <v>3432268.0350000001</v>
      </c>
      <c r="G42" s="1334" t="s">
        <v>383</v>
      </c>
      <c r="H42" s="1205"/>
    </row>
    <row r="43" spans="1:8" ht="24.9" customHeight="1">
      <c r="A43" s="1326" t="s">
        <v>270</v>
      </c>
      <c r="B43" s="1430">
        <f t="shared" si="0"/>
        <v>167703033.76999998</v>
      </c>
      <c r="C43" s="465"/>
      <c r="D43" s="465"/>
      <c r="E43" s="465"/>
      <c r="F43" s="465">
        <v>167703033.76999998</v>
      </c>
      <c r="G43" s="1334" t="s">
        <v>6</v>
      </c>
      <c r="H43" s="1205"/>
    </row>
    <row r="44" spans="1:8" ht="24.9" customHeight="1">
      <c r="A44" s="1326" t="s">
        <v>750</v>
      </c>
      <c r="B44" s="1430">
        <f t="shared" si="0"/>
        <v>4974548.96</v>
      </c>
      <c r="C44" s="458"/>
      <c r="D44" s="1431"/>
      <c r="E44" s="1427"/>
      <c r="F44" s="458">
        <v>4974548.96</v>
      </c>
      <c r="G44" s="1334" t="s">
        <v>751</v>
      </c>
      <c r="H44" s="1205"/>
    </row>
    <row r="45" spans="1:8" ht="24.9" customHeight="1">
      <c r="A45" s="1326" t="s">
        <v>271</v>
      </c>
      <c r="B45" s="1430">
        <f t="shared" si="0"/>
        <v>593224.18050000013</v>
      </c>
      <c r="C45" s="458"/>
      <c r="D45" s="458"/>
      <c r="E45" s="458"/>
      <c r="F45" s="458">
        <v>593224.18050000013</v>
      </c>
      <c r="G45" s="1334" t="s">
        <v>384</v>
      </c>
      <c r="H45" s="1205"/>
    </row>
    <row r="46" spans="1:8" ht="24.9" customHeight="1">
      <c r="A46" s="1326" t="s">
        <v>272</v>
      </c>
      <c r="B46" s="1430">
        <f t="shared" si="0"/>
        <v>13034279.190000001</v>
      </c>
      <c r="C46" s="458"/>
      <c r="D46" s="458"/>
      <c r="E46" s="458">
        <v>13034279.190000001</v>
      </c>
      <c r="F46" s="458"/>
      <c r="G46" s="1334" t="s">
        <v>7</v>
      </c>
      <c r="H46" s="1205"/>
    </row>
    <row r="47" spans="1:8" ht="24.9" customHeight="1">
      <c r="A47" s="1326" t="s">
        <v>273</v>
      </c>
      <c r="B47" s="1430">
        <f t="shared" si="0"/>
        <v>-1575710.8499999996</v>
      </c>
      <c r="C47" s="458"/>
      <c r="D47" s="458"/>
      <c r="E47" s="458"/>
      <c r="F47" s="458">
        <v>-1575710.8499999996</v>
      </c>
      <c r="G47" s="1334" t="s">
        <v>384</v>
      </c>
      <c r="H47" s="1205"/>
    </row>
    <row r="48" spans="1:8" ht="24.9" customHeight="1">
      <c r="A48" s="1326" t="s">
        <v>274</v>
      </c>
      <c r="B48" s="1430">
        <f t="shared" si="0"/>
        <v>637144</v>
      </c>
      <c r="C48" s="458">
        <v>637144</v>
      </c>
      <c r="D48" s="458"/>
      <c r="E48" s="458"/>
      <c r="F48" s="458"/>
      <c r="G48" s="1334" t="s">
        <v>384</v>
      </c>
      <c r="H48" s="1205"/>
    </row>
    <row r="49" spans="1:20" ht="24.9" customHeight="1">
      <c r="A49" s="1326" t="s">
        <v>275</v>
      </c>
      <c r="B49" s="1430">
        <f t="shared" si="0"/>
        <v>-3347601.0999999996</v>
      </c>
      <c r="C49" s="458">
        <v>-3347601.0999999996</v>
      </c>
      <c r="D49" s="458"/>
      <c r="E49" s="458"/>
      <c r="F49" s="458"/>
      <c r="G49" s="1334" t="s">
        <v>210</v>
      </c>
      <c r="H49" s="1205"/>
    </row>
    <row r="50" spans="1:20" ht="24.9" customHeight="1">
      <c r="A50" s="1326" t="s">
        <v>752</v>
      </c>
      <c r="B50" s="1430">
        <f t="shared" si="0"/>
        <v>-1940681</v>
      </c>
      <c r="C50" s="458">
        <v>-1940681</v>
      </c>
      <c r="D50" s="458"/>
      <c r="E50" s="458"/>
      <c r="F50" s="458"/>
      <c r="G50" s="1334" t="s">
        <v>210</v>
      </c>
      <c r="H50" s="1205"/>
    </row>
    <row r="51" spans="1:20" ht="24.9" customHeight="1">
      <c r="A51" s="1326" t="s">
        <v>276</v>
      </c>
      <c r="B51" s="1430">
        <f t="shared" si="0"/>
        <v>60619</v>
      </c>
      <c r="C51" s="458">
        <v>60619</v>
      </c>
      <c r="D51" s="458"/>
      <c r="E51" s="458"/>
      <c r="F51" s="458"/>
      <c r="G51" s="1334" t="s">
        <v>211</v>
      </c>
      <c r="H51" s="1305"/>
    </row>
    <row r="52" spans="1:20" ht="24.9" customHeight="1">
      <c r="A52" s="1326" t="s">
        <v>239</v>
      </c>
      <c r="B52" s="1430">
        <f t="shared" si="0"/>
        <v>137435</v>
      </c>
      <c r="C52" s="458">
        <v>137435</v>
      </c>
      <c r="D52" s="458"/>
      <c r="E52" s="458"/>
      <c r="F52" s="458"/>
      <c r="G52" s="1334" t="s">
        <v>755</v>
      </c>
      <c r="H52" s="1205"/>
    </row>
    <row r="53" spans="1:20" ht="24.9" customHeight="1">
      <c r="A53" s="1326" t="s">
        <v>240</v>
      </c>
      <c r="B53" s="1430">
        <f t="shared" si="0"/>
        <v>827228.1</v>
      </c>
      <c r="C53" s="458">
        <v>827228.1</v>
      </c>
      <c r="D53" s="458"/>
      <c r="E53" s="458"/>
      <c r="F53" s="458"/>
      <c r="G53" s="1334" t="s">
        <v>227</v>
      </c>
      <c r="H53" s="1205"/>
    </row>
    <row r="54" spans="1:20" ht="24.9" customHeight="1">
      <c r="A54" s="1326" t="s">
        <v>277</v>
      </c>
      <c r="B54" s="1430">
        <f t="shared" si="0"/>
        <v>-40342.009999999995</v>
      </c>
      <c r="C54" s="458">
        <v>-40342.009999999995</v>
      </c>
      <c r="D54" s="458"/>
      <c r="E54" s="458"/>
      <c r="F54" s="458"/>
      <c r="G54" s="1334" t="s">
        <v>222</v>
      </c>
      <c r="H54" s="1205"/>
    </row>
    <row r="55" spans="1:20" ht="24.9" customHeight="1">
      <c r="A55" s="1326" t="s">
        <v>278</v>
      </c>
      <c r="B55" s="1430">
        <f t="shared" si="0"/>
        <v>0.7</v>
      </c>
      <c r="C55" s="458">
        <v>0.7</v>
      </c>
      <c r="D55" s="458"/>
      <c r="E55" s="458"/>
      <c r="F55" s="458"/>
      <c r="G55" s="1334" t="s">
        <v>223</v>
      </c>
      <c r="H55" s="1205"/>
    </row>
    <row r="56" spans="1:20" ht="24.9" customHeight="1">
      <c r="A56" s="1326" t="s">
        <v>280</v>
      </c>
      <c r="B56" s="1430"/>
      <c r="C56" s="458"/>
      <c r="D56" s="458"/>
      <c r="E56" s="458"/>
      <c r="F56" s="458"/>
      <c r="G56" s="1334" t="s">
        <v>224</v>
      </c>
      <c r="H56" s="1205"/>
    </row>
    <row r="57" spans="1:20" ht="24.9" customHeight="1">
      <c r="A57" s="1326" t="s">
        <v>281</v>
      </c>
      <c r="B57" s="1430">
        <f t="shared" si="0"/>
        <v>201674.65</v>
      </c>
      <c r="C57" s="458">
        <v>201674.65</v>
      </c>
      <c r="D57" s="458"/>
      <c r="E57" s="458"/>
      <c r="F57" s="458"/>
      <c r="G57" s="1334" t="s">
        <v>225</v>
      </c>
      <c r="H57" s="1205"/>
    </row>
    <row r="58" spans="1:20" ht="24.9" customHeight="1">
      <c r="A58" s="1326" t="s">
        <v>767</v>
      </c>
      <c r="B58" s="1430">
        <f t="shared" si="0"/>
        <v>247222.5</v>
      </c>
      <c r="C58" s="458"/>
      <c r="D58" s="458"/>
      <c r="E58" s="458"/>
      <c r="F58" s="458">
        <v>247222.5</v>
      </c>
      <c r="G58" s="1334" t="s">
        <v>753</v>
      </c>
      <c r="H58" s="1205"/>
    </row>
    <row r="59" spans="1:20" ht="24.9" customHeight="1">
      <c r="A59" s="1326" t="s">
        <v>8</v>
      </c>
      <c r="B59" s="1430">
        <f t="shared" si="0"/>
        <v>-1422255</v>
      </c>
      <c r="C59" s="458">
        <v>-1422255</v>
      </c>
      <c r="D59" s="458"/>
      <c r="E59" s="458"/>
      <c r="F59" s="458"/>
      <c r="G59" s="1334" t="s">
        <v>810</v>
      </c>
      <c r="H59" s="1205"/>
    </row>
    <row r="60" spans="1:20" ht="24.9" customHeight="1">
      <c r="A60" s="1326" t="s">
        <v>9</v>
      </c>
      <c r="B60" s="1430">
        <f t="shared" si="0"/>
        <v>1048525.45</v>
      </c>
      <c r="C60" s="458"/>
      <c r="D60" s="458"/>
      <c r="E60" s="458"/>
      <c r="F60" s="458">
        <v>1048525.45</v>
      </c>
      <c r="G60" s="1334" t="s">
        <v>384</v>
      </c>
      <c r="H60" s="1205"/>
    </row>
    <row r="61" spans="1:20" ht="24.9" customHeight="1">
      <c r="A61" s="1326" t="s">
        <v>282</v>
      </c>
      <c r="B61" s="1430">
        <f t="shared" si="0"/>
        <v>36491626</v>
      </c>
      <c r="C61" s="1432"/>
      <c r="D61" s="458"/>
      <c r="E61" s="458">
        <v>36491626</v>
      </c>
      <c r="F61" s="458"/>
      <c r="G61" s="1334" t="s">
        <v>10</v>
      </c>
      <c r="H61" s="1205"/>
    </row>
    <row r="62" spans="1:20" ht="24.9" customHeight="1">
      <c r="A62" s="1326" t="s">
        <v>283</v>
      </c>
      <c r="B62" s="1430">
        <f t="shared" si="0"/>
        <v>29511433.330000002</v>
      </c>
      <c r="C62" s="458"/>
      <c r="D62" s="458"/>
      <c r="E62" s="458">
        <v>29511433.330000002</v>
      </c>
      <c r="F62" s="458"/>
      <c r="G62" s="1334" t="s">
        <v>10</v>
      </c>
      <c r="H62" s="1205"/>
    </row>
    <row r="63" spans="1:20" ht="24.9" customHeight="1" thickBot="1">
      <c r="A63" s="1327" t="s">
        <v>284</v>
      </c>
      <c r="B63" s="1430">
        <f t="shared" si="0"/>
        <v>36313066</v>
      </c>
      <c r="C63" s="1437"/>
      <c r="D63" s="1437"/>
      <c r="E63" s="1437">
        <v>36313066</v>
      </c>
      <c r="F63" s="1437"/>
      <c r="G63" s="1335" t="s">
        <v>10</v>
      </c>
      <c r="H63" s="1205"/>
      <c r="J63" s="1484"/>
      <c r="K63" s="1484"/>
      <c r="L63" s="1484"/>
      <c r="M63" s="1484"/>
      <c r="N63" s="1484"/>
      <c r="P63" s="1486"/>
      <c r="Q63" s="1486"/>
      <c r="R63" s="1486"/>
      <c r="S63" s="1486"/>
      <c r="T63" s="1486"/>
    </row>
    <row r="64" spans="1:20" ht="24.9" customHeight="1">
      <c r="A64" s="1328" t="s">
        <v>559</v>
      </c>
      <c r="B64" s="1416">
        <f>SUM(C64:F64)</f>
        <v>361692768.41657889</v>
      </c>
      <c r="C64" s="1417">
        <f>SUM(C31:C63)</f>
        <v>6433681.7600000007</v>
      </c>
      <c r="D64" s="1417">
        <f>SUM(D31:D63)</f>
        <v>1617015</v>
      </c>
      <c r="E64" s="1417">
        <f>SUM(E31:E63)</f>
        <v>177208155.61107892</v>
      </c>
      <c r="F64" s="1417">
        <f>SUM(F31:F63)</f>
        <v>176433916.04549998</v>
      </c>
      <c r="G64" s="1259"/>
      <c r="H64" s="1205"/>
      <c r="J64" s="1484"/>
      <c r="K64" s="1484"/>
      <c r="L64" s="1484"/>
      <c r="M64" s="1484"/>
      <c r="N64" s="1484"/>
      <c r="P64" s="1486"/>
      <c r="Q64" s="1486"/>
      <c r="R64" s="1486"/>
      <c r="S64" s="1486"/>
      <c r="T64" s="1486"/>
    </row>
    <row r="65" spans="1:20" ht="24.9" customHeight="1">
      <c r="A65" s="1329" t="s">
        <v>841</v>
      </c>
      <c r="B65" s="1418">
        <f>SUM(C65:F65)</f>
        <v>102316125.33</v>
      </c>
      <c r="C65" s="1419"/>
      <c r="D65" s="1419"/>
      <c r="E65" s="1420">
        <f>SUM(E61:E63)</f>
        <v>102316125.33</v>
      </c>
      <c r="F65" s="1421"/>
      <c r="G65" s="1260"/>
      <c r="H65" s="1205"/>
      <c r="J65" s="1484"/>
      <c r="K65" s="1484"/>
      <c r="L65" s="1484"/>
      <c r="M65" s="1484"/>
      <c r="N65" s="1484"/>
      <c r="P65" s="1486"/>
      <c r="Q65" s="1486"/>
      <c r="R65" s="1486"/>
      <c r="S65" s="1486"/>
      <c r="T65" s="1486"/>
    </row>
    <row r="66" spans="1:20" ht="24.9" customHeight="1">
      <c r="A66" s="1329" t="s">
        <v>0</v>
      </c>
      <c r="B66" s="1419">
        <f>+B43</f>
        <v>167703033.76999998</v>
      </c>
      <c r="C66" s="1419"/>
      <c r="D66" s="1419"/>
      <c r="E66" s="1419"/>
      <c r="F66" s="1419">
        <f>B66</f>
        <v>167703033.76999998</v>
      </c>
      <c r="G66" s="1282"/>
      <c r="H66" s="1205"/>
      <c r="J66" s="1484"/>
      <c r="K66" s="1484"/>
      <c r="L66" s="1484"/>
      <c r="M66" s="1484"/>
      <c r="N66" s="1484"/>
      <c r="P66" s="1486"/>
      <c r="Q66" s="1486"/>
      <c r="R66" s="1486"/>
      <c r="S66" s="1486"/>
      <c r="T66" s="1486"/>
    </row>
    <row r="67" spans="1:20" s="1284" customFormat="1" ht="35.1" customHeight="1" thickBot="1">
      <c r="A67" s="1330" t="s">
        <v>330</v>
      </c>
      <c r="B67" s="1422">
        <f>SUM(C67:F67)</f>
        <v>91673609.316578925</v>
      </c>
      <c r="C67" s="1423">
        <f>+C64-C65-C66</f>
        <v>6433681.7600000007</v>
      </c>
      <c r="D67" s="1423">
        <f>+D64-D65-D66</f>
        <v>1617015</v>
      </c>
      <c r="E67" s="1423">
        <f>+E64-E65-E66</f>
        <v>74892030.28107892</v>
      </c>
      <c r="F67" s="1423">
        <f>+F64-F65-F66</f>
        <v>8730882.2754999995</v>
      </c>
      <c r="G67" s="1306"/>
    </row>
    <row r="68" spans="1:20" ht="35.1" customHeight="1" thickTop="1">
      <c r="A68" s="1217" t="s">
        <v>556</v>
      </c>
      <c r="B68" s="1217"/>
      <c r="C68" s="1261"/>
      <c r="D68" s="1262"/>
      <c r="E68" s="2402"/>
      <c r="F68" s="1263"/>
      <c r="G68" s="1264"/>
      <c r="H68" s="1205"/>
    </row>
    <row r="69" spans="1:20" ht="35.1" customHeight="1">
      <c r="A69" s="2576" t="s">
        <v>740</v>
      </c>
      <c r="B69" s="2577"/>
      <c r="C69" s="2577"/>
      <c r="D69" s="2577"/>
      <c r="E69" s="2577"/>
      <c r="F69" s="2577"/>
      <c r="G69" s="2577"/>
      <c r="H69" s="1205"/>
    </row>
    <row r="70" spans="1:20" ht="35.1" customHeight="1">
      <c r="A70" s="1265" t="s">
        <v>741</v>
      </c>
      <c r="B70" s="1217"/>
      <c r="C70" s="1263"/>
      <c r="D70" s="1217"/>
      <c r="E70" s="1217"/>
      <c r="F70" s="2402"/>
      <c r="G70" s="2402"/>
      <c r="H70" s="1205"/>
    </row>
    <row r="71" spans="1:20" ht="35.1" customHeight="1">
      <c r="A71" s="1265" t="s">
        <v>186</v>
      </c>
      <c r="B71" s="1217"/>
      <c r="C71" s="1263"/>
      <c r="D71" s="1217"/>
      <c r="E71" s="1217"/>
      <c r="F71" s="2402"/>
      <c r="G71" s="2402"/>
      <c r="H71" s="1205"/>
    </row>
    <row r="72" spans="1:20" ht="35.1" customHeight="1">
      <c r="A72" s="1265" t="s">
        <v>195</v>
      </c>
      <c r="B72" s="1217"/>
      <c r="C72" s="1263"/>
      <c r="D72" s="1217"/>
      <c r="E72" s="1217"/>
      <c r="F72" s="2402"/>
      <c r="G72" s="2402"/>
      <c r="H72" s="1205"/>
    </row>
    <row r="73" spans="1:20" ht="15.75" customHeight="1">
      <c r="A73" s="2577" t="s">
        <v>764</v>
      </c>
      <c r="B73" s="2577"/>
      <c r="C73" s="2577"/>
      <c r="D73" s="2577"/>
      <c r="E73" s="2577"/>
      <c r="F73" s="2577"/>
      <c r="G73" s="2577"/>
      <c r="H73" s="1307"/>
    </row>
    <row r="74" spans="1:20" ht="15.6">
      <c r="A74" s="1266"/>
      <c r="B74" s="2404"/>
      <c r="C74" s="1267"/>
      <c r="D74" s="2404"/>
      <c r="E74" s="2404"/>
      <c r="F74" s="2404"/>
      <c r="G74" s="1268"/>
      <c r="H74" s="1205"/>
    </row>
    <row r="75" spans="1:20" ht="38.25" customHeight="1">
      <c r="A75" s="1266"/>
      <c r="B75" s="1205"/>
      <c r="C75" s="1205"/>
      <c r="D75" s="1205"/>
      <c r="E75" s="1205"/>
      <c r="F75" s="1205"/>
      <c r="G75" s="1205"/>
      <c r="H75" s="1205"/>
    </row>
    <row r="76" spans="1:20" ht="15.6">
      <c r="A76" s="1266"/>
      <c r="B76" s="2404"/>
      <c r="C76" s="2404"/>
      <c r="D76" s="2404"/>
      <c r="E76" s="2404"/>
      <c r="F76" s="2404"/>
      <c r="G76" s="1268"/>
      <c r="H76" s="1205"/>
    </row>
    <row r="77" spans="1:20" s="1202" customFormat="1" ht="17.399999999999999">
      <c r="A77" s="2574" t="str">
        <f>+A1</f>
        <v>Public Service Electric and Gas Company</v>
      </c>
      <c r="B77" s="2579"/>
      <c r="C77" s="2579"/>
      <c r="D77" s="2579"/>
      <c r="E77" s="2579"/>
      <c r="F77" s="2579"/>
      <c r="G77" s="2579"/>
      <c r="H77" s="1204"/>
    </row>
    <row r="78" spans="1:20" s="1202" customFormat="1" ht="17.399999999999999">
      <c r="A78" s="2573" t="s">
        <v>495</v>
      </c>
      <c r="B78" s="2573"/>
      <c r="C78" s="2573"/>
      <c r="D78" s="2573"/>
      <c r="E78" s="2573"/>
      <c r="F78" s="2573"/>
      <c r="G78" s="2573"/>
      <c r="H78" s="1204"/>
    </row>
    <row r="79" spans="1:20" s="1202" customFormat="1" ht="17.399999999999999">
      <c r="A79" s="2573" t="str">
        <f>+A3</f>
        <v xml:space="preserve">Attachment 1 - Accumulated Deferred Income Taxes (ADIT) Worksheet - December 31,2013   </v>
      </c>
      <c r="B79" s="2573"/>
      <c r="C79" s="2573"/>
      <c r="D79" s="2573"/>
      <c r="E79" s="2573"/>
      <c r="F79" s="2573"/>
      <c r="G79" s="2573"/>
      <c r="H79" s="1204"/>
    </row>
    <row r="80" spans="1:20" ht="15.6">
      <c r="A80" s="2578"/>
      <c r="B80" s="2578"/>
      <c r="C80" s="2578"/>
      <c r="D80" s="2578"/>
      <c r="E80" s="2578"/>
      <c r="F80" s="2578"/>
      <c r="G80" s="2578"/>
      <c r="H80" s="1205"/>
    </row>
    <row r="81" spans="1:8" ht="15.6">
      <c r="A81" s="2404"/>
      <c r="B81" s="2404"/>
      <c r="C81" s="2404"/>
      <c r="D81" s="2404"/>
      <c r="E81" s="2404"/>
      <c r="F81" s="2404"/>
      <c r="G81" s="2404"/>
      <c r="H81" s="1205"/>
    </row>
    <row r="82" spans="1:8" ht="15.6">
      <c r="A82" s="2404"/>
      <c r="B82" s="2404"/>
      <c r="C82" s="2404"/>
      <c r="D82" s="2404"/>
      <c r="E82" s="2404"/>
      <c r="F82" s="2404"/>
      <c r="G82" s="2404"/>
      <c r="H82" s="1205"/>
    </row>
    <row r="83" spans="1:8" ht="15.6">
      <c r="A83" s="2404"/>
      <c r="B83" s="2404"/>
      <c r="C83" s="2404"/>
      <c r="D83" s="2404"/>
      <c r="E83" s="2404"/>
      <c r="F83" s="2404"/>
      <c r="G83" s="2404"/>
      <c r="H83" s="1205"/>
    </row>
    <row r="84" spans="1:8" ht="15.6">
      <c r="A84" s="2404"/>
      <c r="B84" s="2404"/>
      <c r="C84" s="2404"/>
      <c r="D84" s="2404"/>
      <c r="E84" s="2404"/>
      <c r="F84" s="2404"/>
      <c r="G84" s="2404"/>
      <c r="H84" s="1205"/>
    </row>
    <row r="85" spans="1:8" ht="15.6">
      <c r="A85" s="1269"/>
      <c r="B85" s="1205"/>
      <c r="C85" s="1205"/>
      <c r="D85" s="1205"/>
      <c r="E85" s="1205"/>
      <c r="F85" s="1205"/>
      <c r="G85" s="491"/>
      <c r="H85" s="1205"/>
    </row>
    <row r="86" spans="1:8" ht="15.6">
      <c r="A86" s="1270" t="s">
        <v>821</v>
      </c>
      <c r="B86" s="1271"/>
      <c r="C86" s="1271"/>
      <c r="D86" s="1271"/>
      <c r="E86" s="1271"/>
      <c r="F86" s="1271"/>
      <c r="G86" s="1271"/>
      <c r="H86" s="1205"/>
    </row>
    <row r="87" spans="1:8" ht="15.6">
      <c r="A87" s="1272"/>
      <c r="B87" s="1271"/>
      <c r="C87" s="1271"/>
      <c r="D87" s="1271"/>
      <c r="E87" s="1271"/>
      <c r="F87" s="1271"/>
      <c r="G87" s="1271"/>
      <c r="H87" s="1205"/>
    </row>
    <row r="88" spans="1:8" ht="15.6">
      <c r="A88" s="2404" t="s">
        <v>123</v>
      </c>
      <c r="B88" s="2404" t="s">
        <v>331</v>
      </c>
      <c r="C88" s="2404" t="s">
        <v>108</v>
      </c>
      <c r="D88" s="2404" t="s">
        <v>124</v>
      </c>
      <c r="E88" s="2404" t="s">
        <v>122</v>
      </c>
      <c r="F88" s="2404" t="s">
        <v>730</v>
      </c>
      <c r="G88" s="2404" t="s">
        <v>125</v>
      </c>
      <c r="H88" s="1205"/>
    </row>
    <row r="89" spans="1:8" ht="15.6">
      <c r="A89" s="1205"/>
      <c r="B89" s="1273" t="s">
        <v>330</v>
      </c>
      <c r="C89" s="1273" t="s">
        <v>553</v>
      </c>
      <c r="D89" s="1273" t="s">
        <v>555</v>
      </c>
      <c r="E89" s="1273"/>
      <c r="F89" s="1273"/>
      <c r="G89" s="1205"/>
      <c r="H89" s="1205"/>
    </row>
    <row r="90" spans="1:8" ht="15.6">
      <c r="A90" s="1274" t="s">
        <v>546</v>
      </c>
      <c r="B90" s="1273"/>
      <c r="C90" s="1273" t="s">
        <v>554</v>
      </c>
      <c r="D90" s="1273" t="s">
        <v>544</v>
      </c>
      <c r="E90" s="1273" t="s">
        <v>550</v>
      </c>
      <c r="F90" s="1273" t="s">
        <v>552</v>
      </c>
      <c r="G90" s="1205"/>
      <c r="H90" s="1205"/>
    </row>
    <row r="91" spans="1:8" ht="16.2" thickBot="1">
      <c r="A91" s="1266"/>
      <c r="B91" s="1273"/>
      <c r="C91" s="1273" t="s">
        <v>551</v>
      </c>
      <c r="D91" s="1273" t="s">
        <v>551</v>
      </c>
      <c r="E91" s="1273" t="s">
        <v>551</v>
      </c>
      <c r="F91" s="1273" t="s">
        <v>551</v>
      </c>
      <c r="G91" s="1273" t="s">
        <v>97</v>
      </c>
      <c r="H91" s="1205"/>
    </row>
    <row r="92" spans="1:8" ht="30.75" customHeight="1">
      <c r="A92" s="1331" t="s">
        <v>831</v>
      </c>
      <c r="B92" s="1425">
        <f>SUM(C92:F92)</f>
        <v>-2008918689.9196522</v>
      </c>
      <c r="C92" s="466"/>
      <c r="D92" s="466"/>
      <c r="E92" s="1426">
        <v>-2008918689.9196522</v>
      </c>
      <c r="F92" s="466"/>
      <c r="G92" s="1333" t="s">
        <v>385</v>
      </c>
      <c r="H92" s="1205"/>
    </row>
    <row r="93" spans="1:8" ht="24.9" customHeight="1">
      <c r="A93" s="1326" t="s">
        <v>832</v>
      </c>
      <c r="B93" s="1427">
        <f>SUM(C93:F93)</f>
        <v>-60630835.093500003</v>
      </c>
      <c r="C93" s="467">
        <v>-60630835.093500003</v>
      </c>
      <c r="D93" s="467"/>
      <c r="E93" s="467"/>
      <c r="F93" s="467"/>
      <c r="G93" s="1334" t="s">
        <v>682</v>
      </c>
      <c r="H93" s="1205"/>
    </row>
    <row r="94" spans="1:8" ht="24.9" customHeight="1">
      <c r="A94" s="1326" t="s">
        <v>285</v>
      </c>
      <c r="B94" s="1427">
        <f t="shared" ref="B94:B97" si="1">SUM(C94:F94)</f>
        <v>-42545311.109999999</v>
      </c>
      <c r="C94" s="467"/>
      <c r="D94" s="467"/>
      <c r="E94" s="467">
        <v>-42545311.109999999</v>
      </c>
      <c r="F94" s="467"/>
      <c r="G94" s="1334" t="s">
        <v>11</v>
      </c>
      <c r="H94" s="1205"/>
    </row>
    <row r="95" spans="1:8" ht="24.9" customHeight="1">
      <c r="A95" s="1326" t="s">
        <v>286</v>
      </c>
      <c r="B95" s="1427">
        <f t="shared" si="1"/>
        <v>-2910723</v>
      </c>
      <c r="C95" s="467"/>
      <c r="D95" s="467"/>
      <c r="E95" s="467">
        <v>-2910723</v>
      </c>
      <c r="F95" s="467"/>
      <c r="G95" s="1334" t="s">
        <v>226</v>
      </c>
      <c r="H95" s="1205"/>
    </row>
    <row r="96" spans="1:8" ht="24.9" customHeight="1">
      <c r="A96" s="1326" t="s">
        <v>845</v>
      </c>
      <c r="B96" s="1427">
        <f t="shared" si="1"/>
        <v>-748075.08000000007</v>
      </c>
      <c r="C96" s="467"/>
      <c r="D96" s="467"/>
      <c r="E96" s="467"/>
      <c r="F96" s="467">
        <v>-748075.08000000007</v>
      </c>
      <c r="G96" s="1334" t="s">
        <v>753</v>
      </c>
      <c r="H96" s="1205"/>
    </row>
    <row r="97" spans="1:8" ht="24.9" customHeight="1">
      <c r="A97" s="1326" t="s">
        <v>288</v>
      </c>
      <c r="B97" s="1427">
        <f t="shared" si="1"/>
        <v>-273231104.37</v>
      </c>
      <c r="C97" s="467"/>
      <c r="D97" s="467"/>
      <c r="E97" s="467">
        <v>-273231104.37</v>
      </c>
      <c r="F97" s="467"/>
      <c r="G97" s="1334" t="s">
        <v>12</v>
      </c>
      <c r="H97" s="1205"/>
    </row>
    <row r="98" spans="1:8" ht="24.9" customHeight="1">
      <c r="A98" s="1332"/>
      <c r="B98" s="1256"/>
      <c r="C98" s="1466"/>
      <c r="D98" s="1466"/>
      <c r="E98" s="1466"/>
      <c r="F98" s="1466"/>
      <c r="G98" s="1289"/>
      <c r="H98" s="1205"/>
    </row>
    <row r="99" spans="1:8" ht="24.9" customHeight="1">
      <c r="A99" s="1332"/>
      <c r="B99" s="1308"/>
      <c r="C99" s="1308"/>
      <c r="D99" s="1308"/>
      <c r="E99" s="1308"/>
      <c r="F99" s="1308"/>
      <c r="G99" s="1257"/>
      <c r="H99" s="1205"/>
    </row>
    <row r="100" spans="1:8" ht="24.9" customHeight="1">
      <c r="A100" s="1332"/>
      <c r="B100" s="1276"/>
      <c r="C100" s="1276"/>
      <c r="D100" s="1276"/>
      <c r="E100" s="1276"/>
      <c r="F100" s="1276"/>
      <c r="G100" s="1257"/>
      <c r="H100" s="1205"/>
    </row>
    <row r="101" spans="1:8" ht="24.9" customHeight="1">
      <c r="A101" s="1332"/>
      <c r="B101" s="1276"/>
      <c r="C101" s="1276"/>
      <c r="D101" s="1276"/>
      <c r="E101" s="1276"/>
      <c r="F101" s="1276"/>
      <c r="G101" s="1257"/>
      <c r="H101" s="1205"/>
    </row>
    <row r="102" spans="1:8" ht="24.9" customHeight="1">
      <c r="A102" s="1332"/>
      <c r="B102" s="1276"/>
      <c r="C102" s="1276"/>
      <c r="D102" s="1276"/>
      <c r="E102" s="1276"/>
      <c r="F102" s="1276"/>
      <c r="G102" s="1257"/>
      <c r="H102" s="1205"/>
    </row>
    <row r="103" spans="1:8" ht="24.9" customHeight="1">
      <c r="A103" s="1332"/>
      <c r="B103" s="1276"/>
      <c r="C103" s="1276"/>
      <c r="D103" s="1276"/>
      <c r="E103" s="1276"/>
      <c r="F103" s="1276"/>
      <c r="G103" s="1257"/>
      <c r="H103" s="1205"/>
    </row>
    <row r="104" spans="1:8" ht="24.9" customHeight="1">
      <c r="A104" s="1332"/>
      <c r="B104" s="1276"/>
      <c r="C104" s="1276"/>
      <c r="D104" s="1276"/>
      <c r="E104" s="1276"/>
      <c r="F104" s="1276"/>
      <c r="G104" s="1257"/>
      <c r="H104" s="1205"/>
    </row>
    <row r="105" spans="1:8" ht="24.9" customHeight="1">
      <c r="A105" s="1332"/>
      <c r="B105" s="1276"/>
      <c r="C105" s="1276"/>
      <c r="D105" s="1276"/>
      <c r="E105" s="1276"/>
      <c r="F105" s="1276"/>
      <c r="G105" s="1257"/>
      <c r="H105" s="1205"/>
    </row>
    <row r="106" spans="1:8" ht="24.9" customHeight="1">
      <c r="A106" s="1332"/>
      <c r="B106" s="1276"/>
      <c r="C106" s="1276"/>
      <c r="D106" s="1276"/>
      <c r="E106" s="1276"/>
      <c r="F106" s="1276"/>
      <c r="G106" s="1257"/>
      <c r="H106" s="1205"/>
    </row>
    <row r="107" spans="1:8" ht="24.9" customHeight="1">
      <c r="A107" s="1332"/>
      <c r="B107" s="1276"/>
      <c r="C107" s="1276"/>
      <c r="D107" s="1276"/>
      <c r="E107" s="1276"/>
      <c r="F107" s="1276"/>
      <c r="G107" s="1257"/>
      <c r="H107" s="1205"/>
    </row>
    <row r="108" spans="1:8" ht="24.9" customHeight="1">
      <c r="A108" s="1275"/>
      <c r="B108" s="1276"/>
      <c r="C108" s="1276"/>
      <c r="D108" s="1276"/>
      <c r="E108" s="1276"/>
      <c r="F108" s="1276"/>
      <c r="G108" s="1257"/>
      <c r="H108" s="1205"/>
    </row>
    <row r="109" spans="1:8" ht="24.9" customHeight="1">
      <c r="A109" s="1275"/>
      <c r="B109" s="1276"/>
      <c r="C109" s="1276"/>
      <c r="D109" s="1276"/>
      <c r="E109" s="1276"/>
      <c r="F109" s="1276"/>
      <c r="G109" s="1257"/>
      <c r="H109" s="1205"/>
    </row>
    <row r="110" spans="1:8" ht="24.9" customHeight="1">
      <c r="A110" s="1275"/>
      <c r="B110" s="1276"/>
      <c r="C110" s="1276"/>
      <c r="D110" s="1276"/>
      <c r="E110" s="1276"/>
      <c r="F110" s="1276"/>
      <c r="G110" s="1257"/>
      <c r="H110" s="1205"/>
    </row>
    <row r="111" spans="1:8" ht="24.9" customHeight="1">
      <c r="A111" s="1275"/>
      <c r="B111" s="1276"/>
      <c r="C111" s="1276"/>
      <c r="D111" s="1276"/>
      <c r="E111" s="1276"/>
      <c r="F111" s="1276"/>
      <c r="G111" s="1257"/>
      <c r="H111" s="1205"/>
    </row>
    <row r="112" spans="1:8" ht="24.9" customHeight="1">
      <c r="A112" s="1275"/>
      <c r="B112" s="1276"/>
      <c r="C112" s="1276"/>
      <c r="D112" s="1276"/>
      <c r="E112" s="1276"/>
      <c r="F112" s="1276"/>
      <c r="G112" s="1257"/>
      <c r="H112" s="1205"/>
    </row>
    <row r="113" spans="1:21" ht="24.9" customHeight="1">
      <c r="A113" s="1275"/>
      <c r="B113" s="1276"/>
      <c r="C113" s="1276"/>
      <c r="D113" s="1276"/>
      <c r="E113" s="1276"/>
      <c r="F113" s="1276"/>
      <c r="G113" s="1257"/>
      <c r="H113" s="1205"/>
    </row>
    <row r="114" spans="1:21" ht="24.9" customHeight="1">
      <c r="A114" s="1275"/>
      <c r="B114" s="1276"/>
      <c r="C114" s="1276"/>
      <c r="D114" s="1276"/>
      <c r="E114" s="1276"/>
      <c r="F114" s="1276"/>
      <c r="G114" s="1257"/>
      <c r="H114" s="1205"/>
    </row>
    <row r="115" spans="1:21" ht="24.9" customHeight="1">
      <c r="A115" s="1275"/>
      <c r="B115" s="1276"/>
      <c r="C115" s="1276"/>
      <c r="D115" s="1276"/>
      <c r="E115" s="1276"/>
      <c r="F115" s="1276"/>
      <c r="G115" s="1257"/>
      <c r="H115" s="1205"/>
    </row>
    <row r="116" spans="1:21" ht="24.9" customHeight="1">
      <c r="A116" s="1275"/>
      <c r="B116" s="1276"/>
      <c r="C116" s="1276"/>
      <c r="D116" s="1276"/>
      <c r="E116" s="1276"/>
      <c r="F116" s="1276"/>
      <c r="G116" s="1257"/>
      <c r="H116" s="1205"/>
    </row>
    <row r="117" spans="1:21" ht="24.9" customHeight="1">
      <c r="A117" s="1275"/>
      <c r="B117" s="1276"/>
      <c r="C117" s="1276"/>
      <c r="D117" s="1276"/>
      <c r="E117" s="1276"/>
      <c r="F117" s="1276"/>
      <c r="G117" s="1257"/>
      <c r="H117" s="1205"/>
    </row>
    <row r="118" spans="1:21" ht="24.9" customHeight="1">
      <c r="A118" s="1275"/>
      <c r="B118" s="1276"/>
      <c r="C118" s="1276"/>
      <c r="D118" s="1276"/>
      <c r="E118" s="1276"/>
      <c r="F118" s="1276"/>
      <c r="G118" s="1257"/>
      <c r="H118" s="1205"/>
    </row>
    <row r="119" spans="1:21" ht="24.9" customHeight="1">
      <c r="A119" s="1309"/>
      <c r="B119" s="1276"/>
      <c r="C119" s="1276"/>
      <c r="D119" s="1276"/>
      <c r="E119" s="1276"/>
      <c r="F119" s="1276"/>
      <c r="G119" s="1257"/>
      <c r="H119" s="1205"/>
    </row>
    <row r="120" spans="1:21" ht="24.9" customHeight="1">
      <c r="A120" s="1309"/>
      <c r="B120" s="1276"/>
      <c r="C120" s="1276"/>
      <c r="D120" s="1276"/>
      <c r="E120" s="1276"/>
      <c r="F120" s="1276"/>
      <c r="G120" s="1257"/>
      <c r="H120" s="1205"/>
    </row>
    <row r="121" spans="1:21" ht="24.9" customHeight="1">
      <c r="A121" s="1310"/>
      <c r="B121" s="1276"/>
      <c r="C121" s="1276"/>
      <c r="D121" s="1276"/>
      <c r="E121" s="1276"/>
      <c r="F121" s="1276"/>
      <c r="G121" s="1257"/>
      <c r="H121" s="1205"/>
    </row>
    <row r="122" spans="1:21" ht="24.9" customHeight="1" thickBot="1">
      <c r="A122" s="1311"/>
      <c r="B122" s="1277"/>
      <c r="C122" s="1277"/>
      <c r="D122" s="1277"/>
      <c r="E122" s="1277"/>
      <c r="F122" s="1277"/>
      <c r="G122" s="1258"/>
      <c r="H122" s="1205"/>
    </row>
    <row r="123" spans="1:21" ht="24.9" customHeight="1">
      <c r="A123" s="1278" t="s">
        <v>408</v>
      </c>
      <c r="B123" s="1417">
        <f>SUBTOTAL(9,B92:B122)</f>
        <v>-2388984738.5731521</v>
      </c>
      <c r="C123" s="1417">
        <f>SUM(C92:C122)</f>
        <v>-60630835.093500003</v>
      </c>
      <c r="D123" s="1417"/>
      <c r="E123" s="1417">
        <f>SUM(E92:E122)</f>
        <v>-2327605828.399652</v>
      </c>
      <c r="F123" s="1417">
        <f>SUM(F92:F122)</f>
        <v>-748075.08000000007</v>
      </c>
      <c r="G123" s="1279"/>
      <c r="H123" s="1205"/>
      <c r="Q123" s="1248"/>
      <c r="R123" s="1248"/>
      <c r="S123" s="1248"/>
      <c r="T123" s="1248"/>
      <c r="U123" s="1248"/>
    </row>
    <row r="124" spans="1:21" ht="24.9" customHeight="1">
      <c r="A124" s="1280" t="s">
        <v>841</v>
      </c>
      <c r="B124" s="1419">
        <f>SUM(C124:F124)</f>
        <v>-273231104.37</v>
      </c>
      <c r="C124" s="1419"/>
      <c r="D124" s="1419"/>
      <c r="E124" s="1419">
        <f>+E97</f>
        <v>-273231104.37</v>
      </c>
      <c r="F124" s="1419"/>
      <c r="G124" s="1260"/>
      <c r="H124" s="1205"/>
      <c r="Q124" s="1248"/>
      <c r="R124" s="1248"/>
      <c r="S124" s="1248"/>
      <c r="T124" s="1248"/>
      <c r="U124" s="1248"/>
    </row>
    <row r="125" spans="1:21" ht="24.9" customHeight="1">
      <c r="A125" s="1281" t="s">
        <v>0</v>
      </c>
      <c r="B125" s="1428"/>
      <c r="C125" s="1428"/>
      <c r="D125" s="1428"/>
      <c r="E125" s="1428"/>
      <c r="F125" s="1428"/>
      <c r="G125" s="1282"/>
      <c r="H125" s="1205"/>
      <c r="Q125" s="1248"/>
      <c r="R125" s="1248"/>
      <c r="S125" s="1248"/>
      <c r="T125" s="1248"/>
      <c r="U125" s="1248"/>
    </row>
    <row r="126" spans="1:21" s="1284" customFormat="1" ht="24.9" customHeight="1" thickBot="1">
      <c r="A126" s="1216" t="s">
        <v>330</v>
      </c>
      <c r="B126" s="1423">
        <f>+B123-B124-B125</f>
        <v>-2115753634.2031522</v>
      </c>
      <c r="C126" s="1423">
        <f>+C123-C124-C125</f>
        <v>-60630835.093500003</v>
      </c>
      <c r="D126" s="1423"/>
      <c r="E126" s="1423">
        <f>+E123-E124-E125</f>
        <v>-2054374724.0296521</v>
      </c>
      <c r="F126" s="1423">
        <f>+F123-F124-F125</f>
        <v>-748075.08000000007</v>
      </c>
      <c r="G126" s="1283"/>
    </row>
    <row r="127" spans="1:21" ht="24.9" customHeight="1" thickTop="1">
      <c r="A127" s="1217" t="s">
        <v>558</v>
      </c>
      <c r="B127" s="1217"/>
      <c r="C127" s="1217"/>
      <c r="D127" s="2402"/>
      <c r="E127" s="1262"/>
      <c r="F127" s="1263"/>
      <c r="G127" s="2403"/>
      <c r="H127" s="1205"/>
    </row>
    <row r="128" spans="1:21" ht="24.9" customHeight="1">
      <c r="A128" s="2576" t="s">
        <v>740</v>
      </c>
      <c r="B128" s="2577"/>
      <c r="C128" s="2577"/>
      <c r="D128" s="2577"/>
      <c r="E128" s="2577"/>
      <c r="F128" s="2577"/>
      <c r="G128" s="2577"/>
      <c r="H128" s="1205"/>
    </row>
    <row r="129" spans="1:8" ht="24.9" customHeight="1">
      <c r="A129" s="1265" t="s">
        <v>741</v>
      </c>
      <c r="B129" s="1217"/>
      <c r="C129" s="1263"/>
      <c r="D129" s="1217"/>
      <c r="E129" s="1217"/>
      <c r="F129" s="2402"/>
      <c r="G129" s="2402"/>
      <c r="H129" s="1205"/>
    </row>
    <row r="130" spans="1:8" ht="24.9" customHeight="1">
      <c r="A130" s="1265" t="s">
        <v>186</v>
      </c>
      <c r="B130" s="1217"/>
      <c r="C130" s="1263"/>
      <c r="D130" s="1217"/>
      <c r="E130" s="1217"/>
      <c r="F130" s="2402"/>
      <c r="G130" s="2402"/>
      <c r="H130" s="1205"/>
    </row>
    <row r="131" spans="1:8" ht="24.9" customHeight="1">
      <c r="A131" s="1265" t="s">
        <v>195</v>
      </c>
      <c r="B131" s="1217"/>
      <c r="C131" s="1263"/>
      <c r="D131" s="1217"/>
      <c r="E131" s="1217"/>
      <c r="F131" s="2402"/>
      <c r="G131" s="2402"/>
      <c r="H131" s="1205"/>
    </row>
    <row r="132" spans="1:8" ht="15.75" customHeight="1">
      <c r="A132" s="2577" t="s">
        <v>764</v>
      </c>
      <c r="B132" s="2577"/>
      <c r="C132" s="2577"/>
      <c r="D132" s="2577"/>
      <c r="E132" s="2577"/>
      <c r="F132" s="2577"/>
      <c r="G132" s="2577"/>
      <c r="H132" s="1307"/>
    </row>
    <row r="133" spans="1:8">
      <c r="A133" s="1266"/>
      <c r="B133" s="1205"/>
      <c r="C133" s="491"/>
      <c r="D133" s="491"/>
      <c r="E133" s="541"/>
      <c r="F133" s="541"/>
      <c r="G133" s="1268"/>
      <c r="H133" s="1205"/>
    </row>
    <row r="134" spans="1:8" ht="15.6">
      <c r="A134" s="2404"/>
      <c r="B134" s="1271"/>
      <c r="C134" s="1271"/>
      <c r="D134" s="1271"/>
      <c r="E134" s="1271"/>
      <c r="F134" s="1271"/>
      <c r="G134" s="1271"/>
      <c r="H134" s="1205"/>
    </row>
    <row r="135" spans="1:8" s="1202" customFormat="1" ht="17.399999999999999">
      <c r="A135" s="1312" t="str">
        <f>A1</f>
        <v>Public Service Electric and Gas Company</v>
      </c>
      <c r="B135" s="1313"/>
      <c r="C135" s="1313"/>
      <c r="D135" s="1313"/>
      <c r="E135" s="1313"/>
      <c r="F135" s="1313"/>
      <c r="G135" s="1314"/>
      <c r="H135" s="1204"/>
    </row>
    <row r="136" spans="1:8" s="1202" customFormat="1" ht="17.399999999999999">
      <c r="A136" s="2574" t="s">
        <v>495</v>
      </c>
      <c r="B136" s="2574"/>
      <c r="C136" s="2574"/>
      <c r="D136" s="2574"/>
      <c r="E136" s="2574"/>
      <c r="F136" s="2574"/>
      <c r="G136" s="2574"/>
      <c r="H136" s="1204"/>
    </row>
    <row r="137" spans="1:8" s="1202" customFormat="1" ht="17.399999999999999">
      <c r="A137" s="2574" t="str">
        <f>+A3</f>
        <v xml:space="preserve">Attachment 1 - Accumulated Deferred Income Taxes (ADIT) Worksheet - December 31,2013   </v>
      </c>
      <c r="B137" s="2574"/>
      <c r="C137" s="2574"/>
      <c r="D137" s="2574"/>
      <c r="E137" s="2574"/>
      <c r="F137" s="2574"/>
      <c r="G137" s="2574"/>
      <c r="H137" s="1204"/>
    </row>
    <row r="138" spans="1:8" s="1202" customFormat="1" ht="17.399999999999999">
      <c r="A138" s="1285"/>
      <c r="B138" s="1204"/>
      <c r="C138" s="1204"/>
      <c r="D138" s="1204"/>
      <c r="E138" s="1204"/>
      <c r="F138" s="1195"/>
      <c r="G138" s="1286"/>
      <c r="H138" s="1204"/>
    </row>
    <row r="139" spans="1:8" ht="15.6">
      <c r="A139" s="1266"/>
      <c r="B139" s="1205"/>
      <c r="C139" s="1205"/>
      <c r="D139" s="1205"/>
      <c r="E139" s="1205"/>
      <c r="F139" s="1274"/>
      <c r="G139" s="1268"/>
      <c r="H139" s="1205"/>
    </row>
    <row r="140" spans="1:8" ht="15.6">
      <c r="A140" s="1266"/>
      <c r="B140" s="1205"/>
      <c r="C140" s="1205"/>
      <c r="D140" s="1205"/>
      <c r="E140" s="1205"/>
      <c r="F140" s="1274"/>
      <c r="G140" s="1268"/>
      <c r="H140" s="1205"/>
    </row>
    <row r="141" spans="1:8" ht="15.6">
      <c r="A141" s="1253" t="s">
        <v>123</v>
      </c>
      <c r="B141" s="1254" t="s">
        <v>331</v>
      </c>
      <c r="C141" s="1254" t="s">
        <v>108</v>
      </c>
      <c r="D141" s="1254" t="s">
        <v>124</v>
      </c>
      <c r="E141" s="1254" t="s">
        <v>122</v>
      </c>
      <c r="F141" s="1254" t="s">
        <v>730</v>
      </c>
      <c r="G141" s="1254" t="s">
        <v>125</v>
      </c>
    </row>
    <row r="142" spans="1:8" ht="20.100000000000001" customHeight="1">
      <c r="A142" s="1274" t="s">
        <v>547</v>
      </c>
      <c r="B142" s="1242" t="s">
        <v>330</v>
      </c>
      <c r="C142" s="1287" t="s">
        <v>768</v>
      </c>
      <c r="D142" s="1287" t="s">
        <v>769</v>
      </c>
      <c r="E142" s="1287" t="s">
        <v>550</v>
      </c>
      <c r="F142" s="1287" t="s">
        <v>552</v>
      </c>
      <c r="H142" s="1205"/>
    </row>
    <row r="143" spans="1:8" ht="24.9" customHeight="1" thickBot="1">
      <c r="B143" s="1242"/>
      <c r="C143" s="1242"/>
      <c r="D143" s="1242"/>
      <c r="E143" s="1242"/>
      <c r="F143" s="1242"/>
      <c r="H143" s="1205"/>
    </row>
    <row r="144" spans="1:8" ht="24.9" customHeight="1">
      <c r="A144" s="468" t="s">
        <v>846</v>
      </c>
      <c r="B144" s="464">
        <f>SUM(C144:F144)</f>
        <v>-1</v>
      </c>
      <c r="C144" s="464">
        <v>-1</v>
      </c>
      <c r="D144" s="464"/>
      <c r="E144" s="464"/>
      <c r="F144" s="464"/>
      <c r="G144" s="1333" t="s">
        <v>847</v>
      </c>
      <c r="H144" s="1205"/>
    </row>
    <row r="145" spans="1:8" ht="24.9" customHeight="1">
      <c r="A145" s="1326" t="s">
        <v>289</v>
      </c>
      <c r="B145" s="458">
        <f>SUM(C145:F145)</f>
        <v>1022247426.1800001</v>
      </c>
      <c r="C145" s="458">
        <v>1022247426.1800001</v>
      </c>
      <c r="D145" s="458"/>
      <c r="E145" s="458"/>
      <c r="F145" s="458"/>
      <c r="G145" s="1334" t="s">
        <v>228</v>
      </c>
      <c r="H145" s="1205"/>
    </row>
    <row r="146" spans="1:8" ht="24.9" customHeight="1">
      <c r="A146" s="1326" t="s">
        <v>294</v>
      </c>
      <c r="B146" s="458">
        <f t="shared" ref="B146:B182" si="2">SUM(C146:F146)</f>
        <v>-936860447.73000002</v>
      </c>
      <c r="C146" s="458">
        <v>-936860447.73000002</v>
      </c>
      <c r="D146" s="458"/>
      <c r="E146" s="458"/>
      <c r="F146" s="458"/>
      <c r="G146" s="1334" t="s">
        <v>228</v>
      </c>
      <c r="H146" s="1205"/>
    </row>
    <row r="147" spans="1:8" ht="24.9" customHeight="1">
      <c r="A147" s="1326" t="s">
        <v>295</v>
      </c>
      <c r="B147" s="458">
        <f t="shared" si="2"/>
        <v>-365173288</v>
      </c>
      <c r="C147" s="458">
        <v>-365173288</v>
      </c>
      <c r="D147" s="458"/>
      <c r="E147" s="458"/>
      <c r="F147" s="458"/>
      <c r="G147" s="1334" t="s">
        <v>228</v>
      </c>
      <c r="H147" s="1205"/>
    </row>
    <row r="148" spans="1:8" ht="24.9" customHeight="1">
      <c r="A148" s="1326" t="s">
        <v>290</v>
      </c>
      <c r="B148" s="458">
        <f t="shared" si="2"/>
        <v>-649571</v>
      </c>
      <c r="C148" s="458">
        <v>-649571</v>
      </c>
      <c r="D148" s="458"/>
      <c r="E148" s="458"/>
      <c r="F148" s="458"/>
      <c r="G148" s="1334" t="s">
        <v>229</v>
      </c>
      <c r="H148" s="1205"/>
    </row>
    <row r="149" spans="1:8" ht="24.9" customHeight="1">
      <c r="A149" s="1326" t="s">
        <v>291</v>
      </c>
      <c r="B149" s="458">
        <f t="shared" si="2"/>
        <v>21556719.899999999</v>
      </c>
      <c r="C149" s="458">
        <v>21556719.899999999</v>
      </c>
      <c r="D149" s="458"/>
      <c r="E149" s="458"/>
      <c r="F149" s="458"/>
      <c r="G149" s="1334" t="s">
        <v>13</v>
      </c>
      <c r="H149" s="1205"/>
    </row>
    <row r="150" spans="1:8" ht="24.9" customHeight="1">
      <c r="A150" s="1326" t="s">
        <v>683</v>
      </c>
      <c r="B150" s="458">
        <f t="shared" si="2"/>
        <v>-3746320</v>
      </c>
      <c r="C150" s="458">
        <v>-3746320</v>
      </c>
      <c r="D150" s="458"/>
      <c r="E150" s="458"/>
      <c r="F150" s="458"/>
      <c r="G150" s="1334" t="s">
        <v>600</v>
      </c>
      <c r="H150" s="1205"/>
    </row>
    <row r="151" spans="1:8" ht="24.9" customHeight="1">
      <c r="A151" s="1326" t="s">
        <v>292</v>
      </c>
      <c r="B151" s="458">
        <f t="shared" si="2"/>
        <v>-322943973.80218393</v>
      </c>
      <c r="C151" s="458">
        <v>-16918034.371704731</v>
      </c>
      <c r="D151" s="458"/>
      <c r="E151" s="458">
        <v>-306025939.43047917</v>
      </c>
      <c r="F151" s="458"/>
      <c r="G151" s="1334" t="s">
        <v>230</v>
      </c>
      <c r="H151" s="1205"/>
    </row>
    <row r="152" spans="1:8" ht="24.9" customHeight="1">
      <c r="A152" s="1325" t="s">
        <v>830</v>
      </c>
      <c r="B152" s="458">
        <f t="shared" si="2"/>
        <v>124188676</v>
      </c>
      <c r="C152" s="458">
        <v>124188676</v>
      </c>
      <c r="D152" s="458"/>
      <c r="E152" s="458"/>
      <c r="F152" s="458"/>
      <c r="G152" s="1334" t="s">
        <v>208</v>
      </c>
      <c r="H152" s="1205"/>
    </row>
    <row r="153" spans="1:8" ht="24.9" customHeight="1">
      <c r="A153" s="1326" t="s">
        <v>293</v>
      </c>
      <c r="B153" s="458">
        <f t="shared" si="2"/>
        <v>5751926</v>
      </c>
      <c r="C153" s="458">
        <v>5751926</v>
      </c>
      <c r="D153" s="458"/>
      <c r="E153" s="458"/>
      <c r="F153" s="458"/>
      <c r="G153" s="1334" t="s">
        <v>14</v>
      </c>
      <c r="H153" s="1205"/>
    </row>
    <row r="154" spans="1:8" ht="24.9" customHeight="1">
      <c r="A154" s="1326" t="s">
        <v>848</v>
      </c>
      <c r="B154" s="458">
        <f t="shared" si="2"/>
        <v>-90746944.126131222</v>
      </c>
      <c r="C154" s="458">
        <v>-90746944.126131222</v>
      </c>
      <c r="D154" s="458"/>
      <c r="E154" s="458"/>
      <c r="F154" s="458"/>
      <c r="G154" s="1334" t="s">
        <v>231</v>
      </c>
      <c r="H154" s="1205"/>
    </row>
    <row r="155" spans="1:8" ht="24.9" customHeight="1">
      <c r="A155" s="1326" t="s">
        <v>849</v>
      </c>
      <c r="B155" s="458">
        <f t="shared" si="2"/>
        <v>-150713950.38834757</v>
      </c>
      <c r="C155" s="458">
        <v>-150713950.38834757</v>
      </c>
      <c r="D155" s="458"/>
      <c r="E155" s="458"/>
      <c r="F155" s="458"/>
      <c r="G155" s="1334" t="s">
        <v>232</v>
      </c>
      <c r="H155" s="1205"/>
    </row>
    <row r="156" spans="1:8" ht="24.9" customHeight="1">
      <c r="A156" s="1326" t="s">
        <v>297</v>
      </c>
      <c r="B156" s="458">
        <f t="shared" si="2"/>
        <v>913793</v>
      </c>
      <c r="C156" s="458">
        <v>913793</v>
      </c>
      <c r="D156" s="458"/>
      <c r="E156" s="458"/>
      <c r="F156" s="458"/>
      <c r="G156" s="1334" t="s">
        <v>233</v>
      </c>
      <c r="H156" s="1205"/>
    </row>
    <row r="157" spans="1:8" ht="24.9" customHeight="1">
      <c r="A157" s="1326" t="s">
        <v>298</v>
      </c>
      <c r="B157" s="458">
        <f t="shared" si="2"/>
        <v>-7904692</v>
      </c>
      <c r="C157" s="458">
        <v>-7904692</v>
      </c>
      <c r="D157" s="458"/>
      <c r="E157" s="458"/>
      <c r="F157" s="458"/>
      <c r="G157" s="1334" t="s">
        <v>404</v>
      </c>
      <c r="H157" s="1205"/>
    </row>
    <row r="158" spans="1:8" ht="24.9" customHeight="1">
      <c r="A158" s="1326" t="s">
        <v>754</v>
      </c>
      <c r="B158" s="458">
        <f t="shared" si="2"/>
        <v>-19383734.829999998</v>
      </c>
      <c r="C158" s="458"/>
      <c r="D158" s="458"/>
      <c r="E158" s="458"/>
      <c r="F158" s="458">
        <v>-19383734.829999998</v>
      </c>
      <c r="G158" s="1334" t="s">
        <v>234</v>
      </c>
      <c r="H158" s="1205"/>
    </row>
    <row r="159" spans="1:8" ht="24.9" customHeight="1">
      <c r="A159" s="1326" t="s">
        <v>299</v>
      </c>
      <c r="B159" s="458">
        <f t="shared" si="2"/>
        <v>-30823790.59</v>
      </c>
      <c r="C159" s="458"/>
      <c r="D159" s="458"/>
      <c r="E159" s="458">
        <v>-30823790.59</v>
      </c>
      <c r="F159" s="458"/>
      <c r="G159" s="1334" t="s">
        <v>405</v>
      </c>
      <c r="H159" s="1205"/>
    </row>
    <row r="160" spans="1:8" ht="24.9" customHeight="1">
      <c r="A160" s="1326" t="s">
        <v>300</v>
      </c>
      <c r="B160" s="458">
        <f t="shared" si="2"/>
        <v>-102633230.94350062</v>
      </c>
      <c r="C160" s="458">
        <v>-102633230.94350062</v>
      </c>
      <c r="D160" s="458"/>
      <c r="E160" s="458"/>
      <c r="F160" s="458"/>
      <c r="G160" s="1334" t="s">
        <v>755</v>
      </c>
      <c r="H160" s="1205"/>
    </row>
    <row r="161" spans="1:8" ht="24.9" customHeight="1">
      <c r="A161" s="1326" t="s">
        <v>301</v>
      </c>
      <c r="B161" s="458">
        <f t="shared" si="2"/>
        <v>-689765</v>
      </c>
      <c r="C161" s="458">
        <v>-689765</v>
      </c>
      <c r="D161" s="458"/>
      <c r="E161" s="458"/>
      <c r="F161" s="458"/>
      <c r="G161" s="1334" t="s">
        <v>404</v>
      </c>
      <c r="H161" s="1205"/>
    </row>
    <row r="162" spans="1:8" ht="24.9" customHeight="1">
      <c r="A162" s="1326" t="s">
        <v>302</v>
      </c>
      <c r="B162" s="458">
        <f t="shared" si="2"/>
        <v>-1092677</v>
      </c>
      <c r="C162" s="458">
        <v>-1092677</v>
      </c>
      <c r="D162" s="458"/>
      <c r="E162" s="458"/>
      <c r="F162" s="458"/>
      <c r="G162" s="1334" t="s">
        <v>404</v>
      </c>
      <c r="H162" s="1205"/>
    </row>
    <row r="163" spans="1:8" ht="24.9" customHeight="1">
      <c r="A163" s="1326" t="s">
        <v>303</v>
      </c>
      <c r="B163" s="458">
        <f t="shared" si="2"/>
        <v>-14330148.488499997</v>
      </c>
      <c r="C163" s="458"/>
      <c r="D163" s="458"/>
      <c r="E163" s="458"/>
      <c r="F163" s="458">
        <v>-14330148.488499997</v>
      </c>
      <c r="G163" s="1334" t="s">
        <v>762</v>
      </c>
      <c r="H163" s="1205"/>
    </row>
    <row r="164" spans="1:8" ht="24.9" customHeight="1">
      <c r="A164" s="1326" t="s">
        <v>304</v>
      </c>
      <c r="B164" s="458">
        <f t="shared" si="2"/>
        <v>-2974016.3</v>
      </c>
      <c r="C164" s="458">
        <v>-2974016.3</v>
      </c>
      <c r="D164" s="458"/>
      <c r="E164" s="458"/>
      <c r="F164" s="458"/>
      <c r="G164" s="1334" t="s">
        <v>235</v>
      </c>
      <c r="H164" s="1205"/>
    </row>
    <row r="165" spans="1:8" ht="24.9" customHeight="1">
      <c r="A165" s="1326" t="s">
        <v>763</v>
      </c>
      <c r="B165" s="458">
        <f t="shared" si="2"/>
        <v>-1781312</v>
      </c>
      <c r="C165" s="458"/>
      <c r="D165" s="458">
        <v>-1781312</v>
      </c>
      <c r="E165" s="458"/>
      <c r="F165" s="458"/>
      <c r="G165" s="1334" t="s">
        <v>681</v>
      </c>
      <c r="H165" s="1205"/>
    </row>
    <row r="166" spans="1:8" ht="24.9" customHeight="1">
      <c r="A166" s="1326" t="s">
        <v>305</v>
      </c>
      <c r="B166" s="458">
        <f t="shared" si="2"/>
        <v>-137133</v>
      </c>
      <c r="C166" s="458"/>
      <c r="D166" s="458"/>
      <c r="E166" s="458"/>
      <c r="F166" s="458">
        <v>-137133</v>
      </c>
      <c r="G166" s="1334" t="s">
        <v>236</v>
      </c>
      <c r="H166" s="1205"/>
    </row>
    <row r="167" spans="1:8" ht="24.9" customHeight="1">
      <c r="A167" s="1326" t="s">
        <v>306</v>
      </c>
      <c r="B167" s="458">
        <f t="shared" si="2"/>
        <v>12603383</v>
      </c>
      <c r="C167" s="458">
        <v>12603383</v>
      </c>
      <c r="D167" s="458"/>
      <c r="E167" s="458"/>
      <c r="F167" s="458"/>
      <c r="G167" s="1334" t="s">
        <v>237</v>
      </c>
      <c r="H167" s="1205"/>
    </row>
    <row r="168" spans="1:8" ht="24.9" customHeight="1">
      <c r="A168" s="1326" t="s">
        <v>307</v>
      </c>
      <c r="B168" s="458">
        <f t="shared" si="2"/>
        <v>2868153</v>
      </c>
      <c r="C168" s="458">
        <v>2868153</v>
      </c>
      <c r="D168" s="458"/>
      <c r="E168" s="458"/>
      <c r="F168" s="458"/>
      <c r="G168" s="1334" t="s">
        <v>238</v>
      </c>
      <c r="H168" s="1205"/>
    </row>
    <row r="169" spans="1:8" ht="24.9" customHeight="1">
      <c r="A169" s="1326" t="s">
        <v>850</v>
      </c>
      <c r="B169" s="458"/>
      <c r="C169" s="458"/>
      <c r="D169" s="458"/>
      <c r="E169" s="458"/>
      <c r="F169" s="458"/>
      <c r="G169" s="1334" t="s">
        <v>404</v>
      </c>
      <c r="H169" s="1205"/>
    </row>
    <row r="170" spans="1:8" ht="24.9" customHeight="1">
      <c r="A170" s="1326" t="s">
        <v>308</v>
      </c>
      <c r="B170" s="458">
        <f t="shared" si="2"/>
        <v>-2009586</v>
      </c>
      <c r="C170" s="458">
        <v>-2009586</v>
      </c>
      <c r="D170" s="458"/>
      <c r="E170" s="458"/>
      <c r="F170" s="458"/>
      <c r="G170" s="1334" t="s">
        <v>404</v>
      </c>
      <c r="H170" s="1205"/>
    </row>
    <row r="171" spans="1:8" ht="24.9" customHeight="1">
      <c r="A171" s="1326" t="s">
        <v>309</v>
      </c>
      <c r="B171" s="458">
        <f t="shared" si="2"/>
        <v>158378</v>
      </c>
      <c r="C171" s="458">
        <v>158378</v>
      </c>
      <c r="D171" s="458"/>
      <c r="E171" s="458"/>
      <c r="F171" s="458"/>
      <c r="G171" s="1334" t="s">
        <v>404</v>
      </c>
      <c r="H171" s="1205"/>
    </row>
    <row r="172" spans="1:8" ht="24.9" customHeight="1">
      <c r="A172" s="1326" t="s">
        <v>310</v>
      </c>
      <c r="B172" s="458">
        <f t="shared" si="2"/>
        <v>-70</v>
      </c>
      <c r="C172" s="458">
        <v>-70</v>
      </c>
      <c r="D172" s="458"/>
      <c r="E172" s="458"/>
      <c r="F172" s="458"/>
      <c r="G172" s="1334" t="s">
        <v>241</v>
      </c>
      <c r="H172" s="1205"/>
    </row>
    <row r="173" spans="1:8" ht="24.9" customHeight="1">
      <c r="A173" s="1326" t="s">
        <v>311</v>
      </c>
      <c r="B173" s="458">
        <f t="shared" si="2"/>
        <v>-3663</v>
      </c>
      <c r="C173" s="458"/>
      <c r="D173" s="458"/>
      <c r="E173" s="458"/>
      <c r="F173" s="458">
        <v>-3663</v>
      </c>
      <c r="G173" s="1334" t="s">
        <v>765</v>
      </c>
      <c r="H173" s="1205"/>
    </row>
    <row r="174" spans="1:8" ht="24.9" customHeight="1">
      <c r="A174" s="1326" t="s">
        <v>312</v>
      </c>
      <c r="B174" s="458">
        <f t="shared" si="2"/>
        <v>848006</v>
      </c>
      <c r="C174" s="458">
        <v>848006</v>
      </c>
      <c r="D174" s="458"/>
      <c r="E174" s="458"/>
      <c r="F174" s="458"/>
      <c r="G174" s="1334" t="s">
        <v>15</v>
      </c>
      <c r="H174" s="1205"/>
    </row>
    <row r="175" spans="1:8" ht="24.9" customHeight="1">
      <c r="A175" s="1326" t="s">
        <v>313</v>
      </c>
      <c r="B175" s="458">
        <f t="shared" si="2"/>
        <v>1570058</v>
      </c>
      <c r="C175" s="458">
        <v>1570058</v>
      </c>
      <c r="D175" s="458"/>
      <c r="E175" s="458"/>
      <c r="F175" s="458"/>
      <c r="G175" s="1334" t="s">
        <v>404</v>
      </c>
      <c r="H175" s="1205"/>
    </row>
    <row r="176" spans="1:8" ht="24.9" customHeight="1">
      <c r="A176" s="1326" t="s">
        <v>314</v>
      </c>
      <c r="B176" s="458">
        <f t="shared" si="2"/>
        <v>-852372</v>
      </c>
      <c r="C176" s="458">
        <v>-852372</v>
      </c>
      <c r="D176" s="458"/>
      <c r="E176" s="458"/>
      <c r="F176" s="458"/>
      <c r="G176" s="1334" t="s">
        <v>242</v>
      </c>
      <c r="H176" s="1205"/>
    </row>
    <row r="177" spans="1:21" ht="24.9" customHeight="1">
      <c r="A177" s="1326" t="s">
        <v>78</v>
      </c>
      <c r="B177" s="458">
        <f t="shared" si="2"/>
        <v>15</v>
      </c>
      <c r="C177" s="458">
        <v>15</v>
      </c>
      <c r="D177" s="458"/>
      <c r="E177" s="458"/>
      <c r="F177" s="458"/>
      <c r="G177" s="1334" t="s">
        <v>404</v>
      </c>
      <c r="H177" s="1205"/>
    </row>
    <row r="178" spans="1:21" ht="35.1" customHeight="1">
      <c r="A178" s="1326" t="s">
        <v>315</v>
      </c>
      <c r="B178" s="458">
        <f t="shared" si="2"/>
        <v>-201674</v>
      </c>
      <c r="C178" s="458">
        <v>-201674</v>
      </c>
      <c r="D178" s="458"/>
      <c r="E178" s="458"/>
      <c r="F178" s="458"/>
      <c r="G178" s="1334" t="s">
        <v>243</v>
      </c>
      <c r="H178" s="1205"/>
    </row>
    <row r="179" spans="1:21" ht="35.1" customHeight="1">
      <c r="A179" s="1326" t="s">
        <v>316</v>
      </c>
      <c r="B179" s="458">
        <f t="shared" si="2"/>
        <v>-42006097.430000007</v>
      </c>
      <c r="C179" s="458"/>
      <c r="D179" s="458"/>
      <c r="E179" s="458">
        <v>-42006097.430000007</v>
      </c>
      <c r="F179" s="458"/>
      <c r="G179" s="1334" t="s">
        <v>16</v>
      </c>
      <c r="H179" s="1205"/>
    </row>
    <row r="180" spans="1:21" ht="35.1" customHeight="1">
      <c r="A180" s="1326" t="s">
        <v>317</v>
      </c>
      <c r="B180" s="458">
        <f t="shared" si="2"/>
        <v>-4383787</v>
      </c>
      <c r="C180" s="458"/>
      <c r="D180" s="458"/>
      <c r="E180" s="458">
        <v>-4383787</v>
      </c>
      <c r="F180" s="458"/>
      <c r="G180" s="1334" t="s">
        <v>16</v>
      </c>
      <c r="H180" s="1205"/>
    </row>
    <row r="181" spans="1:21" ht="35.1" customHeight="1">
      <c r="A181" s="1326" t="s">
        <v>318</v>
      </c>
      <c r="B181" s="458">
        <f t="shared" si="2"/>
        <v>-220757993.06999999</v>
      </c>
      <c r="C181" s="458"/>
      <c r="D181" s="458"/>
      <c r="E181" s="458">
        <v>-220757993.06999999</v>
      </c>
      <c r="F181" s="458"/>
      <c r="G181" s="1334" t="s">
        <v>17</v>
      </c>
      <c r="H181" s="1205"/>
    </row>
    <row r="182" spans="1:21" ht="35.1" customHeight="1">
      <c r="A182" s="1326" t="s">
        <v>52</v>
      </c>
      <c r="B182" s="458">
        <f t="shared" si="2"/>
        <v>-375311.70000000007</v>
      </c>
      <c r="C182" s="458"/>
      <c r="D182" s="458"/>
      <c r="E182" s="458"/>
      <c r="F182" s="458">
        <v>-375311.70000000007</v>
      </c>
      <c r="G182" s="1336" t="s">
        <v>924</v>
      </c>
      <c r="H182" s="1205"/>
    </row>
    <row r="183" spans="1:21" ht="35.1" customHeight="1" thickBot="1">
      <c r="A183" s="1290"/>
      <c r="B183" s="458"/>
      <c r="C183" s="469"/>
      <c r="D183" s="469"/>
      <c r="E183" s="1277"/>
      <c r="F183" s="1277"/>
      <c r="G183" s="1258"/>
      <c r="H183" s="1205"/>
      <c r="P183" s="1248"/>
      <c r="Q183" s="1248"/>
      <c r="R183" s="1248"/>
      <c r="S183" s="1248"/>
      <c r="T183" s="1248"/>
      <c r="U183" s="1248"/>
    </row>
    <row r="184" spans="1:21" ht="24.9" customHeight="1">
      <c r="A184" s="1315" t="s">
        <v>407</v>
      </c>
      <c r="B184" s="1433">
        <f>SUM(B143:B183)</f>
        <v>-1130469016.3186634</v>
      </c>
      <c r="C184" s="1433">
        <f>SUM(C143:C183)</f>
        <v>-490460105.77968413</v>
      </c>
      <c r="D184" s="1433">
        <f>SUM(D143:D183)</f>
        <v>-1781312</v>
      </c>
      <c r="E184" s="1433">
        <f>SUM(E143:E183)</f>
        <v>-603997607.5204792</v>
      </c>
      <c r="F184" s="1433">
        <f>SUM(F143:F183)</f>
        <v>-34229991.0185</v>
      </c>
      <c r="G184" s="1316"/>
      <c r="H184" s="1205"/>
      <c r="P184" s="1248"/>
      <c r="Q184" s="1248"/>
      <c r="R184" s="1248"/>
      <c r="S184" s="1248"/>
      <c r="T184" s="1248"/>
      <c r="U184" s="1248"/>
    </row>
    <row r="185" spans="1:21" ht="24.9" customHeight="1">
      <c r="A185" s="1291" t="s">
        <v>841</v>
      </c>
      <c r="B185" s="461">
        <f>SUM(C185:F185)</f>
        <v>-267147877.5</v>
      </c>
      <c r="C185" s="461"/>
      <c r="D185" s="461"/>
      <c r="E185" s="461">
        <f>SUM(E179:E181)</f>
        <v>-267147877.5</v>
      </c>
      <c r="F185" s="461"/>
      <c r="G185" s="1292"/>
      <c r="H185" s="1205"/>
      <c r="P185" s="1248"/>
      <c r="Q185" s="1248"/>
      <c r="R185" s="1248"/>
      <c r="S185" s="1248"/>
      <c r="T185" s="1248"/>
      <c r="U185" s="1248"/>
    </row>
    <row r="186" spans="1:21" ht="24.9" customHeight="1">
      <c r="A186" s="1317" t="s">
        <v>0</v>
      </c>
      <c r="B186" s="978"/>
      <c r="C186" s="978"/>
      <c r="D186" s="978"/>
      <c r="E186" s="978"/>
      <c r="F186" s="978"/>
      <c r="G186" s="1318"/>
      <c r="H186" s="1205"/>
      <c r="P186" s="1248"/>
      <c r="Q186" s="1248"/>
      <c r="R186" s="1248"/>
      <c r="S186" s="1248"/>
      <c r="T186" s="1248"/>
      <c r="U186" s="1248"/>
    </row>
    <row r="187" spans="1:21" s="1284" customFormat="1" ht="24.9" customHeight="1" thickBot="1">
      <c r="A187" s="1216" t="s">
        <v>330</v>
      </c>
      <c r="B187" s="486">
        <f>+B184-B185</f>
        <v>-863321138.81866336</v>
      </c>
      <c r="C187" s="486">
        <f>+C184-C185-C186</f>
        <v>-490460105.77968413</v>
      </c>
      <c r="D187" s="486">
        <f>+D184-D185-D186</f>
        <v>-1781312</v>
      </c>
      <c r="E187" s="486">
        <f>+E184-E185-E186</f>
        <v>-336849730.0204792</v>
      </c>
      <c r="F187" s="486">
        <f>+F184-F185-F186</f>
        <v>-34229991.0185</v>
      </c>
      <c r="G187" s="1293"/>
    </row>
    <row r="188" spans="1:21" s="1205" customFormat="1" ht="15.6" thickTop="1">
      <c r="A188" s="1266"/>
      <c r="B188" s="1294"/>
      <c r="C188" s="1295"/>
      <c r="D188" s="1295"/>
      <c r="E188" s="1295"/>
      <c r="F188" s="1295"/>
      <c r="G188" s="1268"/>
    </row>
    <row r="189" spans="1:21" s="1205" customFormat="1" ht="35.1" customHeight="1">
      <c r="A189" s="1217" t="s">
        <v>557</v>
      </c>
      <c r="B189" s="491"/>
      <c r="C189" s="491"/>
      <c r="D189" s="541"/>
      <c r="E189" s="541"/>
      <c r="G189" s="1296"/>
    </row>
    <row r="190" spans="1:21" ht="35.1" customHeight="1">
      <c r="A190" s="2576" t="s">
        <v>740</v>
      </c>
      <c r="B190" s="2580"/>
      <c r="C190" s="2580"/>
      <c r="D190" s="2580"/>
      <c r="E190" s="2580"/>
      <c r="F190" s="2580"/>
      <c r="G190" s="2580"/>
      <c r="H190" s="1205"/>
    </row>
    <row r="191" spans="1:21" ht="35.1" customHeight="1">
      <c r="A191" s="1265" t="s">
        <v>741</v>
      </c>
      <c r="B191" s="491"/>
      <c r="C191" s="1205"/>
      <c r="D191" s="491"/>
      <c r="E191" s="491"/>
      <c r="F191" s="541"/>
      <c r="G191" s="541"/>
      <c r="H191" s="1205"/>
    </row>
    <row r="192" spans="1:21" ht="35.1" customHeight="1">
      <c r="A192" s="1265" t="s">
        <v>186</v>
      </c>
      <c r="B192" s="491"/>
      <c r="C192" s="1205"/>
      <c r="D192" s="491"/>
      <c r="E192" s="491"/>
      <c r="F192" s="541"/>
      <c r="G192" s="541"/>
      <c r="H192" s="1205"/>
    </row>
    <row r="193" spans="1:8" ht="35.1" customHeight="1">
      <c r="A193" s="1265" t="s">
        <v>195</v>
      </c>
      <c r="B193" s="491"/>
      <c r="C193" s="1205"/>
      <c r="D193" s="491"/>
      <c r="E193" s="491"/>
      <c r="F193" s="541"/>
      <c r="G193" s="541"/>
      <c r="H193" s="1205"/>
    </row>
    <row r="194" spans="1:8" ht="35.1" customHeight="1">
      <c r="A194" s="2577" t="s">
        <v>764</v>
      </c>
      <c r="B194" s="2580"/>
      <c r="C194" s="2580"/>
      <c r="D194" s="2580"/>
      <c r="E194" s="2580"/>
      <c r="F194" s="2580"/>
      <c r="G194" s="2580"/>
      <c r="H194" s="1205"/>
    </row>
    <row r="195" spans="1:8">
      <c r="A195" s="1266"/>
      <c r="B195" s="1205"/>
      <c r="C195" s="1205"/>
      <c r="D195" s="1205"/>
      <c r="E195" s="1205"/>
      <c r="F195" s="1205"/>
      <c r="G195" s="1205"/>
      <c r="H195" s="1205"/>
    </row>
    <row r="196" spans="1:8" ht="15.6">
      <c r="A196" s="1297"/>
      <c r="B196" s="1298"/>
      <c r="C196" s="1298"/>
      <c r="D196" s="1298"/>
      <c r="E196" s="1298"/>
      <c r="F196" s="1298"/>
      <c r="G196" s="1298"/>
      <c r="H196" s="1205"/>
    </row>
    <row r="197" spans="1:8" ht="15.6">
      <c r="A197" s="2575"/>
      <c r="B197" s="2575"/>
      <c r="C197" s="2575"/>
      <c r="D197" s="2575"/>
      <c r="E197" s="2575"/>
      <c r="F197" s="2575"/>
      <c r="G197" s="2575"/>
      <c r="H197" s="1271"/>
    </row>
    <row r="198" spans="1:8">
      <c r="A198" s="491"/>
      <c r="B198" s="491"/>
      <c r="C198" s="491"/>
      <c r="D198" s="491"/>
      <c r="E198" s="491"/>
      <c r="F198" s="491"/>
      <c r="G198" s="491"/>
      <c r="H198" s="1205"/>
    </row>
    <row r="199" spans="1:8">
      <c r="A199" s="491"/>
      <c r="B199" s="491"/>
      <c r="C199" s="491"/>
      <c r="D199" s="491"/>
      <c r="E199" s="491"/>
      <c r="F199" s="491"/>
      <c r="G199" s="491"/>
      <c r="H199" s="1205"/>
    </row>
    <row r="200" spans="1:8">
      <c r="A200" s="491"/>
      <c r="B200" s="491"/>
      <c r="C200" s="491"/>
      <c r="D200" s="491"/>
      <c r="E200" s="491"/>
      <c r="F200" s="491"/>
      <c r="G200" s="491"/>
      <c r="H200" s="1205"/>
    </row>
    <row r="201" spans="1:8" ht="15.6">
      <c r="A201" s="1217"/>
      <c r="B201" s="491"/>
      <c r="C201" s="1299"/>
      <c r="D201" s="1299"/>
      <c r="E201" s="1299"/>
      <c r="F201" s="1299"/>
      <c r="G201" s="1299"/>
      <c r="H201" s="1267"/>
    </row>
    <row r="202" spans="1:8" ht="15.6">
      <c r="A202" s="1217"/>
      <c r="B202" s="491"/>
      <c r="C202" s="1299"/>
      <c r="D202" s="1299"/>
      <c r="E202" s="1299"/>
      <c r="F202" s="1299"/>
      <c r="G202" s="1299"/>
      <c r="H202" s="1267"/>
    </row>
    <row r="203" spans="1:8">
      <c r="A203" s="1300"/>
      <c r="B203" s="491"/>
      <c r="C203" s="541"/>
      <c r="D203" s="541"/>
      <c r="E203" s="491"/>
      <c r="F203" s="491"/>
      <c r="G203" s="491"/>
      <c r="H203" s="1205"/>
    </row>
    <row r="204" spans="1:8">
      <c r="A204" s="1300"/>
      <c r="B204" s="491"/>
      <c r="C204" s="271"/>
      <c r="D204" s="271"/>
      <c r="E204" s="491"/>
      <c r="F204" s="491"/>
      <c r="G204" s="491"/>
      <c r="H204" s="1205"/>
    </row>
    <row r="205" spans="1:8">
      <c r="A205" s="1300"/>
      <c r="B205" s="491"/>
      <c r="C205" s="271"/>
      <c r="D205" s="271"/>
      <c r="E205" s="491"/>
      <c r="F205" s="491"/>
      <c r="G205" s="491"/>
      <c r="H205" s="1205"/>
    </row>
    <row r="206" spans="1:8">
      <c r="A206" s="1300"/>
      <c r="B206" s="491"/>
      <c r="C206" s="271"/>
      <c r="D206" s="271"/>
      <c r="E206" s="491"/>
      <c r="F206" s="491"/>
      <c r="G206" s="491"/>
      <c r="H206" s="1205"/>
    </row>
    <row r="207" spans="1:8">
      <c r="A207" s="1300"/>
      <c r="B207" s="491"/>
      <c r="C207" s="271"/>
      <c r="D207" s="271"/>
      <c r="E207" s="491"/>
      <c r="F207" s="491"/>
      <c r="G207" s="491"/>
      <c r="H207" s="1205"/>
    </row>
    <row r="208" spans="1:8">
      <c r="A208" s="1300"/>
      <c r="B208" s="491"/>
      <c r="C208" s="271"/>
      <c r="D208" s="271"/>
      <c r="E208" s="491"/>
      <c r="F208" s="491"/>
      <c r="G208" s="491"/>
      <c r="H208" s="1205"/>
    </row>
    <row r="209" spans="1:8">
      <c r="A209" s="1300"/>
      <c r="B209" s="491"/>
      <c r="C209" s="271"/>
      <c r="D209" s="271"/>
      <c r="E209" s="491"/>
      <c r="F209" s="491"/>
      <c r="G209" s="491"/>
      <c r="H209" s="1205"/>
    </row>
    <row r="210" spans="1:8">
      <c r="A210" s="1300"/>
      <c r="B210" s="491"/>
      <c r="C210" s="271"/>
      <c r="D210" s="271"/>
      <c r="E210" s="491"/>
      <c r="F210" s="491"/>
      <c r="G210" s="491"/>
      <c r="H210" s="1205"/>
    </row>
    <row r="211" spans="1:8">
      <c r="A211" s="1300"/>
      <c r="B211" s="491"/>
      <c r="C211" s="271"/>
      <c r="D211" s="271"/>
      <c r="E211" s="491"/>
      <c r="F211" s="491"/>
      <c r="G211" s="491"/>
      <c r="H211" s="1205"/>
    </row>
    <row r="212" spans="1:8">
      <c r="A212" s="1300"/>
      <c r="B212" s="491"/>
      <c r="C212" s="271"/>
      <c r="D212" s="271"/>
      <c r="E212" s="491"/>
      <c r="F212" s="491"/>
      <c r="G212" s="491"/>
      <c r="H212" s="1205"/>
    </row>
    <row r="213" spans="1:8">
      <c r="A213" s="1300"/>
      <c r="B213" s="491"/>
      <c r="C213" s="271"/>
      <c r="D213" s="271"/>
      <c r="E213" s="491"/>
      <c r="F213" s="491"/>
      <c r="G213" s="491"/>
      <c r="H213" s="1205"/>
    </row>
    <row r="214" spans="1:8">
      <c r="A214" s="491"/>
      <c r="B214" s="491"/>
      <c r="C214" s="271"/>
      <c r="D214" s="271"/>
      <c r="E214" s="491"/>
      <c r="F214" s="491"/>
      <c r="G214" s="491"/>
      <c r="H214" s="1205"/>
    </row>
    <row r="215" spans="1:8">
      <c r="A215" s="1300"/>
      <c r="B215" s="491"/>
      <c r="C215" s="271"/>
      <c r="D215" s="271"/>
      <c r="E215" s="491"/>
      <c r="F215" s="491"/>
      <c r="G215" s="491"/>
      <c r="H215" s="1205"/>
    </row>
    <row r="216" spans="1:8">
      <c r="A216" s="491"/>
      <c r="B216" s="491"/>
      <c r="C216" s="271"/>
      <c r="D216" s="271"/>
      <c r="E216" s="491"/>
      <c r="F216" s="491"/>
      <c r="G216" s="491"/>
      <c r="H216" s="1205"/>
    </row>
    <row r="217" spans="1:8">
      <c r="A217" s="1300"/>
      <c r="B217" s="491"/>
      <c r="C217" s="491"/>
      <c r="D217" s="491"/>
      <c r="E217" s="491"/>
      <c r="F217" s="491"/>
      <c r="G217" s="491"/>
      <c r="H217" s="1205"/>
    </row>
    <row r="218" spans="1:8">
      <c r="A218" s="1300"/>
      <c r="B218" s="491"/>
      <c r="C218" s="491"/>
      <c r="D218" s="491"/>
      <c r="E218" s="491"/>
      <c r="F218" s="491"/>
      <c r="G218" s="491"/>
    </row>
    <row r="219" spans="1:8">
      <c r="A219" s="1300"/>
      <c r="B219" s="491"/>
      <c r="C219" s="491"/>
      <c r="D219" s="491"/>
      <c r="E219" s="491"/>
      <c r="F219" s="491"/>
      <c r="G219" s="491"/>
    </row>
    <row r="220" spans="1:8">
      <c r="A220" s="1300"/>
      <c r="B220" s="491"/>
      <c r="C220" s="491"/>
      <c r="D220" s="491"/>
      <c r="E220" s="491"/>
      <c r="F220" s="491"/>
      <c r="G220" s="491"/>
    </row>
    <row r="221" spans="1:8">
      <c r="A221" s="1300"/>
      <c r="B221" s="491"/>
      <c r="C221" s="491"/>
      <c r="D221" s="491"/>
      <c r="E221" s="491"/>
      <c r="F221" s="491"/>
      <c r="G221" s="491"/>
    </row>
    <row r="222" spans="1:8">
      <c r="A222" s="1300"/>
      <c r="B222" s="491"/>
      <c r="C222" s="491"/>
      <c r="D222" s="491"/>
      <c r="E222" s="491"/>
      <c r="F222" s="491"/>
      <c r="G222" s="491"/>
    </row>
    <row r="223" spans="1:8">
      <c r="A223" s="1300"/>
      <c r="B223" s="491"/>
      <c r="C223" s="491"/>
      <c r="D223" s="491"/>
      <c r="E223" s="491"/>
      <c r="F223" s="491"/>
      <c r="G223" s="491"/>
    </row>
    <row r="224" spans="1:8">
      <c r="A224" s="1300"/>
      <c r="B224" s="491"/>
      <c r="C224" s="491"/>
      <c r="D224" s="491"/>
      <c r="E224" s="491"/>
      <c r="F224" s="491"/>
      <c r="G224" s="491"/>
    </row>
    <row r="225" spans="1:7">
      <c r="A225" s="1300"/>
      <c r="B225" s="491"/>
      <c r="C225" s="491"/>
      <c r="D225" s="491"/>
      <c r="E225" s="491"/>
      <c r="F225" s="491"/>
      <c r="G225" s="491"/>
    </row>
    <row r="226" spans="1:7">
      <c r="A226" s="1300"/>
      <c r="B226" s="491"/>
      <c r="C226" s="491"/>
      <c r="D226" s="491"/>
      <c r="E226" s="491"/>
      <c r="F226" s="491"/>
      <c r="G226" s="491"/>
    </row>
    <row r="227" spans="1:7">
      <c r="A227" s="1300"/>
      <c r="B227" s="491"/>
      <c r="C227" s="491"/>
      <c r="D227" s="491"/>
      <c r="E227" s="491"/>
      <c r="F227" s="491"/>
      <c r="G227" s="491"/>
    </row>
    <row r="228" spans="1:7">
      <c r="A228" s="1300"/>
      <c r="B228" s="491"/>
      <c r="C228" s="491"/>
      <c r="D228" s="491"/>
      <c r="E228" s="491"/>
      <c r="F228" s="491"/>
      <c r="G228" s="491"/>
    </row>
    <row r="229" spans="1:7">
      <c r="A229" s="1300"/>
      <c r="B229" s="491"/>
      <c r="C229" s="491"/>
      <c r="D229" s="491"/>
      <c r="E229" s="491"/>
      <c r="F229" s="491"/>
      <c r="G229" s="491"/>
    </row>
    <row r="230" spans="1:7">
      <c r="A230" s="1300"/>
      <c r="B230" s="491"/>
      <c r="C230" s="491"/>
      <c r="D230" s="491"/>
      <c r="E230" s="491"/>
      <c r="F230" s="491"/>
      <c r="G230" s="491"/>
    </row>
    <row r="231" spans="1:7">
      <c r="A231" s="1300"/>
      <c r="B231" s="491"/>
      <c r="C231" s="491"/>
      <c r="D231" s="491"/>
      <c r="E231" s="491"/>
      <c r="F231" s="491"/>
      <c r="G231" s="491"/>
    </row>
    <row r="232" spans="1:7">
      <c r="A232" s="1300"/>
      <c r="B232" s="491"/>
      <c r="C232" s="491"/>
      <c r="D232" s="491"/>
      <c r="E232" s="491"/>
      <c r="F232" s="491"/>
      <c r="G232" s="491"/>
    </row>
    <row r="233" spans="1:7">
      <c r="A233" s="1300"/>
      <c r="B233" s="491"/>
      <c r="C233" s="491"/>
      <c r="D233" s="491"/>
      <c r="E233" s="491"/>
      <c r="F233" s="491"/>
      <c r="G233" s="491"/>
    </row>
    <row r="234" spans="1:7">
      <c r="A234" s="1300"/>
      <c r="B234" s="491"/>
      <c r="C234" s="491"/>
      <c r="D234" s="491"/>
      <c r="E234" s="491"/>
      <c r="F234" s="491"/>
      <c r="G234" s="491"/>
    </row>
    <row r="235" spans="1:7">
      <c r="A235" s="1300"/>
      <c r="B235" s="491"/>
      <c r="C235" s="491"/>
      <c r="D235" s="491"/>
      <c r="E235" s="491"/>
      <c r="F235" s="491"/>
      <c r="G235" s="491"/>
    </row>
    <row r="236" spans="1:7">
      <c r="A236" s="1300"/>
      <c r="B236" s="491"/>
      <c r="C236" s="491"/>
      <c r="D236" s="491"/>
      <c r="E236" s="491"/>
      <c r="F236" s="491"/>
      <c r="G236" s="491"/>
    </row>
    <row r="237" spans="1:7">
      <c r="A237" s="1300"/>
      <c r="B237" s="491"/>
      <c r="C237" s="491"/>
      <c r="D237" s="491"/>
      <c r="E237" s="491"/>
      <c r="F237" s="491"/>
      <c r="G237" s="491"/>
    </row>
    <row r="238" spans="1:7">
      <c r="A238" s="1300"/>
      <c r="B238" s="491"/>
      <c r="C238" s="491"/>
      <c r="D238" s="491"/>
      <c r="E238" s="491"/>
      <c r="F238" s="491"/>
      <c r="G238" s="491"/>
    </row>
    <row r="239" spans="1:7">
      <c r="A239" s="1300"/>
      <c r="B239" s="491"/>
      <c r="C239" s="491"/>
      <c r="D239" s="491"/>
      <c r="E239" s="491"/>
      <c r="F239" s="491"/>
      <c r="G239" s="491"/>
    </row>
    <row r="240" spans="1:7">
      <c r="A240" s="1300"/>
      <c r="B240" s="491"/>
      <c r="C240" s="491"/>
      <c r="D240" s="491"/>
      <c r="E240" s="491"/>
      <c r="F240" s="491"/>
      <c r="G240" s="491"/>
    </row>
    <row r="241" spans="1:7">
      <c r="A241" s="1300"/>
      <c r="B241" s="491"/>
      <c r="C241" s="491"/>
      <c r="D241" s="491"/>
      <c r="E241" s="491"/>
      <c r="F241" s="491"/>
      <c r="G241" s="491"/>
    </row>
    <row r="242" spans="1:7">
      <c r="A242" s="1300"/>
      <c r="B242" s="491"/>
      <c r="C242" s="491"/>
      <c r="D242" s="491"/>
      <c r="E242" s="491"/>
      <c r="F242" s="491"/>
      <c r="G242" s="491"/>
    </row>
    <row r="243" spans="1:7">
      <c r="A243" s="1300"/>
      <c r="B243" s="491"/>
      <c r="C243" s="491"/>
      <c r="D243" s="491"/>
      <c r="E243" s="491"/>
      <c r="F243" s="491"/>
      <c r="G243" s="491"/>
    </row>
    <row r="244" spans="1:7">
      <c r="A244" s="1300"/>
      <c r="B244" s="491"/>
      <c r="C244" s="491"/>
      <c r="D244" s="491"/>
      <c r="E244" s="491"/>
      <c r="F244" s="491"/>
      <c r="G244" s="491"/>
    </row>
    <row r="245" spans="1:7">
      <c r="A245" s="1300"/>
      <c r="B245" s="491"/>
      <c r="C245" s="491"/>
      <c r="D245" s="491"/>
      <c r="E245" s="491"/>
      <c r="F245" s="491"/>
      <c r="G245" s="491"/>
    </row>
    <row r="246" spans="1:7">
      <c r="A246" s="1300"/>
      <c r="B246" s="491"/>
      <c r="C246" s="491"/>
      <c r="D246" s="491"/>
      <c r="E246" s="491"/>
      <c r="F246" s="491"/>
      <c r="G246" s="491"/>
    </row>
    <row r="247" spans="1:7">
      <c r="A247" s="1300"/>
      <c r="B247" s="491"/>
      <c r="C247" s="491"/>
      <c r="D247" s="491"/>
      <c r="E247" s="491"/>
      <c r="F247" s="491"/>
      <c r="G247" s="491"/>
    </row>
    <row r="248" spans="1:7">
      <c r="A248" s="1300"/>
      <c r="B248" s="491"/>
      <c r="C248" s="491"/>
      <c r="D248" s="491"/>
      <c r="E248" s="491"/>
      <c r="F248" s="491"/>
      <c r="G248" s="491"/>
    </row>
    <row r="249" spans="1:7">
      <c r="A249" s="1300"/>
      <c r="B249" s="491"/>
      <c r="C249" s="491"/>
      <c r="D249" s="491"/>
      <c r="E249" s="491"/>
      <c r="F249" s="491"/>
      <c r="G249" s="491"/>
    </row>
    <row r="250" spans="1:7">
      <c r="A250" s="1300"/>
      <c r="B250" s="491"/>
      <c r="C250" s="491"/>
      <c r="D250" s="491"/>
      <c r="E250" s="491"/>
      <c r="F250" s="491"/>
      <c r="G250" s="491"/>
    </row>
    <row r="251" spans="1:7">
      <c r="A251" s="1300"/>
      <c r="B251" s="491"/>
      <c r="C251" s="491"/>
      <c r="D251" s="491"/>
      <c r="E251" s="491"/>
      <c r="F251" s="491"/>
      <c r="G251" s="491"/>
    </row>
    <row r="252" spans="1:7">
      <c r="A252" s="1300"/>
      <c r="B252" s="491"/>
      <c r="C252" s="491"/>
      <c r="D252" s="491"/>
      <c r="E252" s="491"/>
      <c r="F252" s="491"/>
      <c r="G252" s="491"/>
    </row>
    <row r="253" spans="1:7">
      <c r="A253" s="1300"/>
      <c r="B253" s="491"/>
      <c r="C253" s="491"/>
      <c r="D253" s="491"/>
      <c r="E253" s="491"/>
      <c r="F253" s="491"/>
      <c r="G253" s="491"/>
    </row>
    <row r="254" spans="1:7">
      <c r="A254" s="1300"/>
      <c r="B254" s="491"/>
      <c r="C254" s="491"/>
      <c r="D254" s="491"/>
      <c r="E254" s="491"/>
      <c r="F254" s="491"/>
      <c r="G254" s="491"/>
    </row>
    <row r="255" spans="1:7">
      <c r="A255" s="1300"/>
      <c r="B255" s="491"/>
      <c r="C255" s="491"/>
      <c r="D255" s="491"/>
      <c r="E255" s="491"/>
      <c r="F255" s="491"/>
      <c r="G255" s="491"/>
    </row>
    <row r="256" spans="1:7">
      <c r="A256" s="1300"/>
      <c r="B256" s="491"/>
      <c r="C256" s="491"/>
      <c r="D256" s="491"/>
      <c r="E256" s="491"/>
      <c r="F256" s="491"/>
      <c r="G256" s="491"/>
    </row>
    <row r="257" spans="1:7">
      <c r="A257" s="1300"/>
      <c r="B257" s="491"/>
      <c r="C257" s="491"/>
      <c r="D257" s="491"/>
      <c r="E257" s="491"/>
      <c r="F257" s="491"/>
      <c r="G257" s="491"/>
    </row>
    <row r="258" spans="1:7">
      <c r="A258" s="1300"/>
      <c r="B258" s="491"/>
      <c r="C258" s="491"/>
      <c r="D258" s="491"/>
      <c r="E258" s="491"/>
      <c r="F258" s="491"/>
      <c r="G258" s="491"/>
    </row>
    <row r="259" spans="1:7">
      <c r="A259" s="1300"/>
      <c r="B259" s="491"/>
      <c r="C259" s="491"/>
      <c r="D259" s="491"/>
      <c r="E259" s="491"/>
      <c r="F259" s="491"/>
      <c r="G259" s="491"/>
    </row>
    <row r="260" spans="1:7">
      <c r="A260" s="1300"/>
      <c r="B260" s="491"/>
      <c r="C260" s="491"/>
      <c r="D260" s="491"/>
      <c r="E260" s="491"/>
      <c r="F260" s="491"/>
      <c r="G260" s="491"/>
    </row>
    <row r="261" spans="1:7">
      <c r="A261" s="1300"/>
      <c r="B261" s="491"/>
      <c r="C261" s="491"/>
      <c r="D261" s="491"/>
      <c r="E261" s="491"/>
      <c r="F261" s="491"/>
      <c r="G261" s="491"/>
    </row>
    <row r="262" spans="1:7">
      <c r="A262" s="1300"/>
      <c r="B262" s="491"/>
      <c r="C262" s="491"/>
      <c r="D262" s="491"/>
      <c r="E262" s="491"/>
      <c r="F262" s="491"/>
      <c r="G262" s="491"/>
    </row>
    <row r="263" spans="1:7">
      <c r="A263" s="1300"/>
      <c r="B263" s="491"/>
      <c r="C263" s="491"/>
      <c r="D263" s="491"/>
      <c r="E263" s="491"/>
      <c r="F263" s="491"/>
      <c r="G263" s="491"/>
    </row>
    <row r="264" spans="1:7">
      <c r="A264" s="1300"/>
      <c r="B264" s="491"/>
      <c r="C264" s="491"/>
      <c r="D264" s="491"/>
      <c r="E264" s="491"/>
      <c r="F264" s="491"/>
      <c r="G264" s="491"/>
    </row>
    <row r="265" spans="1:7">
      <c r="A265" s="1300"/>
      <c r="B265" s="491"/>
      <c r="C265" s="491"/>
      <c r="D265" s="491"/>
      <c r="E265" s="491"/>
      <c r="F265" s="491"/>
      <c r="G265" s="491"/>
    </row>
    <row r="266" spans="1:7">
      <c r="A266" s="1300"/>
      <c r="B266" s="491"/>
      <c r="C266" s="491"/>
      <c r="D266" s="491"/>
      <c r="E266" s="491"/>
      <c r="F266" s="491"/>
      <c r="G266" s="491"/>
    </row>
    <row r="267" spans="1:7">
      <c r="A267" s="1300"/>
      <c r="B267" s="491"/>
      <c r="C267" s="491"/>
      <c r="D267" s="491"/>
      <c r="E267" s="491"/>
      <c r="F267" s="491"/>
      <c r="G267" s="491"/>
    </row>
    <row r="268" spans="1:7">
      <c r="A268" s="1300"/>
      <c r="B268" s="491"/>
      <c r="C268" s="491"/>
      <c r="D268" s="491"/>
      <c r="E268" s="491"/>
      <c r="F268" s="491"/>
      <c r="G268" s="491"/>
    </row>
    <row r="269" spans="1:7">
      <c r="A269" s="1300"/>
      <c r="B269" s="491"/>
      <c r="C269" s="491"/>
      <c r="D269" s="491"/>
      <c r="E269" s="491"/>
      <c r="F269" s="491"/>
      <c r="G269" s="491"/>
    </row>
    <row r="270" spans="1:7">
      <c r="A270" s="1300"/>
      <c r="B270" s="491"/>
      <c r="C270" s="491"/>
      <c r="D270" s="491"/>
      <c r="E270" s="491"/>
      <c r="F270" s="491"/>
      <c r="G270" s="491"/>
    </row>
    <row r="271" spans="1:7">
      <c r="A271" s="1300"/>
      <c r="B271" s="491"/>
      <c r="C271" s="491"/>
      <c r="D271" s="491"/>
      <c r="E271" s="491"/>
      <c r="F271" s="491"/>
      <c r="G271" s="491"/>
    </row>
    <row r="272" spans="1:7">
      <c r="A272" s="1300"/>
      <c r="B272" s="491"/>
      <c r="C272" s="491"/>
      <c r="D272" s="491"/>
      <c r="E272" s="491"/>
      <c r="F272" s="491"/>
      <c r="G272" s="491"/>
    </row>
    <row r="273" spans="1:7">
      <c r="A273" s="1300"/>
      <c r="B273" s="491"/>
      <c r="C273" s="491"/>
      <c r="D273" s="491"/>
      <c r="E273" s="491"/>
      <c r="F273" s="491"/>
      <c r="G273" s="491"/>
    </row>
    <row r="274" spans="1:7">
      <c r="A274" s="1300"/>
      <c r="B274" s="491"/>
      <c r="C274" s="491"/>
      <c r="D274" s="491"/>
      <c r="E274" s="491"/>
      <c r="F274" s="491"/>
      <c r="G274" s="491"/>
    </row>
    <row r="275" spans="1:7">
      <c r="A275" s="1300"/>
      <c r="B275" s="491"/>
      <c r="C275" s="491"/>
      <c r="D275" s="491"/>
      <c r="E275" s="491"/>
      <c r="F275" s="491"/>
      <c r="G275" s="491"/>
    </row>
    <row r="276" spans="1:7">
      <c r="A276" s="1300"/>
      <c r="B276" s="491"/>
      <c r="C276" s="491"/>
      <c r="D276" s="491"/>
      <c r="E276" s="491"/>
      <c r="F276" s="491"/>
      <c r="G276" s="491"/>
    </row>
    <row r="277" spans="1:7">
      <c r="A277" s="1300"/>
      <c r="B277" s="491"/>
      <c r="C277" s="491"/>
      <c r="D277" s="491"/>
      <c r="E277" s="491"/>
      <c r="F277" s="491"/>
      <c r="G277" s="491"/>
    </row>
    <row r="278" spans="1:7">
      <c r="A278" s="1300"/>
      <c r="B278" s="491"/>
      <c r="C278" s="491"/>
      <c r="D278" s="491"/>
      <c r="E278" s="491"/>
      <c r="F278" s="491"/>
      <c r="G278" s="491"/>
    </row>
    <row r="279" spans="1:7">
      <c r="A279" s="1300"/>
      <c r="B279" s="491"/>
      <c r="C279" s="491"/>
      <c r="D279" s="491"/>
      <c r="E279" s="491"/>
      <c r="F279" s="491"/>
      <c r="G279" s="491"/>
    </row>
    <row r="280" spans="1:7">
      <c r="A280" s="1300"/>
      <c r="B280" s="491"/>
      <c r="C280" s="491"/>
      <c r="D280" s="491"/>
      <c r="E280" s="491"/>
      <c r="F280" s="491"/>
      <c r="G280" s="491"/>
    </row>
    <row r="281" spans="1:7">
      <c r="A281" s="1300"/>
      <c r="B281" s="491"/>
      <c r="C281" s="491"/>
      <c r="D281" s="491"/>
      <c r="E281" s="491"/>
      <c r="F281" s="491"/>
      <c r="G281" s="491"/>
    </row>
    <row r="282" spans="1:7">
      <c r="A282" s="1300"/>
      <c r="B282" s="491"/>
      <c r="C282" s="491"/>
      <c r="D282" s="491"/>
      <c r="E282" s="491"/>
      <c r="F282" s="491"/>
      <c r="G282" s="491"/>
    </row>
    <row r="283" spans="1:7">
      <c r="A283" s="1300"/>
      <c r="B283" s="491"/>
      <c r="C283" s="491"/>
      <c r="D283" s="491"/>
      <c r="E283" s="491"/>
      <c r="F283" s="491"/>
      <c r="G283" s="491"/>
    </row>
    <row r="284" spans="1:7">
      <c r="A284" s="1300"/>
      <c r="B284" s="491"/>
      <c r="C284" s="491"/>
      <c r="D284" s="491"/>
      <c r="E284" s="491"/>
      <c r="F284" s="491"/>
      <c r="G284" s="491"/>
    </row>
    <row r="285" spans="1:7">
      <c r="A285" s="1300"/>
      <c r="B285" s="491"/>
      <c r="C285" s="491"/>
      <c r="D285" s="491"/>
      <c r="E285" s="491"/>
      <c r="F285" s="491"/>
      <c r="G285" s="491"/>
    </row>
    <row r="286" spans="1:7">
      <c r="A286" s="1300"/>
      <c r="B286" s="491"/>
      <c r="C286" s="491"/>
      <c r="D286" s="491"/>
      <c r="E286" s="491"/>
      <c r="F286" s="491"/>
      <c r="G286" s="491"/>
    </row>
    <row r="287" spans="1:7">
      <c r="A287" s="1300"/>
      <c r="B287" s="491"/>
      <c r="C287" s="491"/>
      <c r="D287" s="491"/>
      <c r="E287" s="491"/>
      <c r="F287" s="491"/>
      <c r="G287" s="491"/>
    </row>
    <row r="288" spans="1:7">
      <c r="A288" s="1300"/>
      <c r="B288" s="491"/>
      <c r="C288" s="491"/>
      <c r="D288" s="491"/>
      <c r="E288" s="491"/>
      <c r="F288" s="491"/>
      <c r="G288" s="491"/>
    </row>
    <row r="289" spans="1:7">
      <c r="A289" s="1300"/>
      <c r="B289" s="491"/>
      <c r="C289" s="491"/>
      <c r="D289" s="491"/>
      <c r="E289" s="491"/>
      <c r="F289" s="491"/>
      <c r="G289" s="491"/>
    </row>
    <row r="290" spans="1:7">
      <c r="A290" s="1300"/>
      <c r="B290" s="491"/>
      <c r="C290" s="491"/>
      <c r="D290" s="491"/>
      <c r="E290" s="491"/>
      <c r="F290" s="491"/>
      <c r="G290" s="491"/>
    </row>
    <row r="291" spans="1:7">
      <c r="A291" s="1300"/>
      <c r="B291" s="491"/>
      <c r="C291" s="491"/>
      <c r="D291" s="491"/>
      <c r="E291" s="491"/>
      <c r="F291" s="491"/>
      <c r="G291" s="491"/>
    </row>
    <row r="292" spans="1:7">
      <c r="A292" s="1300"/>
      <c r="B292" s="491"/>
      <c r="C292" s="491"/>
      <c r="D292" s="491"/>
      <c r="E292" s="491"/>
      <c r="F292" s="491"/>
      <c r="G292" s="491"/>
    </row>
    <row r="293" spans="1:7">
      <c r="A293" s="1300"/>
      <c r="B293" s="491"/>
      <c r="C293" s="491"/>
      <c r="D293" s="491"/>
      <c r="E293" s="491"/>
      <c r="F293" s="491"/>
      <c r="G293" s="491"/>
    </row>
    <row r="294" spans="1:7">
      <c r="A294" s="1300"/>
      <c r="B294" s="491"/>
      <c r="C294" s="491"/>
      <c r="D294" s="491"/>
      <c r="E294" s="491"/>
      <c r="F294" s="491"/>
      <c r="G294" s="491"/>
    </row>
    <row r="295" spans="1:7">
      <c r="A295" s="1300"/>
      <c r="B295" s="491"/>
      <c r="C295" s="491"/>
      <c r="D295" s="491"/>
      <c r="E295" s="491"/>
      <c r="F295" s="491"/>
      <c r="G295" s="491"/>
    </row>
    <row r="296" spans="1:7">
      <c r="A296" s="1300"/>
      <c r="B296" s="491"/>
      <c r="C296" s="491"/>
      <c r="D296" s="491"/>
      <c r="E296" s="491"/>
      <c r="F296" s="491"/>
      <c r="G296" s="491"/>
    </row>
    <row r="297" spans="1:7">
      <c r="A297" s="1300"/>
      <c r="B297" s="491"/>
      <c r="C297" s="491"/>
      <c r="D297" s="491"/>
      <c r="E297" s="491"/>
      <c r="F297" s="491"/>
      <c r="G297" s="491"/>
    </row>
    <row r="298" spans="1:7">
      <c r="A298" s="1300"/>
      <c r="B298" s="491"/>
      <c r="C298" s="491"/>
      <c r="D298" s="491"/>
      <c r="E298" s="491"/>
      <c r="F298" s="491"/>
      <c r="G298" s="491"/>
    </row>
    <row r="299" spans="1:7">
      <c r="A299" s="1300"/>
      <c r="B299" s="491"/>
      <c r="C299" s="491"/>
      <c r="D299" s="491"/>
      <c r="E299" s="491"/>
      <c r="F299" s="491"/>
      <c r="G299" s="491"/>
    </row>
    <row r="300" spans="1:7">
      <c r="A300" s="1300"/>
      <c r="B300" s="491"/>
      <c r="C300" s="491"/>
      <c r="D300" s="491"/>
      <c r="E300" s="491"/>
      <c r="F300" s="491"/>
      <c r="G300" s="491"/>
    </row>
    <row r="301" spans="1:7">
      <c r="A301" s="1300"/>
      <c r="B301" s="491"/>
      <c r="C301" s="491"/>
      <c r="D301" s="491"/>
      <c r="E301" s="491"/>
      <c r="F301" s="491"/>
      <c r="G301" s="491"/>
    </row>
    <row r="302" spans="1:7">
      <c r="A302" s="1300"/>
      <c r="B302" s="491"/>
      <c r="C302" s="491"/>
      <c r="D302" s="491"/>
      <c r="E302" s="491"/>
      <c r="F302" s="491"/>
      <c r="G302" s="491"/>
    </row>
    <row r="303" spans="1:7">
      <c r="A303" s="1300"/>
      <c r="B303" s="491"/>
      <c r="C303" s="491"/>
      <c r="D303" s="491"/>
      <c r="E303" s="491"/>
      <c r="F303" s="491"/>
      <c r="G303" s="491"/>
    </row>
    <row r="304" spans="1:7">
      <c r="A304" s="1300"/>
      <c r="B304" s="491"/>
      <c r="C304" s="491"/>
      <c r="D304" s="491"/>
      <c r="E304" s="491"/>
      <c r="F304" s="491"/>
      <c r="G304" s="491"/>
    </row>
    <row r="305" spans="1:7">
      <c r="A305" s="1300"/>
      <c r="B305" s="491"/>
      <c r="C305" s="491"/>
      <c r="D305" s="491"/>
      <c r="E305" s="491"/>
      <c r="F305" s="491"/>
      <c r="G305" s="491"/>
    </row>
    <row r="306" spans="1:7">
      <c r="A306" s="1300"/>
      <c r="B306" s="491"/>
      <c r="C306" s="491"/>
      <c r="D306" s="491"/>
      <c r="E306" s="491"/>
      <c r="F306" s="491"/>
      <c r="G306" s="491"/>
    </row>
    <row r="307" spans="1:7">
      <c r="A307" s="1300"/>
      <c r="B307" s="491"/>
      <c r="C307" s="491"/>
      <c r="D307" s="491"/>
      <c r="E307" s="491"/>
      <c r="F307" s="491"/>
      <c r="G307" s="491"/>
    </row>
    <row r="308" spans="1:7">
      <c r="A308" s="1300"/>
      <c r="B308" s="491"/>
      <c r="C308" s="491"/>
      <c r="D308" s="491"/>
      <c r="E308" s="491"/>
      <c r="F308" s="491"/>
      <c r="G308" s="491"/>
    </row>
    <row r="309" spans="1:7">
      <c r="A309" s="1300"/>
      <c r="B309" s="491"/>
      <c r="C309" s="491"/>
      <c r="D309" s="491"/>
      <c r="E309" s="491"/>
      <c r="F309" s="491"/>
      <c r="G309" s="491"/>
    </row>
    <row r="310" spans="1:7">
      <c r="A310" s="1300"/>
      <c r="B310" s="491"/>
      <c r="C310" s="491"/>
      <c r="D310" s="491"/>
      <c r="E310" s="491"/>
      <c r="F310" s="491"/>
      <c r="G310" s="491"/>
    </row>
    <row r="311" spans="1:7">
      <c r="A311" s="1300"/>
      <c r="B311" s="491"/>
      <c r="C311" s="491"/>
      <c r="D311" s="491"/>
      <c r="E311" s="491"/>
      <c r="F311" s="491"/>
      <c r="G311" s="491"/>
    </row>
    <row r="312" spans="1:7">
      <c r="A312" s="1300"/>
      <c r="B312" s="491"/>
      <c r="C312" s="491"/>
      <c r="D312" s="491"/>
      <c r="E312" s="491"/>
      <c r="F312" s="491"/>
      <c r="G312" s="491"/>
    </row>
    <row r="313" spans="1:7">
      <c r="A313" s="1300"/>
      <c r="B313" s="491"/>
      <c r="C313" s="491"/>
      <c r="D313" s="491"/>
      <c r="E313" s="491"/>
      <c r="F313" s="491"/>
      <c r="G313" s="491"/>
    </row>
    <row r="314" spans="1:7">
      <c r="A314" s="1300"/>
      <c r="B314" s="491"/>
      <c r="C314" s="491"/>
      <c r="D314" s="491"/>
      <c r="E314" s="491"/>
      <c r="F314" s="491"/>
      <c r="G314" s="491"/>
    </row>
    <row r="315" spans="1:7">
      <c r="A315" s="1300"/>
      <c r="B315" s="491"/>
      <c r="C315" s="491"/>
      <c r="D315" s="491"/>
      <c r="E315" s="491"/>
      <c r="F315" s="491"/>
      <c r="G315" s="491"/>
    </row>
    <row r="316" spans="1:7">
      <c r="A316" s="1300"/>
      <c r="B316" s="491"/>
      <c r="C316" s="491"/>
      <c r="D316" s="491"/>
      <c r="E316" s="491"/>
      <c r="F316" s="491"/>
      <c r="G316" s="491"/>
    </row>
    <row r="317" spans="1:7">
      <c r="A317" s="1300"/>
      <c r="B317" s="491"/>
      <c r="C317" s="491"/>
      <c r="D317" s="491"/>
      <c r="E317" s="491"/>
      <c r="F317" s="491"/>
      <c r="G317" s="491"/>
    </row>
    <row r="318" spans="1:7">
      <c r="A318" s="1300"/>
      <c r="B318" s="491"/>
      <c r="C318" s="491"/>
      <c r="D318" s="491"/>
      <c r="E318" s="491"/>
      <c r="F318" s="491"/>
      <c r="G318" s="491"/>
    </row>
    <row r="319" spans="1:7">
      <c r="A319" s="1300"/>
      <c r="B319" s="491"/>
      <c r="C319" s="491"/>
      <c r="D319" s="491"/>
      <c r="E319" s="491"/>
      <c r="F319" s="491"/>
      <c r="G319" s="491"/>
    </row>
    <row r="320" spans="1:7">
      <c r="A320" s="1300"/>
      <c r="B320" s="491"/>
      <c r="C320" s="491"/>
      <c r="D320" s="491"/>
      <c r="E320" s="491"/>
      <c r="F320" s="491"/>
      <c r="G320" s="491"/>
    </row>
    <row r="321" spans="1:7">
      <c r="A321" s="1300"/>
      <c r="B321" s="491"/>
      <c r="C321" s="491"/>
      <c r="D321" s="491"/>
      <c r="E321" s="491"/>
      <c r="F321" s="491"/>
      <c r="G321" s="491"/>
    </row>
    <row r="322" spans="1:7">
      <c r="A322" s="1300"/>
      <c r="B322" s="491"/>
      <c r="C322" s="491"/>
      <c r="D322" s="491"/>
      <c r="E322" s="491"/>
      <c r="F322" s="491"/>
      <c r="G322" s="491"/>
    </row>
    <row r="323" spans="1:7">
      <c r="A323" s="1300"/>
      <c r="B323" s="491"/>
      <c r="C323" s="491"/>
      <c r="D323" s="491"/>
      <c r="E323" s="491"/>
      <c r="F323" s="491"/>
      <c r="G323" s="491"/>
    </row>
    <row r="324" spans="1:7">
      <c r="A324" s="1300"/>
      <c r="B324" s="491"/>
      <c r="C324" s="491"/>
      <c r="D324" s="491"/>
      <c r="E324" s="491"/>
      <c r="F324" s="491"/>
      <c r="G324" s="491"/>
    </row>
    <row r="325" spans="1:7">
      <c r="A325" s="1300"/>
      <c r="B325" s="491"/>
      <c r="C325" s="491"/>
      <c r="D325" s="491"/>
      <c r="E325" s="491"/>
      <c r="F325" s="491"/>
      <c r="G325" s="491"/>
    </row>
    <row r="326" spans="1:7">
      <c r="A326" s="1300"/>
      <c r="B326" s="491"/>
      <c r="C326" s="491"/>
      <c r="D326" s="491"/>
      <c r="E326" s="491"/>
      <c r="F326" s="491"/>
      <c r="G326" s="491"/>
    </row>
    <row r="327" spans="1:7">
      <c r="A327" s="1300"/>
      <c r="B327" s="491"/>
      <c r="C327" s="491"/>
      <c r="D327" s="491"/>
      <c r="E327" s="491"/>
      <c r="F327" s="491"/>
      <c r="G327" s="491"/>
    </row>
    <row r="328" spans="1:7">
      <c r="A328" s="1300"/>
      <c r="B328" s="491"/>
      <c r="C328" s="491"/>
      <c r="D328" s="491"/>
      <c r="E328" s="491"/>
      <c r="F328" s="491"/>
      <c r="G328" s="491"/>
    </row>
    <row r="329" spans="1:7">
      <c r="A329" s="1300"/>
      <c r="B329" s="491"/>
      <c r="C329" s="491"/>
      <c r="D329" s="491"/>
      <c r="E329" s="491"/>
      <c r="F329" s="491"/>
      <c r="G329" s="491"/>
    </row>
    <row r="330" spans="1:7">
      <c r="A330" s="1300"/>
      <c r="B330" s="491"/>
      <c r="C330" s="491"/>
      <c r="D330" s="491"/>
      <c r="E330" s="491"/>
      <c r="F330" s="491"/>
      <c r="G330" s="491"/>
    </row>
    <row r="331" spans="1:7">
      <c r="A331" s="1300"/>
      <c r="B331" s="491"/>
      <c r="C331" s="491"/>
      <c r="D331" s="491"/>
      <c r="E331" s="491"/>
      <c r="F331" s="491"/>
      <c r="G331" s="491"/>
    </row>
    <row r="332" spans="1:7">
      <c r="A332" s="1300"/>
      <c r="B332" s="491"/>
      <c r="C332" s="491"/>
      <c r="D332" s="491"/>
      <c r="E332" s="491"/>
      <c r="F332" s="491"/>
      <c r="G332" s="491"/>
    </row>
    <row r="333" spans="1:7">
      <c r="A333" s="1300"/>
      <c r="B333" s="491"/>
      <c r="C333" s="491"/>
      <c r="D333" s="491"/>
      <c r="E333" s="491"/>
      <c r="F333" s="491"/>
      <c r="G333" s="491"/>
    </row>
    <row r="334" spans="1:7">
      <c r="A334" s="1300"/>
      <c r="B334" s="491"/>
      <c r="C334" s="491"/>
      <c r="D334" s="491"/>
      <c r="E334" s="491"/>
      <c r="F334" s="491"/>
      <c r="G334" s="491"/>
    </row>
    <row r="335" spans="1:7">
      <c r="A335" s="1300"/>
      <c r="B335" s="491"/>
      <c r="C335" s="491"/>
      <c r="D335" s="491"/>
      <c r="E335" s="491"/>
      <c r="F335" s="491"/>
      <c r="G335" s="491"/>
    </row>
    <row r="336" spans="1:7">
      <c r="A336" s="1300"/>
      <c r="B336" s="491"/>
      <c r="C336" s="491"/>
      <c r="D336" s="491"/>
      <c r="E336" s="491"/>
      <c r="F336" s="491"/>
      <c r="G336" s="491"/>
    </row>
    <row r="337" spans="1:7">
      <c r="A337" s="1300"/>
      <c r="B337" s="491"/>
      <c r="C337" s="491"/>
      <c r="D337" s="491"/>
      <c r="E337" s="491"/>
      <c r="F337" s="491"/>
      <c r="G337" s="491"/>
    </row>
    <row r="338" spans="1:7">
      <c r="A338" s="1300"/>
      <c r="B338" s="491"/>
      <c r="C338" s="491"/>
      <c r="D338" s="491"/>
      <c r="E338" s="491"/>
      <c r="F338" s="491"/>
      <c r="G338" s="491"/>
    </row>
    <row r="339" spans="1:7">
      <c r="A339" s="1300"/>
      <c r="B339" s="491"/>
      <c r="C339" s="491"/>
      <c r="D339" s="491"/>
      <c r="E339" s="491"/>
      <c r="F339" s="491"/>
      <c r="G339" s="491"/>
    </row>
    <row r="340" spans="1:7">
      <c r="A340" s="1300"/>
      <c r="B340" s="491"/>
      <c r="C340" s="491"/>
      <c r="D340" s="491"/>
      <c r="E340" s="491"/>
      <c r="F340" s="491"/>
      <c r="G340" s="491"/>
    </row>
    <row r="341" spans="1:7">
      <c r="A341" s="1300"/>
      <c r="B341" s="491"/>
      <c r="C341" s="491"/>
      <c r="D341" s="491"/>
      <c r="E341" s="491"/>
      <c r="F341" s="491"/>
      <c r="G341" s="491"/>
    </row>
    <row r="342" spans="1:7">
      <c r="A342" s="1300"/>
      <c r="B342" s="491"/>
      <c r="C342" s="491"/>
      <c r="D342" s="491"/>
      <c r="E342" s="491"/>
      <c r="F342" s="491"/>
      <c r="G342" s="491"/>
    </row>
    <row r="343" spans="1:7">
      <c r="A343" s="1300"/>
      <c r="B343" s="491"/>
      <c r="C343" s="491"/>
      <c r="D343" s="491"/>
      <c r="E343" s="491"/>
      <c r="F343" s="491"/>
      <c r="G343" s="491"/>
    </row>
    <row r="344" spans="1:7">
      <c r="A344" s="1300"/>
      <c r="B344" s="491"/>
      <c r="C344" s="491"/>
      <c r="D344" s="491"/>
      <c r="E344" s="491"/>
      <c r="F344" s="491"/>
      <c r="G344" s="491"/>
    </row>
    <row r="345" spans="1:7">
      <c r="A345" s="1300"/>
      <c r="B345" s="491"/>
      <c r="C345" s="491"/>
      <c r="D345" s="491"/>
      <c r="E345" s="491"/>
      <c r="F345" s="491"/>
      <c r="G345" s="491"/>
    </row>
    <row r="346" spans="1:7">
      <c r="A346" s="1300"/>
      <c r="B346" s="491"/>
      <c r="C346" s="491"/>
      <c r="D346" s="491"/>
      <c r="E346" s="491"/>
      <c r="F346" s="491"/>
      <c r="G346" s="491"/>
    </row>
    <row r="347" spans="1:7">
      <c r="A347" s="1300"/>
      <c r="B347" s="491"/>
      <c r="C347" s="491"/>
      <c r="D347" s="491"/>
      <c r="E347" s="491"/>
      <c r="F347" s="491"/>
      <c r="G347" s="491"/>
    </row>
    <row r="348" spans="1:7">
      <c r="A348" s="1300"/>
      <c r="B348" s="491"/>
      <c r="C348" s="491"/>
      <c r="D348" s="491"/>
      <c r="E348" s="491"/>
      <c r="F348" s="491"/>
      <c r="G348" s="491"/>
    </row>
    <row r="349" spans="1:7">
      <c r="A349" s="1300"/>
      <c r="B349" s="491"/>
      <c r="C349" s="491"/>
      <c r="D349" s="491"/>
      <c r="E349" s="491"/>
      <c r="F349" s="491"/>
      <c r="G349" s="491"/>
    </row>
    <row r="350" spans="1:7">
      <c r="A350" s="1300"/>
      <c r="B350" s="491"/>
      <c r="C350" s="491"/>
      <c r="D350" s="491"/>
      <c r="E350" s="491"/>
      <c r="F350" s="491"/>
      <c r="G350" s="491"/>
    </row>
    <row r="351" spans="1:7">
      <c r="A351" s="1300"/>
      <c r="B351" s="491"/>
      <c r="C351" s="491"/>
      <c r="D351" s="491"/>
      <c r="E351" s="491"/>
      <c r="F351" s="491"/>
      <c r="G351" s="491"/>
    </row>
    <row r="352" spans="1:7">
      <c r="A352" s="1300"/>
      <c r="B352" s="491"/>
      <c r="C352" s="491"/>
      <c r="D352" s="491"/>
      <c r="E352" s="491"/>
      <c r="F352" s="491"/>
      <c r="G352" s="491"/>
    </row>
    <row r="353" spans="1:7">
      <c r="A353" s="1300"/>
      <c r="B353" s="491"/>
      <c r="C353" s="491"/>
      <c r="D353" s="491"/>
      <c r="E353" s="491"/>
      <c r="F353" s="491"/>
      <c r="G353" s="491"/>
    </row>
    <row r="354" spans="1:7">
      <c r="A354" s="1300"/>
      <c r="B354" s="491"/>
      <c r="C354" s="491"/>
      <c r="D354" s="491"/>
      <c r="E354" s="491"/>
      <c r="F354" s="491"/>
      <c r="G354" s="491"/>
    </row>
    <row r="355" spans="1:7">
      <c r="A355" s="1300"/>
      <c r="B355" s="491"/>
      <c r="C355" s="491"/>
      <c r="D355" s="491"/>
      <c r="E355" s="491"/>
      <c r="F355" s="491"/>
      <c r="G355" s="491"/>
    </row>
    <row r="356" spans="1:7">
      <c r="A356" s="1300"/>
      <c r="B356" s="491"/>
      <c r="C356" s="491"/>
      <c r="D356" s="491"/>
      <c r="E356" s="491"/>
      <c r="F356" s="491"/>
      <c r="G356" s="491"/>
    </row>
    <row r="357" spans="1:7">
      <c r="A357" s="1300"/>
      <c r="B357" s="491"/>
      <c r="C357" s="491"/>
      <c r="D357" s="491"/>
      <c r="E357" s="491"/>
      <c r="F357" s="491"/>
      <c r="G357" s="491"/>
    </row>
    <row r="358" spans="1:7">
      <c r="A358" s="1300"/>
      <c r="B358" s="491"/>
      <c r="C358" s="491"/>
      <c r="D358" s="491"/>
      <c r="E358" s="491"/>
      <c r="F358" s="491"/>
      <c r="G358" s="491"/>
    </row>
    <row r="359" spans="1:7">
      <c r="A359" s="1300"/>
      <c r="B359" s="491"/>
      <c r="C359" s="491"/>
      <c r="D359" s="491"/>
      <c r="E359" s="491"/>
      <c r="F359" s="491"/>
      <c r="G359" s="491"/>
    </row>
    <row r="360" spans="1:7">
      <c r="A360" s="1300"/>
      <c r="B360" s="491"/>
      <c r="C360" s="491"/>
      <c r="D360" s="491"/>
      <c r="E360" s="491"/>
      <c r="F360" s="491"/>
      <c r="G360" s="491"/>
    </row>
    <row r="361" spans="1:7">
      <c r="A361" s="1300"/>
      <c r="B361" s="491"/>
      <c r="C361" s="491"/>
      <c r="D361" s="491"/>
      <c r="E361" s="491"/>
      <c r="F361" s="491"/>
      <c r="G361" s="491"/>
    </row>
    <row r="362" spans="1:7">
      <c r="A362" s="1300"/>
      <c r="B362" s="491"/>
      <c r="C362" s="491"/>
      <c r="D362" s="491"/>
      <c r="E362" s="491"/>
      <c r="F362" s="491"/>
      <c r="G362" s="491"/>
    </row>
    <row r="363" spans="1:7">
      <c r="A363" s="1300"/>
      <c r="B363" s="491"/>
      <c r="C363" s="491"/>
      <c r="D363" s="491"/>
      <c r="E363" s="491"/>
      <c r="F363" s="491"/>
      <c r="G363" s="491"/>
    </row>
    <row r="364" spans="1:7">
      <c r="A364" s="1300"/>
      <c r="B364" s="491"/>
      <c r="C364" s="491"/>
      <c r="D364" s="491"/>
      <c r="E364" s="491"/>
      <c r="F364" s="491"/>
      <c r="G364" s="491"/>
    </row>
    <row r="365" spans="1:7">
      <c r="A365" s="1300"/>
      <c r="B365" s="491"/>
      <c r="C365" s="491"/>
      <c r="D365" s="491"/>
      <c r="E365" s="491"/>
      <c r="F365" s="491"/>
      <c r="G365" s="491"/>
    </row>
    <row r="366" spans="1:7">
      <c r="A366" s="1300"/>
      <c r="B366" s="491"/>
      <c r="C366" s="491"/>
      <c r="D366" s="491"/>
      <c r="E366" s="491"/>
      <c r="F366" s="491"/>
      <c r="G366" s="491"/>
    </row>
    <row r="367" spans="1:7">
      <c r="A367" s="1300"/>
      <c r="B367" s="491"/>
      <c r="C367" s="491"/>
      <c r="D367" s="491"/>
      <c r="E367" s="491"/>
      <c r="F367" s="491"/>
      <c r="G367" s="491"/>
    </row>
    <row r="368" spans="1:7">
      <c r="A368" s="1300"/>
      <c r="B368" s="491"/>
      <c r="C368" s="491"/>
      <c r="D368" s="491"/>
      <c r="E368" s="491"/>
      <c r="F368" s="491"/>
      <c r="G368" s="491"/>
    </row>
    <row r="369" spans="1:7">
      <c r="A369" s="1300"/>
      <c r="B369" s="491"/>
      <c r="C369" s="491"/>
      <c r="D369" s="491"/>
      <c r="E369" s="491"/>
      <c r="F369" s="491"/>
      <c r="G369" s="491"/>
    </row>
    <row r="370" spans="1:7">
      <c r="A370" s="1300"/>
      <c r="B370" s="491"/>
      <c r="C370" s="491"/>
      <c r="D370" s="491"/>
      <c r="E370" s="491"/>
      <c r="F370" s="491"/>
      <c r="G370" s="491"/>
    </row>
    <row r="371" spans="1:7">
      <c r="A371" s="1300"/>
      <c r="B371" s="491"/>
      <c r="C371" s="491"/>
      <c r="D371" s="491"/>
      <c r="E371" s="491"/>
      <c r="F371" s="491"/>
      <c r="G371" s="491"/>
    </row>
    <row r="372" spans="1:7">
      <c r="A372" s="1300"/>
      <c r="B372" s="491"/>
      <c r="C372" s="491"/>
      <c r="D372" s="491"/>
      <c r="E372" s="491"/>
      <c r="F372" s="491"/>
      <c r="G372" s="491"/>
    </row>
    <row r="373" spans="1:7">
      <c r="A373" s="1300"/>
      <c r="B373" s="491"/>
      <c r="C373" s="491"/>
      <c r="D373" s="491"/>
      <c r="E373" s="491"/>
      <c r="F373" s="491"/>
      <c r="G373" s="491"/>
    </row>
    <row r="374" spans="1:7">
      <c r="A374" s="1300"/>
      <c r="B374" s="491"/>
      <c r="C374" s="491"/>
      <c r="D374" s="491"/>
      <c r="E374" s="491"/>
      <c r="F374" s="491"/>
      <c r="G374" s="491"/>
    </row>
    <row r="375" spans="1:7">
      <c r="A375" s="1300"/>
      <c r="B375" s="491"/>
      <c r="C375" s="491"/>
      <c r="D375" s="491"/>
      <c r="E375" s="491"/>
      <c r="F375" s="491"/>
      <c r="G375" s="491"/>
    </row>
    <row r="376" spans="1:7">
      <c r="A376" s="1300"/>
      <c r="B376" s="491"/>
      <c r="C376" s="491"/>
      <c r="D376" s="491"/>
      <c r="E376" s="491"/>
      <c r="F376" s="491"/>
      <c r="G376" s="491"/>
    </row>
    <row r="377" spans="1:7">
      <c r="A377" s="1300"/>
      <c r="B377" s="491"/>
      <c r="C377" s="491"/>
      <c r="D377" s="491"/>
      <c r="E377" s="491"/>
      <c r="F377" s="491"/>
      <c r="G377" s="491"/>
    </row>
    <row r="378" spans="1:7">
      <c r="A378" s="1300"/>
      <c r="B378" s="491"/>
      <c r="C378" s="491"/>
      <c r="D378" s="491"/>
      <c r="E378" s="491"/>
      <c r="F378" s="491"/>
      <c r="G378" s="491"/>
    </row>
    <row r="379" spans="1:7">
      <c r="A379" s="1300"/>
      <c r="B379" s="491"/>
      <c r="C379" s="491"/>
      <c r="D379" s="491"/>
      <c r="E379" s="491"/>
      <c r="F379" s="491"/>
      <c r="G379" s="491"/>
    </row>
    <row r="380" spans="1:7">
      <c r="A380" s="1300"/>
      <c r="B380" s="491"/>
      <c r="C380" s="491"/>
      <c r="D380" s="491"/>
      <c r="E380" s="491"/>
      <c r="F380" s="491"/>
      <c r="G380" s="491"/>
    </row>
    <row r="381" spans="1:7">
      <c r="A381" s="1300"/>
      <c r="B381" s="491"/>
      <c r="C381" s="491"/>
      <c r="D381" s="491"/>
      <c r="E381" s="491"/>
      <c r="F381" s="491"/>
      <c r="G381" s="491"/>
    </row>
    <row r="382" spans="1:7">
      <c r="A382" s="1300"/>
      <c r="B382" s="491"/>
      <c r="C382" s="491"/>
      <c r="D382" s="491"/>
      <c r="E382" s="491"/>
      <c r="F382" s="491"/>
      <c r="G382" s="491"/>
    </row>
    <row r="383" spans="1:7">
      <c r="A383" s="1300"/>
      <c r="B383" s="491"/>
      <c r="C383" s="491"/>
      <c r="D383" s="491"/>
      <c r="E383" s="491"/>
      <c r="F383" s="491"/>
      <c r="G383" s="491"/>
    </row>
    <row r="384" spans="1:7">
      <c r="A384" s="1300"/>
      <c r="B384" s="491"/>
      <c r="C384" s="491"/>
      <c r="D384" s="491"/>
      <c r="E384" s="491"/>
      <c r="F384" s="491"/>
      <c r="G384" s="491"/>
    </row>
    <row r="385" spans="1:7">
      <c r="A385" s="1300"/>
      <c r="B385" s="491"/>
      <c r="C385" s="491"/>
      <c r="D385" s="491"/>
      <c r="E385" s="491"/>
      <c r="F385" s="491"/>
      <c r="G385" s="491"/>
    </row>
    <row r="386" spans="1:7">
      <c r="A386" s="1300"/>
      <c r="B386" s="491"/>
      <c r="C386" s="491"/>
      <c r="D386" s="491"/>
      <c r="E386" s="491"/>
      <c r="F386" s="491"/>
      <c r="G386" s="491"/>
    </row>
    <row r="387" spans="1:7">
      <c r="A387" s="1300"/>
      <c r="B387" s="491"/>
      <c r="C387" s="491"/>
      <c r="D387" s="491"/>
      <c r="E387" s="491"/>
      <c r="F387" s="491"/>
      <c r="G387" s="491"/>
    </row>
    <row r="388" spans="1:7">
      <c r="A388" s="1300"/>
      <c r="B388" s="491"/>
      <c r="C388" s="491"/>
      <c r="D388" s="491"/>
      <c r="E388" s="491"/>
      <c r="F388" s="491"/>
      <c r="G388" s="491"/>
    </row>
    <row r="389" spans="1:7">
      <c r="A389" s="1300"/>
      <c r="B389" s="491"/>
      <c r="C389" s="491"/>
      <c r="D389" s="491"/>
      <c r="E389" s="491"/>
      <c r="F389" s="491"/>
      <c r="G389" s="491"/>
    </row>
    <row r="390" spans="1:7">
      <c r="A390" s="1300"/>
      <c r="B390" s="491"/>
      <c r="C390" s="491"/>
      <c r="D390" s="491"/>
      <c r="E390" s="491"/>
      <c r="F390" s="491"/>
      <c r="G390" s="491"/>
    </row>
    <row r="391" spans="1:7">
      <c r="A391" s="1300"/>
      <c r="B391" s="491"/>
      <c r="C391" s="491"/>
      <c r="D391" s="491"/>
      <c r="E391" s="491"/>
      <c r="F391" s="491"/>
      <c r="G391" s="491"/>
    </row>
    <row r="392" spans="1:7">
      <c r="A392" s="1300"/>
      <c r="B392" s="491"/>
      <c r="C392" s="491"/>
      <c r="D392" s="491"/>
      <c r="E392" s="491"/>
      <c r="F392" s="491"/>
      <c r="G392" s="491"/>
    </row>
    <row r="393" spans="1:7">
      <c r="A393" s="1300"/>
      <c r="B393" s="491"/>
      <c r="C393" s="491"/>
      <c r="D393" s="491"/>
      <c r="E393" s="491"/>
      <c r="F393" s="491"/>
      <c r="G393" s="491"/>
    </row>
    <row r="394" spans="1:7">
      <c r="A394" s="1300"/>
      <c r="B394" s="491"/>
      <c r="C394" s="491"/>
      <c r="D394" s="491"/>
      <c r="E394" s="491"/>
      <c r="F394" s="491"/>
      <c r="G394" s="491"/>
    </row>
    <row r="395" spans="1:7">
      <c r="A395" s="1300"/>
      <c r="B395" s="491"/>
      <c r="C395" s="491"/>
      <c r="D395" s="491"/>
      <c r="E395" s="491"/>
      <c r="F395" s="491"/>
      <c r="G395" s="491"/>
    </row>
    <row r="396" spans="1:7">
      <c r="A396" s="1300"/>
      <c r="B396" s="491"/>
      <c r="C396" s="491"/>
      <c r="D396" s="491"/>
      <c r="E396" s="491"/>
      <c r="F396" s="491"/>
      <c r="G396" s="491"/>
    </row>
    <row r="397" spans="1:7">
      <c r="A397" s="1300"/>
      <c r="B397" s="491"/>
      <c r="C397" s="491"/>
      <c r="D397" s="491"/>
      <c r="E397" s="491"/>
      <c r="F397" s="491"/>
      <c r="G397" s="491"/>
    </row>
    <row r="398" spans="1:7">
      <c r="A398" s="1300"/>
      <c r="B398" s="491"/>
      <c r="C398" s="491"/>
      <c r="D398" s="491"/>
      <c r="E398" s="491"/>
      <c r="F398" s="491"/>
      <c r="G398" s="491"/>
    </row>
    <row r="399" spans="1:7">
      <c r="A399" s="1300"/>
      <c r="B399" s="491"/>
      <c r="C399" s="491"/>
      <c r="D399" s="491"/>
      <c r="E399" s="491"/>
      <c r="F399" s="491"/>
      <c r="G399" s="491"/>
    </row>
    <row r="400" spans="1:7">
      <c r="A400" s="1300"/>
      <c r="B400" s="491"/>
      <c r="C400" s="491"/>
      <c r="D400" s="491"/>
      <c r="E400" s="491"/>
      <c r="F400" s="491"/>
      <c r="G400" s="491"/>
    </row>
    <row r="401" spans="1:7">
      <c r="A401" s="1300"/>
      <c r="B401" s="491"/>
      <c r="C401" s="491"/>
      <c r="D401" s="491"/>
      <c r="E401" s="491"/>
      <c r="F401" s="491"/>
      <c r="G401" s="491"/>
    </row>
    <row r="402" spans="1:7">
      <c r="A402" s="1300"/>
      <c r="B402" s="491"/>
      <c r="C402" s="491"/>
      <c r="D402" s="491"/>
      <c r="E402" s="491"/>
      <c r="F402" s="491"/>
      <c r="G402" s="491"/>
    </row>
    <row r="403" spans="1:7">
      <c r="A403" s="1300"/>
      <c r="B403" s="491"/>
      <c r="C403" s="491"/>
      <c r="D403" s="491"/>
      <c r="E403" s="491"/>
      <c r="F403" s="491"/>
      <c r="G403" s="491"/>
    </row>
    <row r="404" spans="1:7">
      <c r="A404" s="1300"/>
      <c r="B404" s="491"/>
      <c r="C404" s="491"/>
      <c r="D404" s="491"/>
      <c r="E404" s="491"/>
      <c r="F404" s="491"/>
      <c r="G404" s="491"/>
    </row>
    <row r="405" spans="1:7">
      <c r="A405" s="1300"/>
      <c r="B405" s="491"/>
      <c r="C405" s="491"/>
      <c r="D405" s="491"/>
      <c r="E405" s="491"/>
      <c r="F405" s="491"/>
      <c r="G405" s="491"/>
    </row>
    <row r="406" spans="1:7">
      <c r="A406" s="1300"/>
      <c r="B406" s="491"/>
      <c r="C406" s="491"/>
      <c r="D406" s="491"/>
      <c r="E406" s="491"/>
      <c r="F406" s="491"/>
      <c r="G406" s="491"/>
    </row>
    <row r="407" spans="1:7">
      <c r="A407" s="1300"/>
      <c r="B407" s="491"/>
      <c r="C407" s="491"/>
      <c r="D407" s="491"/>
      <c r="E407" s="491"/>
      <c r="F407" s="491"/>
      <c r="G407" s="491"/>
    </row>
    <row r="408" spans="1:7">
      <c r="A408" s="1300"/>
      <c r="B408" s="491"/>
      <c r="C408" s="491"/>
      <c r="D408" s="491"/>
      <c r="E408" s="491"/>
      <c r="F408" s="491"/>
      <c r="G408" s="491"/>
    </row>
    <row r="409" spans="1:7">
      <c r="A409" s="1300"/>
      <c r="B409" s="491"/>
      <c r="C409" s="491"/>
      <c r="D409" s="491"/>
      <c r="E409" s="491"/>
      <c r="F409" s="491"/>
      <c r="G409" s="491"/>
    </row>
    <row r="410" spans="1:7">
      <c r="A410" s="1300"/>
      <c r="B410" s="491"/>
      <c r="C410" s="491"/>
      <c r="D410" s="491"/>
      <c r="E410" s="491"/>
      <c r="F410" s="491"/>
      <c r="G410" s="491"/>
    </row>
    <row r="411" spans="1:7">
      <c r="A411" s="1300"/>
      <c r="B411" s="491"/>
      <c r="C411" s="491"/>
      <c r="D411" s="491"/>
      <c r="E411" s="491"/>
      <c r="F411" s="491"/>
      <c r="G411" s="491"/>
    </row>
    <row r="412" spans="1:7">
      <c r="A412" s="1300"/>
      <c r="B412" s="491"/>
      <c r="C412" s="491"/>
      <c r="D412" s="491"/>
      <c r="E412" s="491"/>
      <c r="F412" s="491"/>
      <c r="G412" s="491"/>
    </row>
    <row r="413" spans="1:7">
      <c r="A413" s="1300"/>
      <c r="B413" s="491"/>
      <c r="C413" s="491"/>
      <c r="D413" s="491"/>
      <c r="E413" s="491"/>
      <c r="F413" s="491"/>
      <c r="G413" s="491"/>
    </row>
    <row r="414" spans="1:7">
      <c r="A414" s="1300"/>
      <c r="B414" s="491"/>
      <c r="C414" s="491"/>
      <c r="D414" s="491"/>
      <c r="E414" s="491"/>
      <c r="F414" s="491"/>
      <c r="G414" s="491"/>
    </row>
    <row r="415" spans="1:7">
      <c r="A415" s="1300"/>
      <c r="B415" s="491"/>
      <c r="C415" s="491"/>
      <c r="D415" s="491"/>
      <c r="E415" s="491"/>
      <c r="F415" s="491"/>
      <c r="G415" s="491"/>
    </row>
    <row r="416" spans="1:7">
      <c r="A416" s="1300"/>
      <c r="B416" s="491"/>
      <c r="C416" s="491"/>
      <c r="D416" s="491"/>
      <c r="E416" s="491"/>
      <c r="F416" s="491"/>
      <c r="G416" s="491"/>
    </row>
    <row r="417" spans="1:7">
      <c r="A417" s="1300"/>
      <c r="B417" s="491"/>
      <c r="C417" s="491"/>
      <c r="D417" s="491"/>
      <c r="E417" s="491"/>
      <c r="F417" s="491"/>
      <c r="G417" s="491"/>
    </row>
    <row r="418" spans="1:7">
      <c r="A418" s="1300"/>
      <c r="B418" s="491"/>
      <c r="C418" s="491"/>
      <c r="D418" s="491"/>
      <c r="E418" s="491"/>
      <c r="F418" s="491"/>
      <c r="G418" s="491"/>
    </row>
    <row r="419" spans="1:7">
      <c r="A419" s="1300"/>
      <c r="B419" s="491"/>
      <c r="C419" s="491"/>
      <c r="D419" s="491"/>
      <c r="E419" s="491"/>
      <c r="F419" s="491"/>
      <c r="G419" s="491"/>
    </row>
    <row r="420" spans="1:7">
      <c r="A420" s="1300"/>
      <c r="B420" s="491"/>
      <c r="C420" s="491"/>
      <c r="D420" s="491"/>
      <c r="E420" s="491"/>
      <c r="F420" s="491"/>
      <c r="G420" s="491"/>
    </row>
    <row r="421" spans="1:7">
      <c r="A421" s="1300"/>
      <c r="B421" s="491"/>
      <c r="C421" s="491"/>
      <c r="D421" s="491"/>
      <c r="E421" s="491"/>
      <c r="F421" s="491"/>
      <c r="G421" s="491"/>
    </row>
    <row r="422" spans="1:7">
      <c r="A422" s="1300"/>
      <c r="B422" s="491"/>
      <c r="C422" s="491"/>
      <c r="D422" s="491"/>
      <c r="E422" s="491"/>
      <c r="F422" s="491"/>
      <c r="G422" s="491"/>
    </row>
    <row r="423" spans="1:7">
      <c r="A423" s="1300"/>
      <c r="B423" s="491"/>
      <c r="C423" s="491"/>
      <c r="D423" s="491"/>
      <c r="E423" s="491"/>
      <c r="F423" s="491"/>
      <c r="G423" s="491"/>
    </row>
    <row r="424" spans="1:7">
      <c r="A424" s="1300"/>
      <c r="B424" s="491"/>
      <c r="C424" s="491"/>
      <c r="D424" s="491"/>
      <c r="E424" s="491"/>
      <c r="F424" s="491"/>
      <c r="G424" s="491"/>
    </row>
    <row r="425" spans="1:7">
      <c r="A425" s="1300"/>
      <c r="B425" s="491"/>
      <c r="C425" s="491"/>
      <c r="D425" s="491"/>
      <c r="E425" s="491"/>
      <c r="F425" s="491"/>
      <c r="G425" s="491"/>
    </row>
    <row r="426" spans="1:7">
      <c r="A426" s="1300"/>
      <c r="B426" s="491"/>
      <c r="C426" s="491"/>
      <c r="D426" s="491"/>
      <c r="E426" s="491"/>
      <c r="F426" s="491"/>
      <c r="G426" s="491"/>
    </row>
    <row r="427" spans="1:7">
      <c r="A427" s="1300"/>
      <c r="B427" s="491"/>
      <c r="C427" s="491"/>
      <c r="D427" s="491"/>
      <c r="E427" s="491"/>
      <c r="F427" s="491"/>
      <c r="G427" s="491"/>
    </row>
    <row r="428" spans="1:7">
      <c r="A428" s="1300"/>
      <c r="B428" s="491"/>
      <c r="C428" s="491"/>
      <c r="D428" s="491"/>
      <c r="E428" s="491"/>
      <c r="F428" s="491"/>
      <c r="G428" s="491"/>
    </row>
    <row r="429" spans="1:7">
      <c r="A429" s="1300"/>
      <c r="B429" s="491"/>
      <c r="C429" s="491"/>
      <c r="D429" s="491"/>
      <c r="E429" s="491"/>
      <c r="F429" s="491"/>
      <c r="G429" s="491"/>
    </row>
    <row r="430" spans="1:7">
      <c r="A430" s="1300"/>
      <c r="B430" s="491"/>
      <c r="C430" s="491"/>
      <c r="D430" s="491"/>
      <c r="E430" s="491"/>
      <c r="F430" s="491"/>
      <c r="G430" s="491"/>
    </row>
    <row r="431" spans="1:7">
      <c r="A431" s="1300"/>
      <c r="B431" s="491"/>
      <c r="C431" s="491"/>
      <c r="D431" s="491"/>
      <c r="E431" s="491"/>
      <c r="F431" s="491"/>
      <c r="G431" s="491"/>
    </row>
    <row r="432" spans="1:7">
      <c r="A432" s="1300"/>
      <c r="B432" s="491"/>
      <c r="C432" s="491"/>
      <c r="D432" s="491"/>
      <c r="E432" s="491"/>
      <c r="F432" s="491"/>
      <c r="G432" s="491"/>
    </row>
    <row r="433" spans="1:7">
      <c r="A433" s="1300"/>
      <c r="B433" s="491"/>
      <c r="C433" s="491"/>
      <c r="D433" s="491"/>
      <c r="E433" s="491"/>
      <c r="F433" s="491"/>
      <c r="G433" s="491"/>
    </row>
    <row r="434" spans="1:7">
      <c r="A434" s="1300"/>
      <c r="B434" s="491"/>
      <c r="C434" s="491"/>
      <c r="D434" s="491"/>
      <c r="E434" s="491"/>
      <c r="F434" s="491"/>
      <c r="G434" s="491"/>
    </row>
    <row r="435" spans="1:7">
      <c r="A435" s="1300"/>
      <c r="B435" s="491"/>
      <c r="C435" s="491"/>
      <c r="D435" s="491"/>
      <c r="E435" s="491"/>
      <c r="F435" s="491"/>
      <c r="G435" s="491"/>
    </row>
    <row r="436" spans="1:7">
      <c r="A436" s="1300"/>
      <c r="B436" s="491"/>
      <c r="C436" s="491"/>
      <c r="D436" s="491"/>
      <c r="E436" s="491"/>
      <c r="F436" s="491"/>
      <c r="G436" s="491"/>
    </row>
    <row r="437" spans="1:7">
      <c r="A437" s="1300"/>
      <c r="B437" s="491"/>
      <c r="C437" s="491"/>
      <c r="D437" s="491"/>
      <c r="E437" s="491"/>
      <c r="F437" s="491"/>
      <c r="G437" s="491"/>
    </row>
    <row r="438" spans="1:7">
      <c r="A438" s="1300"/>
      <c r="B438" s="491"/>
      <c r="C438" s="491"/>
      <c r="D438" s="491"/>
      <c r="E438" s="491"/>
      <c r="F438" s="491"/>
      <c r="G438" s="491"/>
    </row>
    <row r="439" spans="1:7">
      <c r="A439" s="1300"/>
      <c r="B439" s="491"/>
      <c r="C439" s="491"/>
      <c r="D439" s="491"/>
      <c r="E439" s="491"/>
      <c r="F439" s="491"/>
      <c r="G439" s="491"/>
    </row>
    <row r="440" spans="1:7">
      <c r="A440" s="1300"/>
      <c r="B440" s="491"/>
      <c r="C440" s="491"/>
      <c r="D440" s="491"/>
      <c r="E440" s="491"/>
      <c r="F440" s="491"/>
      <c r="G440" s="491"/>
    </row>
    <row r="441" spans="1:7">
      <c r="A441" s="1300"/>
      <c r="B441" s="491"/>
      <c r="C441" s="491"/>
      <c r="D441" s="491"/>
      <c r="E441" s="491"/>
      <c r="F441" s="491"/>
      <c r="G441" s="491"/>
    </row>
    <row r="442" spans="1:7">
      <c r="A442" s="1300"/>
      <c r="B442" s="491"/>
      <c r="C442" s="491"/>
      <c r="D442" s="491"/>
      <c r="E442" s="491"/>
      <c r="F442" s="491"/>
      <c r="G442" s="491"/>
    </row>
    <row r="443" spans="1:7">
      <c r="A443" s="1300"/>
      <c r="B443" s="491"/>
      <c r="C443" s="491"/>
      <c r="D443" s="491"/>
      <c r="E443" s="491"/>
      <c r="F443" s="491"/>
      <c r="G443" s="491"/>
    </row>
    <row r="444" spans="1:7">
      <c r="A444" s="1300"/>
      <c r="B444" s="491"/>
      <c r="C444" s="491"/>
      <c r="D444" s="491"/>
      <c r="E444" s="491"/>
      <c r="F444" s="491"/>
      <c r="G444" s="491"/>
    </row>
    <row r="445" spans="1:7">
      <c r="A445" s="1300"/>
      <c r="B445" s="491"/>
      <c r="C445" s="491"/>
      <c r="D445" s="491"/>
      <c r="E445" s="491"/>
      <c r="F445" s="491"/>
      <c r="G445" s="491"/>
    </row>
    <row r="446" spans="1:7">
      <c r="A446" s="1300"/>
      <c r="B446" s="491"/>
      <c r="C446" s="491"/>
      <c r="D446" s="491"/>
      <c r="E446" s="491"/>
      <c r="F446" s="491"/>
      <c r="G446" s="491"/>
    </row>
    <row r="447" spans="1:7">
      <c r="A447" s="1300"/>
      <c r="B447" s="491"/>
      <c r="C447" s="491"/>
      <c r="D447" s="491"/>
      <c r="E447" s="491"/>
      <c r="F447" s="491"/>
      <c r="G447" s="491"/>
    </row>
    <row r="448" spans="1:7">
      <c r="A448" s="1300"/>
      <c r="B448" s="491"/>
      <c r="C448" s="491"/>
      <c r="D448" s="491"/>
      <c r="E448" s="491"/>
      <c r="F448" s="491"/>
      <c r="G448" s="491"/>
    </row>
    <row r="449" spans="1:7">
      <c r="A449" s="1300"/>
      <c r="B449" s="491"/>
      <c r="C449" s="491"/>
      <c r="D449" s="491"/>
      <c r="E449" s="491"/>
      <c r="F449" s="491"/>
      <c r="G449" s="491"/>
    </row>
    <row r="450" spans="1:7">
      <c r="A450" s="1300"/>
      <c r="B450" s="491"/>
      <c r="C450" s="491"/>
      <c r="D450" s="491"/>
      <c r="E450" s="491"/>
      <c r="F450" s="491"/>
      <c r="G450" s="491"/>
    </row>
    <row r="451" spans="1:7">
      <c r="A451" s="1300"/>
      <c r="B451" s="491"/>
      <c r="C451" s="491"/>
      <c r="D451" s="491"/>
      <c r="E451" s="491"/>
      <c r="F451" s="491"/>
      <c r="G451" s="491"/>
    </row>
    <row r="452" spans="1:7">
      <c r="A452" s="1300"/>
      <c r="B452" s="491"/>
      <c r="C452" s="491"/>
      <c r="D452" s="491"/>
      <c r="E452" s="491"/>
      <c r="F452" s="491"/>
      <c r="G452" s="491"/>
    </row>
    <row r="453" spans="1:7">
      <c r="A453" s="1300"/>
      <c r="B453" s="491"/>
      <c r="C453" s="491"/>
      <c r="D453" s="491"/>
      <c r="E453" s="491"/>
      <c r="F453" s="491"/>
      <c r="G453" s="491"/>
    </row>
    <row r="454" spans="1:7">
      <c r="A454" s="1300"/>
      <c r="B454" s="491"/>
      <c r="C454" s="491"/>
      <c r="D454" s="491"/>
      <c r="E454" s="491"/>
      <c r="F454" s="491"/>
      <c r="G454" s="491"/>
    </row>
    <row r="455" spans="1:7">
      <c r="A455" s="1300"/>
      <c r="B455" s="491"/>
      <c r="C455" s="491"/>
      <c r="D455" s="491"/>
      <c r="E455" s="491"/>
      <c r="F455" s="491"/>
      <c r="G455" s="491"/>
    </row>
    <row r="456" spans="1:7">
      <c r="A456" s="1300"/>
      <c r="B456" s="491"/>
      <c r="C456" s="491"/>
      <c r="D456" s="491"/>
      <c r="E456" s="491"/>
      <c r="F456" s="491"/>
      <c r="G456" s="491"/>
    </row>
    <row r="457" spans="1:7">
      <c r="A457" s="1300"/>
      <c r="B457" s="491"/>
      <c r="C457" s="491"/>
      <c r="D457" s="491"/>
      <c r="E457" s="491"/>
      <c r="F457" s="491"/>
      <c r="G457" s="491"/>
    </row>
    <row r="458" spans="1:7">
      <c r="A458" s="1300"/>
      <c r="B458" s="491"/>
      <c r="C458" s="491"/>
      <c r="D458" s="491"/>
      <c r="E458" s="491"/>
      <c r="F458" s="491"/>
      <c r="G458" s="491"/>
    </row>
    <row r="459" spans="1:7">
      <c r="A459" s="1300"/>
      <c r="B459" s="491"/>
      <c r="C459" s="491"/>
      <c r="D459" s="491"/>
      <c r="E459" s="491"/>
      <c r="F459" s="491"/>
      <c r="G459" s="491"/>
    </row>
    <row r="460" spans="1:7">
      <c r="A460" s="1300"/>
      <c r="B460" s="491"/>
      <c r="C460" s="491"/>
      <c r="D460" s="491"/>
      <c r="E460" s="491"/>
      <c r="F460" s="491"/>
      <c r="G460" s="491"/>
    </row>
    <row r="461" spans="1:7">
      <c r="A461" s="1300"/>
      <c r="B461" s="491"/>
      <c r="C461" s="491"/>
      <c r="D461" s="491"/>
      <c r="E461" s="491"/>
      <c r="F461" s="491"/>
      <c r="G461" s="491"/>
    </row>
    <row r="462" spans="1:7">
      <c r="A462" s="1300"/>
      <c r="B462" s="491"/>
      <c r="C462" s="491"/>
      <c r="D462" s="491"/>
      <c r="E462" s="491"/>
      <c r="F462" s="491"/>
      <c r="G462" s="491"/>
    </row>
    <row r="463" spans="1:7">
      <c r="A463" s="1300"/>
      <c r="B463" s="491"/>
      <c r="C463" s="491"/>
      <c r="D463" s="491"/>
      <c r="E463" s="491"/>
      <c r="F463" s="491"/>
      <c r="G463" s="491"/>
    </row>
    <row r="464" spans="1:7">
      <c r="A464" s="1300"/>
      <c r="B464" s="491"/>
      <c r="C464" s="491"/>
      <c r="D464" s="491"/>
      <c r="E464" s="491"/>
      <c r="F464" s="491"/>
      <c r="G464" s="491"/>
    </row>
    <row r="465" spans="1:7">
      <c r="A465" s="1300"/>
      <c r="B465" s="491"/>
      <c r="C465" s="491"/>
      <c r="D465" s="491"/>
      <c r="E465" s="491"/>
      <c r="F465" s="491"/>
      <c r="G465" s="491"/>
    </row>
    <row r="466" spans="1:7">
      <c r="A466" s="1300"/>
      <c r="B466" s="491"/>
      <c r="C466" s="491"/>
      <c r="D466" s="491"/>
      <c r="E466" s="491"/>
      <c r="F466" s="491"/>
      <c r="G466" s="491"/>
    </row>
    <row r="467" spans="1:7">
      <c r="A467" s="1300"/>
      <c r="B467" s="491"/>
      <c r="C467" s="491"/>
      <c r="D467" s="491"/>
      <c r="E467" s="491"/>
      <c r="F467" s="491"/>
      <c r="G467" s="491"/>
    </row>
    <row r="468" spans="1:7">
      <c r="A468" s="1300"/>
      <c r="B468" s="491"/>
      <c r="C468" s="491"/>
      <c r="D468" s="491"/>
      <c r="E468" s="491"/>
      <c r="F468" s="491"/>
      <c r="G468" s="491"/>
    </row>
    <row r="469" spans="1:7">
      <c r="A469" s="1300"/>
      <c r="B469" s="491"/>
      <c r="C469" s="491"/>
      <c r="D469" s="491"/>
      <c r="E469" s="491"/>
      <c r="F469" s="491"/>
      <c r="G469" s="491"/>
    </row>
    <row r="470" spans="1:7">
      <c r="A470" s="1300"/>
      <c r="B470" s="491"/>
      <c r="C470" s="491"/>
      <c r="D470" s="491"/>
      <c r="E470" s="491"/>
      <c r="F470" s="491"/>
      <c r="G470" s="491"/>
    </row>
    <row r="471" spans="1:7">
      <c r="A471" s="1300"/>
      <c r="B471" s="491"/>
      <c r="C471" s="491"/>
      <c r="D471" s="491"/>
      <c r="E471" s="491"/>
      <c r="F471" s="491"/>
      <c r="G471" s="491"/>
    </row>
    <row r="472" spans="1:7">
      <c r="A472" s="1300"/>
      <c r="B472" s="491"/>
      <c r="C472" s="491"/>
      <c r="D472" s="491"/>
      <c r="E472" s="491"/>
      <c r="F472" s="491"/>
      <c r="G472" s="491"/>
    </row>
    <row r="473" spans="1:7">
      <c r="A473" s="1300"/>
      <c r="B473" s="491"/>
      <c r="C473" s="491"/>
      <c r="D473" s="491"/>
      <c r="E473" s="491"/>
      <c r="F473" s="491"/>
      <c r="G473" s="491"/>
    </row>
    <row r="474" spans="1:7">
      <c r="A474" s="1300"/>
      <c r="B474" s="491"/>
      <c r="C474" s="491"/>
      <c r="D474" s="491"/>
      <c r="E474" s="491"/>
      <c r="F474" s="491"/>
      <c r="G474" s="491"/>
    </row>
    <row r="475" spans="1:7">
      <c r="A475" s="1300"/>
      <c r="B475" s="491"/>
      <c r="C475" s="491"/>
      <c r="D475" s="491"/>
      <c r="E475" s="491"/>
      <c r="F475" s="491"/>
      <c r="G475" s="491"/>
    </row>
    <row r="476" spans="1:7">
      <c r="A476" s="1300"/>
      <c r="B476" s="491"/>
      <c r="C476" s="491"/>
      <c r="D476" s="491"/>
      <c r="E476" s="491"/>
      <c r="F476" s="491"/>
      <c r="G476" s="491"/>
    </row>
    <row r="477" spans="1:7">
      <c r="A477" s="1300"/>
      <c r="B477" s="491"/>
      <c r="C477" s="491"/>
      <c r="D477" s="491"/>
      <c r="E477" s="491"/>
      <c r="F477" s="491"/>
      <c r="G477" s="491"/>
    </row>
    <row r="478" spans="1:7">
      <c r="A478" s="1300"/>
      <c r="B478" s="491"/>
      <c r="C478" s="491"/>
      <c r="D478" s="491"/>
      <c r="E478" s="491"/>
      <c r="F478" s="491"/>
      <c r="G478" s="491"/>
    </row>
    <row r="479" spans="1:7">
      <c r="A479" s="1300"/>
      <c r="B479" s="491"/>
      <c r="C479" s="491"/>
      <c r="D479" s="491"/>
      <c r="E479" s="491"/>
      <c r="F479" s="491"/>
      <c r="G479" s="491"/>
    </row>
    <row r="480" spans="1:7">
      <c r="A480" s="1300"/>
      <c r="B480" s="491"/>
      <c r="C480" s="491"/>
      <c r="D480" s="491"/>
      <c r="E480" s="491"/>
      <c r="F480" s="491"/>
      <c r="G480" s="491"/>
    </row>
    <row r="481" spans="1:7">
      <c r="A481" s="1300"/>
      <c r="B481" s="491"/>
      <c r="C481" s="491"/>
      <c r="D481" s="491"/>
      <c r="E481" s="491"/>
      <c r="F481" s="491"/>
      <c r="G481" s="491"/>
    </row>
    <row r="482" spans="1:7">
      <c r="A482" s="1300"/>
      <c r="B482" s="491"/>
      <c r="C482" s="491"/>
      <c r="D482" s="491"/>
      <c r="E482" s="491"/>
      <c r="F482" s="491"/>
      <c r="G482" s="491"/>
    </row>
    <row r="483" spans="1:7">
      <c r="A483" s="1300"/>
      <c r="B483" s="491"/>
      <c r="C483" s="491"/>
      <c r="D483" s="491"/>
      <c r="E483" s="491"/>
      <c r="F483" s="491"/>
      <c r="G483" s="491"/>
    </row>
    <row r="484" spans="1:7">
      <c r="A484" s="1300"/>
      <c r="B484" s="491"/>
      <c r="C484" s="491"/>
      <c r="D484" s="491"/>
      <c r="E484" s="491"/>
      <c r="F484" s="491"/>
      <c r="G484" s="491"/>
    </row>
    <row r="485" spans="1:7">
      <c r="A485" s="1300"/>
      <c r="B485" s="491"/>
      <c r="C485" s="491"/>
      <c r="D485" s="491"/>
      <c r="E485" s="491"/>
      <c r="F485" s="491"/>
      <c r="G485" s="491"/>
    </row>
    <row r="486" spans="1:7">
      <c r="A486" s="1300"/>
      <c r="B486" s="491"/>
      <c r="C486" s="491"/>
      <c r="D486" s="491"/>
      <c r="E486" s="491"/>
      <c r="F486" s="491"/>
      <c r="G486" s="491"/>
    </row>
    <row r="487" spans="1:7">
      <c r="A487" s="1300"/>
      <c r="B487" s="491"/>
      <c r="C487" s="491"/>
      <c r="D487" s="491"/>
      <c r="E487" s="491"/>
      <c r="F487" s="491"/>
      <c r="G487" s="491"/>
    </row>
    <row r="488" spans="1:7">
      <c r="A488" s="1300"/>
      <c r="B488" s="491"/>
      <c r="C488" s="491"/>
      <c r="D488" s="491"/>
      <c r="E488" s="491"/>
      <c r="F488" s="491"/>
      <c r="G488" s="491"/>
    </row>
    <row r="489" spans="1:7">
      <c r="A489" s="1300"/>
      <c r="B489" s="491"/>
      <c r="C489" s="491"/>
      <c r="D489" s="491"/>
      <c r="E489" s="491"/>
      <c r="F489" s="491"/>
      <c r="G489" s="491"/>
    </row>
    <row r="490" spans="1:7">
      <c r="A490" s="1300"/>
      <c r="B490" s="491"/>
      <c r="C490" s="491"/>
      <c r="D490" s="491"/>
      <c r="E490" s="491"/>
      <c r="F490" s="491"/>
      <c r="G490" s="491"/>
    </row>
    <row r="491" spans="1:7">
      <c r="A491" s="1300"/>
      <c r="B491" s="491"/>
      <c r="C491" s="491"/>
      <c r="D491" s="491"/>
      <c r="E491" s="491"/>
      <c r="F491" s="491"/>
      <c r="G491" s="491"/>
    </row>
    <row r="492" spans="1:7">
      <c r="A492" s="1300"/>
      <c r="B492" s="491"/>
      <c r="C492" s="491"/>
      <c r="D492" s="491"/>
      <c r="E492" s="491"/>
      <c r="F492" s="491"/>
      <c r="G492" s="491"/>
    </row>
    <row r="493" spans="1:7">
      <c r="A493" s="1300"/>
      <c r="B493" s="491"/>
      <c r="C493" s="491"/>
      <c r="D493" s="491"/>
      <c r="E493" s="491"/>
      <c r="F493" s="491"/>
      <c r="G493" s="491"/>
    </row>
    <row r="494" spans="1:7">
      <c r="A494" s="1300"/>
      <c r="B494" s="491"/>
      <c r="C494" s="491"/>
      <c r="D494" s="491"/>
      <c r="E494" s="491"/>
      <c r="F494" s="491"/>
      <c r="G494" s="491"/>
    </row>
    <row r="495" spans="1:7">
      <c r="A495" s="1300"/>
      <c r="B495" s="491"/>
      <c r="C495" s="491"/>
      <c r="D495" s="491"/>
      <c r="E495" s="491"/>
      <c r="F495" s="491"/>
      <c r="G495" s="491"/>
    </row>
    <row r="496" spans="1:7">
      <c r="A496" s="1300"/>
      <c r="B496" s="491"/>
      <c r="C496" s="491"/>
      <c r="D496" s="491"/>
      <c r="E496" s="491"/>
      <c r="F496" s="491"/>
      <c r="G496" s="491"/>
    </row>
    <row r="497" spans="1:7">
      <c r="A497" s="1300"/>
      <c r="B497" s="491"/>
      <c r="C497" s="491"/>
      <c r="D497" s="491"/>
      <c r="E497" s="491"/>
      <c r="F497" s="491"/>
      <c r="G497" s="491"/>
    </row>
    <row r="498" spans="1:7">
      <c r="A498" s="1300"/>
      <c r="B498" s="491"/>
      <c r="C498" s="491"/>
      <c r="D498" s="491"/>
      <c r="E498" s="491"/>
      <c r="F498" s="491"/>
      <c r="G498" s="491"/>
    </row>
    <row r="499" spans="1:7">
      <c r="A499" s="1300"/>
      <c r="B499" s="491"/>
      <c r="C499" s="491"/>
      <c r="D499" s="491"/>
      <c r="E499" s="491"/>
      <c r="F499" s="491"/>
      <c r="G499" s="491"/>
    </row>
    <row r="500" spans="1:7">
      <c r="A500" s="1300"/>
      <c r="B500" s="491"/>
      <c r="C500" s="491"/>
      <c r="D500" s="491"/>
      <c r="E500" s="491"/>
      <c r="F500" s="491"/>
      <c r="G500" s="491"/>
    </row>
    <row r="501" spans="1:7">
      <c r="A501" s="1300"/>
      <c r="B501" s="491"/>
      <c r="C501" s="491"/>
      <c r="D501" s="491"/>
      <c r="E501" s="491"/>
      <c r="F501" s="491"/>
      <c r="G501" s="491"/>
    </row>
    <row r="502" spans="1:7">
      <c r="A502" s="1300"/>
      <c r="B502" s="491"/>
      <c r="C502" s="491"/>
      <c r="D502" s="491"/>
      <c r="E502" s="491"/>
      <c r="F502" s="491"/>
      <c r="G502" s="491"/>
    </row>
    <row r="503" spans="1:7">
      <c r="A503" s="1300"/>
      <c r="B503" s="491"/>
      <c r="C503" s="491"/>
      <c r="D503" s="491"/>
      <c r="E503" s="491"/>
      <c r="F503" s="491"/>
      <c r="G503" s="491"/>
    </row>
    <row r="504" spans="1:7">
      <c r="A504" s="1300"/>
      <c r="B504" s="491"/>
      <c r="C504" s="491"/>
      <c r="D504" s="491"/>
      <c r="E504" s="491"/>
      <c r="F504" s="491"/>
      <c r="G504" s="491"/>
    </row>
    <row r="505" spans="1:7">
      <c r="A505" s="1300"/>
      <c r="B505" s="491"/>
      <c r="C505" s="491"/>
      <c r="D505" s="491"/>
      <c r="E505" s="491"/>
      <c r="F505" s="491"/>
      <c r="G505" s="491"/>
    </row>
    <row r="506" spans="1:7">
      <c r="A506" s="1300"/>
      <c r="B506" s="491"/>
      <c r="C506" s="491"/>
      <c r="D506" s="491"/>
      <c r="E506" s="491"/>
      <c r="F506" s="491"/>
      <c r="G506" s="491"/>
    </row>
    <row r="507" spans="1:7">
      <c r="A507" s="1300"/>
      <c r="B507" s="491"/>
      <c r="C507" s="491"/>
      <c r="D507" s="491"/>
      <c r="E507" s="491"/>
      <c r="F507" s="491"/>
      <c r="G507" s="491"/>
    </row>
    <row r="508" spans="1:7">
      <c r="A508" s="1300"/>
      <c r="B508" s="491"/>
      <c r="C508" s="491"/>
      <c r="D508" s="491"/>
      <c r="E508" s="491"/>
      <c r="F508" s="491"/>
      <c r="G508" s="491"/>
    </row>
    <row r="509" spans="1:7">
      <c r="A509" s="1300"/>
      <c r="B509" s="491"/>
      <c r="C509" s="491"/>
      <c r="D509" s="491"/>
      <c r="E509" s="491"/>
      <c r="F509" s="491"/>
      <c r="G509" s="491"/>
    </row>
    <row r="510" spans="1:7">
      <c r="A510" s="1300"/>
      <c r="B510" s="491"/>
      <c r="C510" s="491"/>
      <c r="D510" s="491"/>
      <c r="E510" s="491"/>
      <c r="F510" s="491"/>
      <c r="G510" s="491"/>
    </row>
    <row r="511" spans="1:7">
      <c r="A511" s="1300"/>
      <c r="B511" s="491"/>
      <c r="C511" s="491"/>
      <c r="D511" s="491"/>
      <c r="E511" s="491"/>
      <c r="F511" s="491"/>
      <c r="G511" s="491"/>
    </row>
    <row r="512" spans="1:7">
      <c r="A512" s="1300"/>
      <c r="B512" s="491"/>
      <c r="C512" s="491"/>
      <c r="D512" s="491"/>
      <c r="E512" s="491"/>
      <c r="F512" s="491"/>
      <c r="G512" s="491"/>
    </row>
    <row r="513" spans="1:7">
      <c r="A513" s="1300"/>
      <c r="B513" s="491"/>
      <c r="C513" s="491"/>
      <c r="D513" s="491"/>
      <c r="E513" s="491"/>
      <c r="F513" s="491"/>
      <c r="G513" s="491"/>
    </row>
    <row r="514" spans="1:7">
      <c r="A514" s="1300"/>
      <c r="B514" s="491"/>
      <c r="C514" s="491"/>
      <c r="D514" s="491"/>
      <c r="E514" s="491"/>
      <c r="F514" s="491"/>
      <c r="G514" s="491"/>
    </row>
    <row r="515" spans="1:7">
      <c r="A515" s="1300"/>
      <c r="B515" s="491"/>
      <c r="C515" s="491"/>
      <c r="D515" s="491"/>
      <c r="E515" s="491"/>
      <c r="F515" s="491"/>
      <c r="G515" s="491"/>
    </row>
    <row r="516" spans="1:7">
      <c r="A516" s="1300"/>
      <c r="B516" s="491"/>
      <c r="C516" s="491"/>
      <c r="D516" s="491"/>
      <c r="E516" s="491"/>
      <c r="F516" s="491"/>
      <c r="G516" s="491"/>
    </row>
    <row r="517" spans="1:7">
      <c r="A517" s="1300"/>
      <c r="B517" s="491"/>
      <c r="C517" s="491"/>
      <c r="D517" s="491"/>
      <c r="E517" s="491"/>
      <c r="F517" s="491"/>
      <c r="G517" s="491"/>
    </row>
    <row r="518" spans="1:7">
      <c r="A518" s="1300"/>
      <c r="B518" s="491"/>
      <c r="C518" s="491"/>
      <c r="D518" s="491"/>
      <c r="E518" s="491"/>
      <c r="F518" s="491"/>
      <c r="G518" s="491"/>
    </row>
    <row r="519" spans="1:7">
      <c r="A519" s="1300"/>
      <c r="B519" s="491"/>
      <c r="C519" s="491"/>
      <c r="D519" s="491"/>
      <c r="E519" s="491"/>
      <c r="F519" s="491"/>
      <c r="G519" s="491"/>
    </row>
    <row r="520" spans="1:7">
      <c r="A520" s="1300"/>
      <c r="B520" s="491"/>
      <c r="C520" s="491"/>
      <c r="D520" s="491"/>
      <c r="E520" s="491"/>
      <c r="F520" s="491"/>
      <c r="G520" s="491"/>
    </row>
    <row r="521" spans="1:7">
      <c r="A521" s="1300"/>
      <c r="B521" s="491"/>
      <c r="C521" s="491"/>
      <c r="D521" s="491"/>
      <c r="E521" s="491"/>
      <c r="F521" s="491"/>
      <c r="G521" s="491"/>
    </row>
    <row r="522" spans="1:7">
      <c r="A522" s="1300"/>
      <c r="B522" s="491"/>
      <c r="C522" s="491"/>
      <c r="D522" s="491"/>
      <c r="E522" s="491"/>
      <c r="F522" s="491"/>
      <c r="G522" s="491"/>
    </row>
    <row r="523" spans="1:7">
      <c r="A523" s="1300"/>
      <c r="B523" s="491"/>
      <c r="C523" s="491"/>
      <c r="D523" s="491"/>
      <c r="E523" s="491"/>
      <c r="F523" s="491"/>
      <c r="G523" s="491"/>
    </row>
    <row r="524" spans="1:7">
      <c r="A524" s="1300"/>
      <c r="B524" s="491"/>
      <c r="C524" s="491"/>
      <c r="D524" s="491"/>
      <c r="E524" s="491"/>
      <c r="F524" s="491"/>
      <c r="G524" s="491"/>
    </row>
    <row r="525" spans="1:7">
      <c r="A525" s="1300"/>
      <c r="B525" s="491"/>
      <c r="C525" s="491"/>
      <c r="D525" s="491"/>
      <c r="E525" s="491"/>
      <c r="F525" s="491"/>
      <c r="G525" s="491"/>
    </row>
    <row r="526" spans="1:7">
      <c r="A526" s="1300"/>
      <c r="B526" s="491"/>
      <c r="C526" s="491"/>
      <c r="D526" s="491"/>
      <c r="E526" s="491"/>
      <c r="F526" s="491"/>
      <c r="G526" s="491"/>
    </row>
    <row r="527" spans="1:7">
      <c r="A527" s="1300"/>
      <c r="B527" s="491"/>
      <c r="C527" s="491"/>
      <c r="D527" s="491"/>
      <c r="E527" s="491"/>
      <c r="F527" s="491"/>
      <c r="G527" s="491"/>
    </row>
    <row r="528" spans="1:7">
      <c r="A528" s="1300"/>
      <c r="B528" s="491"/>
      <c r="C528" s="491"/>
      <c r="D528" s="491"/>
      <c r="E528" s="491"/>
      <c r="F528" s="491"/>
      <c r="G528" s="491"/>
    </row>
    <row r="529" spans="1:7">
      <c r="A529" s="1300"/>
      <c r="B529" s="491"/>
      <c r="C529" s="491"/>
      <c r="D529" s="491"/>
      <c r="E529" s="491"/>
      <c r="F529" s="491"/>
      <c r="G529" s="491"/>
    </row>
    <row r="530" spans="1:7">
      <c r="A530" s="1300"/>
      <c r="B530" s="491"/>
      <c r="C530" s="491"/>
      <c r="D530" s="491"/>
      <c r="E530" s="491"/>
      <c r="F530" s="491"/>
      <c r="G530" s="491"/>
    </row>
    <row r="531" spans="1:7">
      <c r="A531" s="1300"/>
      <c r="B531" s="491"/>
      <c r="C531" s="491"/>
      <c r="D531" s="491"/>
      <c r="E531" s="491"/>
      <c r="F531" s="491"/>
      <c r="G531" s="491"/>
    </row>
    <row r="532" spans="1:7">
      <c r="A532" s="1300"/>
      <c r="B532" s="491"/>
      <c r="C532" s="491"/>
      <c r="D532" s="491"/>
      <c r="E532" s="491"/>
      <c r="F532" s="491"/>
      <c r="G532" s="491"/>
    </row>
    <row r="533" spans="1:7">
      <c r="A533" s="1300"/>
      <c r="B533" s="491"/>
      <c r="C533" s="491"/>
      <c r="D533" s="491"/>
      <c r="E533" s="491"/>
      <c r="F533" s="491"/>
      <c r="G533" s="491"/>
    </row>
    <row r="534" spans="1:7">
      <c r="A534" s="1300"/>
      <c r="B534" s="491"/>
      <c r="C534" s="491"/>
      <c r="D534" s="491"/>
      <c r="E534" s="491"/>
      <c r="F534" s="491"/>
      <c r="G534" s="491"/>
    </row>
    <row r="535" spans="1:7">
      <c r="A535" s="1300"/>
      <c r="B535" s="491"/>
      <c r="C535" s="491"/>
      <c r="D535" s="491"/>
      <c r="E535" s="491"/>
      <c r="F535" s="491"/>
      <c r="G535" s="491"/>
    </row>
    <row r="536" spans="1:7">
      <c r="A536" s="1300"/>
      <c r="B536" s="491"/>
      <c r="C536" s="491"/>
      <c r="D536" s="491"/>
      <c r="E536" s="491"/>
      <c r="F536" s="491"/>
      <c r="G536" s="491"/>
    </row>
    <row r="537" spans="1:7">
      <c r="A537" s="1300"/>
      <c r="B537" s="491"/>
      <c r="C537" s="491"/>
      <c r="D537" s="491"/>
      <c r="E537" s="491"/>
      <c r="F537" s="491"/>
      <c r="G537" s="491"/>
    </row>
    <row r="538" spans="1:7">
      <c r="A538" s="1300"/>
      <c r="B538" s="491"/>
      <c r="C538" s="491"/>
      <c r="D538" s="491"/>
      <c r="E538" s="491"/>
      <c r="F538" s="491"/>
      <c r="G538" s="491"/>
    </row>
    <row r="539" spans="1:7">
      <c r="A539" s="1300"/>
      <c r="B539" s="491"/>
      <c r="C539" s="491"/>
      <c r="D539" s="491"/>
      <c r="E539" s="491"/>
      <c r="F539" s="491"/>
      <c r="G539" s="491"/>
    </row>
    <row r="540" spans="1:7">
      <c r="A540" s="1300"/>
      <c r="B540" s="491"/>
      <c r="C540" s="491"/>
      <c r="D540" s="491"/>
      <c r="E540" s="491"/>
      <c r="F540" s="491"/>
      <c r="G540" s="491"/>
    </row>
    <row r="541" spans="1:7">
      <c r="A541" s="1300"/>
      <c r="B541" s="491"/>
      <c r="C541" s="491"/>
      <c r="D541" s="491"/>
      <c r="E541" s="491"/>
      <c r="F541" s="491"/>
      <c r="G541" s="491"/>
    </row>
    <row r="542" spans="1:7">
      <c r="A542" s="1300"/>
      <c r="B542" s="491"/>
      <c r="C542" s="491"/>
      <c r="D542" s="491"/>
      <c r="E542" s="491"/>
      <c r="F542" s="491"/>
      <c r="G542" s="491"/>
    </row>
    <row r="543" spans="1:7">
      <c r="A543" s="1300"/>
      <c r="B543" s="491"/>
      <c r="C543" s="491"/>
      <c r="D543" s="491"/>
      <c r="E543" s="491"/>
      <c r="F543" s="491"/>
      <c r="G543" s="491"/>
    </row>
    <row r="544" spans="1:7">
      <c r="A544" s="1300"/>
      <c r="B544" s="491"/>
      <c r="C544" s="491"/>
      <c r="D544" s="491"/>
      <c r="E544" s="491"/>
      <c r="F544" s="491"/>
      <c r="G544" s="491"/>
    </row>
    <row r="545" spans="1:7">
      <c r="A545" s="1300"/>
      <c r="B545" s="491"/>
      <c r="C545" s="491"/>
      <c r="D545" s="491"/>
      <c r="E545" s="491"/>
      <c r="F545" s="491"/>
      <c r="G545" s="491"/>
    </row>
    <row r="546" spans="1:7">
      <c r="A546" s="1300"/>
      <c r="B546" s="491"/>
      <c r="C546" s="491"/>
      <c r="D546" s="491"/>
      <c r="E546" s="491"/>
      <c r="F546" s="491"/>
      <c r="G546" s="491"/>
    </row>
    <row r="547" spans="1:7">
      <c r="A547" s="1300"/>
      <c r="B547" s="491"/>
      <c r="C547" s="491"/>
      <c r="D547" s="491"/>
      <c r="E547" s="491"/>
      <c r="F547" s="491"/>
      <c r="G547" s="491"/>
    </row>
    <row r="548" spans="1:7">
      <c r="A548" s="1300"/>
      <c r="B548" s="491"/>
      <c r="C548" s="491"/>
      <c r="D548" s="491"/>
      <c r="E548" s="491"/>
      <c r="F548" s="491"/>
      <c r="G548" s="491"/>
    </row>
    <row r="549" spans="1:7">
      <c r="A549" s="1300"/>
      <c r="B549" s="491"/>
      <c r="C549" s="491"/>
      <c r="D549" s="491"/>
      <c r="E549" s="491"/>
      <c r="F549" s="491"/>
      <c r="G549" s="491"/>
    </row>
    <row r="550" spans="1:7">
      <c r="A550" s="1300"/>
      <c r="B550" s="491"/>
      <c r="C550" s="491"/>
      <c r="D550" s="491"/>
      <c r="E550" s="491"/>
      <c r="F550" s="491"/>
      <c r="G550" s="491"/>
    </row>
    <row r="551" spans="1:7">
      <c r="A551" s="1300"/>
      <c r="B551" s="491"/>
      <c r="C551" s="491"/>
      <c r="D551" s="491"/>
      <c r="E551" s="491"/>
      <c r="F551" s="491"/>
      <c r="G551" s="491"/>
    </row>
    <row r="552" spans="1:7">
      <c r="A552" s="1300"/>
      <c r="B552" s="491"/>
      <c r="C552" s="491"/>
      <c r="D552" s="491"/>
      <c r="E552" s="491"/>
      <c r="F552" s="491"/>
      <c r="G552" s="491"/>
    </row>
    <row r="553" spans="1:7">
      <c r="A553" s="1300"/>
      <c r="B553" s="491"/>
      <c r="C553" s="491"/>
      <c r="D553" s="491"/>
      <c r="E553" s="491"/>
      <c r="F553" s="491"/>
      <c r="G553" s="491"/>
    </row>
    <row r="554" spans="1:7">
      <c r="A554" s="1300"/>
      <c r="B554" s="491"/>
      <c r="C554" s="491"/>
      <c r="D554" s="491"/>
      <c r="E554" s="491"/>
      <c r="F554" s="491"/>
      <c r="G554" s="491"/>
    </row>
    <row r="555" spans="1:7">
      <c r="A555" s="1300"/>
      <c r="B555" s="491"/>
      <c r="C555" s="491"/>
      <c r="D555" s="491"/>
      <c r="E555" s="491"/>
      <c r="F555" s="491"/>
      <c r="G555" s="491"/>
    </row>
    <row r="556" spans="1:7">
      <c r="A556" s="1300"/>
      <c r="B556" s="491"/>
      <c r="C556" s="491"/>
      <c r="D556" s="491"/>
      <c r="E556" s="491"/>
      <c r="F556" s="491"/>
      <c r="G556" s="491"/>
    </row>
    <row r="557" spans="1:7">
      <c r="A557" s="1300"/>
      <c r="B557" s="491"/>
      <c r="C557" s="491"/>
      <c r="D557" s="491"/>
      <c r="E557" s="491"/>
      <c r="F557" s="491"/>
      <c r="G557" s="491"/>
    </row>
    <row r="558" spans="1:7">
      <c r="A558" s="1300"/>
      <c r="B558" s="491"/>
      <c r="C558" s="491"/>
      <c r="D558" s="491"/>
      <c r="E558" s="491"/>
      <c r="F558" s="491"/>
      <c r="G558" s="491"/>
    </row>
    <row r="559" spans="1:7">
      <c r="A559" s="1300"/>
      <c r="B559" s="491"/>
      <c r="C559" s="491"/>
      <c r="D559" s="491"/>
      <c r="E559" s="491"/>
      <c r="F559" s="491"/>
      <c r="G559" s="491"/>
    </row>
    <row r="560" spans="1:7">
      <c r="A560" s="1300"/>
      <c r="B560" s="491"/>
      <c r="C560" s="491"/>
      <c r="D560" s="491"/>
      <c r="E560" s="491"/>
      <c r="F560" s="491"/>
      <c r="G560" s="491"/>
    </row>
    <row r="561" spans="1:7">
      <c r="A561" s="1300"/>
      <c r="B561" s="491"/>
      <c r="C561" s="491"/>
      <c r="D561" s="491"/>
      <c r="E561" s="491"/>
      <c r="F561" s="491"/>
      <c r="G561" s="491"/>
    </row>
    <row r="562" spans="1:7">
      <c r="A562" s="1300"/>
      <c r="B562" s="491"/>
      <c r="C562" s="491"/>
      <c r="D562" s="491"/>
      <c r="E562" s="491"/>
      <c r="F562" s="491"/>
      <c r="G562" s="491"/>
    </row>
    <row r="563" spans="1:7">
      <c r="A563" s="1300"/>
      <c r="B563" s="491"/>
      <c r="C563" s="491"/>
      <c r="D563" s="491"/>
      <c r="E563" s="491"/>
      <c r="F563" s="491"/>
      <c r="G563" s="491"/>
    </row>
    <row r="564" spans="1:7">
      <c r="A564" s="1300"/>
      <c r="B564" s="491"/>
      <c r="C564" s="491"/>
      <c r="D564" s="491"/>
      <c r="E564" s="491"/>
      <c r="F564" s="491"/>
      <c r="G564" s="491"/>
    </row>
    <row r="565" spans="1:7">
      <c r="A565" s="1300"/>
      <c r="B565" s="491"/>
      <c r="C565" s="491"/>
      <c r="D565" s="491"/>
      <c r="E565" s="491"/>
      <c r="F565" s="491"/>
      <c r="G565" s="491"/>
    </row>
    <row r="566" spans="1:7">
      <c r="A566" s="1300"/>
      <c r="B566" s="491"/>
      <c r="C566" s="491"/>
      <c r="D566" s="491"/>
      <c r="E566" s="491"/>
      <c r="F566" s="491"/>
      <c r="G566" s="491"/>
    </row>
    <row r="567" spans="1:7">
      <c r="A567" s="1300"/>
      <c r="B567" s="491"/>
      <c r="C567" s="491"/>
      <c r="D567" s="491"/>
      <c r="E567" s="491"/>
      <c r="F567" s="491"/>
      <c r="G567" s="491"/>
    </row>
    <row r="568" spans="1:7">
      <c r="A568" s="1300"/>
      <c r="B568" s="491"/>
      <c r="C568" s="491"/>
      <c r="D568" s="491"/>
      <c r="E568" s="491"/>
      <c r="F568" s="491"/>
      <c r="G568" s="491"/>
    </row>
    <row r="569" spans="1:7">
      <c r="A569" s="1300"/>
      <c r="B569" s="491"/>
      <c r="C569" s="491"/>
      <c r="D569" s="491"/>
      <c r="E569" s="491"/>
      <c r="F569" s="491"/>
      <c r="G569" s="491"/>
    </row>
    <row r="570" spans="1:7">
      <c r="A570" s="1300"/>
      <c r="B570" s="491"/>
      <c r="C570" s="491"/>
      <c r="D570" s="491"/>
      <c r="E570" s="491"/>
      <c r="F570" s="491"/>
      <c r="G570" s="491"/>
    </row>
    <row r="571" spans="1:7">
      <c r="A571" s="1300"/>
      <c r="B571" s="491"/>
      <c r="C571" s="491"/>
      <c r="D571" s="491"/>
      <c r="E571" s="491"/>
      <c r="F571" s="491"/>
      <c r="G571" s="491"/>
    </row>
    <row r="572" spans="1:7">
      <c r="A572" s="1300"/>
      <c r="B572" s="491"/>
      <c r="C572" s="491"/>
      <c r="D572" s="491"/>
      <c r="E572" s="491"/>
      <c r="F572" s="491"/>
      <c r="G572" s="491"/>
    </row>
    <row r="573" spans="1:7">
      <c r="A573" s="1300"/>
      <c r="B573" s="491"/>
      <c r="C573" s="491"/>
      <c r="D573" s="491"/>
      <c r="E573" s="491"/>
      <c r="F573" s="491"/>
      <c r="G573" s="491"/>
    </row>
    <row r="574" spans="1:7">
      <c r="A574" s="1300"/>
      <c r="B574" s="491"/>
      <c r="C574" s="491"/>
      <c r="D574" s="491"/>
      <c r="E574" s="491"/>
      <c r="F574" s="491"/>
      <c r="G574" s="491"/>
    </row>
    <row r="575" spans="1:7">
      <c r="A575" s="1300"/>
      <c r="B575" s="491"/>
      <c r="C575" s="491"/>
      <c r="D575" s="491"/>
      <c r="E575" s="491"/>
      <c r="F575" s="491"/>
      <c r="G575" s="491"/>
    </row>
    <row r="576" spans="1:7">
      <c r="A576" s="1300"/>
      <c r="B576" s="491"/>
      <c r="C576" s="491"/>
      <c r="D576" s="491"/>
      <c r="E576" s="491"/>
      <c r="F576" s="491"/>
      <c r="G576" s="491"/>
    </row>
    <row r="577" spans="1:7">
      <c r="A577" s="1300"/>
      <c r="B577" s="491"/>
      <c r="C577" s="491"/>
      <c r="D577" s="491"/>
      <c r="E577" s="491"/>
      <c r="F577" s="491"/>
      <c r="G577" s="491"/>
    </row>
    <row r="578" spans="1:7">
      <c r="A578" s="1300"/>
      <c r="B578" s="491"/>
      <c r="C578" s="491"/>
      <c r="D578" s="491"/>
      <c r="E578" s="491"/>
      <c r="F578" s="491"/>
      <c r="G578" s="491"/>
    </row>
    <row r="579" spans="1:7">
      <c r="A579" s="1300"/>
      <c r="B579" s="491"/>
      <c r="C579" s="491"/>
      <c r="D579" s="491"/>
      <c r="E579" s="491"/>
      <c r="F579" s="491"/>
      <c r="G579" s="491"/>
    </row>
    <row r="580" spans="1:7">
      <c r="A580" s="1300"/>
      <c r="B580" s="491"/>
      <c r="C580" s="491"/>
      <c r="D580" s="491"/>
      <c r="E580" s="491"/>
      <c r="F580" s="491"/>
      <c r="G580" s="491"/>
    </row>
    <row r="581" spans="1:7">
      <c r="A581" s="1300"/>
      <c r="B581" s="491"/>
      <c r="C581" s="491"/>
      <c r="D581" s="491"/>
      <c r="E581" s="491"/>
      <c r="F581" s="491"/>
      <c r="G581" s="491"/>
    </row>
    <row r="582" spans="1:7">
      <c r="A582" s="1300"/>
      <c r="B582" s="491"/>
      <c r="C582" s="491"/>
      <c r="D582" s="491"/>
      <c r="E582" s="491"/>
      <c r="F582" s="491"/>
      <c r="G582" s="491"/>
    </row>
    <row r="583" spans="1:7">
      <c r="A583" s="1300"/>
      <c r="B583" s="491"/>
      <c r="C583" s="491"/>
      <c r="D583" s="491"/>
      <c r="E583" s="491"/>
      <c r="F583" s="491"/>
      <c r="G583" s="491"/>
    </row>
    <row r="584" spans="1:7">
      <c r="A584" s="1300"/>
      <c r="B584" s="491"/>
      <c r="C584" s="491"/>
      <c r="D584" s="491"/>
      <c r="E584" s="491"/>
      <c r="F584" s="491"/>
      <c r="G584" s="491"/>
    </row>
    <row r="585" spans="1:7">
      <c r="A585" s="1300"/>
      <c r="B585" s="491"/>
      <c r="C585" s="491"/>
      <c r="D585" s="491"/>
      <c r="E585" s="491"/>
      <c r="F585" s="491"/>
      <c r="G585" s="491"/>
    </row>
    <row r="586" spans="1:7">
      <c r="A586" s="1300"/>
      <c r="B586" s="491"/>
      <c r="C586" s="491"/>
      <c r="D586" s="491"/>
      <c r="E586" s="491"/>
      <c r="F586" s="491"/>
      <c r="G586" s="491"/>
    </row>
    <row r="587" spans="1:7">
      <c r="A587" s="1300"/>
      <c r="B587" s="491"/>
      <c r="C587" s="491"/>
      <c r="D587" s="491"/>
      <c r="E587" s="491"/>
      <c r="F587" s="491"/>
      <c r="G587" s="491"/>
    </row>
    <row r="588" spans="1:7">
      <c r="A588" s="1300"/>
      <c r="B588" s="491"/>
      <c r="C588" s="491"/>
      <c r="D588" s="491"/>
      <c r="E588" s="491"/>
      <c r="F588" s="491"/>
      <c r="G588" s="491"/>
    </row>
    <row r="589" spans="1:7">
      <c r="A589" s="1300"/>
      <c r="B589" s="491"/>
      <c r="C589" s="491"/>
      <c r="D589" s="491"/>
      <c r="E589" s="491"/>
      <c r="F589" s="491"/>
      <c r="G589" s="491"/>
    </row>
    <row r="590" spans="1:7">
      <c r="A590" s="1300"/>
      <c r="B590" s="491"/>
      <c r="C590" s="491"/>
      <c r="D590" s="491"/>
      <c r="E590" s="491"/>
      <c r="F590" s="491"/>
      <c r="G590" s="491"/>
    </row>
    <row r="591" spans="1:7">
      <c r="A591" s="1300"/>
      <c r="B591" s="491"/>
      <c r="C591" s="491"/>
      <c r="D591" s="491"/>
      <c r="E591" s="491"/>
      <c r="F591" s="491"/>
      <c r="G591" s="491"/>
    </row>
    <row r="592" spans="1:7">
      <c r="A592" s="1300"/>
      <c r="B592" s="491"/>
      <c r="C592" s="491"/>
      <c r="D592" s="491"/>
      <c r="E592" s="491"/>
      <c r="F592" s="491"/>
      <c r="G592" s="491"/>
    </row>
    <row r="593" spans="1:7">
      <c r="A593" s="1300"/>
      <c r="B593" s="491"/>
      <c r="C593" s="491"/>
      <c r="D593" s="491"/>
      <c r="E593" s="491"/>
      <c r="F593" s="491"/>
      <c r="G593" s="491"/>
    </row>
    <row r="594" spans="1:7">
      <c r="A594" s="1300"/>
      <c r="B594" s="491"/>
      <c r="C594" s="491"/>
      <c r="D594" s="491"/>
      <c r="E594" s="491"/>
      <c r="F594" s="491"/>
      <c r="G594" s="491"/>
    </row>
    <row r="595" spans="1:7">
      <c r="A595" s="1300"/>
      <c r="B595" s="491"/>
      <c r="C595" s="491"/>
      <c r="D595" s="491"/>
      <c r="E595" s="491"/>
      <c r="F595" s="491"/>
      <c r="G595" s="491"/>
    </row>
    <row r="596" spans="1:7">
      <c r="A596" s="1300"/>
      <c r="B596" s="491"/>
      <c r="C596" s="491"/>
      <c r="D596" s="491"/>
      <c r="E596" s="491"/>
      <c r="F596" s="491"/>
      <c r="G596" s="491"/>
    </row>
    <row r="597" spans="1:7">
      <c r="A597" s="1300"/>
      <c r="B597" s="491"/>
      <c r="C597" s="491"/>
      <c r="D597" s="491"/>
      <c r="E597" s="491"/>
      <c r="F597" s="491"/>
      <c r="G597" s="491"/>
    </row>
    <row r="598" spans="1:7">
      <c r="A598" s="1300"/>
      <c r="B598" s="491"/>
      <c r="C598" s="491"/>
      <c r="D598" s="491"/>
      <c r="E598" s="491"/>
      <c r="F598" s="491"/>
      <c r="G598" s="491"/>
    </row>
    <row r="599" spans="1:7">
      <c r="A599" s="1300"/>
      <c r="B599" s="491"/>
      <c r="C599" s="491"/>
      <c r="D599" s="491"/>
      <c r="E599" s="491"/>
      <c r="F599" s="491"/>
      <c r="G599" s="491"/>
    </row>
    <row r="600" spans="1:7">
      <c r="A600" s="1300"/>
      <c r="B600" s="491"/>
      <c r="C600" s="491"/>
      <c r="D600" s="491"/>
      <c r="E600" s="491"/>
      <c r="F600" s="491"/>
      <c r="G600" s="491"/>
    </row>
    <row r="601" spans="1:7">
      <c r="A601" s="1300"/>
      <c r="B601" s="491"/>
      <c r="C601" s="491"/>
      <c r="D601" s="491"/>
      <c r="E601" s="491"/>
      <c r="F601" s="491"/>
      <c r="G601" s="491"/>
    </row>
    <row r="602" spans="1:7">
      <c r="A602" s="1300"/>
      <c r="B602" s="491"/>
      <c r="C602" s="491"/>
      <c r="D602" s="491"/>
      <c r="E602" s="491"/>
      <c r="F602" s="491"/>
      <c r="G602" s="491"/>
    </row>
    <row r="603" spans="1:7">
      <c r="A603" s="1300"/>
      <c r="B603" s="491"/>
      <c r="C603" s="491"/>
      <c r="D603" s="491"/>
      <c r="E603" s="491"/>
      <c r="F603" s="491"/>
      <c r="G603" s="491"/>
    </row>
    <row r="604" spans="1:7">
      <c r="A604" s="1300"/>
      <c r="B604" s="491"/>
      <c r="C604" s="491"/>
      <c r="D604" s="491"/>
      <c r="E604" s="491"/>
      <c r="F604" s="491"/>
      <c r="G604" s="491"/>
    </row>
    <row r="605" spans="1:7">
      <c r="A605" s="1300"/>
      <c r="B605" s="491"/>
      <c r="C605" s="491"/>
      <c r="D605" s="491"/>
      <c r="E605" s="491"/>
      <c r="F605" s="491"/>
      <c r="G605" s="491"/>
    </row>
    <row r="606" spans="1:7">
      <c r="A606" s="1300"/>
      <c r="B606" s="491"/>
      <c r="C606" s="491"/>
      <c r="D606" s="491"/>
      <c r="E606" s="491"/>
      <c r="F606" s="491"/>
      <c r="G606" s="491"/>
    </row>
    <row r="607" spans="1:7">
      <c r="A607" s="1300"/>
      <c r="B607" s="491"/>
      <c r="C607" s="491"/>
      <c r="D607" s="491"/>
      <c r="E607" s="491"/>
      <c r="F607" s="491"/>
      <c r="G607" s="491"/>
    </row>
    <row r="608" spans="1:7">
      <c r="A608" s="1300"/>
      <c r="B608" s="491"/>
      <c r="C608" s="491"/>
      <c r="D608" s="491"/>
      <c r="E608" s="491"/>
      <c r="F608" s="491"/>
      <c r="G608" s="491"/>
    </row>
    <row r="609" spans="1:7">
      <c r="A609" s="1300"/>
      <c r="B609" s="491"/>
      <c r="C609" s="491"/>
      <c r="D609" s="491"/>
      <c r="E609" s="491"/>
      <c r="F609" s="491"/>
      <c r="G609" s="491"/>
    </row>
    <row r="610" spans="1:7">
      <c r="A610" s="1300"/>
      <c r="B610" s="491"/>
      <c r="C610" s="491"/>
      <c r="D610" s="491"/>
      <c r="E610" s="491"/>
      <c r="F610" s="491"/>
      <c r="G610" s="491"/>
    </row>
    <row r="611" spans="1:7">
      <c r="A611" s="1300"/>
      <c r="B611" s="491"/>
      <c r="C611" s="491"/>
      <c r="D611" s="491"/>
      <c r="E611" s="491"/>
      <c r="F611" s="491"/>
      <c r="G611" s="491"/>
    </row>
    <row r="612" spans="1:7">
      <c r="A612" s="1300"/>
      <c r="B612" s="491"/>
      <c r="C612" s="491"/>
      <c r="D612" s="491"/>
      <c r="E612" s="491"/>
      <c r="F612" s="491"/>
      <c r="G612" s="491"/>
    </row>
    <row r="613" spans="1:7">
      <c r="A613" s="1300"/>
      <c r="B613" s="491"/>
      <c r="C613" s="491"/>
      <c r="D613" s="491"/>
      <c r="E613" s="491"/>
      <c r="F613" s="491"/>
      <c r="G613" s="491"/>
    </row>
  </sheetData>
  <mergeCells count="16">
    <mergeCell ref="A190:G190"/>
    <mergeCell ref="A194:G194"/>
    <mergeCell ref="A197:G197"/>
    <mergeCell ref="A1:G1"/>
    <mergeCell ref="A2:G2"/>
    <mergeCell ref="A3:G3"/>
    <mergeCell ref="A69:G69"/>
    <mergeCell ref="A73:G73"/>
    <mergeCell ref="A77:G77"/>
    <mergeCell ref="A78:G78"/>
    <mergeCell ref="A79:G79"/>
    <mergeCell ref="A80:G80"/>
    <mergeCell ref="A128:G128"/>
    <mergeCell ref="A132:G132"/>
    <mergeCell ref="A136:G136"/>
    <mergeCell ref="A137:G137"/>
  </mergeCells>
  <conditionalFormatting sqref="F19">
    <cfRule type="cellIs" dxfId="1" priority="1" stopIfTrue="1" operator="notEqual">
      <formula>0</formula>
    </cfRule>
  </conditionalFormatting>
  <printOptions horizontalCentered="1"/>
  <pageMargins left="0.75" right="0.75" top="1" bottom="1" header="0.5" footer="0.5"/>
  <pageSetup scale="30" orientation="landscape" r:id="rId1"/>
  <headerFooter alignWithMargins="0"/>
  <rowBreaks count="2" manualBreakCount="2">
    <brk id="71" max="16383" man="1"/>
    <brk id="130" max="16383" man="1"/>
  </rowBreaks>
  <ignoredErrors>
    <ignoredError sqref="B6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72"/>
  <sheetViews>
    <sheetView zoomScale="75" zoomScaleNormal="75" workbookViewId="0"/>
  </sheetViews>
  <sheetFormatPr defaultColWidth="9.109375" defaultRowHeight="15" outlineLevelCol="1"/>
  <cols>
    <col min="1" max="2" width="4.6640625" style="393" customWidth="1"/>
    <col min="3" max="3" width="59.88671875" style="393" customWidth="1"/>
    <col min="4" max="4" width="3.109375" style="393" customWidth="1"/>
    <col min="5" max="5" width="16.5546875" style="414" customWidth="1"/>
    <col min="6" max="6" width="15.33203125" style="393" customWidth="1"/>
    <col min="7" max="7" width="20.109375" style="393" customWidth="1"/>
    <col min="8" max="8" width="24.5546875" style="393" bestFit="1" customWidth="1" outlineLevel="1"/>
    <col min="9" max="9" width="20.5546875" style="393" customWidth="1"/>
    <col min="10" max="16384" width="9.109375" style="393"/>
  </cols>
  <sheetData>
    <row r="1" spans="1:20" ht="17.399999999999999">
      <c r="A1" s="286"/>
      <c r="B1" s="286"/>
      <c r="C1" s="286"/>
      <c r="D1" s="286"/>
      <c r="E1" s="440"/>
      <c r="F1" s="286"/>
      <c r="G1" s="286"/>
      <c r="H1" s="286"/>
      <c r="I1" s="286"/>
    </row>
    <row r="2" spans="1:20" ht="17.399999999999999">
      <c r="A2" s="2581" t="str">
        <f>+'Appendix A'!A3</f>
        <v>Public Service Electric and Gas Company</v>
      </c>
      <c r="B2" s="2581"/>
      <c r="C2" s="2581"/>
      <c r="D2" s="2581"/>
      <c r="E2" s="2581"/>
      <c r="F2" s="2581"/>
      <c r="G2" s="2581"/>
      <c r="H2" s="2581"/>
      <c r="I2" s="286"/>
    </row>
    <row r="3" spans="1:20" ht="17.399999999999999">
      <c r="A3" s="2581" t="str">
        <f>+'Appendix A'!A4</f>
        <v xml:space="preserve">ATTACHMENT H-10A </v>
      </c>
      <c r="B3" s="2581"/>
      <c r="C3" s="2581"/>
      <c r="D3" s="2581"/>
      <c r="E3" s="2581"/>
      <c r="F3" s="2582"/>
      <c r="G3" s="2582"/>
      <c r="H3" s="2582"/>
      <c r="I3" s="286"/>
    </row>
    <row r="4" spans="1:20" s="286" customFormat="1" ht="17.399999999999999">
      <c r="A4" s="2581" t="s">
        <v>929</v>
      </c>
      <c r="B4" s="2581"/>
      <c r="C4" s="2581"/>
      <c r="D4" s="2581"/>
      <c r="E4" s="2581"/>
      <c r="F4" s="2582"/>
      <c r="G4" s="2582"/>
      <c r="H4" s="2582"/>
      <c r="I4" s="441"/>
    </row>
    <row r="5" spans="1:20" ht="17.399999999999999">
      <c r="I5" s="286"/>
      <c r="J5" s="286"/>
      <c r="K5" s="286"/>
      <c r="L5" s="286"/>
      <c r="M5" s="286"/>
    </row>
    <row r="6" spans="1:20" s="3" customFormat="1" ht="15.6">
      <c r="A6" s="393"/>
      <c r="B6" s="393"/>
      <c r="C6" s="393"/>
      <c r="D6" s="394"/>
      <c r="E6" s="13"/>
      <c r="G6" s="7"/>
      <c r="H6" s="7"/>
      <c r="I6" s="6"/>
      <c r="J6" s="6"/>
      <c r="K6" s="6"/>
      <c r="L6" s="6"/>
      <c r="M6" s="6"/>
      <c r="N6" s="6"/>
      <c r="O6" s="6"/>
      <c r="P6" s="6"/>
      <c r="Q6" s="6"/>
      <c r="R6" s="6"/>
      <c r="S6" s="6"/>
      <c r="T6" s="19"/>
    </row>
    <row r="7" spans="1:20" s="3" customFormat="1">
      <c r="E7" s="13"/>
      <c r="I7" s="6"/>
      <c r="J7" s="6"/>
      <c r="K7" s="6"/>
      <c r="L7" s="6"/>
      <c r="M7" s="6"/>
      <c r="N7" s="6"/>
      <c r="O7" s="6"/>
      <c r="P7" s="6"/>
      <c r="Q7" s="6"/>
      <c r="R7" s="6"/>
      <c r="S7" s="6"/>
      <c r="T7" s="19"/>
    </row>
    <row r="8" spans="1:20" ht="17.399999999999999">
      <c r="A8" s="3"/>
      <c r="B8" s="3"/>
      <c r="C8" s="3"/>
      <c r="D8" s="52"/>
      <c r="E8" s="52" t="s">
        <v>562</v>
      </c>
      <c r="F8" s="52"/>
      <c r="G8" s="52" t="s">
        <v>571</v>
      </c>
      <c r="H8" s="52"/>
      <c r="I8" s="441"/>
    </row>
    <row r="9" spans="1:20" ht="15.6">
      <c r="A9" s="395" t="s">
        <v>129</v>
      </c>
      <c r="B9" s="395"/>
      <c r="C9" s="3"/>
      <c r="D9" s="52"/>
      <c r="E9" s="52" t="s">
        <v>563</v>
      </c>
      <c r="F9" s="52" t="s">
        <v>347</v>
      </c>
      <c r="G9" s="52" t="s">
        <v>572</v>
      </c>
      <c r="H9" s="52"/>
    </row>
    <row r="10" spans="1:20" ht="15.6">
      <c r="A10" s="395"/>
      <c r="B10" s="395"/>
      <c r="C10" s="3"/>
      <c r="D10" s="52"/>
      <c r="E10" s="396"/>
      <c r="F10" s="52"/>
      <c r="G10" s="52"/>
      <c r="H10" s="52"/>
    </row>
    <row r="11" spans="1:20" ht="15.6">
      <c r="A11" s="395"/>
      <c r="B11" s="395"/>
      <c r="C11" s="3"/>
      <c r="D11" s="52"/>
      <c r="E11" s="396"/>
      <c r="F11" s="52"/>
      <c r="G11" s="52"/>
      <c r="H11" s="52"/>
    </row>
    <row r="12" spans="1:20" ht="15.6">
      <c r="D12" s="397"/>
      <c r="E12" s="396"/>
      <c r="F12" s="3"/>
      <c r="G12" s="52"/>
      <c r="H12" s="390"/>
    </row>
    <row r="13" spans="1:20" ht="15.6">
      <c r="A13" s="392"/>
      <c r="B13" s="395" t="s">
        <v>561</v>
      </c>
      <c r="C13" s="3"/>
      <c r="D13" s="52"/>
      <c r="E13" s="398"/>
      <c r="F13" s="285"/>
      <c r="G13" s="52"/>
      <c r="H13" s="390"/>
      <c r="I13" s="248"/>
      <c r="J13" s="248"/>
    </row>
    <row r="14" spans="1:20" s="3" customFormat="1" ht="15.6">
      <c r="A14" s="392"/>
      <c r="B14" s="393"/>
      <c r="C14" s="393"/>
      <c r="D14" s="397"/>
      <c r="E14" s="399"/>
      <c r="F14" s="400"/>
      <c r="G14" s="400"/>
      <c r="H14" s="391"/>
    </row>
    <row r="15" spans="1:20" s="3" customFormat="1">
      <c r="A15" s="18">
        <v>1</v>
      </c>
      <c r="C15" s="7" t="s">
        <v>374</v>
      </c>
      <c r="D15" s="267"/>
      <c r="E15" s="418">
        <f>+'5 - Cost Support'!S154</f>
        <v>19305804</v>
      </c>
      <c r="F15" s="401"/>
      <c r="G15" s="402"/>
      <c r="H15" s="267" t="s">
        <v>590</v>
      </c>
      <c r="I15" s="7"/>
      <c r="J15" s="7"/>
    </row>
    <row r="16" spans="1:20" s="3" customFormat="1" ht="15.6">
      <c r="A16" s="18">
        <f>1+A15</f>
        <v>2</v>
      </c>
      <c r="B16" s="403" t="s">
        <v>566</v>
      </c>
      <c r="C16" s="393"/>
      <c r="D16" s="404"/>
      <c r="E16" s="405">
        <f>SUM(E15:E15)</f>
        <v>19305804</v>
      </c>
      <c r="F16" s="393" t="s">
        <v>145</v>
      </c>
      <c r="G16" s="405">
        <f>+'5 - Cost Support'!T154</f>
        <v>7219338.1900000004</v>
      </c>
      <c r="I16" s="406"/>
    </row>
    <row r="17" spans="1:9" s="3" customFormat="1" ht="12.75" customHeight="1">
      <c r="A17" s="18"/>
      <c r="D17" s="262"/>
      <c r="E17" s="407"/>
      <c r="F17" s="262"/>
      <c r="G17" s="408"/>
      <c r="H17" s="262"/>
      <c r="I17" s="406"/>
    </row>
    <row r="18" spans="1:9" s="3" customFormat="1" ht="12.75" customHeight="1">
      <c r="A18" s="18"/>
      <c r="B18" s="403" t="s">
        <v>564</v>
      </c>
      <c r="C18" s="393"/>
      <c r="D18" s="404"/>
      <c r="E18" s="409"/>
      <c r="F18" s="410" t="s">
        <v>340</v>
      </c>
      <c r="G18" s="262"/>
    </row>
    <row r="19" spans="1:9" s="3" customFormat="1" ht="12.75" customHeight="1">
      <c r="A19" s="18"/>
      <c r="D19" s="262"/>
      <c r="E19" s="407"/>
      <c r="F19" s="262"/>
      <c r="G19" s="262"/>
      <c r="H19" s="262"/>
    </row>
    <row r="20" spans="1:9" s="3" customFormat="1" ht="12.75" customHeight="1">
      <c r="A20" s="18">
        <f>1+A16</f>
        <v>3</v>
      </c>
      <c r="C20" s="7" t="s">
        <v>172</v>
      </c>
      <c r="D20" s="266"/>
      <c r="E20" s="418">
        <v>12767438</v>
      </c>
      <c r="F20" s="266"/>
      <c r="G20" s="266"/>
      <c r="H20" s="266"/>
    </row>
    <row r="21" spans="1:9" s="3" customFormat="1">
      <c r="A21" s="18">
        <f>1+A20</f>
        <v>4</v>
      </c>
      <c r="C21" s="7" t="s">
        <v>696</v>
      </c>
      <c r="E21" s="418">
        <v>72348</v>
      </c>
    </row>
    <row r="22" spans="1:9" s="3" customFormat="1">
      <c r="A22" s="18">
        <f>1+A21</f>
        <v>5</v>
      </c>
      <c r="C22" s="7" t="s">
        <v>697</v>
      </c>
      <c r="E22" s="418">
        <v>644264</v>
      </c>
    </row>
    <row r="23" spans="1:9" s="3" customFormat="1">
      <c r="A23" s="18">
        <f>1+A22</f>
        <v>6</v>
      </c>
      <c r="C23" s="7" t="s">
        <v>698</v>
      </c>
      <c r="E23" s="418">
        <v>371067</v>
      </c>
    </row>
    <row r="24" spans="1:9" s="3" customFormat="1">
      <c r="A24" s="18">
        <f>1+A23</f>
        <v>7</v>
      </c>
      <c r="C24" s="7"/>
      <c r="E24" s="411"/>
      <c r="F24" s="42"/>
      <c r="G24" s="42"/>
    </row>
    <row r="25" spans="1:9" ht="15.6">
      <c r="A25" s="18">
        <f>1+A24</f>
        <v>8</v>
      </c>
      <c r="B25" s="403" t="s">
        <v>567</v>
      </c>
      <c r="E25" s="405">
        <f>SUM(E20:E24)</f>
        <v>13855117</v>
      </c>
      <c r="F25" s="412">
        <f>+'Appendix A'!H16</f>
        <v>0.1470486672554692</v>
      </c>
      <c r="G25" s="405">
        <f>+E25*F25</f>
        <v>2037376.4895185947</v>
      </c>
      <c r="H25" s="413"/>
    </row>
    <row r="26" spans="1:9" s="3" customFormat="1" ht="15.6">
      <c r="A26" s="392"/>
      <c r="B26" s="395"/>
      <c r="C26" s="407"/>
      <c r="E26" s="13"/>
      <c r="F26" s="7"/>
      <c r="G26" s="405"/>
    </row>
    <row r="27" spans="1:9" s="3" customFormat="1">
      <c r="A27" s="18"/>
      <c r="E27" s="13"/>
    </row>
    <row r="28" spans="1:9" s="3" customFormat="1" ht="15.6">
      <c r="A28" s="18"/>
      <c r="B28" s="403" t="s">
        <v>565</v>
      </c>
      <c r="C28" s="393"/>
      <c r="D28" s="393"/>
      <c r="E28" s="414"/>
      <c r="F28" s="415" t="s">
        <v>322</v>
      </c>
    </row>
    <row r="29" spans="1:9" s="3" customFormat="1">
      <c r="A29" s="18"/>
      <c r="E29" s="13"/>
    </row>
    <row r="30" spans="1:9" s="3" customFormat="1">
      <c r="A30" s="18">
        <f>1+A25</f>
        <v>9</v>
      </c>
      <c r="C30" s="416"/>
      <c r="E30" s="417"/>
    </row>
    <row r="31" spans="1:9" s="3" customFormat="1">
      <c r="A31" s="18">
        <f>1+A30</f>
        <v>10</v>
      </c>
      <c r="C31" s="7"/>
      <c r="E31" s="418"/>
    </row>
    <row r="32" spans="1:9" s="3" customFormat="1">
      <c r="A32" s="18">
        <f>1+A31</f>
        <v>11</v>
      </c>
      <c r="C32" s="7"/>
      <c r="E32" s="417"/>
    </row>
    <row r="33" spans="1:19" s="3" customFormat="1">
      <c r="A33" s="18">
        <f>1+A32</f>
        <v>12</v>
      </c>
      <c r="C33" s="7"/>
      <c r="E33" s="411"/>
      <c r="G33" s="42"/>
    </row>
    <row r="34" spans="1:19" ht="15.6">
      <c r="A34" s="18">
        <f>1+A33</f>
        <v>13</v>
      </c>
      <c r="B34" s="403" t="s">
        <v>569</v>
      </c>
      <c r="E34" s="405">
        <f>SUM(E30:E33)</f>
        <v>0</v>
      </c>
      <c r="F34" s="419">
        <f>+'Appendix A'!H35</f>
        <v>0.43405102133469092</v>
      </c>
      <c r="G34" s="405">
        <v>0</v>
      </c>
    </row>
    <row r="35" spans="1:19">
      <c r="A35" s="392"/>
    </row>
    <row r="36" spans="1:19" s="3" customFormat="1" ht="16.2" thickBot="1">
      <c r="A36" s="392">
        <f>1+A34</f>
        <v>14</v>
      </c>
      <c r="B36" s="395" t="s">
        <v>181</v>
      </c>
      <c r="E36" s="688">
        <f>E16+E25+E34</f>
        <v>33160921</v>
      </c>
      <c r="F36" s="420"/>
      <c r="G36" s="1137">
        <f>+G25+G16</f>
        <v>9256714.6795185953</v>
      </c>
      <c r="H36" s="49"/>
    </row>
    <row r="37" spans="1:19" s="3" customFormat="1" ht="15.6" thickTop="1">
      <c r="A37" s="18"/>
      <c r="C37" s="370"/>
      <c r="E37" s="13"/>
    </row>
    <row r="38" spans="1:19" s="3" customFormat="1">
      <c r="A38" s="18"/>
      <c r="C38" s="370"/>
      <c r="E38" s="13"/>
      <c r="F38" s="421"/>
    </row>
    <row r="39" spans="1:19" ht="15.6">
      <c r="A39" s="18"/>
      <c r="B39" s="3"/>
      <c r="C39" s="403" t="s">
        <v>570</v>
      </c>
    </row>
    <row r="40" spans="1:19" s="3" customFormat="1" ht="15.6">
      <c r="A40" s="392"/>
      <c r="B40" s="393"/>
      <c r="C40" s="393"/>
      <c r="D40" s="393"/>
      <c r="E40" s="414"/>
      <c r="F40" s="393"/>
      <c r="G40" s="422"/>
      <c r="H40" s="7"/>
      <c r="I40" s="7"/>
      <c r="J40" s="385"/>
    </row>
    <row r="41" spans="1:19">
      <c r="A41" s="18">
        <f>1+A36</f>
        <v>15</v>
      </c>
      <c r="B41" s="3"/>
      <c r="C41" s="272" t="s">
        <v>699</v>
      </c>
      <c r="D41" s="7"/>
      <c r="E41" s="418"/>
      <c r="F41" s="423"/>
      <c r="G41" s="248"/>
      <c r="H41" s="424"/>
      <c r="I41" s="248"/>
      <c r="J41" s="425"/>
      <c r="K41" s="248"/>
      <c r="L41" s="248"/>
      <c r="M41" s="248"/>
      <c r="N41" s="248"/>
      <c r="O41" s="248"/>
      <c r="P41" s="248"/>
      <c r="Q41" s="248"/>
      <c r="R41" s="248"/>
      <c r="S41" s="248"/>
    </row>
    <row r="42" spans="1:19">
      <c r="A42" s="392">
        <f>1+A41</f>
        <v>16</v>
      </c>
      <c r="C42" s="426" t="s">
        <v>99</v>
      </c>
      <c r="D42" s="248"/>
      <c r="E42" s="418">
        <v>-15566</v>
      </c>
      <c r="F42" s="423"/>
      <c r="G42" s="248"/>
      <c r="H42" s="424"/>
      <c r="I42" s="248"/>
      <c r="J42" s="425"/>
      <c r="K42" s="248"/>
      <c r="L42" s="248"/>
      <c r="M42" s="248"/>
      <c r="N42" s="248"/>
      <c r="O42" s="248"/>
      <c r="P42" s="248"/>
      <c r="Q42" s="248"/>
      <c r="R42" s="248"/>
      <c r="S42" s="248"/>
    </row>
    <row r="43" spans="1:19">
      <c r="A43" s="392">
        <f t="shared" ref="A43:A48" si="0">1+A42</f>
        <v>17</v>
      </c>
      <c r="C43" s="426" t="s">
        <v>100</v>
      </c>
      <c r="D43" s="248"/>
      <c r="E43" s="418">
        <v>321437</v>
      </c>
      <c r="F43" s="248"/>
      <c r="G43" s="248"/>
      <c r="H43" s="424"/>
      <c r="I43" s="248"/>
      <c r="J43" s="425"/>
      <c r="K43" s="248"/>
      <c r="L43" s="248"/>
      <c r="M43" s="248"/>
      <c r="N43" s="248"/>
      <c r="O43" s="248"/>
      <c r="P43" s="248"/>
      <c r="Q43" s="248"/>
      <c r="R43" s="248"/>
      <c r="S43" s="248"/>
    </row>
    <row r="44" spans="1:19">
      <c r="A44" s="392">
        <f t="shared" si="0"/>
        <v>18</v>
      </c>
      <c r="C44" s="426" t="s">
        <v>700</v>
      </c>
      <c r="D44" s="248"/>
      <c r="E44" s="418"/>
      <c r="F44" s="248"/>
      <c r="G44" s="248"/>
    </row>
    <row r="45" spans="1:19">
      <c r="A45" s="392">
        <f t="shared" si="0"/>
        <v>19</v>
      </c>
      <c r="C45" s="248" t="s">
        <v>701</v>
      </c>
      <c r="D45" s="427"/>
      <c r="E45" s="418"/>
      <c r="F45" s="248"/>
      <c r="G45" s="248"/>
    </row>
    <row r="46" spans="1:19">
      <c r="A46" s="392">
        <f t="shared" si="0"/>
        <v>20</v>
      </c>
      <c r="C46" s="7" t="s">
        <v>212</v>
      </c>
      <c r="D46" s="427"/>
      <c r="E46" s="418"/>
      <c r="F46" s="248"/>
    </row>
    <row r="47" spans="1:19">
      <c r="A47" s="392">
        <f t="shared" si="0"/>
        <v>21</v>
      </c>
      <c r="C47" s="248" t="s">
        <v>520</v>
      </c>
      <c r="D47" s="248"/>
      <c r="E47" s="411"/>
      <c r="F47" s="248"/>
    </row>
    <row r="48" spans="1:19" s="3" customFormat="1" ht="15.6">
      <c r="A48" s="392">
        <f t="shared" si="0"/>
        <v>22</v>
      </c>
      <c r="B48" s="393"/>
      <c r="C48" s="428" t="s">
        <v>180</v>
      </c>
      <c r="D48" s="7"/>
      <c r="E48" s="526">
        <f>SUM(E41:E47)</f>
        <v>305871</v>
      </c>
    </row>
    <row r="49" spans="1:8" s="3" customFormat="1">
      <c r="A49" s="18"/>
      <c r="C49" s="7"/>
      <c r="D49" s="7"/>
      <c r="E49" s="449"/>
    </row>
    <row r="50" spans="1:8" ht="15.6">
      <c r="A50" s="18">
        <f>1+A48</f>
        <v>23</v>
      </c>
      <c r="B50" s="40" t="s">
        <v>501</v>
      </c>
      <c r="C50" s="288"/>
      <c r="D50" s="248"/>
      <c r="E50" s="462">
        <f>+E36+E48</f>
        <v>33466792</v>
      </c>
    </row>
    <row r="51" spans="1:8">
      <c r="A51" s="392"/>
      <c r="B51" s="248"/>
      <c r="C51" s="429"/>
      <c r="D51" s="248"/>
      <c r="E51" s="450"/>
      <c r="F51" s="248"/>
    </row>
    <row r="52" spans="1:8" ht="15.6">
      <c r="A52" s="392">
        <f>1+A50</f>
        <v>24</v>
      </c>
      <c r="B52" s="428" t="s">
        <v>379</v>
      </c>
      <c r="C52" s="460"/>
      <c r="D52" s="430"/>
      <c r="E52" s="418">
        <v>33466792</v>
      </c>
      <c r="F52" s="431"/>
      <c r="G52" s="431"/>
      <c r="H52" s="432"/>
    </row>
    <row r="53" spans="1:8">
      <c r="B53" s="248"/>
      <c r="C53" s="426"/>
      <c r="D53" s="426"/>
      <c r="E53" s="433"/>
      <c r="F53" s="434"/>
      <c r="G53" s="434"/>
      <c r="H53" s="432"/>
    </row>
    <row r="54" spans="1:8">
      <c r="A54" s="392">
        <f>1+A52</f>
        <v>25</v>
      </c>
      <c r="B54" s="248"/>
      <c r="C54" s="426" t="s">
        <v>510</v>
      </c>
      <c r="D54" s="426"/>
      <c r="E54" s="435">
        <f>+E50-E52</f>
        <v>0</v>
      </c>
      <c r="F54" s="3"/>
      <c r="G54" s="434"/>
      <c r="H54" s="432"/>
    </row>
    <row r="55" spans="1:8">
      <c r="B55" s="248"/>
      <c r="C55" s="426"/>
      <c r="D55" s="426"/>
      <c r="E55" s="435"/>
      <c r="F55" s="434"/>
      <c r="G55" s="434"/>
      <c r="H55" s="432"/>
    </row>
    <row r="56" spans="1:8">
      <c r="B56" s="248"/>
      <c r="C56" s="426"/>
      <c r="D56" s="426"/>
      <c r="E56" s="435"/>
      <c r="F56" s="434"/>
      <c r="G56" s="434"/>
      <c r="H56" s="432"/>
    </row>
    <row r="57" spans="1:8">
      <c r="B57" s="248"/>
      <c r="C57" s="426"/>
      <c r="D57" s="426"/>
      <c r="E57" s="435"/>
      <c r="F57" s="434"/>
      <c r="G57" s="434"/>
      <c r="H57" s="432"/>
    </row>
    <row r="58" spans="1:8">
      <c r="B58" s="248"/>
      <c r="C58" s="426"/>
      <c r="D58" s="426"/>
      <c r="E58" s="435"/>
      <c r="F58" s="434"/>
      <c r="G58" s="434"/>
      <c r="H58" s="432"/>
    </row>
    <row r="59" spans="1:8" ht="24.9" customHeight="1">
      <c r="B59" s="248" t="s">
        <v>339</v>
      </c>
      <c r="C59" s="248"/>
      <c r="D59" s="248"/>
      <c r="E59" s="436"/>
      <c r="F59" s="423"/>
      <c r="G59" s="423"/>
      <c r="H59" s="423"/>
    </row>
    <row r="60" spans="1:8" ht="24.9" customHeight="1">
      <c r="B60" s="248" t="s">
        <v>123</v>
      </c>
      <c r="C60" s="248" t="s">
        <v>187</v>
      </c>
      <c r="D60" s="248"/>
      <c r="E60" s="436"/>
      <c r="F60" s="423"/>
      <c r="G60" s="423"/>
      <c r="H60" s="423"/>
    </row>
    <row r="61" spans="1:8" ht="24.9" customHeight="1">
      <c r="B61" s="248"/>
      <c r="C61" s="437" t="s">
        <v>174</v>
      </c>
      <c r="D61" s="248"/>
      <c r="E61" s="436"/>
      <c r="F61" s="248"/>
      <c r="G61" s="423"/>
      <c r="H61" s="423"/>
    </row>
    <row r="62" spans="1:8" ht="24.9" customHeight="1">
      <c r="B62" s="248" t="s">
        <v>331</v>
      </c>
      <c r="C62" s="248" t="s">
        <v>20</v>
      </c>
      <c r="D62" s="248"/>
      <c r="E62" s="436"/>
      <c r="F62" s="248"/>
      <c r="G62" s="423"/>
      <c r="H62" s="423"/>
    </row>
    <row r="63" spans="1:8" ht="24.9" customHeight="1">
      <c r="B63" s="248"/>
      <c r="C63" s="437" t="s">
        <v>533</v>
      </c>
      <c r="D63" s="248"/>
      <c r="E63" s="436"/>
      <c r="F63" s="248"/>
      <c r="G63" s="423"/>
      <c r="H63" s="423"/>
    </row>
    <row r="64" spans="1:8" ht="24.9" customHeight="1">
      <c r="B64" s="248" t="s">
        <v>108</v>
      </c>
      <c r="C64" s="248" t="s">
        <v>530</v>
      </c>
      <c r="D64" s="248"/>
      <c r="E64" s="436"/>
      <c r="F64" s="248"/>
      <c r="G64" s="423"/>
      <c r="H64" s="423"/>
    </row>
    <row r="65" spans="2:8" ht="24.9" customHeight="1">
      <c r="B65" s="248" t="s">
        <v>124</v>
      </c>
      <c r="C65" s="437" t="s">
        <v>372</v>
      </c>
      <c r="D65" s="248"/>
      <c r="E65" s="436"/>
      <c r="F65" s="248"/>
      <c r="G65" s="423"/>
      <c r="H65" s="423"/>
    </row>
    <row r="66" spans="2:8" ht="24.9" customHeight="1">
      <c r="B66" s="248"/>
      <c r="C66" s="248" t="s">
        <v>401</v>
      </c>
      <c r="D66" s="248"/>
      <c r="E66" s="436"/>
      <c r="F66" s="248"/>
      <c r="G66" s="248"/>
      <c r="H66" s="248"/>
    </row>
    <row r="67" spans="2:8" ht="24.9" customHeight="1">
      <c r="B67" s="248"/>
      <c r="C67" s="248" t="s">
        <v>409</v>
      </c>
      <c r="D67" s="248"/>
      <c r="E67" s="425"/>
      <c r="F67" s="248"/>
      <c r="G67" s="248"/>
    </row>
    <row r="68" spans="2:8" ht="24.9" customHeight="1">
      <c r="B68" s="248" t="s">
        <v>122</v>
      </c>
      <c r="C68" s="248" t="s">
        <v>410</v>
      </c>
      <c r="D68" s="248"/>
      <c r="E68" s="425"/>
      <c r="F68" s="248"/>
      <c r="G68" s="248"/>
    </row>
    <row r="69" spans="2:8">
      <c r="C69" s="248"/>
    </row>
    <row r="70" spans="2:8">
      <c r="C70" s="248"/>
    </row>
    <row r="71" spans="2:8">
      <c r="C71" s="248"/>
    </row>
    <row r="72" spans="2:8">
      <c r="C72" s="248"/>
    </row>
  </sheetData>
  <customSheetViews>
    <customSheetView guid="{3A38DF7A-C35E-4DD3-9893-26310A3EF836}" scale="75" showPageBreaks="1" fitToPage="1" showRuler="0" topLeftCell="A19">
      <selection activeCell="G41" sqref="G41"/>
      <pageMargins left="0.75" right="0.75" top="1" bottom="1" header="0.5" footer="0.5"/>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71"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9" orientation="portrait" r:id="rId9"/>
      <headerFooter alignWithMargins="0"/>
    </customSheetView>
  </customSheetViews>
  <mergeCells count="3">
    <mergeCell ref="A4:H4"/>
    <mergeCell ref="A2:H2"/>
    <mergeCell ref="A3:H3"/>
  </mergeCells>
  <phoneticPr fontId="0" type="noConversion"/>
  <conditionalFormatting sqref="H36">
    <cfRule type="cellIs" dxfId="0" priority="1" stopIfTrue="1" operator="notEqual">
      <formula>0</formula>
    </cfRule>
  </conditionalFormatting>
  <printOptions horizontalCentered="1"/>
  <pageMargins left="0.75" right="0.75" top="1" bottom="1" header="0.5" footer="0.5"/>
  <pageSetup scale="59" orientation="portrait" r:id="rId10"/>
  <headerFooter alignWithMargins="0"/>
  <ignoredErrors>
    <ignoredError sqref="E36 G36 E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W44"/>
  <sheetViews>
    <sheetView zoomScale="75" zoomScaleNormal="75" workbookViewId="0"/>
  </sheetViews>
  <sheetFormatPr defaultColWidth="9.109375" defaultRowHeight="15"/>
  <cols>
    <col min="1" max="1" width="9.88671875" style="18" customWidth="1"/>
    <col min="2" max="2" width="120.5546875" style="3" customWidth="1"/>
    <col min="3" max="3" width="23.88671875" style="3" customWidth="1"/>
    <col min="4" max="4" width="17" style="258" bestFit="1" customWidth="1"/>
    <col min="5" max="5" width="45.109375" style="3" bestFit="1" customWidth="1"/>
    <col min="6" max="6" width="10.88671875" style="3" bestFit="1" customWidth="1"/>
    <col min="7" max="7" width="10.33203125" style="3" bestFit="1" customWidth="1"/>
    <col min="8" max="16384" width="9.109375" style="3"/>
  </cols>
  <sheetData>
    <row r="1" spans="1:75" ht="17.399999999999999">
      <c r="A1" s="438"/>
      <c r="B1" s="286"/>
      <c r="C1" s="286"/>
      <c r="D1" s="439"/>
      <c r="E1" s="286"/>
      <c r="F1" s="286"/>
      <c r="G1" s="286"/>
      <c r="H1" s="286"/>
      <c r="I1" s="286"/>
    </row>
    <row r="2" spans="1:75" ht="17.399999999999999">
      <c r="A2" s="2581" t="str">
        <f>+'Appendix A'!A3</f>
        <v>Public Service Electric and Gas Company</v>
      </c>
      <c r="B2" s="2581"/>
      <c r="C2" s="2581"/>
      <c r="D2" s="2581"/>
      <c r="E2" s="286"/>
      <c r="F2" s="286"/>
      <c r="G2" s="286"/>
      <c r="H2" s="286"/>
      <c r="I2" s="286"/>
    </row>
    <row r="3" spans="1:75" ht="17.399999999999999">
      <c r="A3" s="2581" t="str">
        <f>+'Appendix A'!A4</f>
        <v xml:space="preserve">ATTACHMENT H-10A </v>
      </c>
      <c r="B3" s="2581"/>
      <c r="C3" s="2581"/>
      <c r="D3" s="2581"/>
      <c r="E3" s="441"/>
      <c r="F3" s="286"/>
      <c r="G3" s="286"/>
      <c r="H3" s="286"/>
      <c r="I3" s="286"/>
    </row>
    <row r="4" spans="1:75" ht="17.399999999999999">
      <c r="A4" s="2581" t="s">
        <v>930</v>
      </c>
      <c r="B4" s="2581"/>
      <c r="C4" s="2581"/>
      <c r="D4" s="2581"/>
      <c r="E4" s="7"/>
      <c r="G4" s="7"/>
      <c r="H4" s="7"/>
      <c r="I4" s="6"/>
      <c r="J4" s="6"/>
      <c r="K4" s="6"/>
      <c r="L4" s="6"/>
      <c r="M4" s="6"/>
      <c r="N4" s="6"/>
      <c r="O4" s="6"/>
      <c r="P4" s="6"/>
      <c r="Q4" s="6"/>
      <c r="R4" s="6"/>
      <c r="S4" s="6"/>
      <c r="T4" s="19"/>
    </row>
    <row r="5" spans="1:75">
      <c r="B5" s="257"/>
      <c r="C5" s="19"/>
      <c r="E5" s="19"/>
      <c r="I5" s="6"/>
      <c r="J5" s="6"/>
      <c r="K5" s="6"/>
      <c r="L5" s="6"/>
      <c r="M5" s="6"/>
      <c r="N5" s="6"/>
      <c r="O5" s="6"/>
      <c r="P5" s="6"/>
      <c r="Q5" s="6"/>
      <c r="R5" s="6"/>
      <c r="S5" s="6"/>
      <c r="T5" s="19"/>
    </row>
    <row r="6" spans="1:75" ht="15.6">
      <c r="B6" s="257"/>
      <c r="C6" s="18"/>
      <c r="D6" s="52"/>
      <c r="E6" s="18"/>
    </row>
    <row r="7" spans="1:75">
      <c r="B7" s="257"/>
      <c r="C7" s="18"/>
      <c r="D7" s="250"/>
      <c r="E7" s="250"/>
      <c r="F7" s="7"/>
      <c r="G7" s="7"/>
      <c r="H7" s="7"/>
      <c r="I7" s="7"/>
      <c r="J7" s="7"/>
      <c r="K7" s="7"/>
      <c r="L7" s="7"/>
      <c r="M7" s="7"/>
      <c r="N7" s="7"/>
      <c r="O7" s="7"/>
    </row>
    <row r="8" spans="1:75">
      <c r="B8" s="257"/>
      <c r="C8" s="18"/>
      <c r="E8" s="18"/>
    </row>
    <row r="9" spans="1:75" ht="15.6">
      <c r="B9" s="12" t="s">
        <v>412</v>
      </c>
      <c r="C9" s="18"/>
      <c r="E9" s="18"/>
    </row>
    <row r="10" spans="1:75" ht="15" customHeight="1">
      <c r="A10" s="13">
        <v>1</v>
      </c>
      <c r="B10" s="3" t="s">
        <v>411</v>
      </c>
      <c r="C10" s="18"/>
      <c r="D10" s="689">
        <v>0</v>
      </c>
      <c r="E10" s="18"/>
    </row>
    <row r="11" spans="1:75" ht="15.6">
      <c r="A11" s="13"/>
      <c r="B11" s="259"/>
      <c r="C11" s="18"/>
      <c r="D11" s="690"/>
      <c r="E11" s="18"/>
    </row>
    <row r="12" spans="1:75" ht="15.6">
      <c r="A12" s="13"/>
      <c r="B12" s="260" t="s">
        <v>819</v>
      </c>
      <c r="D12" s="690"/>
    </row>
    <row r="13" spans="1:75">
      <c r="A13" s="13">
        <v>2</v>
      </c>
      <c r="B13" s="10" t="s">
        <v>597</v>
      </c>
      <c r="C13" s="6"/>
      <c r="D13" s="457">
        <v>655115.56999999995</v>
      </c>
      <c r="E13" s="7"/>
      <c r="F13" s="261"/>
      <c r="G13" s="262"/>
    </row>
    <row r="14" spans="1:75">
      <c r="A14" s="13"/>
      <c r="B14" s="6"/>
      <c r="C14" s="6"/>
      <c r="D14" s="457"/>
      <c r="G14" s="2"/>
    </row>
    <row r="15" spans="1:75" s="264" customFormat="1" ht="15.6">
      <c r="A15" s="385"/>
      <c r="B15" s="263" t="s">
        <v>591</v>
      </c>
      <c r="C15" s="6"/>
      <c r="D15" s="457"/>
      <c r="E15" s="7"/>
      <c r="F15" s="7"/>
      <c r="G15" s="250"/>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row>
    <row r="16" spans="1:75" s="264" customFormat="1">
      <c r="A16" s="385">
        <v>3</v>
      </c>
      <c r="B16" s="6" t="s">
        <v>592</v>
      </c>
      <c r="C16" s="6"/>
      <c r="D16" s="457">
        <v>0</v>
      </c>
      <c r="E16" s="7"/>
      <c r="F16" s="7"/>
      <c r="G16" s="250"/>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row>
    <row r="17" spans="1:28">
      <c r="A17" s="385"/>
      <c r="B17" s="265"/>
      <c r="C17" s="266"/>
      <c r="D17" s="457"/>
      <c r="G17" s="266"/>
    </row>
    <row r="18" spans="1:28">
      <c r="A18" s="385">
        <f>A16+1</f>
        <v>4</v>
      </c>
      <c r="B18" s="11" t="s">
        <v>128</v>
      </c>
      <c r="C18" s="262"/>
      <c r="D18" s="457">
        <v>4788571.01</v>
      </c>
      <c r="E18" s="7"/>
      <c r="F18" s="7"/>
      <c r="G18" s="262"/>
    </row>
    <row r="19" spans="1:28" ht="30" customHeight="1">
      <c r="A19" s="386">
        <f>+A18+1</f>
        <v>5</v>
      </c>
      <c r="B19" s="262" t="s">
        <v>633</v>
      </c>
      <c r="C19" s="262"/>
      <c r="D19" s="689">
        <v>0</v>
      </c>
      <c r="E19" s="7"/>
      <c r="G19" s="267"/>
      <c r="H19" s="7"/>
      <c r="I19" s="7"/>
      <c r="J19" s="7"/>
    </row>
    <row r="20" spans="1:28">
      <c r="A20" s="385">
        <f>+A19+1</f>
        <v>6</v>
      </c>
      <c r="B20" s="2" t="s">
        <v>534</v>
      </c>
      <c r="C20" s="262"/>
      <c r="D20" s="457">
        <v>10025462.550000001</v>
      </c>
      <c r="G20" s="267"/>
      <c r="H20" s="7"/>
      <c r="I20" s="7"/>
      <c r="J20" s="7"/>
    </row>
    <row r="21" spans="1:28">
      <c r="A21" s="385">
        <f>+A20+1</f>
        <v>7</v>
      </c>
      <c r="B21" s="6" t="s">
        <v>598</v>
      </c>
      <c r="C21" s="6"/>
      <c r="D21" s="457">
        <v>8820</v>
      </c>
      <c r="E21" s="7"/>
      <c r="G21" s="258"/>
    </row>
    <row r="22" spans="1:28">
      <c r="A22" s="385">
        <f>+A21+1</f>
        <v>8</v>
      </c>
      <c r="B22" s="6" t="s">
        <v>601</v>
      </c>
      <c r="C22" s="7"/>
      <c r="D22" s="457">
        <v>9201867.9600000009</v>
      </c>
    </row>
    <row r="23" spans="1:28">
      <c r="A23" s="385">
        <f>+A22+1</f>
        <v>9</v>
      </c>
      <c r="B23" s="6" t="s">
        <v>599</v>
      </c>
      <c r="C23" s="7"/>
      <c r="D23" s="457">
        <v>4450040.2299999995</v>
      </c>
      <c r="E23" s="7"/>
    </row>
    <row r="24" spans="1:28">
      <c r="A24" s="13"/>
      <c r="B24" s="2"/>
      <c r="C24" s="7"/>
      <c r="D24" s="457"/>
      <c r="E24" s="7"/>
    </row>
    <row r="25" spans="1:28">
      <c r="A25" s="13">
        <f>+A23+1</f>
        <v>10</v>
      </c>
      <c r="B25" s="2" t="s">
        <v>21</v>
      </c>
      <c r="C25" s="3" t="s">
        <v>634</v>
      </c>
      <c r="D25" s="527">
        <f>SUM(D10:D24)</f>
        <v>29129877.320000004</v>
      </c>
      <c r="E25" s="7"/>
      <c r="F25" s="7"/>
      <c r="G25" s="7"/>
      <c r="H25" s="7"/>
      <c r="I25" s="7"/>
      <c r="J25" s="7"/>
      <c r="K25" s="7"/>
      <c r="L25" s="7"/>
      <c r="M25" s="7"/>
      <c r="N25" s="7"/>
      <c r="O25" s="7"/>
      <c r="P25" s="7"/>
      <c r="Q25" s="7"/>
      <c r="R25" s="7"/>
      <c r="S25" s="7"/>
      <c r="T25" s="7"/>
      <c r="U25" s="7"/>
      <c r="V25" s="7"/>
      <c r="W25" s="7"/>
      <c r="X25" s="7"/>
      <c r="Y25" s="7"/>
      <c r="Z25" s="7"/>
      <c r="AA25" s="7"/>
      <c r="AB25" s="7"/>
    </row>
    <row r="26" spans="1:28" ht="15.6">
      <c r="A26" s="385"/>
      <c r="B26" s="268"/>
      <c r="D26" s="252"/>
      <c r="E26" s="7"/>
    </row>
    <row r="27" spans="1:28">
      <c r="A27" s="385"/>
      <c r="B27" s="7"/>
      <c r="C27" s="7"/>
      <c r="D27" s="252"/>
      <c r="E27" s="7"/>
      <c r="F27" s="7"/>
      <c r="G27" s="7"/>
    </row>
    <row r="28" spans="1:28">
      <c r="A28" s="385">
        <f>+A25+1</f>
        <v>11</v>
      </c>
      <c r="B28" s="6" t="s">
        <v>635</v>
      </c>
      <c r="C28" s="7" t="str">
        <f>" - line "&amp;A37&amp;""</f>
        <v xml:space="preserve"> - line 18</v>
      </c>
      <c r="D28" s="250">
        <f>-D37</f>
        <v>-3601517.4571499997</v>
      </c>
      <c r="E28" s="7"/>
    </row>
    <row r="29" spans="1:28">
      <c r="A29" s="385">
        <f>A28+1</f>
        <v>12</v>
      </c>
      <c r="B29" s="6" t="s">
        <v>98</v>
      </c>
      <c r="C29" s="7" t="str">
        <f>"line "&amp;A25&amp;" + line "&amp;A28&amp;""</f>
        <v>line 10 + line 11</v>
      </c>
      <c r="D29" s="527">
        <f>+D25+D28</f>
        <v>25528359.862850003</v>
      </c>
      <c r="E29" s="7"/>
      <c r="F29" s="261"/>
      <c r="G29" s="261"/>
    </row>
    <row r="30" spans="1:28" ht="54" customHeight="1">
      <c r="A30" s="385"/>
      <c r="C30" s="7"/>
      <c r="D30" s="250"/>
      <c r="E30" s="7"/>
    </row>
    <row r="31" spans="1:28" ht="15.6">
      <c r="A31" s="385"/>
      <c r="B31" s="251"/>
      <c r="D31" s="252"/>
      <c r="E31" s="7"/>
    </row>
    <row r="32" spans="1:28">
      <c r="A32" s="386">
        <f>A29+1</f>
        <v>13</v>
      </c>
      <c r="B32" s="254" t="s">
        <v>636</v>
      </c>
      <c r="C32" s="254"/>
      <c r="D32" s="255">
        <f>+D13+D21+D23</f>
        <v>5113975.8</v>
      </c>
      <c r="E32" s="7"/>
      <c r="F32" s="7"/>
      <c r="G32" s="7"/>
    </row>
    <row r="33" spans="1:7">
      <c r="A33" s="386">
        <f>A32+1</f>
        <v>14</v>
      </c>
      <c r="B33" s="254" t="s">
        <v>637</v>
      </c>
      <c r="C33" s="254"/>
      <c r="D33" s="255">
        <f>+'Appendix A'!H209*D32</f>
        <v>2089059.1142999998</v>
      </c>
      <c r="E33" s="446"/>
      <c r="F33" s="7"/>
      <c r="G33" s="7"/>
    </row>
    <row r="34" spans="1:7" ht="15" customHeight="1">
      <c r="A34" s="386">
        <f>A33+1</f>
        <v>15</v>
      </c>
      <c r="B34" s="254" t="s">
        <v>639</v>
      </c>
      <c r="C34" s="254"/>
      <c r="D34" s="255">
        <f>(D32-D33)/2</f>
        <v>1512458.3428500001</v>
      </c>
      <c r="E34" s="7"/>
      <c r="F34" s="7"/>
      <c r="G34" s="7"/>
    </row>
    <row r="35" spans="1:7" ht="45">
      <c r="A35" s="386">
        <f>+A34+1</f>
        <v>16</v>
      </c>
      <c r="B35" s="254" t="s">
        <v>640</v>
      </c>
      <c r="C35" s="7"/>
      <c r="D35" s="250">
        <v>0</v>
      </c>
      <c r="E35" s="446"/>
      <c r="F35" s="7"/>
      <c r="G35" s="7"/>
    </row>
    <row r="36" spans="1:7">
      <c r="A36" s="386">
        <f>A35+1</f>
        <v>17</v>
      </c>
      <c r="B36" s="6" t="s">
        <v>641</v>
      </c>
      <c r="C36" s="7"/>
      <c r="D36" s="250">
        <f>+D34+D35</f>
        <v>1512458.3428500001</v>
      </c>
      <c r="E36" s="7"/>
      <c r="F36" s="7"/>
      <c r="G36" s="7"/>
    </row>
    <row r="37" spans="1:7">
      <c r="A37" s="386">
        <f>A36+1</f>
        <v>18</v>
      </c>
      <c r="B37" s="254" t="s">
        <v>642</v>
      </c>
      <c r="D37" s="250">
        <f>+D32-D36</f>
        <v>3601517.4571499997</v>
      </c>
      <c r="E37" s="256"/>
    </row>
    <row r="38" spans="1:7">
      <c r="A38" s="385"/>
      <c r="B38" s="7"/>
      <c r="D38" s="269"/>
      <c r="E38" s="18"/>
    </row>
    <row r="39" spans="1:7">
      <c r="A39" s="13"/>
    </row>
    <row r="43" spans="1:7" s="7" customFormat="1" ht="45.9" customHeight="1">
      <c r="A43" s="253" t="s">
        <v>425</v>
      </c>
      <c r="B43" s="2583" t="s">
        <v>429</v>
      </c>
      <c r="C43" s="2583"/>
      <c r="D43" s="2583"/>
    </row>
    <row r="44" spans="1:7" s="7" customFormat="1" ht="110.1" customHeight="1">
      <c r="A44" s="253" t="s">
        <v>426</v>
      </c>
      <c r="B44" s="2584" t="s">
        <v>402</v>
      </c>
      <c r="C44" s="2585"/>
      <c r="D44" s="2585"/>
    </row>
  </sheetData>
  <customSheetViews>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3" orientation="portrait" r:id="rId9"/>
      <headerFooter alignWithMargins="0"/>
    </customSheetView>
  </customSheetViews>
  <mergeCells count="5">
    <mergeCell ref="B43:D43"/>
    <mergeCell ref="B44:D44"/>
    <mergeCell ref="A4:D4"/>
    <mergeCell ref="A2:D2"/>
    <mergeCell ref="A3:D3"/>
  </mergeCells>
  <phoneticPr fontId="0" type="noConversion"/>
  <printOptions horizontalCentered="1"/>
  <pageMargins left="0.75" right="0.75" top="1" bottom="1" header="0.5" footer="0.5"/>
  <pageSetup scale="53" orientation="portrait"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2249"/>
  <sheetViews>
    <sheetView zoomScale="75" zoomScaleNormal="75" workbookViewId="0">
      <selection sqref="A1:I1"/>
    </sheetView>
  </sheetViews>
  <sheetFormatPr defaultColWidth="9.109375" defaultRowHeight="13.2"/>
  <cols>
    <col min="1" max="1" width="9.33203125" style="47" bestFit="1" customWidth="1"/>
    <col min="2" max="2" width="3" style="47" customWidth="1"/>
    <col min="3" max="3" width="8.109375" style="47" customWidth="1"/>
    <col min="4" max="4" width="47.109375" style="47" customWidth="1"/>
    <col min="5" max="5" width="50.44140625" style="47" customWidth="1"/>
    <col min="6" max="6" width="35.109375" style="47" customWidth="1"/>
    <col min="7" max="7" width="37.109375" style="47" bestFit="1" customWidth="1"/>
    <col min="8" max="8" width="3.88671875" style="47" customWidth="1"/>
    <col min="9" max="9" width="18" style="47" customWidth="1"/>
    <col min="10" max="10" width="23.33203125" style="47" customWidth="1"/>
    <col min="11" max="11" width="16.33203125" style="47" customWidth="1"/>
    <col min="12" max="16384" width="9.109375" style="47"/>
  </cols>
  <sheetData>
    <row r="1" spans="1:20" s="290" customFormat="1" ht="17.399999999999999">
      <c r="A1" s="2581" t="str">
        <f>+'Appendix A'!A3</f>
        <v>Public Service Electric and Gas Company</v>
      </c>
      <c r="B1" s="2581"/>
      <c r="C1" s="2581"/>
      <c r="D1" s="2581"/>
      <c r="E1" s="2581"/>
      <c r="F1" s="2581"/>
      <c r="G1" s="2581"/>
      <c r="H1" s="2586"/>
      <c r="I1" s="2586"/>
    </row>
    <row r="2" spans="1:20" s="290" customFormat="1" ht="17.399999999999999">
      <c r="A2" s="2581" t="str">
        <f>+'Appendix A'!A4</f>
        <v xml:space="preserve">ATTACHMENT H-10A </v>
      </c>
      <c r="B2" s="2581"/>
      <c r="C2" s="2581"/>
      <c r="D2" s="2581"/>
      <c r="E2" s="2581"/>
      <c r="F2" s="2581"/>
      <c r="G2" s="2581"/>
      <c r="H2" s="2586"/>
      <c r="I2" s="2586"/>
    </row>
    <row r="3" spans="1:20" s="290" customFormat="1" ht="17.399999999999999">
      <c r="A3" s="2581" t="s">
        <v>766</v>
      </c>
      <c r="B3" s="2581"/>
      <c r="C3" s="2581"/>
      <c r="D3" s="2581"/>
      <c r="E3" s="2581"/>
      <c r="F3" s="2581"/>
      <c r="G3" s="2581"/>
      <c r="H3" s="2586"/>
      <c r="I3" s="2586"/>
    </row>
    <row r="5" spans="1:20" s="3" customFormat="1" ht="15">
      <c r="B5" s="39"/>
      <c r="G5" s="7"/>
      <c r="H5" s="7"/>
      <c r="I5" s="6"/>
      <c r="J5" s="6"/>
      <c r="K5" s="6"/>
      <c r="L5" s="6"/>
      <c r="M5" s="6"/>
      <c r="N5" s="6"/>
      <c r="O5" s="6"/>
      <c r="P5" s="6"/>
      <c r="Q5" s="6"/>
      <c r="R5" s="6"/>
      <c r="S5" s="6"/>
      <c r="T5" s="19"/>
    </row>
    <row r="6" spans="1:20" s="3" customFormat="1" ht="15">
      <c r="I6" s="6"/>
      <c r="J6" s="6"/>
      <c r="K6" s="6"/>
      <c r="L6" s="6"/>
      <c r="M6" s="6"/>
      <c r="N6" s="6"/>
      <c r="O6" s="6"/>
      <c r="P6" s="6"/>
      <c r="Q6" s="6"/>
      <c r="R6" s="6"/>
      <c r="S6" s="6"/>
      <c r="T6" s="19"/>
    </row>
    <row r="7" spans="1:20" s="3" customFormat="1" ht="15"/>
    <row r="8" spans="1:20" s="3" customFormat="1" ht="15">
      <c r="C8" s="3" t="s">
        <v>742</v>
      </c>
    </row>
    <row r="9" spans="1:20" s="3" customFormat="1" ht="15">
      <c r="A9" s="18" t="s">
        <v>123</v>
      </c>
      <c r="B9" s="18"/>
      <c r="D9" s="3" t="s">
        <v>743</v>
      </c>
      <c r="G9" s="291" t="str">
        <f>"Line "&amp;A52&amp;" + Line "&amp;A74&amp;" from below"</f>
        <v>Line 27 + Line 42 from below</v>
      </c>
      <c r="I9" s="30">
        <f>+I52+I74</f>
        <v>531610958.03434455</v>
      </c>
    </row>
    <row r="10" spans="1:20" s="3" customFormat="1" ht="15">
      <c r="A10" s="18"/>
      <c r="B10" s="18"/>
      <c r="G10" s="7"/>
    </row>
    <row r="11" spans="1:20" s="3" customFormat="1" ht="15">
      <c r="A11" s="18" t="s">
        <v>331</v>
      </c>
      <c r="B11" s="18"/>
      <c r="D11" s="3" t="str">
        <f>I11*10000&amp;" Basis Point increase in ROE"</f>
        <v>100 Basis Point increase in ROE</v>
      </c>
      <c r="I11" s="447">
        <v>0.01</v>
      </c>
    </row>
    <row r="12" spans="1:20" s="7" customFormat="1" ht="15">
      <c r="A12" s="18"/>
      <c r="B12" s="18"/>
      <c r="C12" s="3"/>
      <c r="D12" s="3"/>
      <c r="E12" s="3"/>
      <c r="F12" s="3"/>
      <c r="G12" s="3"/>
      <c r="H12" s="3"/>
    </row>
    <row r="13" spans="1:20" s="7" customFormat="1" ht="15.6">
      <c r="A13" s="292" t="s">
        <v>818</v>
      </c>
      <c r="B13" s="26"/>
      <c r="C13" s="26"/>
      <c r="D13" s="26"/>
      <c r="E13" s="26"/>
      <c r="F13" s="26"/>
      <c r="G13" s="26"/>
      <c r="H13" s="26"/>
      <c r="I13" s="26"/>
    </row>
    <row r="14" spans="1:20" s="7" customFormat="1" ht="15.6">
      <c r="A14" s="293"/>
      <c r="G14" s="287" t="s">
        <v>182</v>
      </c>
    </row>
    <row r="15" spans="1:20" s="3" customFormat="1" ht="15">
      <c r="A15" s="7"/>
      <c r="D15" s="7"/>
      <c r="E15" s="7"/>
      <c r="F15" s="7"/>
      <c r="G15" s="7"/>
      <c r="H15" s="7"/>
      <c r="I15" s="51"/>
    </row>
    <row r="16" spans="1:20" s="3" customFormat="1" ht="15.6">
      <c r="A16" s="19">
        <v>1</v>
      </c>
      <c r="C16" s="294" t="str">
        <f>+'Appendix A'!B107</f>
        <v>Rate Base</v>
      </c>
      <c r="D16" s="10"/>
      <c r="E16" s="7"/>
      <c r="F16" s="10"/>
      <c r="G16" s="10" t="str">
        <f>+'Appendix A'!F107</f>
        <v>(Line 43 + Line 57)</v>
      </c>
      <c r="H16" s="10"/>
      <c r="I16" s="49">
        <f>+'Appendix A'!H107</f>
        <v>4017721447.0271306</v>
      </c>
    </row>
    <row r="17" spans="1:11" s="3" customFormat="1" ht="15">
      <c r="A17" s="7"/>
      <c r="G17" s="11"/>
      <c r="I17" s="41"/>
    </row>
    <row r="18" spans="1:11" s="3" customFormat="1" ht="15.6">
      <c r="A18" s="19">
        <f>1+A16</f>
        <v>2</v>
      </c>
      <c r="B18" s="11"/>
      <c r="C18" s="295" t="str">
        <f>'Appendix A'!B167</f>
        <v>Long Term Interest</v>
      </c>
      <c r="D18" s="296"/>
      <c r="E18" s="9"/>
      <c r="F18" s="2"/>
      <c r="G18" s="5" t="str">
        <f>'Appendix A'!F167</f>
        <v>p117.62.c through 67.c</v>
      </c>
      <c r="H18" s="297"/>
      <c r="I18" s="49">
        <f>'Appendix A'!H167</f>
        <v>252018266</v>
      </c>
    </row>
    <row r="19" spans="1:11" s="3" customFormat="1" ht="15">
      <c r="A19" s="14"/>
      <c r="B19" s="11"/>
      <c r="C19" s="4"/>
      <c r="D19" s="4"/>
      <c r="E19" s="2"/>
      <c r="F19" s="298"/>
      <c r="G19" s="11"/>
      <c r="H19" s="298"/>
      <c r="I19" s="49"/>
    </row>
    <row r="20" spans="1:11" s="3" customFormat="1" ht="15.6">
      <c r="A20" s="14">
        <f>1+A18</f>
        <v>3</v>
      </c>
      <c r="B20" s="11"/>
      <c r="C20" s="294" t="str">
        <f>'Appendix A'!B169</f>
        <v>Preferred Dividends</v>
      </c>
      <c r="D20" s="299"/>
      <c r="F20" s="2" t="str">
        <f>'Appendix A'!E169</f>
        <v xml:space="preserve"> enter positive</v>
      </c>
      <c r="G20" s="300" t="str">
        <f>'Appendix A'!F169</f>
        <v>p118.29.d</v>
      </c>
      <c r="H20" s="298"/>
      <c r="I20" s="291">
        <f>+'Appendix A'!H169</f>
        <v>0</v>
      </c>
    </row>
    <row r="21" spans="1:11" s="3" customFormat="1" ht="15">
      <c r="A21" s="14"/>
      <c r="B21" s="11"/>
      <c r="C21" s="4"/>
      <c r="D21" s="4"/>
      <c r="E21" s="2"/>
      <c r="F21" s="301"/>
      <c r="G21" s="300"/>
      <c r="H21" s="298"/>
      <c r="I21" s="302"/>
    </row>
    <row r="22" spans="1:11" s="3" customFormat="1" ht="15.6">
      <c r="A22" s="14"/>
      <c r="B22" s="11"/>
      <c r="C22" s="303" t="str">
        <f>'Appendix A'!B171</f>
        <v>Common Stock</v>
      </c>
      <c r="D22" s="303"/>
      <c r="E22" s="2"/>
      <c r="F22" s="2"/>
      <c r="G22" s="300"/>
      <c r="H22" s="298"/>
      <c r="I22" s="302"/>
    </row>
    <row r="23" spans="1:11" s="3" customFormat="1" ht="15">
      <c r="A23" s="14">
        <f>1+A20</f>
        <v>4</v>
      </c>
      <c r="B23" s="11"/>
      <c r="C23" s="11"/>
      <c r="D23" s="4" t="str">
        <f>'Appendix A'!C172</f>
        <v>Proprietary Capital</v>
      </c>
      <c r="E23" s="298"/>
      <c r="F23" s="298"/>
      <c r="G23" s="300" t="str">
        <f>'Appendix A'!F172</f>
        <v xml:space="preserve"> Attachment 5</v>
      </c>
      <c r="H23" s="298"/>
      <c r="I23" s="291">
        <f>+'Appendix A'!H172</f>
        <v>6377924572.5</v>
      </c>
    </row>
    <row r="24" spans="1:11" s="3" customFormat="1" ht="15">
      <c r="A24" s="14">
        <f>1+A23</f>
        <v>5</v>
      </c>
      <c r="B24" s="11"/>
      <c r="C24" s="11"/>
      <c r="D24" s="302" t="s">
        <v>446</v>
      </c>
      <c r="E24" s="302"/>
      <c r="F24" s="304"/>
      <c r="G24" s="302" t="s">
        <v>447</v>
      </c>
      <c r="H24" s="298"/>
      <c r="I24" s="302">
        <f>'Appendix A'!H173</f>
        <v>1408021.5</v>
      </c>
    </row>
    <row r="25" spans="1:11" s="3" customFormat="1" ht="15">
      <c r="A25" s="14">
        <f>1+A24</f>
        <v>6</v>
      </c>
      <c r="B25" s="11"/>
      <c r="C25" s="11"/>
      <c r="D25" s="5" t="str">
        <f>'Appendix A'!C174</f>
        <v xml:space="preserve">    Less Preferred Stock</v>
      </c>
      <c r="F25" s="302"/>
      <c r="G25" s="305" t="str">
        <f>'Appendix A'!F174</f>
        <v>(Line 106)</v>
      </c>
      <c r="H25" s="298"/>
      <c r="I25" s="302">
        <f>'Appendix A'!H174</f>
        <v>0</v>
      </c>
    </row>
    <row r="26" spans="1:11" s="3" customFormat="1" ht="15">
      <c r="A26" s="14">
        <f>1+A25</f>
        <v>7</v>
      </c>
      <c r="B26" s="11"/>
      <c r="C26" s="11"/>
      <c r="D26" s="31" t="str">
        <f>'Appendix A'!C175</f>
        <v xml:space="preserve">    Less Account 216.1</v>
      </c>
      <c r="E26" s="42"/>
      <c r="F26" s="306"/>
      <c r="G26" s="307" t="str">
        <f>'Appendix A'!F175</f>
        <v xml:space="preserve"> Attachment 5</v>
      </c>
      <c r="H26" s="308"/>
      <c r="I26" s="306">
        <f>+'Appendix A'!H175</f>
        <v>3430285</v>
      </c>
    </row>
    <row r="27" spans="1:11" s="3" customFormat="1" ht="15">
      <c r="A27" s="14">
        <f>1+A26</f>
        <v>8</v>
      </c>
      <c r="B27" s="11"/>
      <c r="C27" s="11"/>
      <c r="D27" s="5" t="str">
        <f>'Appendix A'!C176</f>
        <v>Common Stock</v>
      </c>
      <c r="F27" s="291"/>
      <c r="G27" s="289" t="str">
        <f>'Appendix A'!F176</f>
        <v>(Line 96 - 97 - 98 - 99)</v>
      </c>
      <c r="H27" s="28"/>
      <c r="I27" s="298">
        <f>I23-I24-I25-I26</f>
        <v>6373086266</v>
      </c>
      <c r="J27" s="249"/>
      <c r="K27" s="249"/>
    </row>
    <row r="28" spans="1:11" s="3" customFormat="1" ht="15">
      <c r="A28" s="14"/>
      <c r="B28" s="11"/>
      <c r="C28" s="4"/>
      <c r="D28" s="4"/>
      <c r="F28" s="2"/>
      <c r="G28" s="300"/>
      <c r="H28" s="2"/>
      <c r="I28" s="302"/>
    </row>
    <row r="29" spans="1:11" s="3" customFormat="1" ht="15.6">
      <c r="A29" s="14"/>
      <c r="B29" s="11"/>
      <c r="C29" s="303" t="str">
        <f>'Appendix A'!B178</f>
        <v>Capitalization</v>
      </c>
      <c r="D29" s="303"/>
      <c r="F29" s="2"/>
      <c r="G29" s="300"/>
      <c r="H29" s="2"/>
      <c r="I29" s="302"/>
    </row>
    <row r="30" spans="1:11" s="3" customFormat="1" ht="15">
      <c r="A30" s="14">
        <f>A27+1</f>
        <v>9</v>
      </c>
      <c r="B30" s="11"/>
      <c r="C30" s="11"/>
      <c r="D30" s="4" t="str">
        <f>'Appendix A'!C179</f>
        <v>Long Term Debt</v>
      </c>
      <c r="F30" s="2"/>
      <c r="G30" s="4" t="str">
        <f>'Appendix A'!F179</f>
        <v xml:space="preserve"> Attachment 5</v>
      </c>
      <c r="H30" s="2"/>
      <c r="I30" s="291">
        <f>+'Appendix A'!H179</f>
        <v>5939268873</v>
      </c>
    </row>
    <row r="31" spans="1:11" s="3" customFormat="1" ht="15">
      <c r="A31" s="14">
        <f t="shared" ref="A31:A37" si="0">A30+1</f>
        <v>10</v>
      </c>
      <c r="B31" s="11"/>
      <c r="C31" s="11"/>
      <c r="D31" s="4" t="str">
        <f>'Appendix A'!C180</f>
        <v xml:space="preserve">      Less Loss on Reacquired Debt </v>
      </c>
      <c r="F31" s="2"/>
      <c r="G31" s="300" t="str">
        <f>'Appendix A'!F180</f>
        <v xml:space="preserve"> Attachment 5</v>
      </c>
      <c r="H31" s="2"/>
      <c r="I31" s="291">
        <f>+'Appendix A'!H180</f>
        <v>77696490.5</v>
      </c>
    </row>
    <row r="32" spans="1:11" s="3" customFormat="1" ht="15">
      <c r="A32" s="14">
        <f t="shared" si="0"/>
        <v>11</v>
      </c>
      <c r="B32" s="10"/>
      <c r="C32" s="10"/>
      <c r="D32" s="5" t="str">
        <f>'Appendix A'!C181</f>
        <v xml:space="preserve">      Plus Gain on Reacquired Debt</v>
      </c>
      <c r="F32" s="6"/>
      <c r="G32" s="5" t="str">
        <f>'Appendix A'!F181</f>
        <v xml:space="preserve"> Attachment 5</v>
      </c>
      <c r="H32" s="6"/>
      <c r="I32" s="291">
        <f>+'Appendix A'!H181</f>
        <v>0</v>
      </c>
    </row>
    <row r="33" spans="1:10" s="3" customFormat="1" ht="15">
      <c r="A33" s="14">
        <f t="shared" si="0"/>
        <v>12</v>
      </c>
      <c r="B33" s="10"/>
      <c r="C33" s="10"/>
      <c r="D33" s="5" t="str">
        <f>'Appendix A'!C182</f>
        <v xml:space="preserve">      Less ADIT associated with Gain or Loss</v>
      </c>
      <c r="F33" s="2"/>
      <c r="G33" s="5" t="str">
        <f>'Appendix A'!F182</f>
        <v>Attachment 5</v>
      </c>
      <c r="H33" s="6"/>
      <c r="I33" s="291">
        <f>+'Appendix A'!H182</f>
        <v>23902953</v>
      </c>
    </row>
    <row r="34" spans="1:10" s="3" customFormat="1" ht="15">
      <c r="A34" s="14">
        <f t="shared" si="0"/>
        <v>13</v>
      </c>
      <c r="B34" s="10"/>
      <c r="C34" s="10"/>
      <c r="D34" s="5" t="str">
        <f>'Appendix A'!C183</f>
        <v>Total Long Term Debt</v>
      </c>
      <c r="E34" s="8"/>
      <c r="F34" s="309"/>
      <c r="G34" s="310" t="str">
        <f>'Appendix A'!F183</f>
        <v>(Line 101 - 102 + 103 - 104 )</v>
      </c>
      <c r="H34" s="8"/>
      <c r="I34" s="311">
        <f>I30-I31+I32-I33</f>
        <v>5837669429.5</v>
      </c>
      <c r="J34" s="249"/>
    </row>
    <row r="35" spans="1:10" s="3" customFormat="1" ht="15">
      <c r="A35" s="14">
        <f t="shared" si="0"/>
        <v>14</v>
      </c>
      <c r="B35" s="10"/>
      <c r="C35" s="10"/>
      <c r="D35" s="5" t="str">
        <f>'Appendix A'!C184</f>
        <v>Preferred Stock</v>
      </c>
      <c r="E35" s="6"/>
      <c r="F35" s="312"/>
      <c r="G35" s="5" t="str">
        <f>'Appendix A'!F184</f>
        <v xml:space="preserve"> Attachment 5</v>
      </c>
      <c r="H35" s="6"/>
      <c r="I35" s="291">
        <f>+'Appendix A'!H184</f>
        <v>0</v>
      </c>
    </row>
    <row r="36" spans="1:10" s="3" customFormat="1" ht="15">
      <c r="A36" s="14">
        <f t="shared" si="0"/>
        <v>15</v>
      </c>
      <c r="B36" s="11"/>
      <c r="C36" s="11"/>
      <c r="D36" s="21" t="str">
        <f>'Appendix A'!C185</f>
        <v>Common Stock</v>
      </c>
      <c r="E36" s="22"/>
      <c r="F36" s="301"/>
      <c r="G36" s="11" t="str">
        <f>'Appendix A'!F185</f>
        <v>(Line 100)</v>
      </c>
      <c r="H36" s="2"/>
      <c r="I36" s="291">
        <f>I27</f>
        <v>6373086266</v>
      </c>
    </row>
    <row r="37" spans="1:10" s="3" customFormat="1" ht="15.6">
      <c r="A37" s="14">
        <f t="shared" si="0"/>
        <v>16</v>
      </c>
      <c r="B37" s="11"/>
      <c r="C37" s="11"/>
      <c r="D37" s="4" t="str">
        <f>'Appendix A'!C186</f>
        <v>Total  Capitalization</v>
      </c>
      <c r="E37" s="9"/>
      <c r="F37" s="313"/>
      <c r="G37" s="43" t="str">
        <f>'Appendix A'!F186</f>
        <v>(Sum Lines 105 to 107)</v>
      </c>
      <c r="H37" s="314"/>
      <c r="I37" s="311">
        <f>I36+I35+I34</f>
        <v>12210755695.5</v>
      </c>
      <c r="J37" s="249"/>
    </row>
    <row r="38" spans="1:10" s="3" customFormat="1" ht="15">
      <c r="A38" s="14"/>
      <c r="B38" s="11"/>
      <c r="C38" s="11"/>
      <c r="D38" s="4"/>
      <c r="E38" s="2"/>
      <c r="F38" s="301"/>
      <c r="G38" s="11"/>
      <c r="H38" s="298"/>
      <c r="I38" s="304"/>
    </row>
    <row r="39" spans="1:10" s="3" customFormat="1" ht="15">
      <c r="A39" s="14">
        <f>A37+1</f>
        <v>17</v>
      </c>
      <c r="B39" s="11"/>
      <c r="C39" s="11"/>
      <c r="D39" s="4" t="str">
        <f>'Appendix A'!C188</f>
        <v>Debt %</v>
      </c>
      <c r="E39" s="315"/>
      <c r="F39" s="16" t="str">
        <f>'Appendix A'!D188</f>
        <v>Total Long Term Debt</v>
      </c>
      <c r="G39" s="11" t="str">
        <f>'Appendix A'!F188</f>
        <v>(Line 105 / Line 108)</v>
      </c>
      <c r="H39" s="298"/>
      <c r="I39" s="316">
        <f>IF(I37&gt;0,I34/I37,0)</f>
        <v>0.47807601552878026</v>
      </c>
    </row>
    <row r="40" spans="1:10" s="3" customFormat="1" ht="15">
      <c r="A40" s="14">
        <f>A39+1</f>
        <v>18</v>
      </c>
      <c r="B40" s="11"/>
      <c r="C40" s="11"/>
      <c r="D40" s="4" t="str">
        <f>'Appendix A'!C189</f>
        <v>Preferred %</v>
      </c>
      <c r="E40" s="301"/>
      <c r="F40" s="16" t="str">
        <f>'Appendix A'!D189</f>
        <v>Preferred Stock</v>
      </c>
      <c r="G40" s="11" t="str">
        <f>'Appendix A'!F189</f>
        <v>(Line 106 / Line 108)</v>
      </c>
      <c r="H40" s="298"/>
      <c r="I40" s="316">
        <f>IF(I37&gt;0,I35/I37,0)</f>
        <v>0</v>
      </c>
    </row>
    <row r="41" spans="1:10" s="3" customFormat="1" ht="15">
      <c r="A41" s="14">
        <f>A40+1</f>
        <v>19</v>
      </c>
      <c r="B41" s="11"/>
      <c r="C41" s="11"/>
      <c r="D41" s="4" t="str">
        <f>'Appendix A'!C190</f>
        <v>Common %</v>
      </c>
      <c r="E41" s="301"/>
      <c r="F41" s="16" t="str">
        <f>'Appendix A'!D190</f>
        <v>Common Stock</v>
      </c>
      <c r="G41" s="11" t="str">
        <f>'Appendix A'!F190</f>
        <v>(Line 107 / Line 108)</v>
      </c>
      <c r="H41" s="298"/>
      <c r="I41" s="316">
        <f>IF(I37&gt;0,I36/I37,0)</f>
        <v>0.52192398447121979</v>
      </c>
    </row>
    <row r="42" spans="1:10" s="3" customFormat="1" ht="15">
      <c r="A42" s="14"/>
      <c r="B42" s="11"/>
      <c r="C42" s="11"/>
      <c r="D42" s="4"/>
      <c r="E42" s="2"/>
      <c r="F42" s="300"/>
      <c r="G42" s="11"/>
      <c r="H42" s="298"/>
      <c r="I42" s="304"/>
    </row>
    <row r="43" spans="1:10" s="3" customFormat="1" ht="15">
      <c r="A43" s="14">
        <f>A41+1</f>
        <v>20</v>
      </c>
      <c r="B43" s="11"/>
      <c r="C43" s="11"/>
      <c r="D43" s="4" t="str">
        <f>'Appendix A'!C192</f>
        <v>Debt Cost</v>
      </c>
      <c r="E43" s="315"/>
      <c r="F43" s="300" t="str">
        <f>'Appendix A'!D192</f>
        <v>Total Long Term Debt</v>
      </c>
      <c r="G43" s="11" t="str">
        <f>'Appendix A'!F192</f>
        <v>(Line 94 / Line 105)</v>
      </c>
      <c r="H43" s="298"/>
      <c r="I43" s="317">
        <f>IF(I34&gt;0,I18/I34,0)</f>
        <v>4.3171040951112148E-2</v>
      </c>
    </row>
    <row r="44" spans="1:10" s="3" customFormat="1" ht="15">
      <c r="A44" s="14">
        <f>A43+1</f>
        <v>21</v>
      </c>
      <c r="B44" s="11"/>
      <c r="C44" s="11"/>
      <c r="D44" s="4" t="str">
        <f>'Appendix A'!C193</f>
        <v>Preferred Cost</v>
      </c>
      <c r="E44" s="301"/>
      <c r="F44" s="300" t="str">
        <f>'Appendix A'!D193</f>
        <v>Preferred Stock</v>
      </c>
      <c r="G44" s="11" t="str">
        <f>'Appendix A'!F193</f>
        <v>(Line 95 / Line 106)</v>
      </c>
      <c r="H44" s="298"/>
      <c r="I44" s="317">
        <f>IF(I35&gt;0,I20/I35,0)</f>
        <v>0</v>
      </c>
    </row>
    <row r="45" spans="1:10" s="3" customFormat="1" ht="15">
      <c r="A45" s="14">
        <f>A44+1</f>
        <v>22</v>
      </c>
      <c r="B45" s="11"/>
      <c r="C45" s="11"/>
      <c r="D45" s="4" t="str">
        <f>'Appendix A'!C194</f>
        <v>Common Cost</v>
      </c>
      <c r="E45" s="54"/>
      <c r="F45" s="305" t="str">
        <f>'Appendix A'!D194</f>
        <v>Common Stock</v>
      </c>
      <c r="G45" s="291" t="str">
        <f>"(Line "&amp;'Appendix A'!A194&amp;" + 100 basis points)"</f>
        <v>(Line 114 + 100 basis points)</v>
      </c>
      <c r="H45" s="298"/>
      <c r="I45" s="318">
        <f>+'Appendix A'!H194+I11</f>
        <v>0.1268</v>
      </c>
    </row>
    <row r="46" spans="1:10" s="3" customFormat="1" ht="15">
      <c r="A46" s="14"/>
      <c r="B46" s="11"/>
      <c r="C46" s="11"/>
      <c r="D46" s="4"/>
      <c r="E46" s="2"/>
      <c r="F46" s="300"/>
      <c r="G46" s="11"/>
      <c r="H46" s="298"/>
      <c r="I46" s="2"/>
    </row>
    <row r="47" spans="1:10" s="3" customFormat="1" ht="15">
      <c r="A47" s="14">
        <f>A45+1</f>
        <v>23</v>
      </c>
      <c r="B47" s="11"/>
      <c r="C47" s="11"/>
      <c r="D47" s="4" t="str">
        <f>'Appendix A'!C196</f>
        <v>Weighted Cost of Debt</v>
      </c>
      <c r="E47" s="315"/>
      <c r="F47" s="16" t="str">
        <f>'Appendix A'!D196</f>
        <v>Total Long Term Debt (WCLTD)</v>
      </c>
      <c r="G47" s="11" t="str">
        <f>'Appendix A'!F196</f>
        <v>(Line 109 * Line 112)</v>
      </c>
      <c r="H47" s="319"/>
      <c r="I47" s="320">
        <f>I43*I39</f>
        <v>2.06390392441375E-2</v>
      </c>
    </row>
    <row r="48" spans="1:10" s="3" customFormat="1" ht="15">
      <c r="A48" s="14">
        <f>A47+1</f>
        <v>24</v>
      </c>
      <c r="B48" s="11"/>
      <c r="C48" s="11"/>
      <c r="D48" s="4" t="str">
        <f>'Appendix A'!C197</f>
        <v>Weighted Cost of Preferred</v>
      </c>
      <c r="E48" s="301"/>
      <c r="F48" s="16" t="str">
        <f>'Appendix A'!D197</f>
        <v>Preferred Stock</v>
      </c>
      <c r="G48" s="11" t="str">
        <f>'Appendix A'!F197</f>
        <v>(Line 110 * Line 113)</v>
      </c>
      <c r="H48" s="13"/>
      <c r="I48" s="320">
        <f>I44*I40</f>
        <v>0</v>
      </c>
    </row>
    <row r="49" spans="1:9" s="3" customFormat="1" ht="15">
      <c r="A49" s="14">
        <f>A48+1</f>
        <v>25</v>
      </c>
      <c r="B49" s="11"/>
      <c r="C49" s="11"/>
      <c r="D49" s="21" t="str">
        <f>'Appendix A'!C198</f>
        <v>Weighted Cost of Common</v>
      </c>
      <c r="E49" s="321"/>
      <c r="F49" s="21" t="str">
        <f>'Appendix A'!D198</f>
        <v>Common Stock</v>
      </c>
      <c r="G49" s="44" t="str">
        <f>'Appendix A'!F198</f>
        <v>(Line 111 * Line 114)</v>
      </c>
      <c r="H49" s="322"/>
      <c r="I49" s="323">
        <f>I45*I41</f>
        <v>6.6179961230950671E-2</v>
      </c>
    </row>
    <row r="50" spans="1:9" s="3" customFormat="1" ht="15.6">
      <c r="A50" s="14">
        <f>A49+1</f>
        <v>26</v>
      </c>
      <c r="B50" s="11"/>
      <c r="C50" s="294" t="str">
        <f>'Appendix A'!B199</f>
        <v>Rate of Return on Rate Base ( ROR )</v>
      </c>
      <c r="D50" s="11"/>
      <c r="E50" s="324"/>
      <c r="F50" s="325"/>
      <c r="G50" s="326" t="str">
        <f>'Appendix A'!F199</f>
        <v>(Sum Lines 115 to 117)</v>
      </c>
      <c r="H50" s="327"/>
      <c r="I50" s="328">
        <f>SUM(I47:I49)</f>
        <v>8.6819000475088171E-2</v>
      </c>
    </row>
    <row r="51" spans="1:9" s="3" customFormat="1" ht="15.6">
      <c r="A51" s="329"/>
      <c r="B51" s="11"/>
      <c r="C51" s="11"/>
      <c r="D51" s="11"/>
      <c r="E51" s="324"/>
      <c r="F51" s="325"/>
      <c r="G51" s="326"/>
      <c r="H51" s="327"/>
      <c r="I51" s="328"/>
    </row>
    <row r="52" spans="1:9" s="3" customFormat="1" ht="16.2" thickBot="1">
      <c r="A52" s="14">
        <f>A50+1</f>
        <v>27</v>
      </c>
      <c r="B52" s="11"/>
      <c r="C52" s="330" t="str">
        <f>'Appendix A'!B201</f>
        <v>Investment Return = Rate Base * Rate of Return</v>
      </c>
      <c r="D52" s="330"/>
      <c r="E52" s="330"/>
      <c r="F52" s="24"/>
      <c r="G52" s="331" t="str">
        <f>'Appendix A'!F201</f>
        <v>(Line 58 * Line 118)</v>
      </c>
      <c r="H52" s="332"/>
      <c r="I52" s="333">
        <f>+I50*I16</f>
        <v>348814560.21822041</v>
      </c>
    </row>
    <row r="53" spans="1:9" s="3" customFormat="1" ht="15.6" thickTop="1">
      <c r="A53" s="14"/>
      <c r="B53" s="1"/>
      <c r="C53" s="1"/>
      <c r="D53" s="301"/>
      <c r="E53" s="2"/>
      <c r="F53" s="18"/>
      <c r="G53" s="298"/>
      <c r="H53" s="298"/>
      <c r="I53" s="320"/>
    </row>
    <row r="54" spans="1:9" s="3" customFormat="1" ht="15.6">
      <c r="A54" s="334" t="s">
        <v>744</v>
      </c>
      <c r="B54" s="335"/>
      <c r="C54" s="336"/>
      <c r="D54" s="337"/>
      <c r="E54" s="25"/>
      <c r="F54" s="338"/>
      <c r="G54" s="26"/>
      <c r="H54" s="26"/>
      <c r="I54" s="27"/>
    </row>
    <row r="55" spans="1:9" s="3" customFormat="1" ht="15.6">
      <c r="A55" s="5"/>
      <c r="B55" s="5"/>
      <c r="C55" s="1"/>
      <c r="D55" s="339"/>
      <c r="E55" s="6"/>
      <c r="F55" s="340"/>
      <c r="G55" s="2"/>
      <c r="H55" s="2"/>
      <c r="I55" s="341"/>
    </row>
    <row r="56" spans="1:9" s="3" customFormat="1" ht="15.6">
      <c r="A56" s="14" t="s">
        <v>121</v>
      </c>
      <c r="B56" s="1"/>
      <c r="C56" s="342" t="s">
        <v>247</v>
      </c>
      <c r="D56" s="2"/>
      <c r="E56" s="2"/>
      <c r="F56" s="340"/>
      <c r="G56" s="298"/>
      <c r="H56" s="343"/>
      <c r="I56" s="2"/>
    </row>
    <row r="57" spans="1:9" s="3" customFormat="1" ht="15">
      <c r="A57" s="14">
        <f>+A52+1</f>
        <v>28</v>
      </c>
      <c r="B57" s="18"/>
      <c r="C57" s="1"/>
      <c r="D57" s="2" t="s">
        <v>245</v>
      </c>
      <c r="E57" s="2"/>
      <c r="F57" s="18"/>
      <c r="G57" s="48"/>
      <c r="H57" s="344"/>
      <c r="I57" s="345">
        <f>+'Appendix A'!H206</f>
        <v>0.35</v>
      </c>
    </row>
    <row r="58" spans="1:9" s="3" customFormat="1" ht="15">
      <c r="A58" s="14">
        <f>+A57+1</f>
        <v>29</v>
      </c>
      <c r="B58" s="18"/>
      <c r="C58" s="1"/>
      <c r="D58" s="344" t="s">
        <v>244</v>
      </c>
      <c r="E58" s="346"/>
      <c r="F58" s="18"/>
      <c r="G58" s="48"/>
      <c r="H58" s="344"/>
      <c r="I58" s="345">
        <f>+'Appendix A'!H207</f>
        <v>0.09</v>
      </c>
    </row>
    <row r="59" spans="1:9" s="3" customFormat="1" ht="15">
      <c r="A59" s="14">
        <f>+A58+1</f>
        <v>30</v>
      </c>
      <c r="B59" s="18"/>
      <c r="C59" s="1"/>
      <c r="D59" s="344" t="s">
        <v>691</v>
      </c>
      <c r="E59" s="344"/>
      <c r="F59" s="18"/>
      <c r="G59" s="249" t="str">
        <f>+'Appendix A'!F208</f>
        <v>Per State Tax Code</v>
      </c>
      <c r="H59" s="344"/>
      <c r="I59" s="345">
        <f>+'Appendix A'!H208</f>
        <v>0</v>
      </c>
    </row>
    <row r="60" spans="1:9" s="3" customFormat="1" ht="15">
      <c r="A60" s="14">
        <f>+A59+1</f>
        <v>31</v>
      </c>
      <c r="B60" s="18"/>
      <c r="C60" s="1"/>
      <c r="D60" s="344" t="s">
        <v>350</v>
      </c>
      <c r="E60" s="347" t="s">
        <v>361</v>
      </c>
      <c r="F60" s="18"/>
      <c r="H60" s="344"/>
      <c r="I60" s="345">
        <f>+'Appendix A'!H209</f>
        <v>0.40849999999999997</v>
      </c>
    </row>
    <row r="61" spans="1:9" s="3" customFormat="1" ht="15">
      <c r="A61" s="14">
        <v>35</v>
      </c>
      <c r="B61" s="19"/>
      <c r="C61" s="14"/>
      <c r="D61" s="344" t="s">
        <v>525</v>
      </c>
      <c r="E61" s="38"/>
      <c r="F61" s="38"/>
      <c r="G61" s="38"/>
      <c r="H61" s="38"/>
      <c r="I61" s="345">
        <f>I60/(1-I60)</f>
        <v>0.69061707523245974</v>
      </c>
    </row>
    <row r="62" spans="1:9" s="3" customFormat="1" ht="15">
      <c r="A62" s="14">
        <v>36</v>
      </c>
      <c r="B62" s="19"/>
      <c r="C62" s="14"/>
      <c r="D62" s="344" t="s">
        <v>524</v>
      </c>
      <c r="E62" s="348"/>
      <c r="F62" s="19"/>
      <c r="G62" s="6"/>
      <c r="H62" s="344"/>
      <c r="I62" s="345">
        <f>1/(1-I60)</f>
        <v>1.6906170752324599</v>
      </c>
    </row>
    <row r="63" spans="1:9" s="3" customFormat="1" ht="15">
      <c r="A63" s="14"/>
      <c r="B63" s="1"/>
      <c r="C63" s="1"/>
      <c r="D63" s="2"/>
      <c r="E63" s="2"/>
      <c r="F63" s="349"/>
      <c r="G63" s="347"/>
      <c r="H63" s="343"/>
      <c r="I63" s="350"/>
    </row>
    <row r="64" spans="1:9" s="3" customFormat="1" ht="15.6">
      <c r="A64" s="14"/>
      <c r="B64" s="1"/>
      <c r="C64" s="342" t="s">
        <v>171</v>
      </c>
      <c r="D64" s="301"/>
      <c r="E64" s="2"/>
      <c r="F64" s="340"/>
      <c r="G64" s="298"/>
      <c r="H64" s="343"/>
      <c r="I64" s="351"/>
    </row>
    <row r="65" spans="1:9" s="3" customFormat="1" ht="15">
      <c r="A65" s="14">
        <f>+A62+1</f>
        <v>37</v>
      </c>
      <c r="B65" s="18"/>
      <c r="C65" s="1"/>
      <c r="D65" s="301" t="s">
        <v>334</v>
      </c>
      <c r="E65" s="2"/>
      <c r="F65" s="304" t="s">
        <v>348</v>
      </c>
      <c r="G65" s="249" t="str">
        <f>+'Appendix A'!F213</f>
        <v>Attachment 5</v>
      </c>
      <c r="H65" s="343"/>
      <c r="I65" s="387">
        <f>+'Appendix A'!H213</f>
        <v>-1135991</v>
      </c>
    </row>
    <row r="66" spans="1:9" s="3" customFormat="1" ht="15">
      <c r="A66" s="14">
        <f>+A65+1</f>
        <v>38</v>
      </c>
      <c r="B66" s="18"/>
      <c r="C66" s="1"/>
      <c r="D66" s="312" t="s">
        <v>343</v>
      </c>
      <c r="E66" s="2"/>
      <c r="F66" s="1"/>
      <c r="G66" s="249" t="str">
        <f>+'Appendix A'!F214</f>
        <v>1 / (1 - Line 123)</v>
      </c>
      <c r="H66" s="343"/>
      <c r="I66" s="352">
        <f>+'Appendix A'!H214</f>
        <v>1.6906170752324599</v>
      </c>
    </row>
    <row r="67" spans="1:9" s="3" customFormat="1" ht="15">
      <c r="A67" s="14">
        <f>+A66+1</f>
        <v>39</v>
      </c>
      <c r="B67" s="18"/>
      <c r="C67" s="15"/>
      <c r="D67" s="31" t="s">
        <v>166</v>
      </c>
      <c r="E67" s="20"/>
      <c r="F67" s="32"/>
      <c r="G67" s="353" t="str">
        <f>+'Appendix A'!F215</f>
        <v>(Line 18)</v>
      </c>
      <c r="H67" s="354"/>
      <c r="I67" s="29">
        <f>+'Appendix A'!H35</f>
        <v>0.43405102133469092</v>
      </c>
    </row>
    <row r="68" spans="1:9" s="3" customFormat="1" ht="15.6">
      <c r="A68" s="14">
        <f>+A67+1</f>
        <v>40</v>
      </c>
      <c r="B68" s="18"/>
      <c r="C68" s="1"/>
      <c r="D68" s="355" t="s">
        <v>197</v>
      </c>
      <c r="E68" s="8"/>
      <c r="F68" s="34"/>
      <c r="G68" s="249" t="str">
        <f>+'Appendix A'!F216</f>
        <v>(Line 125 * Line 126 * Line 127)</v>
      </c>
      <c r="H68" s="356"/>
      <c r="I68" s="357">
        <f>+I65*(I66)*I67</f>
        <v>-833606.17713781388</v>
      </c>
    </row>
    <row r="69" spans="1:9" s="3" customFormat="1" ht="15.6">
      <c r="A69" s="14"/>
      <c r="B69" s="1"/>
      <c r="C69" s="1"/>
      <c r="D69" s="358"/>
      <c r="E69" s="17"/>
      <c r="F69" s="37"/>
      <c r="G69" s="36"/>
      <c r="H69" s="354"/>
      <c r="I69" s="359"/>
    </row>
    <row r="70" spans="1:9" s="3" customFormat="1" ht="15.6">
      <c r="A70" s="14"/>
      <c r="B70" s="1"/>
      <c r="C70" s="1"/>
      <c r="D70" s="358"/>
      <c r="E70" s="17"/>
      <c r="F70" s="37"/>
      <c r="G70" s="36"/>
      <c r="H70" s="354"/>
      <c r="I70" s="360"/>
    </row>
    <row r="71" spans="1:9" s="3" customFormat="1" ht="15.6">
      <c r="A71" s="14"/>
      <c r="B71" s="1"/>
      <c r="C71" s="1"/>
      <c r="D71" s="2"/>
      <c r="E71" s="2"/>
      <c r="F71" s="349"/>
      <c r="G71" s="347"/>
      <c r="H71" s="343"/>
      <c r="I71" s="35"/>
    </row>
    <row r="72" spans="1:9" s="3" customFormat="1" ht="15.6">
      <c r="A72" s="14">
        <f>+A68+1</f>
        <v>41</v>
      </c>
      <c r="B72" s="18"/>
      <c r="C72" s="12" t="s">
        <v>324</v>
      </c>
      <c r="E72" s="2" t="s">
        <v>326</v>
      </c>
      <c r="F72" s="340"/>
      <c r="G72" s="297"/>
      <c r="H72" s="2"/>
      <c r="I72" s="250">
        <f>+I61*(1-I47/I50)*I52</f>
        <v>183630003.99326193</v>
      </c>
    </row>
    <row r="73" spans="1:9" s="3" customFormat="1" ht="15">
      <c r="A73" s="14"/>
      <c r="B73" s="1"/>
      <c r="C73" s="1"/>
      <c r="D73" s="16"/>
      <c r="E73" s="17"/>
      <c r="F73" s="33"/>
      <c r="G73" s="297"/>
      <c r="H73" s="354"/>
      <c r="I73" s="361"/>
    </row>
    <row r="74" spans="1:9" s="3" customFormat="1" ht="16.2" thickBot="1">
      <c r="A74" s="14">
        <f>+A72+1</f>
        <v>42</v>
      </c>
      <c r="B74" s="18"/>
      <c r="C74" s="362" t="s">
        <v>101</v>
      </c>
      <c r="D74" s="362"/>
      <c r="E74" s="330"/>
      <c r="F74" s="363"/>
      <c r="G74" s="333"/>
      <c r="H74" s="364"/>
      <c r="I74" s="365">
        <f>+I72+I68</f>
        <v>182796397.81612411</v>
      </c>
    </row>
    <row r="75" spans="1:9" s="3" customFormat="1" ht="15.6" thickTop="1">
      <c r="A75" s="14"/>
      <c r="B75" s="1"/>
      <c r="C75" s="1"/>
      <c r="D75" s="347"/>
      <c r="E75" s="2"/>
      <c r="F75" s="18"/>
      <c r="G75" s="366"/>
      <c r="H75" s="367"/>
      <c r="I75" s="368"/>
    </row>
    <row r="76" spans="1:9" s="3" customFormat="1" ht="15">
      <c r="A76" s="7"/>
    </row>
    <row r="77" spans="1:9">
      <c r="A77" s="38"/>
    </row>
    <row r="78" spans="1:9">
      <c r="A78" s="38"/>
    </row>
    <row r="79" spans="1:9">
      <c r="A79" s="38"/>
    </row>
    <row r="80" spans="1:9">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row r="95" spans="1:1">
      <c r="A95" s="38"/>
    </row>
    <row r="96" spans="1:1">
      <c r="A96" s="38"/>
    </row>
    <row r="97" spans="1:1">
      <c r="A97" s="38"/>
    </row>
    <row r="98" spans="1:1">
      <c r="A98" s="38"/>
    </row>
    <row r="99" spans="1:1">
      <c r="A99" s="38"/>
    </row>
    <row r="100" spans="1:1">
      <c r="A100" s="38"/>
    </row>
    <row r="101" spans="1:1">
      <c r="A101" s="38"/>
    </row>
    <row r="102" spans="1:1">
      <c r="A102" s="38"/>
    </row>
    <row r="103" spans="1:1">
      <c r="A103" s="38"/>
    </row>
    <row r="104" spans="1:1">
      <c r="A104" s="38"/>
    </row>
    <row r="105" spans="1:1">
      <c r="A105" s="38"/>
    </row>
    <row r="106" spans="1:1">
      <c r="A106" s="38"/>
    </row>
    <row r="107" spans="1:1">
      <c r="A107" s="38"/>
    </row>
    <row r="108" spans="1:1">
      <c r="A108" s="38"/>
    </row>
    <row r="109" spans="1:1">
      <c r="A109" s="38"/>
    </row>
    <row r="110" spans="1:1">
      <c r="A110" s="38"/>
    </row>
    <row r="111" spans="1:1">
      <c r="A111" s="38"/>
    </row>
    <row r="112" spans="1:1">
      <c r="A112" s="38"/>
    </row>
    <row r="113" spans="1:1">
      <c r="A113" s="38"/>
    </row>
    <row r="114" spans="1:1">
      <c r="A114" s="38"/>
    </row>
    <row r="115" spans="1:1">
      <c r="A115" s="38"/>
    </row>
    <row r="116" spans="1:1">
      <c r="A116" s="38"/>
    </row>
    <row r="117" spans="1:1">
      <c r="A117" s="38"/>
    </row>
    <row r="118" spans="1:1">
      <c r="A118" s="38"/>
    </row>
    <row r="119" spans="1:1">
      <c r="A119" s="38"/>
    </row>
    <row r="120" spans="1:1">
      <c r="A120" s="38"/>
    </row>
    <row r="121" spans="1:1">
      <c r="A121" s="38"/>
    </row>
    <row r="122" spans="1:1">
      <c r="A122" s="38"/>
    </row>
    <row r="123" spans="1:1">
      <c r="A123" s="38"/>
    </row>
    <row r="124" spans="1:1">
      <c r="A124" s="38"/>
    </row>
    <row r="125" spans="1:1">
      <c r="A125" s="38"/>
    </row>
    <row r="126" spans="1:1">
      <c r="A126" s="38"/>
    </row>
    <row r="127" spans="1:1">
      <c r="A127" s="38"/>
    </row>
    <row r="128" spans="1:1">
      <c r="A128" s="38"/>
    </row>
    <row r="129" spans="1:1">
      <c r="A129" s="38"/>
    </row>
    <row r="130" spans="1:1">
      <c r="A130" s="38"/>
    </row>
    <row r="131" spans="1:1">
      <c r="A131" s="38"/>
    </row>
    <row r="132" spans="1:1">
      <c r="A132" s="38"/>
    </row>
    <row r="133" spans="1:1">
      <c r="A133" s="38"/>
    </row>
    <row r="134" spans="1:1">
      <c r="A134" s="38"/>
    </row>
    <row r="135" spans="1:1">
      <c r="A135" s="38"/>
    </row>
    <row r="136" spans="1:1">
      <c r="A136" s="38"/>
    </row>
    <row r="137" spans="1:1">
      <c r="A137" s="38"/>
    </row>
    <row r="138" spans="1:1">
      <c r="A138" s="38"/>
    </row>
    <row r="139" spans="1:1">
      <c r="A139" s="38"/>
    </row>
    <row r="140" spans="1:1">
      <c r="A140" s="38"/>
    </row>
    <row r="141" spans="1:1">
      <c r="A141" s="38"/>
    </row>
    <row r="142" spans="1:1">
      <c r="A142" s="38"/>
    </row>
    <row r="143" spans="1:1">
      <c r="A143" s="38"/>
    </row>
    <row r="144" spans="1:1">
      <c r="A144" s="38"/>
    </row>
    <row r="145" spans="1:1">
      <c r="A145" s="38"/>
    </row>
    <row r="146" spans="1:1">
      <c r="A146" s="38"/>
    </row>
    <row r="147" spans="1:1">
      <c r="A147" s="38"/>
    </row>
    <row r="148" spans="1:1">
      <c r="A148" s="38"/>
    </row>
    <row r="149" spans="1:1">
      <c r="A149" s="38"/>
    </row>
    <row r="150" spans="1:1">
      <c r="A150" s="38"/>
    </row>
    <row r="151" spans="1:1">
      <c r="A151" s="38"/>
    </row>
    <row r="152" spans="1:1">
      <c r="A152" s="38"/>
    </row>
    <row r="153" spans="1:1">
      <c r="A153" s="38"/>
    </row>
    <row r="154" spans="1:1">
      <c r="A154" s="38"/>
    </row>
    <row r="155" spans="1:1">
      <c r="A155" s="38"/>
    </row>
    <row r="156" spans="1:1">
      <c r="A156" s="38"/>
    </row>
    <row r="157" spans="1:1">
      <c r="A157" s="38"/>
    </row>
    <row r="158" spans="1:1">
      <c r="A158" s="38"/>
    </row>
    <row r="159" spans="1:1">
      <c r="A159" s="38"/>
    </row>
    <row r="160" spans="1:1">
      <c r="A160" s="38"/>
    </row>
    <row r="161" spans="1:1">
      <c r="A161" s="38"/>
    </row>
    <row r="162" spans="1:1">
      <c r="A162" s="38"/>
    </row>
    <row r="163" spans="1:1">
      <c r="A163" s="38"/>
    </row>
    <row r="164" spans="1:1">
      <c r="A164" s="38"/>
    </row>
    <row r="165" spans="1:1">
      <c r="A165" s="38"/>
    </row>
    <row r="166" spans="1:1">
      <c r="A166" s="38"/>
    </row>
    <row r="167" spans="1:1">
      <c r="A167" s="38"/>
    </row>
    <row r="168" spans="1:1">
      <c r="A168" s="38"/>
    </row>
    <row r="169" spans="1:1">
      <c r="A169" s="38"/>
    </row>
    <row r="170" spans="1:1">
      <c r="A170" s="38"/>
    </row>
    <row r="171" spans="1:1">
      <c r="A171" s="38"/>
    </row>
    <row r="172" spans="1:1">
      <c r="A172" s="38"/>
    </row>
    <row r="173" spans="1:1">
      <c r="A173" s="38"/>
    </row>
    <row r="174" spans="1:1">
      <c r="A174" s="38"/>
    </row>
    <row r="175" spans="1:1">
      <c r="A175" s="38"/>
    </row>
    <row r="176" spans="1:1">
      <c r="A176" s="38"/>
    </row>
    <row r="177" spans="1:1">
      <c r="A177" s="38"/>
    </row>
    <row r="178" spans="1:1">
      <c r="A178" s="38"/>
    </row>
    <row r="179" spans="1:1">
      <c r="A179" s="38"/>
    </row>
    <row r="180" spans="1:1">
      <c r="A180" s="38"/>
    </row>
    <row r="181" spans="1:1">
      <c r="A181" s="38"/>
    </row>
    <row r="182" spans="1:1">
      <c r="A182" s="38"/>
    </row>
    <row r="183" spans="1:1">
      <c r="A183" s="38"/>
    </row>
    <row r="184" spans="1:1">
      <c r="A184" s="38"/>
    </row>
    <row r="185" spans="1:1">
      <c r="A185" s="38"/>
    </row>
    <row r="186" spans="1:1">
      <c r="A186" s="38"/>
    </row>
    <row r="187" spans="1:1">
      <c r="A187" s="38"/>
    </row>
    <row r="188" spans="1:1">
      <c r="A188" s="38"/>
    </row>
    <row r="189" spans="1:1">
      <c r="A189" s="38"/>
    </row>
    <row r="190" spans="1:1">
      <c r="A190" s="38"/>
    </row>
    <row r="191" spans="1:1">
      <c r="A191" s="38"/>
    </row>
    <row r="192" spans="1:1">
      <c r="A192" s="38"/>
    </row>
    <row r="193" spans="1:1">
      <c r="A193" s="38"/>
    </row>
    <row r="194" spans="1:1">
      <c r="A194" s="38"/>
    </row>
    <row r="195" spans="1:1">
      <c r="A195" s="38"/>
    </row>
    <row r="196" spans="1:1">
      <c r="A196" s="38"/>
    </row>
    <row r="197" spans="1:1">
      <c r="A197" s="38"/>
    </row>
    <row r="198" spans="1:1">
      <c r="A198" s="38"/>
    </row>
    <row r="199" spans="1:1">
      <c r="A199" s="38"/>
    </row>
    <row r="200" spans="1:1">
      <c r="A200" s="38"/>
    </row>
    <row r="201" spans="1:1">
      <c r="A201" s="38"/>
    </row>
    <row r="202" spans="1:1">
      <c r="A202" s="38"/>
    </row>
    <row r="203" spans="1:1">
      <c r="A203" s="38"/>
    </row>
    <row r="204" spans="1:1">
      <c r="A204" s="38"/>
    </row>
    <row r="205" spans="1:1">
      <c r="A205" s="38"/>
    </row>
    <row r="206" spans="1:1">
      <c r="A206" s="38"/>
    </row>
    <row r="207" spans="1:1">
      <c r="A207" s="38"/>
    </row>
    <row r="208" spans="1:1">
      <c r="A208" s="38"/>
    </row>
    <row r="209" spans="1:1">
      <c r="A209" s="38"/>
    </row>
    <row r="210" spans="1:1">
      <c r="A210" s="38"/>
    </row>
    <row r="211" spans="1:1">
      <c r="A211" s="38"/>
    </row>
    <row r="212" spans="1:1">
      <c r="A212" s="38"/>
    </row>
    <row r="213" spans="1:1">
      <c r="A213" s="38"/>
    </row>
    <row r="214" spans="1:1">
      <c r="A214" s="38"/>
    </row>
    <row r="215" spans="1:1">
      <c r="A215" s="38"/>
    </row>
    <row r="216" spans="1:1">
      <c r="A216" s="38"/>
    </row>
    <row r="217" spans="1:1">
      <c r="A217" s="38"/>
    </row>
    <row r="218" spans="1:1">
      <c r="A218" s="38"/>
    </row>
    <row r="219" spans="1:1">
      <c r="A219" s="38"/>
    </row>
    <row r="220" spans="1:1">
      <c r="A220" s="38"/>
    </row>
    <row r="221" spans="1:1">
      <c r="A221" s="38"/>
    </row>
    <row r="222" spans="1:1">
      <c r="A222" s="38"/>
    </row>
    <row r="223" spans="1:1">
      <c r="A223" s="38"/>
    </row>
    <row r="224" spans="1:1">
      <c r="A224" s="38"/>
    </row>
    <row r="225" spans="1:1">
      <c r="A225" s="38"/>
    </row>
    <row r="226" spans="1:1">
      <c r="A226" s="38"/>
    </row>
    <row r="227" spans="1:1">
      <c r="A227" s="38"/>
    </row>
    <row r="228" spans="1:1">
      <c r="A228" s="38"/>
    </row>
    <row r="229" spans="1:1">
      <c r="A229" s="38"/>
    </row>
    <row r="230" spans="1:1">
      <c r="A230" s="38"/>
    </row>
    <row r="231" spans="1:1">
      <c r="A231" s="38"/>
    </row>
    <row r="232" spans="1:1">
      <c r="A232" s="38"/>
    </row>
    <row r="233" spans="1:1">
      <c r="A233" s="38"/>
    </row>
    <row r="234" spans="1:1">
      <c r="A234" s="38"/>
    </row>
    <row r="235" spans="1:1">
      <c r="A235" s="38"/>
    </row>
    <row r="236" spans="1:1">
      <c r="A236" s="38"/>
    </row>
    <row r="237" spans="1:1">
      <c r="A237" s="38"/>
    </row>
    <row r="238" spans="1:1">
      <c r="A238" s="38"/>
    </row>
    <row r="239" spans="1:1">
      <c r="A239" s="38"/>
    </row>
    <row r="240" spans="1:1">
      <c r="A240" s="38"/>
    </row>
    <row r="241" spans="1:1">
      <c r="A241" s="38"/>
    </row>
    <row r="242" spans="1:1">
      <c r="A242" s="38"/>
    </row>
    <row r="243" spans="1:1">
      <c r="A243" s="38"/>
    </row>
    <row r="244" spans="1:1">
      <c r="A244" s="38"/>
    </row>
    <row r="245" spans="1:1">
      <c r="A245" s="38"/>
    </row>
    <row r="246" spans="1:1">
      <c r="A246" s="38"/>
    </row>
    <row r="247" spans="1:1">
      <c r="A247" s="38"/>
    </row>
    <row r="248" spans="1:1">
      <c r="A248" s="38"/>
    </row>
    <row r="249" spans="1:1">
      <c r="A249" s="38"/>
    </row>
    <row r="250" spans="1:1">
      <c r="A250" s="38"/>
    </row>
    <row r="251" spans="1:1">
      <c r="A251" s="38"/>
    </row>
    <row r="252" spans="1:1">
      <c r="A252" s="38"/>
    </row>
    <row r="253" spans="1:1">
      <c r="A253" s="38"/>
    </row>
    <row r="254" spans="1:1">
      <c r="A254" s="38"/>
    </row>
    <row r="255" spans="1:1">
      <c r="A255" s="38"/>
    </row>
    <row r="256" spans="1:1">
      <c r="A256" s="38"/>
    </row>
    <row r="257" spans="1:1">
      <c r="A257" s="38"/>
    </row>
    <row r="258" spans="1:1">
      <c r="A258" s="38"/>
    </row>
    <row r="259" spans="1:1">
      <c r="A259" s="38"/>
    </row>
    <row r="260" spans="1:1">
      <c r="A260" s="38"/>
    </row>
    <row r="261" spans="1:1">
      <c r="A261" s="38"/>
    </row>
    <row r="262" spans="1:1">
      <c r="A262" s="38"/>
    </row>
    <row r="263" spans="1:1">
      <c r="A263" s="38"/>
    </row>
    <row r="264" spans="1:1">
      <c r="A264" s="38"/>
    </row>
    <row r="265" spans="1:1">
      <c r="A265" s="38"/>
    </row>
    <row r="266" spans="1:1">
      <c r="A266" s="38"/>
    </row>
    <row r="267" spans="1:1">
      <c r="A267" s="38"/>
    </row>
    <row r="268" spans="1:1">
      <c r="A268" s="38"/>
    </row>
    <row r="269" spans="1:1">
      <c r="A269" s="38"/>
    </row>
    <row r="270" spans="1:1">
      <c r="A270" s="38"/>
    </row>
    <row r="271" spans="1:1">
      <c r="A271" s="38"/>
    </row>
    <row r="272" spans="1:1">
      <c r="A272" s="38"/>
    </row>
    <row r="273" spans="1:1">
      <c r="A273" s="38"/>
    </row>
    <row r="274" spans="1:1">
      <c r="A274" s="38"/>
    </row>
    <row r="275" spans="1:1">
      <c r="A275" s="38"/>
    </row>
    <row r="276" spans="1:1">
      <c r="A276" s="38"/>
    </row>
    <row r="277" spans="1:1">
      <c r="A277" s="38"/>
    </row>
    <row r="278" spans="1:1">
      <c r="A278" s="38"/>
    </row>
    <row r="279" spans="1:1">
      <c r="A279" s="38"/>
    </row>
    <row r="280" spans="1:1">
      <c r="A280" s="38"/>
    </row>
    <row r="281" spans="1:1">
      <c r="A281" s="38"/>
    </row>
    <row r="282" spans="1:1">
      <c r="A282" s="38"/>
    </row>
    <row r="283" spans="1:1">
      <c r="A283" s="38"/>
    </row>
    <row r="284" spans="1:1">
      <c r="A284" s="38"/>
    </row>
    <row r="285" spans="1:1">
      <c r="A285" s="38"/>
    </row>
    <row r="286" spans="1:1">
      <c r="A286" s="38"/>
    </row>
    <row r="287" spans="1:1">
      <c r="A287" s="38"/>
    </row>
    <row r="288" spans="1:1">
      <c r="A288" s="38"/>
    </row>
    <row r="289" spans="1:1">
      <c r="A289" s="38"/>
    </row>
    <row r="290" spans="1:1">
      <c r="A290" s="38"/>
    </row>
    <row r="291" spans="1:1">
      <c r="A291" s="38"/>
    </row>
    <row r="292" spans="1:1">
      <c r="A292" s="38"/>
    </row>
    <row r="293" spans="1:1">
      <c r="A293" s="38"/>
    </row>
    <row r="294" spans="1:1">
      <c r="A294" s="38"/>
    </row>
    <row r="295" spans="1:1">
      <c r="A295" s="38"/>
    </row>
    <row r="296" spans="1:1">
      <c r="A296" s="38"/>
    </row>
    <row r="297" spans="1:1">
      <c r="A297" s="38"/>
    </row>
    <row r="298" spans="1:1">
      <c r="A298" s="38"/>
    </row>
    <row r="299" spans="1:1">
      <c r="A299" s="38"/>
    </row>
    <row r="300" spans="1:1">
      <c r="A300" s="38"/>
    </row>
    <row r="301" spans="1:1">
      <c r="A301" s="38"/>
    </row>
    <row r="302" spans="1:1">
      <c r="A302" s="38"/>
    </row>
    <row r="303" spans="1:1">
      <c r="A303" s="38"/>
    </row>
    <row r="304" spans="1:1">
      <c r="A304" s="38"/>
    </row>
    <row r="305" spans="1:6">
      <c r="A305" s="50"/>
      <c r="B305" s="50"/>
      <c r="C305" s="50"/>
      <c r="D305" s="50"/>
      <c r="E305" s="50"/>
      <c r="F305" s="50"/>
    </row>
    <row r="306" spans="1:6">
      <c r="A306" s="50"/>
      <c r="B306" s="50"/>
      <c r="C306" s="50"/>
      <c r="D306" s="50"/>
      <c r="E306" s="50"/>
      <c r="F306" s="50"/>
    </row>
    <row r="307" spans="1:6">
      <c r="A307" s="50"/>
      <c r="B307" s="50"/>
      <c r="C307" s="50"/>
      <c r="D307" s="50"/>
      <c r="E307" s="50"/>
      <c r="F307" s="50"/>
    </row>
    <row r="308" spans="1:6">
      <c r="A308" s="50"/>
      <c r="B308" s="50"/>
      <c r="C308" s="50"/>
      <c r="D308" s="50"/>
      <c r="E308" s="50"/>
      <c r="F308" s="50"/>
    </row>
    <row r="309" spans="1:6">
      <c r="A309" s="50"/>
      <c r="B309" s="50"/>
      <c r="C309" s="50"/>
      <c r="D309" s="50"/>
      <c r="E309" s="50"/>
      <c r="F309" s="50"/>
    </row>
    <row r="310" spans="1:6">
      <c r="A310" s="50"/>
      <c r="B310" s="50"/>
      <c r="C310" s="50"/>
      <c r="D310" s="50"/>
      <c r="E310" s="50"/>
      <c r="F310" s="50"/>
    </row>
    <row r="311" spans="1:6">
      <c r="A311" s="50"/>
      <c r="B311" s="50"/>
      <c r="C311" s="50"/>
      <c r="D311" s="50"/>
      <c r="E311" s="50"/>
      <c r="F311" s="50"/>
    </row>
    <row r="312" spans="1:6">
      <c r="A312" s="50"/>
      <c r="B312" s="50"/>
      <c r="C312" s="50"/>
      <c r="D312" s="50"/>
      <c r="E312" s="50"/>
      <c r="F312" s="50"/>
    </row>
    <row r="313" spans="1:6">
      <c r="A313" s="50"/>
      <c r="B313" s="50"/>
      <c r="C313" s="50"/>
      <c r="D313" s="50"/>
      <c r="E313" s="50"/>
      <c r="F313" s="50"/>
    </row>
    <row r="314" spans="1:6">
      <c r="A314" s="38"/>
    </row>
    <row r="315" spans="1:6">
      <c r="A315" s="38"/>
    </row>
    <row r="316" spans="1:6">
      <c r="A316" s="38"/>
    </row>
    <row r="317" spans="1:6">
      <c r="A317" s="38"/>
    </row>
    <row r="318" spans="1:6">
      <c r="A318" s="38"/>
    </row>
    <row r="319" spans="1:6">
      <c r="A319" s="38"/>
    </row>
    <row r="320" spans="1:6">
      <c r="A320" s="38"/>
    </row>
    <row r="321" spans="1:1">
      <c r="A321" s="38"/>
    </row>
    <row r="322" spans="1:1">
      <c r="A322" s="38"/>
    </row>
    <row r="323" spans="1:1">
      <c r="A323" s="38"/>
    </row>
    <row r="324" spans="1:1">
      <c r="A324" s="38"/>
    </row>
    <row r="325" spans="1:1">
      <c r="A325" s="38"/>
    </row>
    <row r="326" spans="1:1">
      <c r="A326" s="38"/>
    </row>
    <row r="327" spans="1:1">
      <c r="A327" s="38"/>
    </row>
    <row r="328" spans="1:1">
      <c r="A328" s="38"/>
    </row>
    <row r="329" spans="1:1">
      <c r="A329" s="38"/>
    </row>
    <row r="330" spans="1:1">
      <c r="A330" s="38"/>
    </row>
    <row r="331" spans="1:1">
      <c r="A331" s="38"/>
    </row>
    <row r="332" spans="1:1">
      <c r="A332" s="38"/>
    </row>
    <row r="333" spans="1:1">
      <c r="A333" s="38"/>
    </row>
    <row r="334" spans="1:1">
      <c r="A334" s="38"/>
    </row>
    <row r="335" spans="1:1">
      <c r="A335" s="38"/>
    </row>
    <row r="336" spans="1:1">
      <c r="A336" s="38"/>
    </row>
    <row r="337" spans="1:1">
      <c r="A337" s="38"/>
    </row>
    <row r="338" spans="1:1">
      <c r="A338" s="38"/>
    </row>
    <row r="339" spans="1:1">
      <c r="A339" s="38"/>
    </row>
    <row r="340" spans="1:1">
      <c r="A340" s="38"/>
    </row>
    <row r="341" spans="1:1">
      <c r="A341" s="38"/>
    </row>
    <row r="342" spans="1:1">
      <c r="A342" s="38"/>
    </row>
    <row r="343" spans="1:1">
      <c r="A343" s="38"/>
    </row>
    <row r="344" spans="1:1">
      <c r="A344" s="38"/>
    </row>
    <row r="345" spans="1:1">
      <c r="A345" s="38"/>
    </row>
    <row r="346" spans="1:1">
      <c r="A346" s="38"/>
    </row>
    <row r="347" spans="1:1">
      <c r="A347" s="38"/>
    </row>
    <row r="348" spans="1:1">
      <c r="A348" s="38"/>
    </row>
    <row r="349" spans="1:1">
      <c r="A349" s="38"/>
    </row>
    <row r="350" spans="1:1">
      <c r="A350" s="38"/>
    </row>
    <row r="351" spans="1:1">
      <c r="A351" s="38"/>
    </row>
    <row r="352" spans="1:1">
      <c r="A352" s="38"/>
    </row>
    <row r="353" spans="1:1">
      <c r="A353" s="38"/>
    </row>
    <row r="354" spans="1:1">
      <c r="A354" s="38"/>
    </row>
    <row r="355" spans="1:1">
      <c r="A355" s="38"/>
    </row>
    <row r="356" spans="1:1">
      <c r="A356" s="38"/>
    </row>
    <row r="357" spans="1:1">
      <c r="A357" s="38"/>
    </row>
    <row r="358" spans="1:1">
      <c r="A358" s="38"/>
    </row>
    <row r="359" spans="1:1">
      <c r="A359" s="38"/>
    </row>
    <row r="360" spans="1:1">
      <c r="A360" s="38"/>
    </row>
    <row r="361" spans="1:1">
      <c r="A361" s="38"/>
    </row>
    <row r="362" spans="1:1">
      <c r="A362" s="38"/>
    </row>
    <row r="363" spans="1:1">
      <c r="A363" s="38"/>
    </row>
    <row r="364" spans="1:1">
      <c r="A364" s="38"/>
    </row>
    <row r="365" spans="1:1">
      <c r="A365" s="38"/>
    </row>
    <row r="366" spans="1:1">
      <c r="A366" s="38"/>
    </row>
    <row r="367" spans="1:1">
      <c r="A367" s="38"/>
    </row>
    <row r="368" spans="1:1">
      <c r="A368" s="38"/>
    </row>
    <row r="369" spans="1:1">
      <c r="A369" s="38"/>
    </row>
    <row r="370" spans="1:1">
      <c r="A370" s="38"/>
    </row>
    <row r="371" spans="1:1">
      <c r="A371" s="38"/>
    </row>
    <row r="372" spans="1:1">
      <c r="A372" s="38"/>
    </row>
    <row r="373" spans="1:1">
      <c r="A373" s="38"/>
    </row>
    <row r="374" spans="1:1">
      <c r="A374" s="38"/>
    </row>
    <row r="375" spans="1:1">
      <c r="A375" s="38"/>
    </row>
    <row r="376" spans="1:1">
      <c r="A376" s="38"/>
    </row>
    <row r="377" spans="1:1">
      <c r="A377" s="38"/>
    </row>
    <row r="378" spans="1:1">
      <c r="A378" s="38"/>
    </row>
    <row r="379" spans="1:1">
      <c r="A379" s="38"/>
    </row>
    <row r="380" spans="1:1">
      <c r="A380" s="38"/>
    </row>
    <row r="381" spans="1:1">
      <c r="A381" s="38"/>
    </row>
    <row r="382" spans="1:1">
      <c r="A382" s="38"/>
    </row>
    <row r="383" spans="1:1">
      <c r="A383" s="38"/>
    </row>
    <row r="384" spans="1:1">
      <c r="A384" s="38"/>
    </row>
    <row r="385" spans="1:1">
      <c r="A385" s="38"/>
    </row>
    <row r="386" spans="1:1">
      <c r="A386" s="38"/>
    </row>
    <row r="387" spans="1:1">
      <c r="A387" s="38"/>
    </row>
    <row r="388" spans="1:1">
      <c r="A388" s="38"/>
    </row>
    <row r="389" spans="1:1">
      <c r="A389" s="38"/>
    </row>
    <row r="390" spans="1:1">
      <c r="A390" s="38"/>
    </row>
    <row r="391" spans="1:1">
      <c r="A391" s="38"/>
    </row>
    <row r="392" spans="1:1">
      <c r="A392" s="38"/>
    </row>
    <row r="393" spans="1:1">
      <c r="A393" s="38"/>
    </row>
    <row r="394" spans="1:1">
      <c r="A394" s="38"/>
    </row>
    <row r="395" spans="1:1">
      <c r="A395" s="38"/>
    </row>
    <row r="396" spans="1:1">
      <c r="A396" s="38"/>
    </row>
    <row r="397" spans="1:1">
      <c r="A397" s="38"/>
    </row>
    <row r="398" spans="1:1">
      <c r="A398" s="38"/>
    </row>
    <row r="399" spans="1:1">
      <c r="A399" s="38"/>
    </row>
    <row r="400" spans="1:1">
      <c r="A400" s="38"/>
    </row>
    <row r="401" spans="1:1">
      <c r="A401" s="38"/>
    </row>
    <row r="402" spans="1:1">
      <c r="A402" s="38"/>
    </row>
    <row r="403" spans="1:1">
      <c r="A403" s="38"/>
    </row>
    <row r="404" spans="1:1">
      <c r="A404" s="38"/>
    </row>
    <row r="405" spans="1:1">
      <c r="A405" s="38"/>
    </row>
    <row r="406" spans="1:1">
      <c r="A406" s="38"/>
    </row>
    <row r="407" spans="1:1">
      <c r="A407" s="38"/>
    </row>
    <row r="408" spans="1:1">
      <c r="A408" s="38"/>
    </row>
    <row r="409" spans="1:1">
      <c r="A409" s="38"/>
    </row>
    <row r="410" spans="1:1">
      <c r="A410" s="38"/>
    </row>
    <row r="411" spans="1:1">
      <c r="A411" s="38"/>
    </row>
    <row r="412" spans="1:1">
      <c r="A412" s="38"/>
    </row>
    <row r="413" spans="1:1">
      <c r="A413" s="38"/>
    </row>
    <row r="414" spans="1:1">
      <c r="A414" s="38"/>
    </row>
    <row r="415" spans="1:1">
      <c r="A415" s="38"/>
    </row>
    <row r="416" spans="1:1">
      <c r="A416" s="38"/>
    </row>
    <row r="417" spans="1:1">
      <c r="A417" s="38"/>
    </row>
    <row r="418" spans="1:1">
      <c r="A418" s="38"/>
    </row>
    <row r="419" spans="1:1">
      <c r="A419" s="38"/>
    </row>
    <row r="420" spans="1:1">
      <c r="A420" s="38"/>
    </row>
    <row r="421" spans="1:1">
      <c r="A421" s="38"/>
    </row>
    <row r="422" spans="1:1">
      <c r="A422" s="38"/>
    </row>
    <row r="423" spans="1:1">
      <c r="A423" s="38"/>
    </row>
    <row r="424" spans="1:1">
      <c r="A424" s="38"/>
    </row>
    <row r="425" spans="1:1">
      <c r="A425" s="38"/>
    </row>
    <row r="426" spans="1:1">
      <c r="A426" s="38"/>
    </row>
    <row r="427" spans="1:1">
      <c r="A427" s="38"/>
    </row>
    <row r="428" spans="1:1">
      <c r="A428" s="38"/>
    </row>
    <row r="429" spans="1:1">
      <c r="A429" s="38"/>
    </row>
    <row r="430" spans="1:1">
      <c r="A430" s="38"/>
    </row>
    <row r="431" spans="1:1">
      <c r="A431" s="38"/>
    </row>
    <row r="432" spans="1:1">
      <c r="A432" s="38"/>
    </row>
    <row r="433" spans="1:1">
      <c r="A433" s="38"/>
    </row>
    <row r="434" spans="1:1">
      <c r="A434" s="38"/>
    </row>
    <row r="435" spans="1:1">
      <c r="A435" s="38"/>
    </row>
    <row r="436" spans="1:1">
      <c r="A436" s="38"/>
    </row>
    <row r="437" spans="1:1">
      <c r="A437" s="38"/>
    </row>
    <row r="438" spans="1:1">
      <c r="A438" s="38"/>
    </row>
    <row r="439" spans="1:1">
      <c r="A439" s="38"/>
    </row>
    <row r="440" spans="1:1">
      <c r="A440" s="38"/>
    </row>
    <row r="441" spans="1:1">
      <c r="A441" s="38"/>
    </row>
    <row r="442" spans="1:1">
      <c r="A442" s="38"/>
    </row>
    <row r="443" spans="1:1">
      <c r="A443" s="38"/>
    </row>
    <row r="444" spans="1:1">
      <c r="A444" s="38"/>
    </row>
    <row r="445" spans="1:1">
      <c r="A445" s="38"/>
    </row>
    <row r="446" spans="1:1">
      <c r="A446" s="38"/>
    </row>
    <row r="447" spans="1:1">
      <c r="A447" s="38"/>
    </row>
    <row r="448" spans="1:1">
      <c r="A448" s="38"/>
    </row>
    <row r="449" spans="1:1">
      <c r="A449" s="38"/>
    </row>
    <row r="450" spans="1:1">
      <c r="A450" s="38"/>
    </row>
    <row r="451" spans="1:1">
      <c r="A451" s="38"/>
    </row>
    <row r="452" spans="1:1">
      <c r="A452" s="38"/>
    </row>
    <row r="453" spans="1:1">
      <c r="A453" s="38"/>
    </row>
    <row r="454" spans="1:1">
      <c r="A454" s="38"/>
    </row>
    <row r="455" spans="1:1">
      <c r="A455" s="38"/>
    </row>
    <row r="456" spans="1:1">
      <c r="A456" s="38"/>
    </row>
    <row r="457" spans="1:1">
      <c r="A457" s="38"/>
    </row>
    <row r="458" spans="1:1">
      <c r="A458" s="38"/>
    </row>
    <row r="459" spans="1:1">
      <c r="A459" s="38"/>
    </row>
    <row r="460" spans="1:1">
      <c r="A460" s="38"/>
    </row>
    <row r="461" spans="1:1">
      <c r="A461" s="38"/>
    </row>
    <row r="462" spans="1:1">
      <c r="A462" s="38"/>
    </row>
    <row r="463" spans="1:1">
      <c r="A463" s="38"/>
    </row>
    <row r="464" spans="1:1">
      <c r="A464" s="38"/>
    </row>
    <row r="465" spans="1:1">
      <c r="A465" s="38"/>
    </row>
    <row r="466" spans="1:1">
      <c r="A466" s="38"/>
    </row>
    <row r="467" spans="1:1">
      <c r="A467" s="38"/>
    </row>
    <row r="468" spans="1:1">
      <c r="A468" s="38"/>
    </row>
    <row r="469" spans="1:1">
      <c r="A469" s="38"/>
    </row>
    <row r="470" spans="1:1">
      <c r="A470" s="38"/>
    </row>
    <row r="471" spans="1:1">
      <c r="A471" s="38"/>
    </row>
    <row r="472" spans="1:1">
      <c r="A472" s="38"/>
    </row>
    <row r="473" spans="1:1">
      <c r="A473" s="38"/>
    </row>
    <row r="474" spans="1:1">
      <c r="A474" s="38"/>
    </row>
    <row r="475" spans="1:1">
      <c r="A475" s="38"/>
    </row>
    <row r="476" spans="1:1">
      <c r="A476" s="38"/>
    </row>
    <row r="477" spans="1:1">
      <c r="A477" s="38"/>
    </row>
    <row r="478" spans="1:1">
      <c r="A478" s="38"/>
    </row>
    <row r="479" spans="1:1">
      <c r="A479" s="38"/>
    </row>
    <row r="480" spans="1:1">
      <c r="A480" s="38"/>
    </row>
    <row r="481" spans="1:1">
      <c r="A481" s="38"/>
    </row>
    <row r="482" spans="1:1">
      <c r="A482" s="38"/>
    </row>
    <row r="483" spans="1:1">
      <c r="A483" s="38"/>
    </row>
    <row r="484" spans="1:1">
      <c r="A484" s="38"/>
    </row>
    <row r="485" spans="1:1">
      <c r="A485" s="38"/>
    </row>
    <row r="486" spans="1:1">
      <c r="A486" s="38"/>
    </row>
    <row r="487" spans="1:1">
      <c r="A487" s="38"/>
    </row>
    <row r="488" spans="1:1">
      <c r="A488" s="38"/>
    </row>
    <row r="489" spans="1:1">
      <c r="A489" s="38"/>
    </row>
    <row r="490" spans="1:1">
      <c r="A490" s="38"/>
    </row>
    <row r="491" spans="1:1">
      <c r="A491" s="38"/>
    </row>
    <row r="492" spans="1:1">
      <c r="A492" s="38"/>
    </row>
    <row r="493" spans="1:1">
      <c r="A493" s="38"/>
    </row>
    <row r="494" spans="1:1">
      <c r="A494" s="38"/>
    </row>
    <row r="495" spans="1:1">
      <c r="A495" s="38"/>
    </row>
    <row r="496" spans="1:1">
      <c r="A496" s="38"/>
    </row>
    <row r="497" spans="1:1">
      <c r="A497" s="38"/>
    </row>
    <row r="498" spans="1:1">
      <c r="A498" s="38"/>
    </row>
    <row r="499" spans="1:1">
      <c r="A499" s="38"/>
    </row>
    <row r="500" spans="1:1">
      <c r="A500" s="38"/>
    </row>
    <row r="501" spans="1:1">
      <c r="A501" s="38"/>
    </row>
    <row r="502" spans="1:1">
      <c r="A502" s="38"/>
    </row>
    <row r="503" spans="1:1">
      <c r="A503" s="38"/>
    </row>
    <row r="504" spans="1:1">
      <c r="A504" s="38"/>
    </row>
    <row r="505" spans="1:1">
      <c r="A505" s="38"/>
    </row>
    <row r="506" spans="1:1">
      <c r="A506" s="38"/>
    </row>
    <row r="507" spans="1:1">
      <c r="A507" s="38"/>
    </row>
    <row r="508" spans="1:1">
      <c r="A508" s="38"/>
    </row>
    <row r="509" spans="1:1">
      <c r="A509" s="38"/>
    </row>
    <row r="510" spans="1:1">
      <c r="A510" s="38"/>
    </row>
    <row r="511" spans="1:1">
      <c r="A511" s="38"/>
    </row>
    <row r="512" spans="1:1">
      <c r="A512" s="38"/>
    </row>
    <row r="513" spans="1:1">
      <c r="A513" s="38"/>
    </row>
    <row r="514" spans="1:1">
      <c r="A514" s="38"/>
    </row>
    <row r="515" spans="1:1">
      <c r="A515" s="38"/>
    </row>
    <row r="516" spans="1:1">
      <c r="A516" s="38"/>
    </row>
    <row r="517" spans="1:1">
      <c r="A517" s="38"/>
    </row>
    <row r="518" spans="1:1">
      <c r="A518" s="38"/>
    </row>
    <row r="519" spans="1:1">
      <c r="A519" s="38"/>
    </row>
    <row r="520" spans="1:1">
      <c r="A520" s="38"/>
    </row>
    <row r="521" spans="1:1">
      <c r="A521" s="38"/>
    </row>
    <row r="522" spans="1:1">
      <c r="A522" s="38"/>
    </row>
    <row r="523" spans="1:1">
      <c r="A523" s="38"/>
    </row>
    <row r="524" spans="1:1">
      <c r="A524" s="38"/>
    </row>
    <row r="525" spans="1:1">
      <c r="A525" s="38"/>
    </row>
    <row r="526" spans="1:1">
      <c r="A526" s="38"/>
    </row>
    <row r="527" spans="1:1">
      <c r="A527" s="38"/>
    </row>
    <row r="528" spans="1:1">
      <c r="A528" s="38"/>
    </row>
    <row r="529" spans="1:1">
      <c r="A529" s="38"/>
    </row>
    <row r="530" spans="1:1">
      <c r="A530" s="38"/>
    </row>
    <row r="531" spans="1:1">
      <c r="A531" s="38"/>
    </row>
    <row r="532" spans="1:1">
      <c r="A532" s="38"/>
    </row>
    <row r="533" spans="1:1">
      <c r="A533" s="38"/>
    </row>
    <row r="534" spans="1:1">
      <c r="A534" s="38"/>
    </row>
    <row r="535" spans="1:1">
      <c r="A535" s="38"/>
    </row>
    <row r="536" spans="1:1">
      <c r="A536" s="38"/>
    </row>
    <row r="537" spans="1:1">
      <c r="A537" s="38"/>
    </row>
    <row r="538" spans="1:1">
      <c r="A538" s="38"/>
    </row>
    <row r="539" spans="1:1">
      <c r="A539" s="38"/>
    </row>
    <row r="540" spans="1:1">
      <c r="A540" s="38"/>
    </row>
    <row r="541" spans="1:1">
      <c r="A541" s="38"/>
    </row>
    <row r="542" spans="1:1">
      <c r="A542" s="38"/>
    </row>
    <row r="543" spans="1:1">
      <c r="A543" s="38"/>
    </row>
    <row r="544" spans="1:1">
      <c r="A544" s="38"/>
    </row>
    <row r="545" spans="1:1">
      <c r="A545" s="38"/>
    </row>
    <row r="546" spans="1:1">
      <c r="A546" s="38"/>
    </row>
    <row r="547" spans="1:1">
      <c r="A547" s="38"/>
    </row>
    <row r="548" spans="1:1">
      <c r="A548" s="38"/>
    </row>
    <row r="549" spans="1:1">
      <c r="A549" s="38"/>
    </row>
    <row r="550" spans="1:1">
      <c r="A550" s="38"/>
    </row>
    <row r="551" spans="1:1">
      <c r="A551" s="38"/>
    </row>
    <row r="552" spans="1:1">
      <c r="A552" s="38"/>
    </row>
    <row r="553" spans="1:1">
      <c r="A553" s="38"/>
    </row>
    <row r="554" spans="1:1">
      <c r="A554" s="38"/>
    </row>
    <row r="555" spans="1:1">
      <c r="A555" s="38"/>
    </row>
    <row r="556" spans="1:1">
      <c r="A556" s="38"/>
    </row>
    <row r="557" spans="1:1">
      <c r="A557" s="38"/>
    </row>
    <row r="558" spans="1:1">
      <c r="A558" s="38"/>
    </row>
    <row r="559" spans="1:1">
      <c r="A559" s="38"/>
    </row>
    <row r="560" spans="1:1">
      <c r="A560" s="38"/>
    </row>
    <row r="561" spans="1:1">
      <c r="A561" s="38"/>
    </row>
    <row r="562" spans="1:1">
      <c r="A562" s="38"/>
    </row>
    <row r="563" spans="1:1">
      <c r="A563" s="38"/>
    </row>
    <row r="564" spans="1:1">
      <c r="A564" s="38"/>
    </row>
    <row r="565" spans="1:1">
      <c r="A565" s="38"/>
    </row>
    <row r="566" spans="1:1">
      <c r="A566" s="38"/>
    </row>
    <row r="567" spans="1:1">
      <c r="A567" s="38"/>
    </row>
    <row r="568" spans="1:1">
      <c r="A568" s="38"/>
    </row>
    <row r="569" spans="1:1">
      <c r="A569" s="38"/>
    </row>
    <row r="570" spans="1:1">
      <c r="A570" s="38"/>
    </row>
    <row r="571" spans="1:1">
      <c r="A571" s="38"/>
    </row>
    <row r="572" spans="1:1">
      <c r="A572" s="38"/>
    </row>
    <row r="573" spans="1:1">
      <c r="A573" s="38"/>
    </row>
    <row r="574" spans="1:1">
      <c r="A574" s="38"/>
    </row>
    <row r="575" spans="1:1">
      <c r="A575" s="38"/>
    </row>
    <row r="576" spans="1:1">
      <c r="A576" s="38"/>
    </row>
    <row r="577" spans="1:1">
      <c r="A577" s="38"/>
    </row>
    <row r="578" spans="1:1">
      <c r="A578" s="38"/>
    </row>
    <row r="579" spans="1:1">
      <c r="A579" s="38"/>
    </row>
    <row r="580" spans="1:1">
      <c r="A580" s="38"/>
    </row>
    <row r="581" spans="1:1">
      <c r="A581" s="38"/>
    </row>
    <row r="582" spans="1:1">
      <c r="A582" s="38"/>
    </row>
    <row r="583" spans="1:1">
      <c r="A583" s="38"/>
    </row>
    <row r="584" spans="1:1">
      <c r="A584" s="38"/>
    </row>
    <row r="585" spans="1:1">
      <c r="A585" s="38"/>
    </row>
    <row r="586" spans="1:1">
      <c r="A586" s="38"/>
    </row>
    <row r="587" spans="1:1">
      <c r="A587" s="38"/>
    </row>
    <row r="588" spans="1:1">
      <c r="A588" s="38"/>
    </row>
    <row r="589" spans="1:1">
      <c r="A589" s="38"/>
    </row>
    <row r="590" spans="1:1">
      <c r="A590" s="38"/>
    </row>
    <row r="591" spans="1:1">
      <c r="A591" s="38"/>
    </row>
    <row r="592" spans="1:1">
      <c r="A592" s="38"/>
    </row>
    <row r="593" spans="1:1">
      <c r="A593" s="38"/>
    </row>
    <row r="594" spans="1:1">
      <c r="A594" s="38"/>
    </row>
    <row r="595" spans="1:1">
      <c r="A595" s="38"/>
    </row>
    <row r="596" spans="1:1">
      <c r="A596" s="38"/>
    </row>
    <row r="597" spans="1:1">
      <c r="A597" s="38"/>
    </row>
    <row r="598" spans="1:1">
      <c r="A598" s="38"/>
    </row>
    <row r="599" spans="1:1">
      <c r="A599" s="38"/>
    </row>
    <row r="600" spans="1:1">
      <c r="A600" s="38"/>
    </row>
    <row r="601" spans="1:1">
      <c r="A601" s="38"/>
    </row>
    <row r="602" spans="1:1">
      <c r="A602" s="38"/>
    </row>
    <row r="603" spans="1:1">
      <c r="A603" s="38"/>
    </row>
    <row r="604" spans="1:1">
      <c r="A604" s="38"/>
    </row>
    <row r="605" spans="1:1">
      <c r="A605" s="38"/>
    </row>
    <row r="606" spans="1:1">
      <c r="A606" s="38"/>
    </row>
    <row r="607" spans="1:1">
      <c r="A607" s="38"/>
    </row>
    <row r="608" spans="1:1">
      <c r="A608" s="38"/>
    </row>
    <row r="609" spans="1:1">
      <c r="A609" s="38"/>
    </row>
    <row r="610" spans="1:1">
      <c r="A610" s="38"/>
    </row>
    <row r="611" spans="1:1">
      <c r="A611" s="38"/>
    </row>
    <row r="612" spans="1:1">
      <c r="A612" s="38"/>
    </row>
    <row r="613" spans="1:1">
      <c r="A613" s="38"/>
    </row>
    <row r="614" spans="1:1">
      <c r="A614" s="38"/>
    </row>
    <row r="615" spans="1:1">
      <c r="A615" s="38"/>
    </row>
    <row r="616" spans="1:1">
      <c r="A616" s="38"/>
    </row>
    <row r="617" spans="1:1">
      <c r="A617" s="38"/>
    </row>
    <row r="618" spans="1:1">
      <c r="A618" s="38"/>
    </row>
    <row r="619" spans="1:1">
      <c r="A619" s="38"/>
    </row>
    <row r="620" spans="1:1">
      <c r="A620" s="38"/>
    </row>
    <row r="621" spans="1:1">
      <c r="A621" s="38"/>
    </row>
    <row r="622" spans="1:1">
      <c r="A622" s="38"/>
    </row>
    <row r="623" spans="1:1">
      <c r="A623" s="38"/>
    </row>
    <row r="624" spans="1:1">
      <c r="A624" s="38"/>
    </row>
    <row r="625" spans="1:1">
      <c r="A625" s="38"/>
    </row>
    <row r="626" spans="1:1">
      <c r="A626" s="38"/>
    </row>
    <row r="627" spans="1:1">
      <c r="A627" s="38"/>
    </row>
    <row r="628" spans="1:1">
      <c r="A628" s="38"/>
    </row>
    <row r="629" spans="1:1">
      <c r="A629" s="38"/>
    </row>
    <row r="630" spans="1:1">
      <c r="A630" s="38"/>
    </row>
    <row r="631" spans="1:1">
      <c r="A631" s="38"/>
    </row>
    <row r="632" spans="1:1">
      <c r="A632" s="38"/>
    </row>
    <row r="633" spans="1:1">
      <c r="A633" s="38"/>
    </row>
    <row r="634" spans="1:1">
      <c r="A634" s="38"/>
    </row>
    <row r="635" spans="1:1">
      <c r="A635" s="38"/>
    </row>
    <row r="636" spans="1:1">
      <c r="A636" s="38"/>
    </row>
    <row r="637" spans="1:1">
      <c r="A637" s="38"/>
    </row>
    <row r="638" spans="1:1">
      <c r="A638" s="38"/>
    </row>
    <row r="639" spans="1:1">
      <c r="A639" s="38"/>
    </row>
    <row r="640" spans="1:1">
      <c r="A640" s="38"/>
    </row>
    <row r="641" spans="1:1">
      <c r="A641" s="38"/>
    </row>
    <row r="642" spans="1:1">
      <c r="A642" s="38"/>
    </row>
    <row r="643" spans="1:1">
      <c r="A643" s="38"/>
    </row>
    <row r="644" spans="1:1">
      <c r="A644" s="38"/>
    </row>
    <row r="645" spans="1:1">
      <c r="A645" s="38"/>
    </row>
    <row r="646" spans="1:1">
      <c r="A646" s="38"/>
    </row>
    <row r="647" spans="1:1">
      <c r="A647" s="38"/>
    </row>
    <row r="648" spans="1:1">
      <c r="A648" s="38"/>
    </row>
    <row r="649" spans="1:1">
      <c r="A649" s="38"/>
    </row>
    <row r="650" spans="1:1">
      <c r="A650" s="38"/>
    </row>
    <row r="651" spans="1:1">
      <c r="A651" s="38"/>
    </row>
    <row r="652" spans="1:1">
      <c r="A652" s="38"/>
    </row>
    <row r="653" spans="1:1">
      <c r="A653" s="38"/>
    </row>
    <row r="654" spans="1:1">
      <c r="A654" s="38"/>
    </row>
    <row r="655" spans="1:1">
      <c r="A655" s="38"/>
    </row>
    <row r="656" spans="1:1">
      <c r="A656" s="38"/>
    </row>
    <row r="657" spans="1:1">
      <c r="A657" s="38"/>
    </row>
    <row r="658" spans="1:1">
      <c r="A658" s="38"/>
    </row>
    <row r="659" spans="1:1">
      <c r="A659" s="38"/>
    </row>
    <row r="660" spans="1:1">
      <c r="A660" s="38"/>
    </row>
    <row r="661" spans="1:1">
      <c r="A661" s="38"/>
    </row>
    <row r="662" spans="1:1">
      <c r="A662" s="38"/>
    </row>
    <row r="663" spans="1:1">
      <c r="A663" s="38"/>
    </row>
    <row r="664" spans="1:1">
      <c r="A664" s="38"/>
    </row>
    <row r="665" spans="1:1">
      <c r="A665" s="38"/>
    </row>
    <row r="666" spans="1:1">
      <c r="A666" s="38"/>
    </row>
    <row r="667" spans="1:1">
      <c r="A667" s="38"/>
    </row>
    <row r="668" spans="1:1">
      <c r="A668" s="38"/>
    </row>
    <row r="669" spans="1:1">
      <c r="A669" s="38"/>
    </row>
    <row r="670" spans="1:1">
      <c r="A670" s="38"/>
    </row>
    <row r="671" spans="1:1">
      <c r="A671" s="38"/>
    </row>
    <row r="672" spans="1:1">
      <c r="A672" s="38"/>
    </row>
    <row r="673" spans="1:1">
      <c r="A673" s="38"/>
    </row>
    <row r="674" spans="1:1">
      <c r="A674" s="38"/>
    </row>
    <row r="675" spans="1:1">
      <c r="A675" s="38"/>
    </row>
    <row r="676" spans="1:1">
      <c r="A676" s="38"/>
    </row>
    <row r="677" spans="1:1">
      <c r="A677" s="38"/>
    </row>
    <row r="678" spans="1:1">
      <c r="A678" s="38"/>
    </row>
    <row r="679" spans="1:1">
      <c r="A679" s="38"/>
    </row>
    <row r="680" spans="1:1">
      <c r="A680" s="38"/>
    </row>
    <row r="681" spans="1:1">
      <c r="A681" s="38"/>
    </row>
    <row r="682" spans="1:1">
      <c r="A682" s="38"/>
    </row>
    <row r="683" spans="1:1">
      <c r="A683" s="38"/>
    </row>
    <row r="684" spans="1:1">
      <c r="A684" s="38"/>
    </row>
    <row r="685" spans="1:1">
      <c r="A685" s="38"/>
    </row>
    <row r="686" spans="1:1">
      <c r="A686" s="38"/>
    </row>
    <row r="687" spans="1:1">
      <c r="A687" s="38"/>
    </row>
    <row r="688" spans="1:1">
      <c r="A688" s="38"/>
    </row>
    <row r="689" spans="1:1">
      <c r="A689" s="38"/>
    </row>
    <row r="690" spans="1:1">
      <c r="A690" s="38"/>
    </row>
    <row r="691" spans="1:1">
      <c r="A691" s="38"/>
    </row>
    <row r="692" spans="1:1">
      <c r="A692" s="38"/>
    </row>
    <row r="693" spans="1:1">
      <c r="A693" s="38"/>
    </row>
    <row r="694" spans="1:1">
      <c r="A694" s="38"/>
    </row>
    <row r="695" spans="1:1">
      <c r="A695" s="38"/>
    </row>
    <row r="696" spans="1:1">
      <c r="A696" s="38"/>
    </row>
    <row r="697" spans="1:1">
      <c r="A697" s="38"/>
    </row>
    <row r="698" spans="1:1">
      <c r="A698" s="38"/>
    </row>
    <row r="699" spans="1:1">
      <c r="A699" s="38"/>
    </row>
    <row r="700" spans="1:1">
      <c r="A700" s="38"/>
    </row>
    <row r="701" spans="1:1">
      <c r="A701" s="38"/>
    </row>
    <row r="702" spans="1:1">
      <c r="A702" s="38"/>
    </row>
    <row r="703" spans="1:1">
      <c r="A703" s="38"/>
    </row>
    <row r="704" spans="1:1">
      <c r="A704" s="38"/>
    </row>
    <row r="705" spans="1:1">
      <c r="A705" s="38"/>
    </row>
    <row r="706" spans="1:1">
      <c r="A706" s="38"/>
    </row>
    <row r="707" spans="1:1">
      <c r="A707" s="38"/>
    </row>
    <row r="708" spans="1:1">
      <c r="A708" s="38"/>
    </row>
    <row r="709" spans="1:1">
      <c r="A709" s="38"/>
    </row>
    <row r="710" spans="1:1">
      <c r="A710" s="38"/>
    </row>
    <row r="711" spans="1:1">
      <c r="A711" s="38"/>
    </row>
    <row r="712" spans="1:1">
      <c r="A712" s="38"/>
    </row>
    <row r="713" spans="1:1">
      <c r="A713" s="38"/>
    </row>
    <row r="714" spans="1:1">
      <c r="A714" s="38"/>
    </row>
    <row r="715" spans="1:1">
      <c r="A715" s="38"/>
    </row>
    <row r="716" spans="1:1">
      <c r="A716" s="38"/>
    </row>
    <row r="717" spans="1:1">
      <c r="A717" s="38"/>
    </row>
    <row r="718" spans="1:1">
      <c r="A718" s="38"/>
    </row>
    <row r="719" spans="1:1">
      <c r="A719" s="38"/>
    </row>
    <row r="720" spans="1:1">
      <c r="A720" s="38"/>
    </row>
    <row r="721" spans="1:1">
      <c r="A721" s="38"/>
    </row>
    <row r="722" spans="1:1">
      <c r="A722" s="38"/>
    </row>
    <row r="723" spans="1:1">
      <c r="A723" s="38"/>
    </row>
    <row r="724" spans="1:1">
      <c r="A724" s="38"/>
    </row>
    <row r="725" spans="1:1">
      <c r="A725" s="38"/>
    </row>
    <row r="726" spans="1:1">
      <c r="A726" s="38"/>
    </row>
    <row r="727" spans="1:1">
      <c r="A727" s="38"/>
    </row>
    <row r="728" spans="1:1">
      <c r="A728" s="38"/>
    </row>
    <row r="729" spans="1:1">
      <c r="A729" s="38"/>
    </row>
    <row r="730" spans="1:1">
      <c r="A730" s="38"/>
    </row>
    <row r="731" spans="1:1">
      <c r="A731" s="38"/>
    </row>
    <row r="732" spans="1:1">
      <c r="A732" s="38"/>
    </row>
    <row r="733" spans="1:1">
      <c r="A733" s="38"/>
    </row>
    <row r="734" spans="1:1">
      <c r="A734" s="38"/>
    </row>
    <row r="735" spans="1:1">
      <c r="A735" s="38"/>
    </row>
    <row r="736" spans="1:1">
      <c r="A736" s="38"/>
    </row>
    <row r="737" spans="1:1">
      <c r="A737" s="38"/>
    </row>
    <row r="738" spans="1:1">
      <c r="A738" s="38"/>
    </row>
    <row r="739" spans="1:1">
      <c r="A739" s="38"/>
    </row>
    <row r="740" spans="1:1">
      <c r="A740" s="38"/>
    </row>
    <row r="741" spans="1:1">
      <c r="A741" s="38"/>
    </row>
    <row r="742" spans="1:1">
      <c r="A742" s="38"/>
    </row>
    <row r="743" spans="1:1">
      <c r="A743" s="38"/>
    </row>
    <row r="744" spans="1:1">
      <c r="A744" s="38"/>
    </row>
    <row r="745" spans="1:1">
      <c r="A745" s="38"/>
    </row>
    <row r="746" spans="1:1">
      <c r="A746" s="38"/>
    </row>
    <row r="747" spans="1:1">
      <c r="A747" s="38"/>
    </row>
    <row r="748" spans="1:1">
      <c r="A748" s="38"/>
    </row>
    <row r="749" spans="1:1">
      <c r="A749" s="38"/>
    </row>
    <row r="750" spans="1:1">
      <c r="A750" s="38"/>
    </row>
    <row r="751" spans="1:1">
      <c r="A751" s="38"/>
    </row>
    <row r="752" spans="1:1">
      <c r="A752" s="38"/>
    </row>
    <row r="753" spans="1:1">
      <c r="A753" s="38"/>
    </row>
    <row r="754" spans="1:1">
      <c r="A754" s="38"/>
    </row>
    <row r="755" spans="1:1">
      <c r="A755" s="38"/>
    </row>
    <row r="756" spans="1:1">
      <c r="A756" s="38"/>
    </row>
    <row r="757" spans="1:1">
      <c r="A757" s="38"/>
    </row>
    <row r="758" spans="1:1">
      <c r="A758" s="38"/>
    </row>
    <row r="759" spans="1:1">
      <c r="A759" s="38"/>
    </row>
    <row r="760" spans="1:1">
      <c r="A760" s="38"/>
    </row>
    <row r="761" spans="1:1">
      <c r="A761" s="38"/>
    </row>
    <row r="762" spans="1:1">
      <c r="A762" s="38"/>
    </row>
    <row r="763" spans="1:1">
      <c r="A763" s="38"/>
    </row>
    <row r="764" spans="1:1">
      <c r="A764" s="38"/>
    </row>
    <row r="765" spans="1:1">
      <c r="A765" s="38"/>
    </row>
    <row r="766" spans="1:1">
      <c r="A766" s="38"/>
    </row>
    <row r="767" spans="1:1">
      <c r="A767" s="38"/>
    </row>
    <row r="768" spans="1:1">
      <c r="A768" s="38"/>
    </row>
    <row r="769" spans="1:1">
      <c r="A769" s="38"/>
    </row>
    <row r="770" spans="1:1">
      <c r="A770" s="38"/>
    </row>
    <row r="771" spans="1:1">
      <c r="A771" s="38"/>
    </row>
    <row r="772" spans="1:1">
      <c r="A772" s="38"/>
    </row>
    <row r="773" spans="1:1">
      <c r="A773" s="38"/>
    </row>
    <row r="774" spans="1:1">
      <c r="A774" s="38"/>
    </row>
    <row r="775" spans="1:1">
      <c r="A775" s="38"/>
    </row>
    <row r="776" spans="1:1">
      <c r="A776" s="38"/>
    </row>
    <row r="777" spans="1:1">
      <c r="A777" s="38"/>
    </row>
    <row r="778" spans="1:1">
      <c r="A778" s="38"/>
    </row>
    <row r="779" spans="1:1">
      <c r="A779" s="38"/>
    </row>
    <row r="780" spans="1:1">
      <c r="A780" s="38"/>
    </row>
    <row r="781" spans="1:1">
      <c r="A781" s="38"/>
    </row>
    <row r="782" spans="1:1">
      <c r="A782" s="38"/>
    </row>
    <row r="783" spans="1:1">
      <c r="A783" s="38"/>
    </row>
    <row r="784" spans="1:1">
      <c r="A784" s="38"/>
    </row>
    <row r="785" spans="1:1">
      <c r="A785" s="38"/>
    </row>
    <row r="786" spans="1:1">
      <c r="A786" s="38"/>
    </row>
    <row r="787" spans="1:1">
      <c r="A787" s="38"/>
    </row>
    <row r="788" spans="1:1">
      <c r="A788" s="38"/>
    </row>
    <row r="789" spans="1:1">
      <c r="A789" s="38"/>
    </row>
    <row r="790" spans="1:1">
      <c r="A790" s="38"/>
    </row>
    <row r="791" spans="1:1">
      <c r="A791" s="38"/>
    </row>
    <row r="792" spans="1:1">
      <c r="A792" s="38"/>
    </row>
    <row r="793" spans="1:1">
      <c r="A793" s="38"/>
    </row>
    <row r="794" spans="1:1">
      <c r="A794" s="38"/>
    </row>
    <row r="795" spans="1:1">
      <c r="A795" s="38"/>
    </row>
    <row r="796" spans="1:1">
      <c r="A796" s="38"/>
    </row>
    <row r="797" spans="1:1">
      <c r="A797" s="38"/>
    </row>
    <row r="798" spans="1:1">
      <c r="A798" s="38"/>
    </row>
    <row r="799" spans="1:1">
      <c r="A799" s="38"/>
    </row>
    <row r="800" spans="1:1">
      <c r="A800" s="38"/>
    </row>
    <row r="801" spans="1:1">
      <c r="A801" s="38"/>
    </row>
    <row r="802" spans="1:1">
      <c r="A802" s="38"/>
    </row>
    <row r="803" spans="1:1">
      <c r="A803" s="38"/>
    </row>
    <row r="804" spans="1:1">
      <c r="A804" s="38"/>
    </row>
    <row r="805" spans="1:1">
      <c r="A805" s="38"/>
    </row>
    <row r="806" spans="1:1">
      <c r="A806" s="38"/>
    </row>
    <row r="807" spans="1:1">
      <c r="A807" s="38"/>
    </row>
    <row r="808" spans="1:1">
      <c r="A808" s="38"/>
    </row>
    <row r="809" spans="1:1">
      <c r="A809" s="38"/>
    </row>
    <row r="810" spans="1:1">
      <c r="A810" s="38"/>
    </row>
    <row r="811" spans="1:1">
      <c r="A811" s="38"/>
    </row>
    <row r="812" spans="1:1">
      <c r="A812" s="38"/>
    </row>
    <row r="813" spans="1:1">
      <c r="A813" s="38"/>
    </row>
    <row r="814" spans="1:1">
      <c r="A814" s="38"/>
    </row>
    <row r="815" spans="1:1">
      <c r="A815" s="38"/>
    </row>
    <row r="816" spans="1:1">
      <c r="A816" s="38"/>
    </row>
    <row r="817" spans="1:1">
      <c r="A817" s="38"/>
    </row>
    <row r="818" spans="1:1">
      <c r="A818" s="38"/>
    </row>
    <row r="819" spans="1:1">
      <c r="A819" s="38"/>
    </row>
    <row r="820" spans="1:1">
      <c r="A820" s="38"/>
    </row>
    <row r="821" spans="1:1">
      <c r="A821" s="38"/>
    </row>
    <row r="822" spans="1:1">
      <c r="A822" s="38"/>
    </row>
    <row r="823" spans="1:1">
      <c r="A823" s="38"/>
    </row>
    <row r="824" spans="1:1">
      <c r="A824" s="38"/>
    </row>
    <row r="825" spans="1:1">
      <c r="A825" s="38"/>
    </row>
    <row r="826" spans="1:1">
      <c r="A826" s="38"/>
    </row>
    <row r="827" spans="1:1">
      <c r="A827" s="38"/>
    </row>
    <row r="828" spans="1:1">
      <c r="A828" s="38"/>
    </row>
    <row r="829" spans="1:1">
      <c r="A829" s="38"/>
    </row>
    <row r="830" spans="1:1">
      <c r="A830" s="38"/>
    </row>
    <row r="831" spans="1:1">
      <c r="A831" s="38"/>
    </row>
    <row r="832" spans="1:1">
      <c r="A832" s="38"/>
    </row>
    <row r="833" spans="1:1">
      <c r="A833" s="38"/>
    </row>
    <row r="834" spans="1:1">
      <c r="A834" s="38"/>
    </row>
    <row r="835" spans="1:1">
      <c r="A835" s="38"/>
    </row>
    <row r="836" spans="1:1">
      <c r="A836" s="38"/>
    </row>
    <row r="837" spans="1:1">
      <c r="A837" s="38"/>
    </row>
    <row r="838" spans="1:1">
      <c r="A838" s="38"/>
    </row>
    <row r="839" spans="1:1">
      <c r="A839" s="38"/>
    </row>
    <row r="840" spans="1:1">
      <c r="A840" s="38"/>
    </row>
    <row r="841" spans="1:1">
      <c r="A841" s="38"/>
    </row>
    <row r="842" spans="1:1">
      <c r="A842" s="38"/>
    </row>
    <row r="843" spans="1:1">
      <c r="A843" s="38"/>
    </row>
    <row r="844" spans="1:1">
      <c r="A844" s="38"/>
    </row>
    <row r="845" spans="1:1">
      <c r="A845" s="38"/>
    </row>
    <row r="846" spans="1:1">
      <c r="A846" s="38"/>
    </row>
    <row r="847" spans="1:1">
      <c r="A847" s="38"/>
    </row>
    <row r="848" spans="1:1">
      <c r="A848" s="38"/>
    </row>
    <row r="849" spans="1:1">
      <c r="A849" s="38"/>
    </row>
    <row r="850" spans="1:1">
      <c r="A850" s="38"/>
    </row>
    <row r="851" spans="1:1">
      <c r="A851" s="38"/>
    </row>
    <row r="852" spans="1:1">
      <c r="A852" s="38"/>
    </row>
    <row r="853" spans="1:1">
      <c r="A853" s="38"/>
    </row>
    <row r="854" spans="1:1">
      <c r="A854" s="38"/>
    </row>
    <row r="855" spans="1:1">
      <c r="A855" s="38"/>
    </row>
    <row r="856" spans="1:1">
      <c r="A856" s="38"/>
    </row>
    <row r="857" spans="1:1">
      <c r="A857" s="38"/>
    </row>
    <row r="858" spans="1:1">
      <c r="A858" s="38"/>
    </row>
    <row r="859" spans="1:1">
      <c r="A859" s="38"/>
    </row>
    <row r="860" spans="1:1">
      <c r="A860" s="38"/>
    </row>
    <row r="861" spans="1:1">
      <c r="A861" s="38"/>
    </row>
    <row r="862" spans="1:1">
      <c r="A862" s="38"/>
    </row>
    <row r="863" spans="1:1">
      <c r="A863" s="38"/>
    </row>
    <row r="864" spans="1:1">
      <c r="A864" s="38"/>
    </row>
    <row r="865" spans="1:1">
      <c r="A865" s="38"/>
    </row>
    <row r="866" spans="1:1">
      <c r="A866" s="38"/>
    </row>
    <row r="867" spans="1:1">
      <c r="A867" s="38"/>
    </row>
    <row r="868" spans="1:1">
      <c r="A868" s="38"/>
    </row>
    <row r="869" spans="1:1">
      <c r="A869" s="38"/>
    </row>
    <row r="870" spans="1:1">
      <c r="A870" s="38"/>
    </row>
    <row r="871" spans="1:1">
      <c r="A871" s="38"/>
    </row>
    <row r="872" spans="1:1">
      <c r="A872" s="38"/>
    </row>
    <row r="873" spans="1:1">
      <c r="A873" s="38"/>
    </row>
    <row r="874" spans="1:1">
      <c r="A874" s="38"/>
    </row>
    <row r="875" spans="1:1">
      <c r="A875" s="38"/>
    </row>
    <row r="876" spans="1:1">
      <c r="A876" s="38"/>
    </row>
    <row r="877" spans="1:1">
      <c r="A877" s="38"/>
    </row>
    <row r="878" spans="1:1">
      <c r="A878" s="38"/>
    </row>
    <row r="879" spans="1:1">
      <c r="A879" s="38"/>
    </row>
    <row r="880" spans="1:1">
      <c r="A880" s="38"/>
    </row>
    <row r="881" spans="1:1">
      <c r="A881" s="38"/>
    </row>
    <row r="882" spans="1:1">
      <c r="A882" s="38"/>
    </row>
    <row r="883" spans="1:1">
      <c r="A883" s="38"/>
    </row>
    <row r="884" spans="1:1">
      <c r="A884" s="38"/>
    </row>
    <row r="885" spans="1:1">
      <c r="A885" s="38"/>
    </row>
    <row r="886" spans="1:1">
      <c r="A886" s="38"/>
    </row>
    <row r="887" spans="1:1">
      <c r="A887" s="38"/>
    </row>
    <row r="888" spans="1:1">
      <c r="A888" s="38"/>
    </row>
    <row r="889" spans="1:1">
      <c r="A889" s="38"/>
    </row>
    <row r="890" spans="1:1">
      <c r="A890" s="38"/>
    </row>
    <row r="891" spans="1:1">
      <c r="A891" s="38"/>
    </row>
    <row r="892" spans="1:1">
      <c r="A892" s="38"/>
    </row>
    <row r="893" spans="1:1">
      <c r="A893" s="38"/>
    </row>
    <row r="894" spans="1:1">
      <c r="A894" s="38"/>
    </row>
    <row r="895" spans="1:1">
      <c r="A895" s="38"/>
    </row>
    <row r="896" spans="1:1">
      <c r="A896" s="38"/>
    </row>
    <row r="897" spans="1:1">
      <c r="A897" s="38"/>
    </row>
    <row r="898" spans="1:1">
      <c r="A898" s="38"/>
    </row>
    <row r="899" spans="1:1">
      <c r="A899" s="38"/>
    </row>
    <row r="900" spans="1:1">
      <c r="A900" s="38"/>
    </row>
    <row r="901" spans="1:1">
      <c r="A901" s="38"/>
    </row>
    <row r="902" spans="1:1">
      <c r="A902" s="38"/>
    </row>
    <row r="903" spans="1:1">
      <c r="A903" s="38"/>
    </row>
    <row r="904" spans="1:1">
      <c r="A904" s="38"/>
    </row>
    <row r="905" spans="1:1">
      <c r="A905" s="38"/>
    </row>
    <row r="906" spans="1:1">
      <c r="A906" s="38"/>
    </row>
    <row r="907" spans="1:1">
      <c r="A907" s="38"/>
    </row>
    <row r="908" spans="1:1">
      <c r="A908" s="38"/>
    </row>
    <row r="909" spans="1:1">
      <c r="A909" s="38"/>
    </row>
    <row r="910" spans="1:1">
      <c r="A910" s="38"/>
    </row>
    <row r="911" spans="1:1">
      <c r="A911" s="38"/>
    </row>
    <row r="912" spans="1:1">
      <c r="A912" s="38"/>
    </row>
    <row r="913" spans="1:1">
      <c r="A913" s="38"/>
    </row>
    <row r="914" spans="1:1">
      <c r="A914" s="38"/>
    </row>
    <row r="915" spans="1:1">
      <c r="A915" s="38"/>
    </row>
    <row r="916" spans="1:1">
      <c r="A916" s="38"/>
    </row>
    <row r="917" spans="1:1">
      <c r="A917" s="38"/>
    </row>
    <row r="918" spans="1:1">
      <c r="A918" s="38"/>
    </row>
    <row r="919" spans="1:1">
      <c r="A919" s="38"/>
    </row>
    <row r="920" spans="1:1">
      <c r="A920" s="38"/>
    </row>
    <row r="921" spans="1:1">
      <c r="A921" s="38"/>
    </row>
    <row r="922" spans="1:1">
      <c r="A922" s="38"/>
    </row>
    <row r="923" spans="1:1">
      <c r="A923" s="38"/>
    </row>
    <row r="924" spans="1:1">
      <c r="A924" s="38"/>
    </row>
    <row r="925" spans="1:1">
      <c r="A925" s="38"/>
    </row>
    <row r="926" spans="1:1">
      <c r="A926" s="38"/>
    </row>
    <row r="927" spans="1:1">
      <c r="A927" s="38"/>
    </row>
    <row r="928" spans="1:1">
      <c r="A928" s="38"/>
    </row>
    <row r="929" spans="1:1">
      <c r="A929" s="38"/>
    </row>
    <row r="930" spans="1:1">
      <c r="A930" s="38"/>
    </row>
    <row r="931" spans="1:1">
      <c r="A931" s="38"/>
    </row>
    <row r="932" spans="1:1">
      <c r="A932" s="38"/>
    </row>
    <row r="933" spans="1:1">
      <c r="A933" s="38"/>
    </row>
    <row r="934" spans="1:1">
      <c r="A934" s="38"/>
    </row>
    <row r="935" spans="1:1">
      <c r="A935" s="38"/>
    </row>
    <row r="936" spans="1:1">
      <c r="A936" s="38"/>
    </row>
    <row r="937" spans="1:1">
      <c r="A937" s="38"/>
    </row>
    <row r="938" spans="1:1">
      <c r="A938" s="38"/>
    </row>
    <row r="939" spans="1:1">
      <c r="A939" s="38"/>
    </row>
    <row r="940" spans="1:1">
      <c r="A940" s="38"/>
    </row>
    <row r="941" spans="1:1">
      <c r="A941" s="38"/>
    </row>
    <row r="942" spans="1:1">
      <c r="A942" s="38"/>
    </row>
    <row r="943" spans="1:1">
      <c r="A943" s="38"/>
    </row>
    <row r="944" spans="1:1">
      <c r="A944" s="38"/>
    </row>
    <row r="945" spans="1:1">
      <c r="A945" s="38"/>
    </row>
    <row r="946" spans="1:1">
      <c r="A946" s="38"/>
    </row>
    <row r="947" spans="1:1">
      <c r="A947" s="38"/>
    </row>
    <row r="948" spans="1:1">
      <c r="A948" s="38"/>
    </row>
    <row r="949" spans="1:1">
      <c r="A949" s="38"/>
    </row>
    <row r="950" spans="1:1">
      <c r="A950" s="38"/>
    </row>
    <row r="951" spans="1:1">
      <c r="A951" s="38"/>
    </row>
    <row r="952" spans="1:1">
      <c r="A952" s="38"/>
    </row>
    <row r="953" spans="1:1">
      <c r="A953" s="38"/>
    </row>
    <row r="954" spans="1:1">
      <c r="A954" s="38"/>
    </row>
    <row r="955" spans="1:1">
      <c r="A955" s="38"/>
    </row>
    <row r="956" spans="1:1">
      <c r="A956" s="38"/>
    </row>
    <row r="957" spans="1:1">
      <c r="A957" s="38"/>
    </row>
    <row r="958" spans="1:1">
      <c r="A958" s="38"/>
    </row>
    <row r="959" spans="1:1">
      <c r="A959" s="38"/>
    </row>
    <row r="960" spans="1:1">
      <c r="A960" s="38"/>
    </row>
    <row r="961" spans="1:1">
      <c r="A961" s="38"/>
    </row>
    <row r="962" spans="1:1">
      <c r="A962" s="38"/>
    </row>
    <row r="963" spans="1:1">
      <c r="A963" s="38"/>
    </row>
    <row r="964" spans="1:1">
      <c r="A964" s="38"/>
    </row>
    <row r="965" spans="1:1">
      <c r="A965" s="38"/>
    </row>
    <row r="966" spans="1:1">
      <c r="A966" s="38"/>
    </row>
    <row r="967" spans="1:1">
      <c r="A967" s="38"/>
    </row>
    <row r="968" spans="1:1">
      <c r="A968" s="38"/>
    </row>
    <row r="969" spans="1:1">
      <c r="A969" s="38"/>
    </row>
    <row r="970" spans="1:1">
      <c r="A970" s="38"/>
    </row>
    <row r="971" spans="1:1">
      <c r="A971" s="38"/>
    </row>
    <row r="972" spans="1:1">
      <c r="A972" s="38"/>
    </row>
    <row r="973" spans="1:1">
      <c r="A973" s="38"/>
    </row>
    <row r="974" spans="1:1">
      <c r="A974" s="38"/>
    </row>
    <row r="975" spans="1:1">
      <c r="A975" s="38"/>
    </row>
    <row r="976" spans="1:1">
      <c r="A976" s="38"/>
    </row>
    <row r="977" spans="1:1">
      <c r="A977" s="38"/>
    </row>
    <row r="978" spans="1:1">
      <c r="A978" s="38"/>
    </row>
    <row r="979" spans="1:1">
      <c r="A979" s="38"/>
    </row>
    <row r="980" spans="1:1">
      <c r="A980" s="38"/>
    </row>
    <row r="981" spans="1:1">
      <c r="A981" s="38"/>
    </row>
    <row r="982" spans="1:1">
      <c r="A982" s="38"/>
    </row>
    <row r="983" spans="1:1">
      <c r="A983" s="38"/>
    </row>
    <row r="984" spans="1:1">
      <c r="A984" s="38"/>
    </row>
    <row r="985" spans="1:1">
      <c r="A985" s="38"/>
    </row>
    <row r="986" spans="1:1">
      <c r="A986" s="38"/>
    </row>
    <row r="987" spans="1:1">
      <c r="A987" s="38"/>
    </row>
    <row r="988" spans="1:1">
      <c r="A988" s="38"/>
    </row>
    <row r="989" spans="1:1">
      <c r="A989" s="38"/>
    </row>
    <row r="990" spans="1:1">
      <c r="A990" s="38"/>
    </row>
    <row r="991" spans="1:1">
      <c r="A991" s="38"/>
    </row>
    <row r="992" spans="1:1">
      <c r="A992" s="38"/>
    </row>
    <row r="993" spans="1:1">
      <c r="A993" s="38"/>
    </row>
    <row r="994" spans="1:1">
      <c r="A994" s="38"/>
    </row>
    <row r="995" spans="1:1">
      <c r="A995" s="38"/>
    </row>
    <row r="996" spans="1:1">
      <c r="A996" s="38"/>
    </row>
    <row r="997" spans="1:1">
      <c r="A997" s="38"/>
    </row>
    <row r="998" spans="1:1">
      <c r="A998" s="38"/>
    </row>
    <row r="999" spans="1:1">
      <c r="A999" s="38"/>
    </row>
    <row r="1000" spans="1:1">
      <c r="A1000" s="38"/>
    </row>
    <row r="1001" spans="1:1">
      <c r="A1001" s="38"/>
    </row>
    <row r="1002" spans="1:1">
      <c r="A1002" s="38"/>
    </row>
    <row r="1003" spans="1:1">
      <c r="A1003" s="38"/>
    </row>
    <row r="1004" spans="1:1">
      <c r="A1004" s="38"/>
    </row>
    <row r="1005" spans="1:1">
      <c r="A1005" s="38"/>
    </row>
    <row r="1006" spans="1:1">
      <c r="A1006" s="38"/>
    </row>
    <row r="1007" spans="1:1">
      <c r="A1007" s="38"/>
    </row>
    <row r="1008" spans="1:1">
      <c r="A1008" s="38"/>
    </row>
    <row r="1009" spans="1:1">
      <c r="A1009" s="38"/>
    </row>
    <row r="1010" spans="1:1">
      <c r="A1010" s="38"/>
    </row>
    <row r="1011" spans="1:1">
      <c r="A1011" s="38"/>
    </row>
    <row r="1012" spans="1:1">
      <c r="A1012" s="38"/>
    </row>
    <row r="1013" spans="1:1">
      <c r="A1013" s="38"/>
    </row>
    <row r="1014" spans="1:1">
      <c r="A1014" s="38"/>
    </row>
    <row r="1015" spans="1:1">
      <c r="A1015" s="38"/>
    </row>
    <row r="1016" spans="1:1">
      <c r="A1016" s="38"/>
    </row>
    <row r="1017" spans="1:1">
      <c r="A1017" s="38"/>
    </row>
    <row r="1018" spans="1:1">
      <c r="A1018" s="38"/>
    </row>
    <row r="1019" spans="1:1">
      <c r="A1019" s="38"/>
    </row>
    <row r="1020" spans="1:1">
      <c r="A1020" s="38"/>
    </row>
    <row r="1021" spans="1:1">
      <c r="A1021" s="38"/>
    </row>
    <row r="1022" spans="1:1">
      <c r="A1022" s="38"/>
    </row>
    <row r="1023" spans="1:1">
      <c r="A1023" s="38"/>
    </row>
    <row r="1024" spans="1:1">
      <c r="A1024" s="38"/>
    </row>
    <row r="1025" spans="1:1">
      <c r="A1025" s="38"/>
    </row>
    <row r="1026" spans="1:1">
      <c r="A1026" s="38"/>
    </row>
    <row r="1027" spans="1:1">
      <c r="A1027" s="38"/>
    </row>
    <row r="1028" spans="1:1">
      <c r="A1028" s="38"/>
    </row>
    <row r="1029" spans="1:1">
      <c r="A1029" s="38"/>
    </row>
    <row r="1030" spans="1:1">
      <c r="A1030" s="38"/>
    </row>
    <row r="1031" spans="1:1">
      <c r="A1031" s="38"/>
    </row>
    <row r="1032" spans="1:1">
      <c r="A1032" s="38"/>
    </row>
    <row r="1033" spans="1:1">
      <c r="A1033" s="38"/>
    </row>
    <row r="1034" spans="1:1">
      <c r="A1034" s="38"/>
    </row>
    <row r="1035" spans="1:1">
      <c r="A1035" s="38"/>
    </row>
    <row r="1036" spans="1:1">
      <c r="A1036" s="38"/>
    </row>
    <row r="1037" spans="1:1">
      <c r="A1037" s="38"/>
    </row>
    <row r="1038" spans="1:1">
      <c r="A1038" s="38"/>
    </row>
    <row r="1039" spans="1:1">
      <c r="A1039" s="38"/>
    </row>
    <row r="1040" spans="1:1">
      <c r="A1040" s="38"/>
    </row>
    <row r="1041" spans="1:1">
      <c r="A1041" s="38"/>
    </row>
    <row r="1042" spans="1:1">
      <c r="A1042" s="38"/>
    </row>
    <row r="1043" spans="1:1">
      <c r="A1043" s="38"/>
    </row>
    <row r="1044" spans="1:1">
      <c r="A1044" s="38"/>
    </row>
    <row r="1045" spans="1:1">
      <c r="A1045" s="38"/>
    </row>
    <row r="1046" spans="1:1">
      <c r="A1046" s="38"/>
    </row>
    <row r="1047" spans="1:1">
      <c r="A1047" s="38"/>
    </row>
    <row r="1048" spans="1:1">
      <c r="A1048" s="38"/>
    </row>
    <row r="1049" spans="1:1">
      <c r="A1049" s="38"/>
    </row>
    <row r="1050" spans="1:1">
      <c r="A1050" s="38"/>
    </row>
    <row r="1051" spans="1:1">
      <c r="A1051" s="38"/>
    </row>
    <row r="1052" spans="1:1">
      <c r="A1052" s="38"/>
    </row>
    <row r="1053" spans="1:1">
      <c r="A1053" s="38"/>
    </row>
    <row r="1054" spans="1:1">
      <c r="A1054" s="38"/>
    </row>
    <row r="1055" spans="1:1">
      <c r="A1055" s="38"/>
    </row>
    <row r="1056" spans="1:1">
      <c r="A1056" s="38"/>
    </row>
    <row r="1057" spans="1:1">
      <c r="A1057" s="38"/>
    </row>
    <row r="1058" spans="1:1">
      <c r="A1058" s="38"/>
    </row>
    <row r="1059" spans="1:1">
      <c r="A1059" s="38"/>
    </row>
    <row r="1060" spans="1:1">
      <c r="A1060" s="38"/>
    </row>
    <row r="1061" spans="1:1">
      <c r="A1061" s="38"/>
    </row>
    <row r="1062" spans="1:1">
      <c r="A1062" s="38"/>
    </row>
    <row r="1063" spans="1:1">
      <c r="A1063" s="38"/>
    </row>
    <row r="1064" spans="1:1">
      <c r="A1064" s="38"/>
    </row>
    <row r="1065" spans="1:1">
      <c r="A1065" s="38"/>
    </row>
    <row r="1066" spans="1:1">
      <c r="A1066" s="38"/>
    </row>
    <row r="1067" spans="1:1">
      <c r="A1067" s="38"/>
    </row>
    <row r="1068" spans="1:1">
      <c r="A1068" s="38"/>
    </row>
    <row r="1069" spans="1:1">
      <c r="A1069" s="38"/>
    </row>
    <row r="1070" spans="1:1">
      <c r="A1070" s="38"/>
    </row>
    <row r="1071" spans="1:1">
      <c r="A1071" s="38"/>
    </row>
    <row r="1072" spans="1:1">
      <c r="A1072" s="38"/>
    </row>
    <row r="1073" spans="1:1">
      <c r="A1073" s="38"/>
    </row>
    <row r="1074" spans="1:1">
      <c r="A1074" s="38"/>
    </row>
    <row r="1075" spans="1:1">
      <c r="A1075" s="38"/>
    </row>
    <row r="1076" spans="1:1">
      <c r="A1076" s="38"/>
    </row>
    <row r="1077" spans="1:1">
      <c r="A1077" s="38"/>
    </row>
    <row r="1078" spans="1:1">
      <c r="A1078" s="38"/>
    </row>
    <row r="1079" spans="1:1">
      <c r="A1079" s="38"/>
    </row>
    <row r="1080" spans="1:1">
      <c r="A1080" s="38"/>
    </row>
    <row r="1081" spans="1:1">
      <c r="A1081" s="38"/>
    </row>
    <row r="1082" spans="1:1">
      <c r="A1082" s="38"/>
    </row>
    <row r="1083" spans="1:1">
      <c r="A1083" s="38"/>
    </row>
    <row r="1084" spans="1:1">
      <c r="A1084" s="38"/>
    </row>
    <row r="1085" spans="1:1">
      <c r="A1085" s="38"/>
    </row>
    <row r="1086" spans="1:1">
      <c r="A1086" s="38"/>
    </row>
    <row r="1087" spans="1:1">
      <c r="A1087" s="38"/>
    </row>
    <row r="1088" spans="1:1">
      <c r="A1088" s="38"/>
    </row>
    <row r="1089" spans="1:1">
      <c r="A1089" s="38"/>
    </row>
    <row r="1090" spans="1:1">
      <c r="A1090" s="38"/>
    </row>
    <row r="1091" spans="1:1">
      <c r="A1091" s="38"/>
    </row>
    <row r="1092" spans="1:1">
      <c r="A1092" s="38"/>
    </row>
    <row r="1093" spans="1:1">
      <c r="A1093" s="38"/>
    </row>
    <row r="1094" spans="1:1">
      <c r="A1094" s="38"/>
    </row>
    <row r="1095" spans="1:1">
      <c r="A1095" s="38"/>
    </row>
    <row r="1096" spans="1:1">
      <c r="A1096" s="38"/>
    </row>
    <row r="1097" spans="1:1">
      <c r="A1097" s="38"/>
    </row>
    <row r="1098" spans="1:1">
      <c r="A1098" s="38"/>
    </row>
    <row r="1099" spans="1:1">
      <c r="A1099" s="38"/>
    </row>
    <row r="1100" spans="1:1">
      <c r="A1100" s="38"/>
    </row>
    <row r="1101" spans="1:1">
      <c r="A1101" s="38"/>
    </row>
    <row r="1102" spans="1:1">
      <c r="A1102" s="38"/>
    </row>
    <row r="1103" spans="1:1">
      <c r="A1103" s="38"/>
    </row>
    <row r="1104" spans="1:1">
      <c r="A1104" s="38"/>
    </row>
    <row r="1105" spans="1:1">
      <c r="A1105" s="38"/>
    </row>
    <row r="1106" spans="1:1">
      <c r="A1106" s="38"/>
    </row>
    <row r="1107" spans="1:1">
      <c r="A1107" s="38"/>
    </row>
    <row r="1108" spans="1:1">
      <c r="A1108" s="38"/>
    </row>
    <row r="1109" spans="1:1">
      <c r="A1109" s="38"/>
    </row>
    <row r="1110" spans="1:1">
      <c r="A1110" s="38"/>
    </row>
    <row r="1111" spans="1:1">
      <c r="A1111" s="38"/>
    </row>
    <row r="1112" spans="1:1">
      <c r="A1112" s="38"/>
    </row>
    <row r="1113" spans="1:1">
      <c r="A1113" s="38"/>
    </row>
    <row r="1114" spans="1:1">
      <c r="A1114" s="38"/>
    </row>
    <row r="1115" spans="1:1">
      <c r="A1115" s="38"/>
    </row>
    <row r="1116" spans="1:1">
      <c r="A1116" s="38"/>
    </row>
    <row r="1117" spans="1:1">
      <c r="A1117" s="38"/>
    </row>
    <row r="1118" spans="1:1">
      <c r="A1118" s="38"/>
    </row>
    <row r="1119" spans="1:1">
      <c r="A1119" s="38"/>
    </row>
    <row r="1120" spans="1:1">
      <c r="A1120" s="38"/>
    </row>
    <row r="1121" spans="1:1">
      <c r="A1121" s="38"/>
    </row>
    <row r="1122" spans="1:1">
      <c r="A1122" s="38"/>
    </row>
    <row r="1123" spans="1:1">
      <c r="A1123" s="38"/>
    </row>
    <row r="1124" spans="1:1">
      <c r="A1124" s="38"/>
    </row>
    <row r="1125" spans="1:1">
      <c r="A1125" s="38"/>
    </row>
    <row r="1126" spans="1:1">
      <c r="A1126" s="38"/>
    </row>
    <row r="1127" spans="1:1">
      <c r="A1127" s="38"/>
    </row>
    <row r="1128" spans="1:1">
      <c r="A1128" s="38"/>
    </row>
    <row r="1129" spans="1:1">
      <c r="A1129" s="38"/>
    </row>
    <row r="1130" spans="1:1">
      <c r="A1130" s="38"/>
    </row>
    <row r="1131" spans="1:1">
      <c r="A1131" s="38"/>
    </row>
    <row r="1132" spans="1:1">
      <c r="A1132" s="38"/>
    </row>
    <row r="1133" spans="1:1">
      <c r="A1133" s="38"/>
    </row>
    <row r="1134" spans="1:1">
      <c r="A1134" s="38"/>
    </row>
    <row r="1135" spans="1:1">
      <c r="A1135" s="38"/>
    </row>
    <row r="1136" spans="1:1">
      <c r="A1136" s="38"/>
    </row>
    <row r="1137" spans="1:1">
      <c r="A1137" s="38"/>
    </row>
    <row r="1138" spans="1:1">
      <c r="A1138" s="38"/>
    </row>
    <row r="1139" spans="1:1">
      <c r="A1139" s="38"/>
    </row>
    <row r="1140" spans="1:1">
      <c r="A1140" s="38"/>
    </row>
    <row r="1141" spans="1:1">
      <c r="A1141" s="38"/>
    </row>
    <row r="1142" spans="1:1">
      <c r="A1142" s="38"/>
    </row>
    <row r="1143" spans="1:1">
      <c r="A1143" s="38"/>
    </row>
    <row r="1144" spans="1:1">
      <c r="A1144" s="38"/>
    </row>
    <row r="1145" spans="1:1">
      <c r="A1145" s="38"/>
    </row>
    <row r="1146" spans="1:1">
      <c r="A1146" s="38"/>
    </row>
    <row r="1147" spans="1:1">
      <c r="A1147" s="38"/>
    </row>
    <row r="1148" spans="1:1">
      <c r="A1148" s="38"/>
    </row>
    <row r="1149" spans="1:1">
      <c r="A1149" s="38"/>
    </row>
    <row r="1150" spans="1:1">
      <c r="A1150" s="38"/>
    </row>
    <row r="1151" spans="1:1">
      <c r="A1151" s="38"/>
    </row>
    <row r="1152" spans="1:1">
      <c r="A1152" s="38"/>
    </row>
    <row r="1153" spans="1:1">
      <c r="A1153" s="38"/>
    </row>
    <row r="1154" spans="1:1">
      <c r="A1154" s="38"/>
    </row>
    <row r="1155" spans="1:1">
      <c r="A1155" s="38"/>
    </row>
    <row r="1156" spans="1:1">
      <c r="A1156" s="38"/>
    </row>
    <row r="1157" spans="1:1">
      <c r="A1157" s="38"/>
    </row>
    <row r="1158" spans="1:1">
      <c r="A1158" s="38"/>
    </row>
    <row r="1159" spans="1:1">
      <c r="A1159" s="38"/>
    </row>
    <row r="1160" spans="1:1">
      <c r="A1160" s="38"/>
    </row>
    <row r="1161" spans="1:1">
      <c r="A1161" s="38"/>
    </row>
    <row r="1162" spans="1:1">
      <c r="A1162" s="38"/>
    </row>
    <row r="1163" spans="1:1">
      <c r="A1163" s="38"/>
    </row>
    <row r="1164" spans="1:1">
      <c r="A1164" s="38"/>
    </row>
    <row r="1165" spans="1:1">
      <c r="A1165" s="38"/>
    </row>
    <row r="1166" spans="1:1">
      <c r="A1166" s="38"/>
    </row>
    <row r="1167" spans="1:1">
      <c r="A1167" s="38"/>
    </row>
    <row r="1168" spans="1:1">
      <c r="A1168" s="38"/>
    </row>
    <row r="1169" spans="1:1">
      <c r="A1169" s="38"/>
    </row>
    <row r="1170" spans="1:1">
      <c r="A1170" s="38"/>
    </row>
    <row r="1171" spans="1:1">
      <c r="A1171" s="38"/>
    </row>
    <row r="1172" spans="1:1">
      <c r="A1172" s="38"/>
    </row>
    <row r="1173" spans="1:1">
      <c r="A1173" s="38"/>
    </row>
    <row r="1174" spans="1:1">
      <c r="A1174" s="38"/>
    </row>
    <row r="1175" spans="1:1">
      <c r="A1175" s="38"/>
    </row>
    <row r="1176" spans="1:1">
      <c r="A1176" s="38"/>
    </row>
    <row r="1177" spans="1:1">
      <c r="A1177" s="38"/>
    </row>
    <row r="1178" spans="1:1">
      <c r="A1178" s="38"/>
    </row>
    <row r="1179" spans="1:1">
      <c r="A1179" s="38"/>
    </row>
    <row r="1180" spans="1:1">
      <c r="A1180" s="38"/>
    </row>
    <row r="1181" spans="1:1">
      <c r="A1181" s="38"/>
    </row>
    <row r="1182" spans="1:1">
      <c r="A1182" s="38"/>
    </row>
    <row r="1183" spans="1:1">
      <c r="A1183" s="38"/>
    </row>
    <row r="1184" spans="1:1">
      <c r="A1184" s="38"/>
    </row>
    <row r="1185" spans="1:1">
      <c r="A1185" s="38"/>
    </row>
    <row r="1186" spans="1:1">
      <c r="A1186" s="38"/>
    </row>
    <row r="1187" spans="1:1">
      <c r="A1187" s="38"/>
    </row>
    <row r="1188" spans="1:1">
      <c r="A1188" s="38"/>
    </row>
    <row r="1189" spans="1:1">
      <c r="A1189" s="38"/>
    </row>
    <row r="1190" spans="1:1">
      <c r="A1190" s="38"/>
    </row>
    <row r="1191" spans="1:1">
      <c r="A1191" s="38"/>
    </row>
    <row r="1192" spans="1:1">
      <c r="A1192" s="38"/>
    </row>
    <row r="1193" spans="1:1">
      <c r="A1193" s="38"/>
    </row>
    <row r="1194" spans="1:1">
      <c r="A1194" s="38"/>
    </row>
    <row r="1195" spans="1:1">
      <c r="A1195" s="38"/>
    </row>
    <row r="1196" spans="1:1">
      <c r="A1196" s="38"/>
    </row>
    <row r="1197" spans="1:1">
      <c r="A1197" s="38"/>
    </row>
    <row r="1198" spans="1:1">
      <c r="A1198" s="38"/>
    </row>
    <row r="1199" spans="1:1">
      <c r="A1199" s="38"/>
    </row>
    <row r="1200" spans="1:1">
      <c r="A1200" s="38"/>
    </row>
    <row r="1201" spans="1:1">
      <c r="A1201" s="38"/>
    </row>
    <row r="1202" spans="1:1">
      <c r="A1202" s="38"/>
    </row>
    <row r="1203" spans="1:1">
      <c r="A1203" s="38"/>
    </row>
    <row r="1204" spans="1:1">
      <c r="A1204" s="38"/>
    </row>
    <row r="1205" spans="1:1">
      <c r="A1205" s="38"/>
    </row>
    <row r="1206" spans="1:1">
      <c r="A1206" s="38"/>
    </row>
    <row r="1207" spans="1:1">
      <c r="A1207" s="38"/>
    </row>
    <row r="1208" spans="1:1">
      <c r="A1208" s="38"/>
    </row>
    <row r="1209" spans="1:1">
      <c r="A1209" s="38"/>
    </row>
    <row r="1210" spans="1:1">
      <c r="A1210" s="38"/>
    </row>
    <row r="1211" spans="1:1">
      <c r="A1211" s="38"/>
    </row>
    <row r="1212" spans="1:1">
      <c r="A1212" s="38"/>
    </row>
    <row r="1213" spans="1:1">
      <c r="A1213" s="38"/>
    </row>
    <row r="1214" spans="1:1">
      <c r="A1214" s="38"/>
    </row>
    <row r="1215" spans="1:1">
      <c r="A1215" s="38"/>
    </row>
    <row r="1216" spans="1:1">
      <c r="A1216" s="38"/>
    </row>
    <row r="1217" spans="1:1">
      <c r="A1217" s="38"/>
    </row>
    <row r="1218" spans="1:1">
      <c r="A1218" s="38"/>
    </row>
    <row r="1219" spans="1:1">
      <c r="A1219" s="38"/>
    </row>
    <row r="1220" spans="1:1">
      <c r="A1220" s="38"/>
    </row>
    <row r="1221" spans="1:1">
      <c r="A1221" s="38"/>
    </row>
    <row r="1222" spans="1:1">
      <c r="A1222" s="38"/>
    </row>
    <row r="1223" spans="1:1">
      <c r="A1223" s="38"/>
    </row>
    <row r="1224" spans="1:1">
      <c r="A1224" s="38"/>
    </row>
    <row r="1225" spans="1:1">
      <c r="A1225" s="38"/>
    </row>
    <row r="1226" spans="1:1">
      <c r="A1226" s="38"/>
    </row>
    <row r="1227" spans="1:1">
      <c r="A1227" s="38"/>
    </row>
    <row r="1228" spans="1:1">
      <c r="A1228" s="38"/>
    </row>
    <row r="1229" spans="1:1">
      <c r="A1229" s="38"/>
    </row>
    <row r="1230" spans="1:1">
      <c r="A1230" s="38"/>
    </row>
    <row r="1231" spans="1:1">
      <c r="A1231" s="38"/>
    </row>
    <row r="1232" spans="1:1">
      <c r="A1232" s="38"/>
    </row>
    <row r="1233" spans="1:1">
      <c r="A1233" s="38"/>
    </row>
    <row r="1234" spans="1:1">
      <c r="A1234" s="38"/>
    </row>
    <row r="1235" spans="1:1">
      <c r="A1235" s="38"/>
    </row>
    <row r="1236" spans="1:1">
      <c r="A1236" s="38"/>
    </row>
    <row r="1237" spans="1:1">
      <c r="A1237" s="38"/>
    </row>
    <row r="1238" spans="1:1">
      <c r="A1238" s="38"/>
    </row>
    <row r="1239" spans="1:1">
      <c r="A1239" s="38"/>
    </row>
    <row r="1240" spans="1:1">
      <c r="A1240" s="38"/>
    </row>
    <row r="1241" spans="1:1">
      <c r="A1241" s="38"/>
    </row>
    <row r="1242" spans="1:1">
      <c r="A1242" s="38"/>
    </row>
    <row r="1243" spans="1:1">
      <c r="A1243" s="38"/>
    </row>
    <row r="1244" spans="1:1">
      <c r="A1244" s="38"/>
    </row>
    <row r="1245" spans="1:1">
      <c r="A1245" s="38"/>
    </row>
    <row r="1246" spans="1:1">
      <c r="A1246" s="38"/>
    </row>
    <row r="1247" spans="1:1">
      <c r="A1247" s="38"/>
    </row>
    <row r="1248" spans="1:1">
      <c r="A1248" s="38"/>
    </row>
    <row r="1249" spans="1:1">
      <c r="A1249" s="38"/>
    </row>
    <row r="1250" spans="1:1">
      <c r="A1250" s="38"/>
    </row>
    <row r="1251" spans="1:1">
      <c r="A1251" s="38"/>
    </row>
    <row r="1252" spans="1:1">
      <c r="A1252" s="38"/>
    </row>
    <row r="1253" spans="1:1">
      <c r="A1253" s="38"/>
    </row>
    <row r="1254" spans="1:1">
      <c r="A1254" s="38"/>
    </row>
    <row r="1255" spans="1:1">
      <c r="A1255" s="38"/>
    </row>
    <row r="1256" spans="1:1">
      <c r="A1256" s="38"/>
    </row>
    <row r="1257" spans="1:1">
      <c r="A1257" s="38"/>
    </row>
    <row r="1258" spans="1:1">
      <c r="A1258" s="38"/>
    </row>
    <row r="1259" spans="1:1">
      <c r="A1259" s="38"/>
    </row>
    <row r="1260" spans="1:1">
      <c r="A1260" s="38"/>
    </row>
    <row r="1261" spans="1:1">
      <c r="A1261" s="38"/>
    </row>
    <row r="1262" spans="1:1">
      <c r="A1262" s="38"/>
    </row>
    <row r="1263" spans="1:1">
      <c r="A1263" s="38"/>
    </row>
    <row r="1264" spans="1:1">
      <c r="A1264" s="38"/>
    </row>
    <row r="1265" spans="1:1">
      <c r="A1265" s="38"/>
    </row>
    <row r="1266" spans="1:1">
      <c r="A1266" s="38"/>
    </row>
    <row r="1267" spans="1:1">
      <c r="A1267" s="38"/>
    </row>
    <row r="1268" spans="1:1">
      <c r="A1268" s="38"/>
    </row>
    <row r="1269" spans="1:1">
      <c r="A1269" s="38"/>
    </row>
    <row r="1270" spans="1:1">
      <c r="A1270" s="38"/>
    </row>
    <row r="1271" spans="1:1">
      <c r="A1271" s="38"/>
    </row>
    <row r="1272" spans="1:1">
      <c r="A1272" s="38"/>
    </row>
    <row r="1273" spans="1:1">
      <c r="A1273" s="38"/>
    </row>
    <row r="1274" spans="1:1">
      <c r="A1274" s="38"/>
    </row>
    <row r="1275" spans="1:1">
      <c r="A1275" s="38"/>
    </row>
    <row r="1276" spans="1:1">
      <c r="A1276" s="38"/>
    </row>
    <row r="1277" spans="1:1">
      <c r="A1277" s="38"/>
    </row>
    <row r="1278" spans="1:1">
      <c r="A1278" s="38"/>
    </row>
    <row r="1279" spans="1:1">
      <c r="A1279" s="38"/>
    </row>
    <row r="1280" spans="1:1">
      <c r="A1280" s="38"/>
    </row>
    <row r="1281" spans="1:1">
      <c r="A1281" s="38"/>
    </row>
    <row r="1282" spans="1:1">
      <c r="A1282" s="38"/>
    </row>
    <row r="1283" spans="1:1">
      <c r="A1283" s="38"/>
    </row>
    <row r="1284" spans="1:1">
      <c r="A1284" s="38"/>
    </row>
    <row r="1285" spans="1:1">
      <c r="A1285" s="38"/>
    </row>
    <row r="1286" spans="1:1">
      <c r="A1286" s="38"/>
    </row>
    <row r="1287" spans="1:1">
      <c r="A1287" s="38"/>
    </row>
    <row r="1288" spans="1:1">
      <c r="A1288" s="38"/>
    </row>
    <row r="1289" spans="1:1">
      <c r="A1289" s="38"/>
    </row>
    <row r="1290" spans="1:1">
      <c r="A1290" s="38"/>
    </row>
    <row r="1291" spans="1:1">
      <c r="A1291" s="38"/>
    </row>
    <row r="1292" spans="1:1">
      <c r="A1292" s="38"/>
    </row>
    <row r="1293" spans="1:1">
      <c r="A1293" s="38"/>
    </row>
    <row r="1294" spans="1:1">
      <c r="A1294" s="38"/>
    </row>
    <row r="1295" spans="1:1">
      <c r="A1295" s="38"/>
    </row>
    <row r="1296" spans="1:1">
      <c r="A1296" s="38"/>
    </row>
    <row r="1297" spans="1:1">
      <c r="A1297" s="38"/>
    </row>
    <row r="1298" spans="1:1">
      <c r="A1298" s="38"/>
    </row>
    <row r="1299" spans="1:1">
      <c r="A1299" s="38"/>
    </row>
    <row r="1300" spans="1:1">
      <c r="A1300" s="38"/>
    </row>
    <row r="1301" spans="1:1">
      <c r="A1301" s="38"/>
    </row>
    <row r="1302" spans="1:1">
      <c r="A1302" s="38"/>
    </row>
    <row r="1303" spans="1:1">
      <c r="A1303" s="38"/>
    </row>
    <row r="1304" spans="1:1">
      <c r="A1304" s="38"/>
    </row>
    <row r="1305" spans="1:1">
      <c r="A1305" s="38"/>
    </row>
    <row r="1306" spans="1:1">
      <c r="A1306" s="38"/>
    </row>
    <row r="1307" spans="1:1">
      <c r="A1307" s="38"/>
    </row>
    <row r="1308" spans="1:1">
      <c r="A1308" s="38"/>
    </row>
    <row r="1309" spans="1:1">
      <c r="A1309" s="38"/>
    </row>
    <row r="1310" spans="1:1">
      <c r="A1310" s="38"/>
    </row>
    <row r="1311" spans="1:1">
      <c r="A1311" s="38"/>
    </row>
    <row r="1312" spans="1:1">
      <c r="A1312" s="38"/>
    </row>
    <row r="1313" spans="1:1">
      <c r="A1313" s="38"/>
    </row>
    <row r="1314" spans="1:1">
      <c r="A1314" s="38"/>
    </row>
    <row r="1315" spans="1:1">
      <c r="A1315" s="38"/>
    </row>
    <row r="1316" spans="1:1">
      <c r="A1316" s="38"/>
    </row>
    <row r="1317" spans="1:1">
      <c r="A1317" s="38"/>
    </row>
    <row r="1318" spans="1:1">
      <c r="A1318" s="38"/>
    </row>
    <row r="1319" spans="1:1">
      <c r="A1319" s="38"/>
    </row>
    <row r="1320" spans="1:1">
      <c r="A1320" s="38"/>
    </row>
    <row r="1321" spans="1:1">
      <c r="A1321" s="38"/>
    </row>
    <row r="1322" spans="1:1">
      <c r="A1322" s="38"/>
    </row>
    <row r="1323" spans="1:1">
      <c r="A1323" s="38"/>
    </row>
    <row r="1324" spans="1:1">
      <c r="A1324" s="38"/>
    </row>
    <row r="1325" spans="1:1">
      <c r="A1325" s="38"/>
    </row>
    <row r="1326" spans="1:1">
      <c r="A1326" s="38"/>
    </row>
    <row r="1327" spans="1:1">
      <c r="A1327" s="38"/>
    </row>
    <row r="1328" spans="1:1">
      <c r="A1328" s="38"/>
    </row>
    <row r="1329" spans="1:1">
      <c r="A1329" s="38"/>
    </row>
    <row r="1330" spans="1:1">
      <c r="A1330" s="38"/>
    </row>
    <row r="1331" spans="1:1">
      <c r="A1331" s="38"/>
    </row>
    <row r="1332" spans="1:1">
      <c r="A1332" s="38"/>
    </row>
    <row r="1333" spans="1:1">
      <c r="A1333" s="38"/>
    </row>
    <row r="1334" spans="1:1">
      <c r="A1334" s="38"/>
    </row>
    <row r="1335" spans="1:1">
      <c r="A1335" s="38"/>
    </row>
    <row r="1336" spans="1:1">
      <c r="A1336" s="38"/>
    </row>
    <row r="1337" spans="1:1">
      <c r="A1337" s="38"/>
    </row>
    <row r="1338" spans="1:1">
      <c r="A1338" s="38"/>
    </row>
    <row r="1339" spans="1:1">
      <c r="A1339" s="38"/>
    </row>
    <row r="1340" spans="1:1">
      <c r="A1340" s="38"/>
    </row>
    <row r="1341" spans="1:1">
      <c r="A1341" s="38"/>
    </row>
    <row r="1342" spans="1:1">
      <c r="A1342" s="38"/>
    </row>
    <row r="1343" spans="1:1">
      <c r="A1343" s="38"/>
    </row>
    <row r="1344" spans="1:1">
      <c r="A1344" s="38"/>
    </row>
    <row r="1345" spans="1:1">
      <c r="A1345" s="38"/>
    </row>
    <row r="1346" spans="1:1">
      <c r="A1346" s="38"/>
    </row>
    <row r="1347" spans="1:1">
      <c r="A1347" s="38"/>
    </row>
    <row r="1348" spans="1:1">
      <c r="A1348" s="38"/>
    </row>
    <row r="1349" spans="1:1">
      <c r="A1349" s="38"/>
    </row>
    <row r="1350" spans="1:1">
      <c r="A1350" s="38"/>
    </row>
    <row r="1351" spans="1:1">
      <c r="A1351" s="38"/>
    </row>
    <row r="1352" spans="1:1">
      <c r="A1352" s="38"/>
    </row>
    <row r="1353" spans="1:1">
      <c r="A1353" s="38"/>
    </row>
    <row r="1354" spans="1:1">
      <c r="A1354" s="38"/>
    </row>
    <row r="1355" spans="1:1">
      <c r="A1355" s="38"/>
    </row>
    <row r="1356" spans="1:1">
      <c r="A1356" s="38"/>
    </row>
    <row r="1357" spans="1:1">
      <c r="A1357" s="38"/>
    </row>
    <row r="1358" spans="1:1">
      <c r="A1358" s="38"/>
    </row>
    <row r="1359" spans="1:1">
      <c r="A1359" s="38"/>
    </row>
    <row r="1360" spans="1:1">
      <c r="A1360" s="38"/>
    </row>
    <row r="1361" spans="1:1">
      <c r="A1361" s="38"/>
    </row>
    <row r="1362" spans="1:1">
      <c r="A1362" s="38"/>
    </row>
    <row r="1363" spans="1:1">
      <c r="A1363" s="38"/>
    </row>
    <row r="1364" spans="1:1">
      <c r="A1364" s="38"/>
    </row>
    <row r="1365" spans="1:1">
      <c r="A1365" s="38"/>
    </row>
    <row r="1366" spans="1:1">
      <c r="A1366" s="38"/>
    </row>
    <row r="1367" spans="1:1">
      <c r="A1367" s="38"/>
    </row>
    <row r="1368" spans="1:1">
      <c r="A1368" s="38"/>
    </row>
    <row r="1369" spans="1:1">
      <c r="A1369" s="38"/>
    </row>
    <row r="1370" spans="1:1">
      <c r="A1370" s="38"/>
    </row>
    <row r="1371" spans="1:1">
      <c r="A1371" s="38"/>
    </row>
    <row r="1372" spans="1:1">
      <c r="A1372" s="38"/>
    </row>
    <row r="1373" spans="1:1">
      <c r="A1373" s="38"/>
    </row>
    <row r="1374" spans="1:1">
      <c r="A1374" s="38"/>
    </row>
    <row r="1375" spans="1:1">
      <c r="A1375" s="38"/>
    </row>
    <row r="1376" spans="1:1">
      <c r="A1376" s="38"/>
    </row>
    <row r="1377" spans="1:1">
      <c r="A1377" s="38"/>
    </row>
    <row r="1378" spans="1:1">
      <c r="A1378" s="38"/>
    </row>
    <row r="1379" spans="1:1">
      <c r="A1379" s="38"/>
    </row>
    <row r="1380" spans="1:1">
      <c r="A1380" s="38"/>
    </row>
    <row r="1381" spans="1:1">
      <c r="A1381" s="38"/>
    </row>
    <row r="1382" spans="1:1">
      <c r="A1382" s="38"/>
    </row>
    <row r="1383" spans="1:1">
      <c r="A1383" s="38"/>
    </row>
    <row r="1384" spans="1:1">
      <c r="A1384" s="38"/>
    </row>
    <row r="1385" spans="1:1">
      <c r="A1385" s="38"/>
    </row>
    <row r="1386" spans="1:1">
      <c r="A1386" s="38"/>
    </row>
    <row r="1387" spans="1:1">
      <c r="A1387" s="38"/>
    </row>
    <row r="1388" spans="1:1">
      <c r="A1388" s="38"/>
    </row>
    <row r="1389" spans="1:1">
      <c r="A1389" s="38"/>
    </row>
    <row r="1390" spans="1:1">
      <c r="A1390" s="38"/>
    </row>
    <row r="1391" spans="1:1">
      <c r="A1391" s="38"/>
    </row>
    <row r="1392" spans="1:1">
      <c r="A1392" s="38"/>
    </row>
    <row r="1393" spans="1:1">
      <c r="A1393" s="38"/>
    </row>
    <row r="1394" spans="1:1">
      <c r="A1394" s="38"/>
    </row>
    <row r="1395" spans="1:1">
      <c r="A1395" s="38"/>
    </row>
    <row r="1396" spans="1:1">
      <c r="A1396" s="38"/>
    </row>
    <row r="1397" spans="1:1">
      <c r="A1397" s="38"/>
    </row>
    <row r="1398" spans="1:1">
      <c r="A1398" s="38"/>
    </row>
    <row r="1399" spans="1:1">
      <c r="A1399" s="38"/>
    </row>
    <row r="1400" spans="1:1">
      <c r="A1400" s="38"/>
    </row>
    <row r="1401" spans="1:1">
      <c r="A1401" s="38"/>
    </row>
    <row r="1402" spans="1:1">
      <c r="A1402" s="38"/>
    </row>
    <row r="1403" spans="1:1">
      <c r="A1403" s="38"/>
    </row>
    <row r="1404" spans="1:1">
      <c r="A1404" s="38"/>
    </row>
    <row r="1405" spans="1:1">
      <c r="A1405" s="38"/>
    </row>
    <row r="1406" spans="1:1">
      <c r="A1406" s="38"/>
    </row>
    <row r="1407" spans="1:1">
      <c r="A1407" s="38"/>
    </row>
    <row r="1408" spans="1:1">
      <c r="A1408" s="38"/>
    </row>
    <row r="1409" spans="1:1">
      <c r="A1409" s="38"/>
    </row>
    <row r="1410" spans="1:1">
      <c r="A1410" s="38"/>
    </row>
    <row r="1411" spans="1:1">
      <c r="A1411" s="38"/>
    </row>
    <row r="1412" spans="1:1">
      <c r="A1412" s="38"/>
    </row>
    <row r="1413" spans="1:1">
      <c r="A1413" s="38"/>
    </row>
    <row r="1414" spans="1:1">
      <c r="A1414" s="38"/>
    </row>
    <row r="1415" spans="1:1">
      <c r="A1415" s="38"/>
    </row>
    <row r="1416" spans="1:1">
      <c r="A1416" s="38"/>
    </row>
    <row r="1417" spans="1:1">
      <c r="A1417" s="38"/>
    </row>
    <row r="1418" spans="1:1">
      <c r="A1418" s="38"/>
    </row>
    <row r="1419" spans="1:1">
      <c r="A1419" s="38"/>
    </row>
    <row r="1420" spans="1:1">
      <c r="A1420" s="38"/>
    </row>
    <row r="1421" spans="1:1">
      <c r="A1421" s="38"/>
    </row>
    <row r="1422" spans="1:1">
      <c r="A1422" s="38"/>
    </row>
    <row r="1423" spans="1:1">
      <c r="A1423" s="38"/>
    </row>
    <row r="1424" spans="1:1">
      <c r="A1424" s="38"/>
    </row>
    <row r="1425" spans="1:1">
      <c r="A1425" s="38"/>
    </row>
    <row r="1426" spans="1:1">
      <c r="A1426" s="38"/>
    </row>
    <row r="1427" spans="1:1">
      <c r="A1427" s="38"/>
    </row>
    <row r="1428" spans="1:1">
      <c r="A1428" s="38"/>
    </row>
    <row r="1429" spans="1:1">
      <c r="A1429" s="38"/>
    </row>
    <row r="1430" spans="1:1">
      <c r="A1430" s="38"/>
    </row>
    <row r="1431" spans="1:1">
      <c r="A1431" s="38"/>
    </row>
    <row r="1432" spans="1:1">
      <c r="A1432" s="38"/>
    </row>
    <row r="1433" spans="1:1">
      <c r="A1433" s="38"/>
    </row>
    <row r="1434" spans="1:1">
      <c r="A1434" s="38"/>
    </row>
    <row r="1435" spans="1:1">
      <c r="A1435" s="38"/>
    </row>
    <row r="1436" spans="1:1">
      <c r="A1436" s="38"/>
    </row>
    <row r="1437" spans="1:1">
      <c r="A1437" s="38"/>
    </row>
    <row r="1438" spans="1:1">
      <c r="A1438" s="38"/>
    </row>
    <row r="1439" spans="1:1">
      <c r="A1439" s="38"/>
    </row>
    <row r="1440" spans="1:1">
      <c r="A1440" s="38"/>
    </row>
    <row r="1441" spans="1:1">
      <c r="A1441" s="38"/>
    </row>
    <row r="1442" spans="1:1">
      <c r="A1442" s="38"/>
    </row>
    <row r="1443" spans="1:1">
      <c r="A1443" s="38"/>
    </row>
    <row r="1444" spans="1:1">
      <c r="A1444" s="38"/>
    </row>
    <row r="1445" spans="1:1">
      <c r="A1445" s="38"/>
    </row>
    <row r="1446" spans="1:1">
      <c r="A1446" s="38"/>
    </row>
    <row r="1447" spans="1:1">
      <c r="A1447" s="38"/>
    </row>
    <row r="1448" spans="1:1">
      <c r="A1448" s="38"/>
    </row>
    <row r="1449" spans="1:1">
      <c r="A1449" s="38"/>
    </row>
    <row r="1450" spans="1:1">
      <c r="A1450" s="38"/>
    </row>
    <row r="1451" spans="1:1">
      <c r="A1451" s="38"/>
    </row>
    <row r="1452" spans="1:1">
      <c r="A1452" s="38"/>
    </row>
    <row r="1453" spans="1:1">
      <c r="A1453" s="38"/>
    </row>
    <row r="1454" spans="1:1">
      <c r="A1454" s="38"/>
    </row>
    <row r="1455" spans="1:1">
      <c r="A1455" s="38"/>
    </row>
    <row r="1456" spans="1:1">
      <c r="A1456" s="38"/>
    </row>
    <row r="1457" spans="1:1">
      <c r="A1457" s="38"/>
    </row>
    <row r="1458" spans="1:1">
      <c r="A1458" s="38"/>
    </row>
    <row r="1459" spans="1:1">
      <c r="A1459" s="38"/>
    </row>
    <row r="1460" spans="1:1">
      <c r="A1460" s="38"/>
    </row>
    <row r="1461" spans="1:1">
      <c r="A1461" s="38"/>
    </row>
    <row r="1462" spans="1:1">
      <c r="A1462" s="38"/>
    </row>
    <row r="1463" spans="1:1">
      <c r="A1463" s="38"/>
    </row>
    <row r="1464" spans="1:1">
      <c r="A1464" s="38"/>
    </row>
    <row r="1465" spans="1:1">
      <c r="A1465" s="38"/>
    </row>
    <row r="1466" spans="1:1">
      <c r="A1466" s="38"/>
    </row>
    <row r="1467" spans="1:1">
      <c r="A1467" s="38"/>
    </row>
    <row r="1468" spans="1:1">
      <c r="A1468" s="38"/>
    </row>
    <row r="1469" spans="1:1">
      <c r="A1469" s="38"/>
    </row>
    <row r="1470" spans="1:1">
      <c r="A1470" s="38"/>
    </row>
    <row r="1471" spans="1:1">
      <c r="A1471" s="38"/>
    </row>
    <row r="1472" spans="1:1">
      <c r="A1472" s="38"/>
    </row>
    <row r="1473" spans="1:1">
      <c r="A1473" s="38"/>
    </row>
    <row r="1474" spans="1:1">
      <c r="A1474" s="38"/>
    </row>
    <row r="1475" spans="1:1">
      <c r="A1475" s="38"/>
    </row>
    <row r="1476" spans="1:1">
      <c r="A1476" s="38"/>
    </row>
    <row r="1477" spans="1:1">
      <c r="A1477" s="38"/>
    </row>
    <row r="1478" spans="1:1">
      <c r="A1478" s="38"/>
    </row>
    <row r="1479" spans="1:1">
      <c r="A1479" s="38"/>
    </row>
    <row r="1480" spans="1:1">
      <c r="A1480" s="38"/>
    </row>
    <row r="1481" spans="1:1">
      <c r="A1481" s="38"/>
    </row>
    <row r="1482" spans="1:1">
      <c r="A1482" s="38"/>
    </row>
    <row r="1483" spans="1:1">
      <c r="A1483" s="38"/>
    </row>
    <row r="1484" spans="1:1">
      <c r="A1484" s="38"/>
    </row>
    <row r="1485" spans="1:1">
      <c r="A1485" s="38"/>
    </row>
    <row r="1486" spans="1:1">
      <c r="A1486" s="38"/>
    </row>
    <row r="1487" spans="1:1">
      <c r="A1487" s="38"/>
    </row>
    <row r="1488" spans="1:1">
      <c r="A1488" s="38"/>
    </row>
    <row r="1489" spans="1:1">
      <c r="A1489" s="38"/>
    </row>
    <row r="1490" spans="1:1">
      <c r="A1490" s="38"/>
    </row>
    <row r="1491" spans="1:1">
      <c r="A1491" s="38"/>
    </row>
    <row r="1492" spans="1:1">
      <c r="A1492" s="38"/>
    </row>
    <row r="1493" spans="1:1">
      <c r="A1493" s="38"/>
    </row>
    <row r="1494" spans="1:1">
      <c r="A1494" s="38"/>
    </row>
    <row r="1495" spans="1:1">
      <c r="A1495" s="38"/>
    </row>
    <row r="1496" spans="1:1">
      <c r="A1496" s="38"/>
    </row>
    <row r="1497" spans="1:1">
      <c r="A1497" s="38"/>
    </row>
    <row r="1498" spans="1:1">
      <c r="A1498" s="38"/>
    </row>
    <row r="1499" spans="1:1">
      <c r="A1499" s="38"/>
    </row>
    <row r="1500" spans="1:1">
      <c r="A1500" s="38"/>
    </row>
    <row r="1501" spans="1:1">
      <c r="A1501" s="38"/>
    </row>
    <row r="1502" spans="1:1">
      <c r="A1502" s="38"/>
    </row>
    <row r="1503" spans="1:1">
      <c r="A1503" s="38"/>
    </row>
    <row r="1504" spans="1:1">
      <c r="A1504" s="38"/>
    </row>
    <row r="1505" spans="1:1">
      <c r="A1505" s="38"/>
    </row>
    <row r="1506" spans="1:1">
      <c r="A1506" s="38"/>
    </row>
    <row r="1507" spans="1:1">
      <c r="A1507" s="38"/>
    </row>
    <row r="1508" spans="1:1">
      <c r="A1508" s="38"/>
    </row>
    <row r="1509" spans="1:1">
      <c r="A1509" s="38"/>
    </row>
    <row r="1510" spans="1:1">
      <c r="A1510" s="38"/>
    </row>
    <row r="1511" spans="1:1">
      <c r="A1511" s="38"/>
    </row>
    <row r="1512" spans="1:1">
      <c r="A1512" s="38"/>
    </row>
    <row r="1513" spans="1:1">
      <c r="A1513" s="38"/>
    </row>
    <row r="1514" spans="1:1">
      <c r="A1514" s="38"/>
    </row>
    <row r="1515" spans="1:1">
      <c r="A1515" s="38"/>
    </row>
    <row r="1516" spans="1:1">
      <c r="A1516" s="38"/>
    </row>
    <row r="1517" spans="1:1">
      <c r="A1517" s="38"/>
    </row>
    <row r="1518" spans="1:1">
      <c r="A1518" s="38"/>
    </row>
    <row r="1519" spans="1:1">
      <c r="A1519" s="38"/>
    </row>
    <row r="1520" spans="1:1">
      <c r="A1520" s="38"/>
    </row>
    <row r="1521" spans="1:1">
      <c r="A1521" s="38"/>
    </row>
    <row r="1522" spans="1:1">
      <c r="A1522" s="38"/>
    </row>
    <row r="1523" spans="1:1">
      <c r="A1523" s="38"/>
    </row>
    <row r="1524" spans="1:1">
      <c r="A1524" s="38"/>
    </row>
    <row r="1525" spans="1:1">
      <c r="A1525" s="38"/>
    </row>
    <row r="1526" spans="1:1">
      <c r="A1526" s="38"/>
    </row>
    <row r="1527" spans="1:1">
      <c r="A1527" s="38"/>
    </row>
    <row r="1528" spans="1:1">
      <c r="A1528" s="38"/>
    </row>
    <row r="1529" spans="1:1">
      <c r="A1529" s="38"/>
    </row>
    <row r="1530" spans="1:1">
      <c r="A1530" s="38"/>
    </row>
    <row r="1531" spans="1:1">
      <c r="A1531" s="38"/>
    </row>
    <row r="1532" spans="1:1">
      <c r="A1532" s="38"/>
    </row>
    <row r="1533" spans="1:1">
      <c r="A1533" s="38"/>
    </row>
    <row r="1534" spans="1:1">
      <c r="A1534" s="38"/>
    </row>
    <row r="1535" spans="1:1">
      <c r="A1535" s="38"/>
    </row>
    <row r="1536" spans="1:1">
      <c r="A1536" s="38"/>
    </row>
    <row r="1537" spans="1:1">
      <c r="A1537" s="38"/>
    </row>
    <row r="1538" spans="1:1">
      <c r="A1538" s="38"/>
    </row>
    <row r="1539" spans="1:1">
      <c r="A1539" s="38"/>
    </row>
    <row r="1540" spans="1:1">
      <c r="A1540" s="38"/>
    </row>
    <row r="1541" spans="1:1">
      <c r="A1541" s="38"/>
    </row>
    <row r="1542" spans="1:1">
      <c r="A1542" s="38"/>
    </row>
    <row r="1543" spans="1:1">
      <c r="A1543" s="38"/>
    </row>
    <row r="1544" spans="1:1">
      <c r="A1544" s="38"/>
    </row>
    <row r="1545" spans="1:1">
      <c r="A1545" s="38"/>
    </row>
    <row r="1546" spans="1:1">
      <c r="A1546" s="38"/>
    </row>
    <row r="1547" spans="1:1">
      <c r="A1547" s="38"/>
    </row>
    <row r="1548" spans="1:1">
      <c r="A1548" s="38"/>
    </row>
    <row r="1549" spans="1:1">
      <c r="A1549" s="38"/>
    </row>
    <row r="1550" spans="1:1">
      <c r="A1550" s="38"/>
    </row>
    <row r="1551" spans="1:1">
      <c r="A1551" s="38"/>
    </row>
    <row r="1552" spans="1:1">
      <c r="A1552" s="38"/>
    </row>
    <row r="1553" spans="1:1">
      <c r="A1553" s="38"/>
    </row>
    <row r="1554" spans="1:1">
      <c r="A1554" s="38"/>
    </row>
    <row r="1555" spans="1:1">
      <c r="A1555" s="38"/>
    </row>
    <row r="1556" spans="1:1">
      <c r="A1556" s="38"/>
    </row>
    <row r="1557" spans="1:1">
      <c r="A1557" s="38"/>
    </row>
    <row r="1558" spans="1:1">
      <c r="A1558" s="38"/>
    </row>
    <row r="1559" spans="1:1">
      <c r="A1559" s="38"/>
    </row>
    <row r="1560" spans="1:1">
      <c r="A1560" s="38"/>
    </row>
    <row r="1561" spans="1:1">
      <c r="A1561" s="38"/>
    </row>
    <row r="1562" spans="1:1">
      <c r="A1562" s="38"/>
    </row>
    <row r="1563" spans="1:1">
      <c r="A1563" s="38"/>
    </row>
    <row r="1564" spans="1:1">
      <c r="A1564" s="38"/>
    </row>
    <row r="1565" spans="1:1">
      <c r="A1565" s="38"/>
    </row>
    <row r="1566" spans="1:1">
      <c r="A1566" s="38"/>
    </row>
    <row r="1567" spans="1:1">
      <c r="A1567" s="38"/>
    </row>
    <row r="1568" spans="1:1">
      <c r="A1568" s="38"/>
    </row>
    <row r="1569" spans="1:1">
      <c r="A1569" s="38"/>
    </row>
    <row r="1570" spans="1:1">
      <c r="A1570" s="38"/>
    </row>
    <row r="1571" spans="1:1">
      <c r="A1571" s="38"/>
    </row>
    <row r="1572" spans="1:1">
      <c r="A1572" s="38"/>
    </row>
    <row r="1573" spans="1:1">
      <c r="A1573" s="38"/>
    </row>
    <row r="1574" spans="1:1">
      <c r="A1574" s="38"/>
    </row>
    <row r="1575" spans="1:1">
      <c r="A1575" s="38"/>
    </row>
    <row r="1576" spans="1:1">
      <c r="A1576" s="38"/>
    </row>
    <row r="1577" spans="1:1">
      <c r="A1577" s="38"/>
    </row>
    <row r="1578" spans="1:1">
      <c r="A1578" s="38"/>
    </row>
    <row r="1579" spans="1:1">
      <c r="A1579" s="38"/>
    </row>
    <row r="1580" spans="1:1">
      <c r="A1580" s="38"/>
    </row>
    <row r="1581" spans="1:1">
      <c r="A1581" s="38"/>
    </row>
    <row r="1582" spans="1:1">
      <c r="A1582" s="38"/>
    </row>
    <row r="1583" spans="1:1">
      <c r="A1583" s="38"/>
    </row>
    <row r="1584" spans="1:1">
      <c r="A1584" s="38"/>
    </row>
    <row r="1585" spans="1:1">
      <c r="A1585" s="38"/>
    </row>
    <row r="1586" spans="1:1">
      <c r="A1586" s="38"/>
    </row>
    <row r="1587" spans="1:1">
      <c r="A1587" s="38"/>
    </row>
    <row r="1588" spans="1:1">
      <c r="A1588" s="38"/>
    </row>
    <row r="1589" spans="1:1">
      <c r="A1589" s="38"/>
    </row>
    <row r="1590" spans="1:1">
      <c r="A1590" s="38"/>
    </row>
    <row r="1591" spans="1:1">
      <c r="A1591" s="38"/>
    </row>
    <row r="1592" spans="1:1">
      <c r="A1592" s="38"/>
    </row>
    <row r="1593" spans="1:1">
      <c r="A1593" s="38"/>
    </row>
    <row r="1594" spans="1:1">
      <c r="A1594" s="38"/>
    </row>
    <row r="1595" spans="1:1">
      <c r="A1595" s="38"/>
    </row>
    <row r="1596" spans="1:1">
      <c r="A1596" s="38"/>
    </row>
    <row r="1597" spans="1:1">
      <c r="A1597" s="38"/>
    </row>
    <row r="1598" spans="1:1">
      <c r="A1598" s="38"/>
    </row>
    <row r="1599" spans="1:1">
      <c r="A1599" s="38"/>
    </row>
    <row r="1600" spans="1:1">
      <c r="A1600" s="38"/>
    </row>
    <row r="1601" spans="1:1">
      <c r="A1601" s="38"/>
    </row>
    <row r="1602" spans="1:1">
      <c r="A1602" s="38"/>
    </row>
    <row r="1603" spans="1:1">
      <c r="A1603" s="38"/>
    </row>
    <row r="1604" spans="1:1">
      <c r="A1604" s="38"/>
    </row>
    <row r="1605" spans="1:1">
      <c r="A1605" s="38"/>
    </row>
    <row r="1606" spans="1:1">
      <c r="A1606" s="38"/>
    </row>
    <row r="1607" spans="1:1">
      <c r="A1607" s="38"/>
    </row>
    <row r="1608" spans="1:1">
      <c r="A1608" s="38"/>
    </row>
    <row r="1609" spans="1:1">
      <c r="A1609" s="38"/>
    </row>
    <row r="1610" spans="1:1">
      <c r="A1610" s="38"/>
    </row>
    <row r="1611" spans="1:1">
      <c r="A1611" s="38"/>
    </row>
    <row r="1612" spans="1:1">
      <c r="A1612" s="38"/>
    </row>
    <row r="1613" spans="1:1">
      <c r="A1613" s="38"/>
    </row>
    <row r="1614" spans="1:1">
      <c r="A1614" s="38"/>
    </row>
    <row r="1615" spans="1:1">
      <c r="A1615" s="38"/>
    </row>
    <row r="1616" spans="1:1">
      <c r="A1616" s="38"/>
    </row>
    <row r="1617" spans="1:1">
      <c r="A1617" s="38"/>
    </row>
    <row r="1618" spans="1:1">
      <c r="A1618" s="38"/>
    </row>
    <row r="1619" spans="1:1">
      <c r="A1619" s="38"/>
    </row>
    <row r="1620" spans="1:1">
      <c r="A1620" s="38"/>
    </row>
    <row r="1621" spans="1:1">
      <c r="A1621" s="38"/>
    </row>
    <row r="1622" spans="1:1">
      <c r="A1622" s="38"/>
    </row>
    <row r="1623" spans="1:1">
      <c r="A1623" s="38"/>
    </row>
    <row r="1624" spans="1:1">
      <c r="A1624" s="38"/>
    </row>
    <row r="1625" spans="1:1">
      <c r="A1625" s="38"/>
    </row>
    <row r="1626" spans="1:1">
      <c r="A1626" s="38"/>
    </row>
    <row r="1627" spans="1:1">
      <c r="A1627" s="38"/>
    </row>
    <row r="1628" spans="1:1">
      <c r="A1628" s="38"/>
    </row>
    <row r="1629" spans="1:1">
      <c r="A1629" s="38"/>
    </row>
    <row r="1630" spans="1:1">
      <c r="A1630" s="38"/>
    </row>
    <row r="1631" spans="1:1">
      <c r="A1631" s="38"/>
    </row>
    <row r="1632" spans="1:1">
      <c r="A1632" s="38"/>
    </row>
    <row r="1633" spans="1:1">
      <c r="A1633" s="38"/>
    </row>
    <row r="1634" spans="1:1">
      <c r="A1634" s="38"/>
    </row>
    <row r="1635" spans="1:1">
      <c r="A1635" s="38"/>
    </row>
    <row r="1636" spans="1:1">
      <c r="A1636" s="38"/>
    </row>
    <row r="1637" spans="1:1">
      <c r="A1637" s="38"/>
    </row>
    <row r="1638" spans="1:1">
      <c r="A1638" s="38"/>
    </row>
    <row r="1639" spans="1:1">
      <c r="A1639" s="38"/>
    </row>
    <row r="1640" spans="1:1">
      <c r="A1640" s="38"/>
    </row>
    <row r="1641" spans="1:1">
      <c r="A1641" s="38"/>
    </row>
    <row r="1642" spans="1:1">
      <c r="A1642" s="38"/>
    </row>
    <row r="1643" spans="1:1">
      <c r="A1643" s="38"/>
    </row>
    <row r="1644" spans="1:1">
      <c r="A1644" s="38"/>
    </row>
    <row r="1645" spans="1:1">
      <c r="A1645" s="38"/>
    </row>
    <row r="1646" spans="1:1">
      <c r="A1646" s="38"/>
    </row>
    <row r="1647" spans="1:1">
      <c r="A1647" s="38"/>
    </row>
    <row r="1648" spans="1:1">
      <c r="A1648" s="38"/>
    </row>
    <row r="1649" spans="1:1">
      <c r="A1649" s="38"/>
    </row>
    <row r="1650" spans="1:1">
      <c r="A1650" s="38"/>
    </row>
    <row r="1651" spans="1:1">
      <c r="A1651" s="38"/>
    </row>
    <row r="1652" spans="1:1">
      <c r="A1652" s="38"/>
    </row>
    <row r="1653" spans="1:1">
      <c r="A1653" s="38"/>
    </row>
    <row r="1654" spans="1:1">
      <c r="A1654" s="38"/>
    </row>
    <row r="1655" spans="1:1">
      <c r="A1655" s="38"/>
    </row>
    <row r="1656" spans="1:1">
      <c r="A1656" s="38"/>
    </row>
    <row r="1657" spans="1:1">
      <c r="A1657" s="38"/>
    </row>
    <row r="1658" spans="1:1">
      <c r="A1658" s="38"/>
    </row>
    <row r="1659" spans="1:1">
      <c r="A1659" s="38"/>
    </row>
    <row r="1660" spans="1:1">
      <c r="A1660" s="38"/>
    </row>
    <row r="1661" spans="1:1">
      <c r="A1661" s="38"/>
    </row>
    <row r="1662" spans="1:1">
      <c r="A1662" s="38"/>
    </row>
    <row r="1663" spans="1:1">
      <c r="A1663" s="38"/>
    </row>
    <row r="1664" spans="1:1">
      <c r="A1664" s="38"/>
    </row>
    <row r="1665" spans="1:1">
      <c r="A1665" s="38"/>
    </row>
    <row r="1666" spans="1:1">
      <c r="A1666" s="38"/>
    </row>
    <row r="1667" spans="1:1">
      <c r="A1667" s="38"/>
    </row>
    <row r="1668" spans="1:1">
      <c r="A1668" s="38"/>
    </row>
    <row r="1669" spans="1:1">
      <c r="A1669" s="38"/>
    </row>
    <row r="1670" spans="1:1">
      <c r="A1670" s="38"/>
    </row>
    <row r="1671" spans="1:1">
      <c r="A1671" s="38"/>
    </row>
    <row r="1672" spans="1:1">
      <c r="A1672" s="38"/>
    </row>
    <row r="1673" spans="1:1">
      <c r="A1673" s="38"/>
    </row>
    <row r="1674" spans="1:1">
      <c r="A1674" s="38"/>
    </row>
    <row r="1675" spans="1:1">
      <c r="A1675" s="38"/>
    </row>
    <row r="1676" spans="1:1">
      <c r="A1676" s="38"/>
    </row>
    <row r="1677" spans="1:1">
      <c r="A1677" s="38"/>
    </row>
    <row r="1678" spans="1:1">
      <c r="A1678" s="38"/>
    </row>
    <row r="1679" spans="1:1">
      <c r="A1679" s="38"/>
    </row>
    <row r="1680" spans="1:1">
      <c r="A1680" s="38"/>
    </row>
    <row r="1681" spans="1:1">
      <c r="A1681" s="38"/>
    </row>
    <row r="1682" spans="1:1">
      <c r="A1682" s="38"/>
    </row>
    <row r="1683" spans="1:1">
      <c r="A1683" s="38"/>
    </row>
    <row r="1684" spans="1:1">
      <c r="A1684" s="38"/>
    </row>
    <row r="1685" spans="1:1">
      <c r="A1685" s="38"/>
    </row>
    <row r="1686" spans="1:1">
      <c r="A1686" s="38"/>
    </row>
    <row r="1687" spans="1:1">
      <c r="A1687" s="38"/>
    </row>
    <row r="1688" spans="1:1">
      <c r="A1688" s="38"/>
    </row>
    <row r="1689" spans="1:1">
      <c r="A1689" s="38"/>
    </row>
    <row r="1690" spans="1:1">
      <c r="A1690" s="38"/>
    </row>
    <row r="1691" spans="1:1">
      <c r="A1691" s="38"/>
    </row>
    <row r="1692" spans="1:1">
      <c r="A1692" s="38"/>
    </row>
    <row r="1693" spans="1:1">
      <c r="A1693" s="38"/>
    </row>
    <row r="1694" spans="1:1">
      <c r="A1694" s="38"/>
    </row>
    <row r="1695" spans="1:1">
      <c r="A1695" s="38"/>
    </row>
    <row r="1696" spans="1:1">
      <c r="A1696" s="38"/>
    </row>
    <row r="1697" spans="1:1">
      <c r="A1697" s="38"/>
    </row>
    <row r="1698" spans="1:1">
      <c r="A1698" s="38"/>
    </row>
    <row r="1699" spans="1:1">
      <c r="A1699" s="38"/>
    </row>
    <row r="1700" spans="1:1">
      <c r="A1700" s="38"/>
    </row>
    <row r="1701" spans="1:1">
      <c r="A1701" s="38"/>
    </row>
    <row r="1702" spans="1:1">
      <c r="A1702" s="38"/>
    </row>
    <row r="1703" spans="1:1">
      <c r="A1703" s="38"/>
    </row>
    <row r="1704" spans="1:1">
      <c r="A1704" s="38"/>
    </row>
    <row r="1705" spans="1:1">
      <c r="A1705" s="38"/>
    </row>
    <row r="1706" spans="1:1">
      <c r="A1706" s="38"/>
    </row>
    <row r="1707" spans="1:1">
      <c r="A1707" s="38"/>
    </row>
    <row r="1708" spans="1:1">
      <c r="A1708" s="38"/>
    </row>
    <row r="1709" spans="1:1">
      <c r="A1709" s="38"/>
    </row>
    <row r="1710" spans="1:1">
      <c r="A1710" s="38"/>
    </row>
    <row r="1711" spans="1:1">
      <c r="A1711" s="38"/>
    </row>
    <row r="1712" spans="1:1">
      <c r="A1712" s="38"/>
    </row>
    <row r="1713" spans="1:1">
      <c r="A1713" s="38"/>
    </row>
    <row r="1714" spans="1:1">
      <c r="A1714" s="38"/>
    </row>
    <row r="1715" spans="1:1">
      <c r="A1715" s="38"/>
    </row>
    <row r="1716" spans="1:1">
      <c r="A1716" s="38"/>
    </row>
    <row r="1717" spans="1:1">
      <c r="A1717" s="38"/>
    </row>
    <row r="1718" spans="1:1">
      <c r="A1718" s="38"/>
    </row>
    <row r="1719" spans="1:1">
      <c r="A1719" s="38"/>
    </row>
    <row r="1720" spans="1:1">
      <c r="A1720" s="38"/>
    </row>
    <row r="1721" spans="1:1">
      <c r="A1721" s="38"/>
    </row>
    <row r="1722" spans="1:1">
      <c r="A1722" s="38"/>
    </row>
    <row r="1723" spans="1:1">
      <c r="A1723" s="38"/>
    </row>
    <row r="1724" spans="1:1">
      <c r="A1724" s="38"/>
    </row>
    <row r="1725" spans="1:1">
      <c r="A1725" s="38"/>
    </row>
    <row r="1726" spans="1:1">
      <c r="A1726" s="38"/>
    </row>
    <row r="1727" spans="1:1">
      <c r="A1727" s="38"/>
    </row>
    <row r="1728" spans="1:1">
      <c r="A1728" s="38"/>
    </row>
    <row r="1729" spans="1:1">
      <c r="A1729" s="38"/>
    </row>
    <row r="1730" spans="1:1">
      <c r="A1730" s="38"/>
    </row>
    <row r="1731" spans="1:1">
      <c r="A1731" s="38"/>
    </row>
    <row r="1732" spans="1:1">
      <c r="A1732" s="38"/>
    </row>
    <row r="1733" spans="1:1">
      <c r="A1733" s="38"/>
    </row>
    <row r="1734" spans="1:1">
      <c r="A1734" s="38"/>
    </row>
    <row r="1735" spans="1:1">
      <c r="A1735" s="38"/>
    </row>
    <row r="1736" spans="1:1">
      <c r="A1736" s="38"/>
    </row>
    <row r="1737" spans="1:1">
      <c r="A1737" s="38"/>
    </row>
    <row r="1738" spans="1:1">
      <c r="A1738" s="38"/>
    </row>
    <row r="1739" spans="1:1">
      <c r="A1739" s="38"/>
    </row>
    <row r="1740" spans="1:1">
      <c r="A1740" s="38"/>
    </row>
    <row r="1741" spans="1:1">
      <c r="A1741" s="38"/>
    </row>
    <row r="1742" spans="1:1">
      <c r="A1742" s="38"/>
    </row>
    <row r="1743" spans="1:1">
      <c r="A1743" s="38"/>
    </row>
    <row r="1744" spans="1:1">
      <c r="A1744" s="38"/>
    </row>
    <row r="1745" spans="1:1">
      <c r="A1745" s="38"/>
    </row>
    <row r="1746" spans="1:1">
      <c r="A1746" s="38"/>
    </row>
    <row r="1747" spans="1:1">
      <c r="A1747" s="38"/>
    </row>
    <row r="1748" spans="1:1">
      <c r="A1748" s="38"/>
    </row>
    <row r="1749" spans="1:1">
      <c r="A1749" s="38"/>
    </row>
    <row r="1750" spans="1:1">
      <c r="A1750" s="38"/>
    </row>
    <row r="1751" spans="1:1">
      <c r="A1751" s="38"/>
    </row>
    <row r="1752" spans="1:1">
      <c r="A1752" s="38"/>
    </row>
    <row r="1753" spans="1:1">
      <c r="A1753" s="38"/>
    </row>
    <row r="1754" spans="1:1">
      <c r="A1754" s="38"/>
    </row>
    <row r="1755" spans="1:1">
      <c r="A1755" s="38"/>
    </row>
    <row r="1756" spans="1:1">
      <c r="A1756" s="38"/>
    </row>
    <row r="1757" spans="1:1">
      <c r="A1757" s="38"/>
    </row>
    <row r="1758" spans="1:1">
      <c r="A1758" s="38"/>
    </row>
    <row r="1759" spans="1:1">
      <c r="A1759" s="38"/>
    </row>
    <row r="1760" spans="1:1">
      <c r="A1760" s="38"/>
    </row>
    <row r="1761" spans="1:1">
      <c r="A1761" s="38"/>
    </row>
    <row r="1762" spans="1:1">
      <c r="A1762" s="38"/>
    </row>
    <row r="1763" spans="1:1">
      <c r="A1763" s="38"/>
    </row>
    <row r="1764" spans="1:1">
      <c r="A1764" s="38"/>
    </row>
    <row r="1765" spans="1:1">
      <c r="A1765" s="38"/>
    </row>
    <row r="1766" spans="1:1">
      <c r="A1766" s="38"/>
    </row>
    <row r="1767" spans="1:1">
      <c r="A1767" s="38"/>
    </row>
    <row r="1768" spans="1:1">
      <c r="A1768" s="38"/>
    </row>
    <row r="1769" spans="1:1">
      <c r="A1769" s="38"/>
    </row>
    <row r="1770" spans="1:1">
      <c r="A1770" s="38"/>
    </row>
    <row r="1771" spans="1:1">
      <c r="A1771" s="38"/>
    </row>
    <row r="1772" spans="1:1">
      <c r="A1772" s="38"/>
    </row>
    <row r="1773" spans="1:1">
      <c r="A1773" s="38"/>
    </row>
    <row r="1774" spans="1:1">
      <c r="A1774" s="38"/>
    </row>
    <row r="1775" spans="1:1">
      <c r="A1775" s="38"/>
    </row>
    <row r="1776" spans="1:1">
      <c r="A1776" s="38"/>
    </row>
    <row r="1777" spans="1:1">
      <c r="A1777" s="38"/>
    </row>
    <row r="1778" spans="1:1">
      <c r="A1778" s="38"/>
    </row>
    <row r="1779" spans="1:1">
      <c r="A1779" s="38"/>
    </row>
    <row r="1780" spans="1:1">
      <c r="A1780" s="38"/>
    </row>
    <row r="1781" spans="1:1">
      <c r="A1781" s="38"/>
    </row>
    <row r="1782" spans="1:1">
      <c r="A1782" s="38"/>
    </row>
    <row r="1783" spans="1:1">
      <c r="A1783" s="38"/>
    </row>
    <row r="1784" spans="1:1">
      <c r="A1784" s="38"/>
    </row>
    <row r="1785" spans="1:1">
      <c r="A1785" s="38"/>
    </row>
    <row r="1786" spans="1:1">
      <c r="A1786" s="38"/>
    </row>
    <row r="1787" spans="1:1">
      <c r="A1787" s="38"/>
    </row>
    <row r="1788" spans="1:1">
      <c r="A1788" s="38"/>
    </row>
    <row r="1789" spans="1:1">
      <c r="A1789" s="38"/>
    </row>
    <row r="1790" spans="1:1">
      <c r="A1790" s="38"/>
    </row>
    <row r="1791" spans="1:1">
      <c r="A1791" s="38"/>
    </row>
    <row r="1792" spans="1:1">
      <c r="A1792" s="38"/>
    </row>
    <row r="1793" spans="1:1">
      <c r="A1793" s="38"/>
    </row>
    <row r="1794" spans="1:1">
      <c r="A1794" s="38"/>
    </row>
    <row r="1795" spans="1:1">
      <c r="A1795" s="38"/>
    </row>
    <row r="1796" spans="1:1">
      <c r="A1796" s="38"/>
    </row>
    <row r="1797" spans="1:1">
      <c r="A1797" s="38"/>
    </row>
    <row r="1798" spans="1:1">
      <c r="A1798" s="38"/>
    </row>
    <row r="1799" spans="1:1">
      <c r="A1799" s="38"/>
    </row>
    <row r="1800" spans="1:1">
      <c r="A1800" s="38"/>
    </row>
    <row r="1801" spans="1:1">
      <c r="A1801" s="38"/>
    </row>
    <row r="1802" spans="1:1">
      <c r="A1802" s="38"/>
    </row>
    <row r="1803" spans="1:1">
      <c r="A1803" s="38"/>
    </row>
    <row r="1804" spans="1:1">
      <c r="A1804" s="38"/>
    </row>
    <row r="1805" spans="1:1">
      <c r="A1805" s="38"/>
    </row>
    <row r="1806" spans="1:1">
      <c r="A1806" s="38"/>
    </row>
    <row r="1807" spans="1:1">
      <c r="A1807" s="38"/>
    </row>
    <row r="1808" spans="1:1">
      <c r="A1808" s="38"/>
    </row>
    <row r="1809" spans="1:1">
      <c r="A1809" s="38"/>
    </row>
    <row r="1810" spans="1:1">
      <c r="A1810" s="38"/>
    </row>
    <row r="1811" spans="1:1">
      <c r="A1811" s="38"/>
    </row>
    <row r="1812" spans="1:1">
      <c r="A1812" s="38"/>
    </row>
    <row r="1813" spans="1:1">
      <c r="A1813" s="38"/>
    </row>
    <row r="1814" spans="1:1">
      <c r="A1814" s="38"/>
    </row>
    <row r="1815" spans="1:1">
      <c r="A1815" s="38"/>
    </row>
    <row r="1816" spans="1:1">
      <c r="A1816" s="38"/>
    </row>
    <row r="1817" spans="1:1">
      <c r="A1817" s="38"/>
    </row>
    <row r="1818" spans="1:1">
      <c r="A1818" s="38"/>
    </row>
    <row r="1819" spans="1:1">
      <c r="A1819" s="38"/>
    </row>
    <row r="1820" spans="1:1">
      <c r="A1820" s="38"/>
    </row>
    <row r="1821" spans="1:1">
      <c r="A1821" s="38"/>
    </row>
    <row r="1822" spans="1:1">
      <c r="A1822" s="38"/>
    </row>
    <row r="1823" spans="1:1">
      <c r="A1823" s="38"/>
    </row>
    <row r="1824" spans="1:1">
      <c r="A1824" s="38"/>
    </row>
    <row r="1825" spans="1:1">
      <c r="A1825" s="38"/>
    </row>
    <row r="1826" spans="1:1">
      <c r="A1826" s="38"/>
    </row>
    <row r="1827" spans="1:1">
      <c r="A1827" s="38"/>
    </row>
    <row r="1828" spans="1:1">
      <c r="A1828" s="38"/>
    </row>
    <row r="1829" spans="1:1">
      <c r="A1829" s="38"/>
    </row>
    <row r="1830" spans="1:1">
      <c r="A1830" s="38"/>
    </row>
    <row r="1831" spans="1:1">
      <c r="A1831" s="38"/>
    </row>
    <row r="1832" spans="1:1">
      <c r="A1832" s="38"/>
    </row>
    <row r="1833" spans="1:1">
      <c r="A1833" s="38"/>
    </row>
    <row r="1834" spans="1:1">
      <c r="A1834" s="38"/>
    </row>
    <row r="1835" spans="1:1">
      <c r="A1835" s="38"/>
    </row>
    <row r="1836" spans="1:1">
      <c r="A1836" s="38"/>
    </row>
    <row r="1837" spans="1:1">
      <c r="A1837" s="38"/>
    </row>
    <row r="1838" spans="1:1">
      <c r="A1838" s="38"/>
    </row>
    <row r="1839" spans="1:1">
      <c r="A1839" s="38"/>
    </row>
    <row r="1840" spans="1:1">
      <c r="A1840" s="38"/>
    </row>
    <row r="1841" spans="1:1">
      <c r="A1841" s="38"/>
    </row>
    <row r="1842" spans="1:1">
      <c r="A1842" s="38"/>
    </row>
    <row r="1843" spans="1:1">
      <c r="A1843" s="38"/>
    </row>
    <row r="1844" spans="1:1">
      <c r="A1844" s="38"/>
    </row>
    <row r="1845" spans="1:1">
      <c r="A1845" s="38"/>
    </row>
    <row r="1846" spans="1:1">
      <c r="A1846" s="38"/>
    </row>
    <row r="1847" spans="1:1">
      <c r="A1847" s="38"/>
    </row>
    <row r="1848" spans="1:1">
      <c r="A1848" s="38"/>
    </row>
    <row r="1849" spans="1:1">
      <c r="A1849" s="38"/>
    </row>
    <row r="1850" spans="1:1">
      <c r="A1850" s="38"/>
    </row>
    <row r="1851" spans="1:1">
      <c r="A1851" s="38"/>
    </row>
    <row r="1852" spans="1:1">
      <c r="A1852" s="38"/>
    </row>
    <row r="1853" spans="1:1">
      <c r="A1853" s="38"/>
    </row>
    <row r="1854" spans="1:1">
      <c r="A1854" s="38"/>
    </row>
    <row r="1855" spans="1:1">
      <c r="A1855" s="38"/>
    </row>
    <row r="1856" spans="1:1">
      <c r="A1856" s="38"/>
    </row>
    <row r="1857" spans="1:1">
      <c r="A1857" s="38"/>
    </row>
    <row r="1858" spans="1:1">
      <c r="A1858" s="38"/>
    </row>
    <row r="1859" spans="1:1">
      <c r="A1859" s="38"/>
    </row>
    <row r="1860" spans="1:1">
      <c r="A1860" s="38"/>
    </row>
    <row r="1861" spans="1:1">
      <c r="A1861" s="38"/>
    </row>
    <row r="1862" spans="1:1">
      <c r="A1862" s="38"/>
    </row>
    <row r="1863" spans="1:1">
      <c r="A1863" s="38"/>
    </row>
    <row r="1864" spans="1:1">
      <c r="A1864" s="38"/>
    </row>
    <row r="1865" spans="1:1">
      <c r="A1865" s="38"/>
    </row>
    <row r="1866" spans="1:1">
      <c r="A1866" s="38"/>
    </row>
    <row r="1867" spans="1:1">
      <c r="A1867" s="38"/>
    </row>
    <row r="1868" spans="1:1">
      <c r="A1868" s="38"/>
    </row>
    <row r="1869" spans="1:1">
      <c r="A1869" s="38"/>
    </row>
    <row r="1870" spans="1:1">
      <c r="A1870" s="38"/>
    </row>
    <row r="1871" spans="1:1">
      <c r="A1871" s="38"/>
    </row>
    <row r="1872" spans="1:1">
      <c r="A1872" s="38"/>
    </row>
    <row r="1873" spans="1:1">
      <c r="A1873" s="38"/>
    </row>
    <row r="1874" spans="1:1">
      <c r="A1874" s="38"/>
    </row>
    <row r="1875" spans="1:1">
      <c r="A1875" s="38"/>
    </row>
    <row r="1876" spans="1:1">
      <c r="A1876" s="38"/>
    </row>
    <row r="1877" spans="1:1">
      <c r="A1877" s="38"/>
    </row>
    <row r="1878" spans="1:1">
      <c r="A1878" s="38"/>
    </row>
    <row r="1879" spans="1:1">
      <c r="A1879" s="38"/>
    </row>
    <row r="1880" spans="1:1">
      <c r="A1880" s="38"/>
    </row>
    <row r="1881" spans="1:1">
      <c r="A1881" s="38"/>
    </row>
    <row r="1882" spans="1:1">
      <c r="A1882" s="38"/>
    </row>
    <row r="1883" spans="1:1">
      <c r="A1883" s="38"/>
    </row>
    <row r="1884" spans="1:1">
      <c r="A1884" s="38"/>
    </row>
    <row r="1885" spans="1:1">
      <c r="A1885" s="38"/>
    </row>
    <row r="1886" spans="1:1">
      <c r="A1886" s="38"/>
    </row>
    <row r="1887" spans="1:1">
      <c r="A1887" s="38"/>
    </row>
    <row r="1888" spans="1:1">
      <c r="A1888" s="38"/>
    </row>
    <row r="1889" spans="1:1">
      <c r="A1889" s="38"/>
    </row>
    <row r="1890" spans="1:1">
      <c r="A1890" s="38"/>
    </row>
    <row r="1891" spans="1:1">
      <c r="A1891" s="38"/>
    </row>
    <row r="1892" spans="1:1">
      <c r="A1892" s="38"/>
    </row>
    <row r="1893" spans="1:1">
      <c r="A1893" s="38"/>
    </row>
    <row r="1894" spans="1:1">
      <c r="A1894" s="38"/>
    </row>
    <row r="1895" spans="1:1">
      <c r="A1895" s="38"/>
    </row>
    <row r="1896" spans="1:1">
      <c r="A1896" s="38"/>
    </row>
    <row r="1897" spans="1:1">
      <c r="A1897" s="38"/>
    </row>
    <row r="1898" spans="1:1">
      <c r="A1898" s="38"/>
    </row>
    <row r="1899" spans="1:1">
      <c r="A1899" s="38"/>
    </row>
    <row r="1900" spans="1:1">
      <c r="A1900" s="38"/>
    </row>
    <row r="1901" spans="1:1">
      <c r="A1901" s="38"/>
    </row>
    <row r="1902" spans="1:1">
      <c r="A1902" s="38"/>
    </row>
    <row r="1903" spans="1:1">
      <c r="A1903" s="38"/>
    </row>
    <row r="1904" spans="1:1">
      <c r="A1904" s="38"/>
    </row>
    <row r="1905" spans="1:1">
      <c r="A1905" s="38"/>
    </row>
    <row r="1906" spans="1:1">
      <c r="A1906" s="38"/>
    </row>
    <row r="1907" spans="1:1">
      <c r="A1907" s="38"/>
    </row>
    <row r="1908" spans="1:1">
      <c r="A1908" s="38"/>
    </row>
    <row r="1909" spans="1:1">
      <c r="A1909" s="38"/>
    </row>
    <row r="1910" spans="1:1">
      <c r="A1910" s="38"/>
    </row>
    <row r="1911" spans="1:1">
      <c r="A1911" s="38"/>
    </row>
    <row r="1912" spans="1:1">
      <c r="A1912" s="38"/>
    </row>
    <row r="1913" spans="1:1">
      <c r="A1913" s="38"/>
    </row>
    <row r="1914" spans="1:1">
      <c r="A1914" s="38"/>
    </row>
    <row r="1915" spans="1:1">
      <c r="A1915" s="38"/>
    </row>
    <row r="1916" spans="1:1">
      <c r="A1916" s="38"/>
    </row>
    <row r="1917" spans="1:1">
      <c r="A1917" s="38"/>
    </row>
    <row r="1918" spans="1:1">
      <c r="A1918" s="38"/>
    </row>
    <row r="1919" spans="1:1">
      <c r="A1919" s="38"/>
    </row>
    <row r="1920" spans="1:1">
      <c r="A1920" s="38"/>
    </row>
    <row r="1921" spans="1:1">
      <c r="A1921" s="38"/>
    </row>
    <row r="1922" spans="1:1">
      <c r="A1922" s="38"/>
    </row>
    <row r="1923" spans="1:1">
      <c r="A1923" s="38"/>
    </row>
    <row r="1924" spans="1:1">
      <c r="A1924" s="38"/>
    </row>
    <row r="1925" spans="1:1">
      <c r="A1925" s="38"/>
    </row>
    <row r="1926" spans="1:1">
      <c r="A1926" s="38"/>
    </row>
    <row r="1927" spans="1:1">
      <c r="A1927" s="38"/>
    </row>
    <row r="1928" spans="1:1">
      <c r="A1928" s="38"/>
    </row>
    <row r="1929" spans="1:1">
      <c r="A1929" s="38"/>
    </row>
    <row r="1930" spans="1:1">
      <c r="A1930" s="38"/>
    </row>
    <row r="1931" spans="1:1">
      <c r="A1931" s="38"/>
    </row>
    <row r="1932" spans="1:1">
      <c r="A1932" s="38"/>
    </row>
    <row r="1933" spans="1:1">
      <c r="A1933" s="38"/>
    </row>
    <row r="1934" spans="1:1">
      <c r="A1934" s="38"/>
    </row>
    <row r="1935" spans="1:1">
      <c r="A1935" s="38"/>
    </row>
    <row r="1936" spans="1:1">
      <c r="A1936" s="38"/>
    </row>
    <row r="1937" spans="1:1">
      <c r="A1937" s="38"/>
    </row>
    <row r="1938" spans="1:1">
      <c r="A1938" s="38"/>
    </row>
    <row r="1939" spans="1:1">
      <c r="A1939" s="38"/>
    </row>
    <row r="1940" spans="1:1">
      <c r="A1940" s="38"/>
    </row>
    <row r="1941" spans="1:1">
      <c r="A1941" s="38"/>
    </row>
    <row r="1942" spans="1:1">
      <c r="A1942" s="38"/>
    </row>
    <row r="1943" spans="1:1">
      <c r="A1943" s="38"/>
    </row>
    <row r="1944" spans="1:1">
      <c r="A1944" s="38"/>
    </row>
    <row r="1945" spans="1:1">
      <c r="A1945" s="38"/>
    </row>
    <row r="1946" spans="1:1">
      <c r="A1946" s="38"/>
    </row>
    <row r="1947" spans="1:1">
      <c r="A1947" s="38"/>
    </row>
    <row r="1948" spans="1:1">
      <c r="A1948" s="38"/>
    </row>
    <row r="1949" spans="1:1">
      <c r="A1949" s="38"/>
    </row>
    <row r="1950" spans="1:1">
      <c r="A1950" s="38"/>
    </row>
    <row r="1951" spans="1:1">
      <c r="A1951" s="38"/>
    </row>
    <row r="1952" spans="1:1">
      <c r="A1952" s="38"/>
    </row>
    <row r="1953" spans="1:1">
      <c r="A1953" s="38"/>
    </row>
    <row r="1954" spans="1:1">
      <c r="A1954" s="38"/>
    </row>
    <row r="1955" spans="1:1">
      <c r="A1955" s="38"/>
    </row>
    <row r="1956" spans="1:1">
      <c r="A1956" s="38"/>
    </row>
    <row r="1957" spans="1:1">
      <c r="A1957" s="38"/>
    </row>
    <row r="1958" spans="1:1">
      <c r="A1958" s="38"/>
    </row>
    <row r="1959" spans="1:1">
      <c r="A1959" s="38"/>
    </row>
    <row r="1960" spans="1:1">
      <c r="A1960" s="38"/>
    </row>
    <row r="1961" spans="1:1">
      <c r="A1961" s="38"/>
    </row>
    <row r="1962" spans="1:1">
      <c r="A1962" s="38"/>
    </row>
    <row r="1963" spans="1:1">
      <c r="A1963" s="38"/>
    </row>
    <row r="1964" spans="1:1">
      <c r="A1964" s="38"/>
    </row>
    <row r="1965" spans="1:1">
      <c r="A1965" s="38"/>
    </row>
    <row r="1966" spans="1:1">
      <c r="A1966" s="38"/>
    </row>
    <row r="1967" spans="1:1">
      <c r="A1967" s="38"/>
    </row>
    <row r="1968" spans="1:1">
      <c r="A1968" s="38"/>
    </row>
    <row r="1969" spans="1:1">
      <c r="A1969" s="38"/>
    </row>
    <row r="1970" spans="1:1">
      <c r="A1970" s="38"/>
    </row>
    <row r="1971" spans="1:1">
      <c r="A1971" s="38"/>
    </row>
    <row r="1972" spans="1:1">
      <c r="A1972" s="38"/>
    </row>
    <row r="1973" spans="1:1">
      <c r="A1973" s="38"/>
    </row>
    <row r="1974" spans="1:1">
      <c r="A1974" s="38"/>
    </row>
    <row r="1975" spans="1:1">
      <c r="A1975" s="38"/>
    </row>
    <row r="1976" spans="1:1">
      <c r="A1976" s="38"/>
    </row>
    <row r="1977" spans="1:1">
      <c r="A1977" s="38"/>
    </row>
    <row r="1978" spans="1:1">
      <c r="A1978" s="38"/>
    </row>
    <row r="1979" spans="1:1">
      <c r="A1979" s="38"/>
    </row>
    <row r="1980" spans="1:1">
      <c r="A1980" s="38"/>
    </row>
    <row r="1981" spans="1:1">
      <c r="A1981" s="38"/>
    </row>
    <row r="1982" spans="1:1">
      <c r="A1982" s="38"/>
    </row>
    <row r="1983" spans="1:1">
      <c r="A1983" s="38"/>
    </row>
    <row r="1984" spans="1:1">
      <c r="A1984" s="38"/>
    </row>
    <row r="1985" spans="1:1">
      <c r="A1985" s="38"/>
    </row>
    <row r="1986" spans="1:1">
      <c r="A1986" s="38"/>
    </row>
    <row r="1987" spans="1:1">
      <c r="A1987" s="38"/>
    </row>
    <row r="1988" spans="1:1">
      <c r="A1988" s="38"/>
    </row>
    <row r="1989" spans="1:1">
      <c r="A1989" s="38"/>
    </row>
    <row r="1990" spans="1:1">
      <c r="A1990" s="38"/>
    </row>
    <row r="1991" spans="1:1">
      <c r="A1991" s="38"/>
    </row>
    <row r="1992" spans="1:1">
      <c r="A1992" s="38"/>
    </row>
    <row r="1993" spans="1:1">
      <c r="A1993" s="38"/>
    </row>
    <row r="1994" spans="1:1">
      <c r="A1994" s="38"/>
    </row>
    <row r="1995" spans="1:1">
      <c r="A1995" s="38"/>
    </row>
    <row r="1996" spans="1:1">
      <c r="A1996" s="38"/>
    </row>
    <row r="1997" spans="1:1">
      <c r="A1997" s="38"/>
    </row>
    <row r="1998" spans="1:1">
      <c r="A1998" s="38"/>
    </row>
    <row r="1999" spans="1:1">
      <c r="A1999" s="38"/>
    </row>
    <row r="2000" spans="1:1">
      <c r="A2000" s="38"/>
    </row>
    <row r="2001" spans="1:1">
      <c r="A2001" s="38"/>
    </row>
    <row r="2002" spans="1:1">
      <c r="A2002" s="38"/>
    </row>
    <row r="2003" spans="1:1">
      <c r="A2003" s="38"/>
    </row>
    <row r="2004" spans="1:1">
      <c r="A2004" s="38"/>
    </row>
    <row r="2005" spans="1:1">
      <c r="A2005" s="38"/>
    </row>
    <row r="2006" spans="1:1">
      <c r="A2006" s="38"/>
    </row>
    <row r="2007" spans="1:1">
      <c r="A2007" s="38"/>
    </row>
    <row r="2008" spans="1:1">
      <c r="A2008" s="38"/>
    </row>
    <row r="2009" spans="1:1">
      <c r="A2009" s="38"/>
    </row>
    <row r="2010" spans="1:1">
      <c r="A2010" s="38"/>
    </row>
    <row r="2011" spans="1:1">
      <c r="A2011" s="38"/>
    </row>
    <row r="2012" spans="1:1">
      <c r="A2012" s="38"/>
    </row>
    <row r="2013" spans="1:1">
      <c r="A2013" s="38"/>
    </row>
    <row r="2014" spans="1:1">
      <c r="A2014" s="38"/>
    </row>
    <row r="2015" spans="1:1">
      <c r="A2015" s="38"/>
    </row>
    <row r="2016" spans="1:1">
      <c r="A2016" s="38"/>
    </row>
    <row r="2017" spans="1:1">
      <c r="A2017" s="38"/>
    </row>
    <row r="2018" spans="1:1">
      <c r="A2018" s="38"/>
    </row>
    <row r="2019" spans="1:1">
      <c r="A2019" s="38"/>
    </row>
    <row r="2020" spans="1:1">
      <c r="A2020" s="38"/>
    </row>
    <row r="2021" spans="1:1">
      <c r="A2021" s="38"/>
    </row>
    <row r="2022" spans="1:1">
      <c r="A2022" s="38"/>
    </row>
    <row r="2023" spans="1:1">
      <c r="A2023" s="38"/>
    </row>
    <row r="2024" spans="1:1">
      <c r="A2024" s="38"/>
    </row>
    <row r="2025" spans="1:1">
      <c r="A2025" s="38"/>
    </row>
    <row r="2026" spans="1:1">
      <c r="A2026" s="38"/>
    </row>
    <row r="2027" spans="1:1">
      <c r="A2027" s="38"/>
    </row>
    <row r="2028" spans="1:1">
      <c r="A2028" s="38"/>
    </row>
    <row r="2029" spans="1:1">
      <c r="A2029" s="38"/>
    </row>
    <row r="2030" spans="1:1">
      <c r="A2030" s="38"/>
    </row>
    <row r="2031" spans="1:1">
      <c r="A2031" s="38"/>
    </row>
    <row r="2032" spans="1:1">
      <c r="A2032" s="38"/>
    </row>
    <row r="2033" spans="1:1">
      <c r="A2033" s="38"/>
    </row>
    <row r="2034" spans="1:1">
      <c r="A2034" s="38"/>
    </row>
    <row r="2035" spans="1:1">
      <c r="A2035" s="38"/>
    </row>
    <row r="2036" spans="1:1">
      <c r="A2036" s="38"/>
    </row>
    <row r="2037" spans="1:1">
      <c r="A2037" s="38"/>
    </row>
    <row r="2038" spans="1:1">
      <c r="A2038" s="38"/>
    </row>
    <row r="2039" spans="1:1">
      <c r="A2039" s="38"/>
    </row>
    <row r="2040" spans="1:1">
      <c r="A2040" s="38"/>
    </row>
    <row r="2041" spans="1:1">
      <c r="A2041" s="38"/>
    </row>
    <row r="2042" spans="1:1">
      <c r="A2042" s="38"/>
    </row>
    <row r="2043" spans="1:1">
      <c r="A2043" s="38"/>
    </row>
    <row r="2044" spans="1:1">
      <c r="A2044" s="38"/>
    </row>
    <row r="2045" spans="1:1">
      <c r="A2045" s="38"/>
    </row>
    <row r="2046" spans="1:1">
      <c r="A2046" s="38"/>
    </row>
    <row r="2047" spans="1:1">
      <c r="A2047" s="38"/>
    </row>
    <row r="2048" spans="1:1">
      <c r="A2048" s="38"/>
    </row>
    <row r="2049" spans="1:1">
      <c r="A2049" s="38"/>
    </row>
    <row r="2050" spans="1:1">
      <c r="A2050" s="38"/>
    </row>
    <row r="2051" spans="1:1">
      <c r="A2051" s="38"/>
    </row>
    <row r="2052" spans="1:1">
      <c r="A2052" s="38"/>
    </row>
    <row r="2053" spans="1:1">
      <c r="A2053" s="38"/>
    </row>
    <row r="2054" spans="1:1">
      <c r="A2054" s="38"/>
    </row>
    <row r="2055" spans="1:1">
      <c r="A2055" s="38"/>
    </row>
    <row r="2056" spans="1:1">
      <c r="A2056" s="38"/>
    </row>
    <row r="2057" spans="1:1">
      <c r="A2057" s="38"/>
    </row>
    <row r="2058" spans="1:1">
      <c r="A2058" s="38"/>
    </row>
    <row r="2059" spans="1:1">
      <c r="A2059" s="38"/>
    </row>
    <row r="2060" spans="1:1">
      <c r="A2060" s="38"/>
    </row>
    <row r="2061" spans="1:1">
      <c r="A2061" s="38"/>
    </row>
    <row r="2062" spans="1:1">
      <c r="A2062" s="38"/>
    </row>
    <row r="2063" spans="1:1">
      <c r="A2063" s="38"/>
    </row>
    <row r="2064" spans="1:1">
      <c r="A2064" s="38"/>
    </row>
    <row r="2065" spans="1:1">
      <c r="A2065" s="38"/>
    </row>
    <row r="2066" spans="1:1">
      <c r="A2066" s="38"/>
    </row>
    <row r="2067" spans="1:1">
      <c r="A2067" s="38"/>
    </row>
    <row r="2068" spans="1:1">
      <c r="A2068" s="38"/>
    </row>
    <row r="2069" spans="1:1">
      <c r="A2069" s="38"/>
    </row>
    <row r="2070" spans="1:1">
      <c r="A2070" s="38"/>
    </row>
    <row r="2071" spans="1:1">
      <c r="A2071" s="38"/>
    </row>
    <row r="2072" spans="1:1">
      <c r="A2072" s="38"/>
    </row>
    <row r="2073" spans="1:1">
      <c r="A2073" s="38"/>
    </row>
    <row r="2074" spans="1:1">
      <c r="A2074" s="38"/>
    </row>
    <row r="2075" spans="1:1">
      <c r="A2075" s="38"/>
    </row>
    <row r="2076" spans="1:1">
      <c r="A2076" s="38"/>
    </row>
    <row r="2077" spans="1:1">
      <c r="A2077" s="38"/>
    </row>
    <row r="2078" spans="1:1">
      <c r="A2078" s="38"/>
    </row>
    <row r="2079" spans="1:1">
      <c r="A2079" s="38"/>
    </row>
    <row r="2080" spans="1:1">
      <c r="A2080" s="38"/>
    </row>
    <row r="2081" spans="1:1">
      <c r="A2081" s="38"/>
    </row>
    <row r="2082" spans="1:1">
      <c r="A2082" s="38"/>
    </row>
    <row r="2083" spans="1:1">
      <c r="A2083" s="38"/>
    </row>
    <row r="2084" spans="1:1">
      <c r="A2084" s="38"/>
    </row>
    <row r="2085" spans="1:1">
      <c r="A2085" s="38"/>
    </row>
    <row r="2086" spans="1:1">
      <c r="A2086" s="38"/>
    </row>
    <row r="2087" spans="1:1">
      <c r="A2087" s="38"/>
    </row>
    <row r="2088" spans="1:1">
      <c r="A2088" s="38"/>
    </row>
    <row r="2089" spans="1:1">
      <c r="A2089" s="38"/>
    </row>
    <row r="2090" spans="1:1">
      <c r="A2090" s="38"/>
    </row>
    <row r="2091" spans="1:1">
      <c r="A2091" s="38"/>
    </row>
    <row r="2092" spans="1:1">
      <c r="A2092" s="38"/>
    </row>
    <row r="2093" spans="1:1">
      <c r="A2093" s="38"/>
    </row>
    <row r="2094" spans="1:1">
      <c r="A2094" s="38"/>
    </row>
    <row r="2095" spans="1:1">
      <c r="A2095" s="38"/>
    </row>
    <row r="2096" spans="1:1">
      <c r="A2096" s="38"/>
    </row>
    <row r="2097" spans="1:1">
      <c r="A2097" s="38"/>
    </row>
    <row r="2098" spans="1:1">
      <c r="A2098" s="38"/>
    </row>
    <row r="2099" spans="1:1">
      <c r="A2099" s="38"/>
    </row>
    <row r="2100" spans="1:1">
      <c r="A2100" s="38"/>
    </row>
    <row r="2101" spans="1:1">
      <c r="A2101" s="38"/>
    </row>
    <row r="2102" spans="1:1">
      <c r="A2102" s="38"/>
    </row>
    <row r="2103" spans="1:1">
      <c r="A2103" s="38"/>
    </row>
    <row r="2104" spans="1:1">
      <c r="A2104" s="38"/>
    </row>
    <row r="2105" spans="1:1">
      <c r="A2105" s="38"/>
    </row>
    <row r="2106" spans="1:1">
      <c r="A2106" s="38"/>
    </row>
    <row r="2107" spans="1:1">
      <c r="A2107" s="38"/>
    </row>
    <row r="2108" spans="1:1">
      <c r="A2108" s="38"/>
    </row>
    <row r="2109" spans="1:1">
      <c r="A2109" s="38"/>
    </row>
    <row r="2110" spans="1:1">
      <c r="A2110" s="38"/>
    </row>
    <row r="2111" spans="1:1">
      <c r="A2111" s="38"/>
    </row>
    <row r="2112" spans="1:1">
      <c r="A2112" s="38"/>
    </row>
    <row r="2113" spans="1:1">
      <c r="A2113" s="38"/>
    </row>
    <row r="2114" spans="1:1">
      <c r="A2114" s="38"/>
    </row>
    <row r="2115" spans="1:1">
      <c r="A2115" s="38"/>
    </row>
    <row r="2116" spans="1:1">
      <c r="A2116" s="38"/>
    </row>
    <row r="2117" spans="1:1">
      <c r="A2117" s="38"/>
    </row>
    <row r="2118" spans="1:1">
      <c r="A2118" s="38"/>
    </row>
    <row r="2119" spans="1:1">
      <c r="A2119" s="38"/>
    </row>
    <row r="2120" spans="1:1">
      <c r="A2120" s="38"/>
    </row>
    <row r="2121" spans="1:1">
      <c r="A2121" s="38"/>
    </row>
    <row r="2122" spans="1:1">
      <c r="A2122" s="38"/>
    </row>
    <row r="2123" spans="1:1">
      <c r="A2123" s="38"/>
    </row>
    <row r="2124" spans="1:1">
      <c r="A2124" s="38"/>
    </row>
    <row r="2125" spans="1:1">
      <c r="A2125" s="38"/>
    </row>
    <row r="2126" spans="1:1">
      <c r="A2126" s="38"/>
    </row>
    <row r="2127" spans="1:1">
      <c r="A2127" s="38"/>
    </row>
    <row r="2128" spans="1:1">
      <c r="A2128" s="38"/>
    </row>
    <row r="2129" spans="1:1">
      <c r="A2129" s="38"/>
    </row>
    <row r="2130" spans="1:1">
      <c r="A2130" s="38"/>
    </row>
    <row r="2131" spans="1:1">
      <c r="A2131" s="38"/>
    </row>
    <row r="2132" spans="1:1">
      <c r="A2132" s="38"/>
    </row>
    <row r="2133" spans="1:1">
      <c r="A2133" s="38"/>
    </row>
    <row r="2134" spans="1:1">
      <c r="A2134" s="38"/>
    </row>
    <row r="2135" spans="1:1">
      <c r="A2135" s="38"/>
    </row>
    <row r="2136" spans="1:1">
      <c r="A2136" s="38"/>
    </row>
    <row r="2137" spans="1:1">
      <c r="A2137" s="38"/>
    </row>
    <row r="2138" spans="1:1">
      <c r="A2138" s="38"/>
    </row>
    <row r="2139" spans="1:1">
      <c r="A2139" s="38"/>
    </row>
    <row r="2140" spans="1:1">
      <c r="A2140" s="38"/>
    </row>
    <row r="2141" spans="1:1">
      <c r="A2141" s="38"/>
    </row>
    <row r="2142" spans="1:1">
      <c r="A2142" s="38"/>
    </row>
    <row r="2143" spans="1:1">
      <c r="A2143" s="38"/>
    </row>
    <row r="2144" spans="1:1">
      <c r="A2144" s="38"/>
    </row>
    <row r="2145" spans="1:1">
      <c r="A2145" s="38"/>
    </row>
    <row r="2146" spans="1:1">
      <c r="A2146" s="38"/>
    </row>
    <row r="2147" spans="1:1">
      <c r="A2147" s="38"/>
    </row>
    <row r="2148" spans="1:1">
      <c r="A2148" s="38"/>
    </row>
    <row r="2149" spans="1:1">
      <c r="A2149" s="38"/>
    </row>
    <row r="2150" spans="1:1">
      <c r="A2150" s="38"/>
    </row>
    <row r="2151" spans="1:1">
      <c r="A2151" s="38"/>
    </row>
    <row r="2152" spans="1:1">
      <c r="A2152" s="38"/>
    </row>
    <row r="2153" spans="1:1">
      <c r="A2153" s="38"/>
    </row>
    <row r="2154" spans="1:1">
      <c r="A2154" s="38"/>
    </row>
    <row r="2155" spans="1:1">
      <c r="A2155" s="38"/>
    </row>
    <row r="2156" spans="1:1">
      <c r="A2156" s="38"/>
    </row>
    <row r="2157" spans="1:1">
      <c r="A2157" s="38"/>
    </row>
    <row r="2158" spans="1:1">
      <c r="A2158" s="38"/>
    </row>
    <row r="2159" spans="1:1">
      <c r="A2159" s="38"/>
    </row>
    <row r="2160" spans="1:1">
      <c r="A2160" s="38"/>
    </row>
    <row r="2161" spans="1:1">
      <c r="A2161" s="38"/>
    </row>
    <row r="2162" spans="1:1">
      <c r="A2162" s="38"/>
    </row>
    <row r="2163" spans="1:1">
      <c r="A2163" s="38"/>
    </row>
    <row r="2164" spans="1:1">
      <c r="A2164" s="38"/>
    </row>
    <row r="2165" spans="1:1">
      <c r="A2165" s="38"/>
    </row>
    <row r="2166" spans="1:1">
      <c r="A2166" s="38"/>
    </row>
    <row r="2167" spans="1:1">
      <c r="A2167" s="38"/>
    </row>
    <row r="2168" spans="1:1">
      <c r="A2168" s="38"/>
    </row>
    <row r="2169" spans="1:1">
      <c r="A2169" s="38"/>
    </row>
    <row r="2170" spans="1:1">
      <c r="A2170" s="38"/>
    </row>
    <row r="2171" spans="1:1">
      <c r="A2171" s="38"/>
    </row>
    <row r="2172" spans="1:1">
      <c r="A2172" s="38"/>
    </row>
    <row r="2173" spans="1:1">
      <c r="A2173" s="38"/>
    </row>
    <row r="2174" spans="1:1">
      <c r="A2174" s="38"/>
    </row>
    <row r="2175" spans="1:1">
      <c r="A2175" s="38"/>
    </row>
    <row r="2176" spans="1:1">
      <c r="A2176" s="38"/>
    </row>
    <row r="2177" spans="1:1">
      <c r="A2177" s="38"/>
    </row>
    <row r="2178" spans="1:1">
      <c r="A2178" s="38"/>
    </row>
    <row r="2179" spans="1:1">
      <c r="A2179" s="38"/>
    </row>
    <row r="2180" spans="1:1">
      <c r="A2180" s="38"/>
    </row>
    <row r="2181" spans="1:1">
      <c r="A2181" s="38"/>
    </row>
    <row r="2182" spans="1:1">
      <c r="A2182" s="38"/>
    </row>
    <row r="2183" spans="1:1">
      <c r="A2183" s="38"/>
    </row>
    <row r="2184" spans="1:1">
      <c r="A2184" s="38"/>
    </row>
    <row r="2185" spans="1:1">
      <c r="A2185" s="38"/>
    </row>
    <row r="2186" spans="1:1">
      <c r="A2186" s="38"/>
    </row>
    <row r="2187" spans="1:1">
      <c r="A2187" s="38"/>
    </row>
    <row r="2188" spans="1:1">
      <c r="A2188" s="38"/>
    </row>
    <row r="2189" spans="1:1">
      <c r="A2189" s="38"/>
    </row>
    <row r="2190" spans="1:1">
      <c r="A2190" s="38"/>
    </row>
    <row r="2191" spans="1:1">
      <c r="A2191" s="38"/>
    </row>
    <row r="2192" spans="1:1">
      <c r="A2192" s="38"/>
    </row>
    <row r="2193" spans="1:1">
      <c r="A2193" s="38"/>
    </row>
    <row r="2194" spans="1:1">
      <c r="A2194" s="38"/>
    </row>
    <row r="2195" spans="1:1">
      <c r="A2195" s="38"/>
    </row>
    <row r="2196" spans="1:1">
      <c r="A2196" s="38"/>
    </row>
    <row r="2197" spans="1:1">
      <c r="A2197" s="38"/>
    </row>
    <row r="2198" spans="1:1">
      <c r="A2198" s="38"/>
    </row>
    <row r="2199" spans="1:1">
      <c r="A2199" s="38"/>
    </row>
    <row r="2200" spans="1:1">
      <c r="A2200" s="38"/>
    </row>
    <row r="2201" spans="1:1">
      <c r="A2201" s="38"/>
    </row>
    <row r="2202" spans="1:1">
      <c r="A2202" s="38"/>
    </row>
    <row r="2203" spans="1:1">
      <c r="A2203" s="38"/>
    </row>
    <row r="2204" spans="1:1">
      <c r="A2204" s="38"/>
    </row>
    <row r="2205" spans="1:1">
      <c r="A2205" s="38"/>
    </row>
    <row r="2206" spans="1:1">
      <c r="A2206" s="38"/>
    </row>
    <row r="2207" spans="1:1">
      <c r="A2207" s="38"/>
    </row>
    <row r="2208" spans="1:1">
      <c r="A2208" s="38"/>
    </row>
    <row r="2209" spans="1:1">
      <c r="A2209" s="38"/>
    </row>
    <row r="2210" spans="1:1">
      <c r="A2210" s="38"/>
    </row>
    <row r="2211" spans="1:1">
      <c r="A2211" s="38"/>
    </row>
    <row r="2212" spans="1:1">
      <c r="A2212" s="38"/>
    </row>
    <row r="2213" spans="1:1">
      <c r="A2213" s="38"/>
    </row>
    <row r="2214" spans="1:1">
      <c r="A2214" s="38"/>
    </row>
    <row r="2215" spans="1:1">
      <c r="A2215" s="38"/>
    </row>
    <row r="2216" spans="1:1">
      <c r="A2216" s="38"/>
    </row>
    <row r="2217" spans="1:1">
      <c r="A2217" s="38"/>
    </row>
    <row r="2218" spans="1:1">
      <c r="A2218" s="38"/>
    </row>
    <row r="2219" spans="1:1">
      <c r="A2219" s="38"/>
    </row>
    <row r="2220" spans="1:1">
      <c r="A2220" s="38"/>
    </row>
    <row r="2221" spans="1:1">
      <c r="A2221" s="38"/>
    </row>
    <row r="2222" spans="1:1">
      <c r="A2222" s="38"/>
    </row>
    <row r="2223" spans="1:1">
      <c r="A2223" s="38"/>
    </row>
    <row r="2224" spans="1:1">
      <c r="A2224" s="38"/>
    </row>
    <row r="2225" spans="1:1">
      <c r="A2225" s="38"/>
    </row>
    <row r="2226" spans="1:1">
      <c r="A2226" s="38"/>
    </row>
    <row r="2227" spans="1:1">
      <c r="A2227" s="38"/>
    </row>
    <row r="2228" spans="1:1">
      <c r="A2228" s="38"/>
    </row>
    <row r="2229" spans="1:1">
      <c r="A2229" s="38"/>
    </row>
    <row r="2230" spans="1:1">
      <c r="A2230" s="38"/>
    </row>
    <row r="2231" spans="1:1">
      <c r="A2231" s="38"/>
    </row>
    <row r="2232" spans="1:1">
      <c r="A2232" s="38"/>
    </row>
    <row r="2233" spans="1:1">
      <c r="A2233" s="38"/>
    </row>
    <row r="2234" spans="1:1">
      <c r="A2234" s="38"/>
    </row>
    <row r="2235" spans="1:1">
      <c r="A2235" s="38"/>
    </row>
    <row r="2236" spans="1:1">
      <c r="A2236" s="38"/>
    </row>
    <row r="2237" spans="1:1">
      <c r="A2237" s="38"/>
    </row>
    <row r="2238" spans="1:1">
      <c r="A2238" s="38"/>
    </row>
    <row r="2239" spans="1:1">
      <c r="A2239" s="38"/>
    </row>
    <row r="2240" spans="1:1">
      <c r="A2240" s="38"/>
    </row>
    <row r="2241" spans="1:1">
      <c r="A2241" s="38"/>
    </row>
    <row r="2242" spans="1:1">
      <c r="A2242" s="38"/>
    </row>
    <row r="2243" spans="1:1">
      <c r="A2243" s="38"/>
    </row>
    <row r="2244" spans="1:1">
      <c r="A2244" s="38"/>
    </row>
    <row r="2245" spans="1:1">
      <c r="A2245" s="38"/>
    </row>
    <row r="2246" spans="1:1">
      <c r="A2246" s="38"/>
    </row>
    <row r="2247" spans="1:1">
      <c r="A2247" s="38"/>
    </row>
    <row r="2248" spans="1:1">
      <c r="A2248" s="38"/>
    </row>
    <row r="2249" spans="1:1">
      <c r="A2249" s="38"/>
    </row>
  </sheetData>
  <sheetProtection password="C338" sheet="1" objects="1" scenarios="1"/>
  <customSheetViews>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1"/>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2"/>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3"/>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6"/>
      <headerFooter alignWithMargins="0">
        <oddHeader>&amp;R&amp;14Page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7"/>
      <headerFooter alignWithMargins="0">
        <oddHeader>&amp;R&amp;12Page &amp;P of &amp;N</oddHeader>
      </headerFooter>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42" orientation="portrait" r:id="rId9"/>
      <headerFooter alignWithMargins="0"/>
    </customSheetView>
  </customSheetViews>
  <mergeCells count="3">
    <mergeCell ref="A1:I1"/>
    <mergeCell ref="A3:I3"/>
    <mergeCell ref="A2:I2"/>
  </mergeCells>
  <phoneticPr fontId="0" type="noConversion"/>
  <printOptions horizontalCentered="1"/>
  <pageMargins left="0.75" right="0.75" top="1" bottom="1" header="0.5" footer="0.5"/>
  <pageSetup scale="42" orientation="portrait"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244"/>
  <sheetViews>
    <sheetView showWhiteSpace="0" zoomScale="75" zoomScaleNormal="75" zoomScalePageLayoutView="75" workbookViewId="0">
      <selection sqref="A1:U1"/>
    </sheetView>
  </sheetViews>
  <sheetFormatPr defaultColWidth="9.109375" defaultRowHeight="15"/>
  <cols>
    <col min="1" max="1" width="14.6640625" style="695" customWidth="1"/>
    <col min="2" max="2" width="4.33203125" style="695" customWidth="1"/>
    <col min="3" max="3" width="40.5546875" style="695" customWidth="1"/>
    <col min="4" max="4" width="41.44140625" style="695" customWidth="1"/>
    <col min="5" max="5" width="17.88671875" style="697" customWidth="1"/>
    <col min="6" max="6" width="26.109375" style="695" customWidth="1"/>
    <col min="7" max="7" width="20.109375" style="695" customWidth="1"/>
    <col min="8" max="8" width="19.88671875" style="695" customWidth="1"/>
    <col min="9" max="15" width="18.33203125" style="695" bestFit="1" customWidth="1"/>
    <col min="16" max="16" width="22" style="695" bestFit="1" customWidth="1"/>
    <col min="17" max="17" width="18.33203125" style="695" bestFit="1" customWidth="1"/>
    <col min="18" max="18" width="21.44140625" style="695" customWidth="1"/>
    <col min="19" max="19" width="19.5546875" style="695" customWidth="1"/>
    <col min="20" max="20" width="20.109375" style="695" customWidth="1"/>
    <col min="21" max="21" width="18.44140625" style="695" customWidth="1"/>
    <col min="22" max="22" width="28.109375" style="695" bestFit="1" customWidth="1"/>
    <col min="23" max="23" width="16.109375" style="695" bestFit="1" customWidth="1"/>
    <col min="24" max="16384" width="9.109375" style="695"/>
  </cols>
  <sheetData>
    <row r="1" spans="1:23" ht="21" customHeight="1">
      <c r="A1" s="2589" t="s">
        <v>494</v>
      </c>
      <c r="B1" s="2589"/>
      <c r="C1" s="2589"/>
      <c r="D1" s="2589"/>
      <c r="E1" s="2589"/>
      <c r="F1" s="2589"/>
      <c r="G1" s="2589"/>
      <c r="H1" s="2589"/>
      <c r="I1" s="2589"/>
      <c r="J1" s="2589"/>
      <c r="K1" s="2589"/>
      <c r="L1" s="2589"/>
      <c r="M1" s="2589"/>
      <c r="N1" s="2589"/>
      <c r="O1" s="2589"/>
      <c r="P1" s="2589"/>
      <c r="Q1" s="2589"/>
      <c r="R1" s="2589"/>
      <c r="S1" s="2589"/>
      <c r="T1" s="2589"/>
      <c r="U1" s="2589"/>
    </row>
    <row r="2" spans="1:23" ht="21" customHeight="1">
      <c r="A2" s="2589" t="s">
        <v>495</v>
      </c>
      <c r="B2" s="2589"/>
      <c r="C2" s="2589"/>
      <c r="D2" s="2589"/>
      <c r="E2" s="2589"/>
      <c r="F2" s="2589"/>
      <c r="G2" s="2589"/>
      <c r="H2" s="2589"/>
      <c r="I2" s="2589"/>
      <c r="J2" s="2589"/>
      <c r="K2" s="2589"/>
      <c r="L2" s="2589"/>
      <c r="M2" s="2589"/>
      <c r="N2" s="2589"/>
      <c r="O2" s="2589"/>
      <c r="P2" s="2589"/>
      <c r="Q2" s="2589"/>
      <c r="R2" s="2589"/>
      <c r="S2" s="2589"/>
      <c r="T2" s="2589"/>
      <c r="U2" s="2589"/>
    </row>
    <row r="3" spans="1:23" ht="21" customHeight="1">
      <c r="A3" s="2589" t="s">
        <v>927</v>
      </c>
      <c r="B3" s="2589"/>
      <c r="C3" s="2589"/>
      <c r="D3" s="2589"/>
      <c r="E3" s="2589"/>
      <c r="F3" s="2589"/>
      <c r="G3" s="2589"/>
      <c r="H3" s="2589"/>
      <c r="I3" s="2589"/>
      <c r="J3" s="2589"/>
      <c r="K3" s="2589"/>
      <c r="L3" s="2589"/>
      <c r="M3" s="2589"/>
      <c r="N3" s="2589"/>
      <c r="O3" s="2589"/>
      <c r="P3" s="2589"/>
      <c r="Q3" s="2589"/>
      <c r="R3" s="2589"/>
      <c r="S3" s="2589"/>
      <c r="T3" s="2589"/>
      <c r="U3" s="2589"/>
    </row>
    <row r="4" spans="1:23" ht="21" customHeight="1">
      <c r="B4" s="1136"/>
      <c r="C4" s="1480"/>
      <c r="D4" s="1143"/>
      <c r="E4" s="1143"/>
      <c r="F4" s="762"/>
      <c r="G4" s="1467"/>
      <c r="H4" s="762"/>
      <c r="I4" s="762"/>
      <c r="J4" s="762"/>
      <c r="K4" s="762"/>
      <c r="L4" s="762"/>
      <c r="M4" s="762"/>
      <c r="N4" s="1468"/>
      <c r="O4" s="1468"/>
      <c r="P4" s="1468"/>
      <c r="Q4" s="1468"/>
      <c r="U4" s="762"/>
    </row>
    <row r="5" spans="1:23" ht="21" customHeight="1" thickBot="1">
      <c r="A5" s="763"/>
      <c r="B5" s="764"/>
      <c r="C5" s="764"/>
      <c r="D5" s="764"/>
      <c r="E5" s="765"/>
      <c r="F5" s="764"/>
      <c r="G5" s="1469"/>
      <c r="H5" s="766"/>
      <c r="I5" s="766"/>
      <c r="J5" s="766"/>
      <c r="K5" s="767"/>
      <c r="L5" s="766"/>
      <c r="M5" s="766"/>
      <c r="N5" s="1469"/>
      <c r="O5" s="1414"/>
      <c r="P5" s="696"/>
      <c r="Q5" s="1469"/>
    </row>
    <row r="6" spans="1:23" ht="16.2" thickBot="1">
      <c r="A6" s="768" t="s">
        <v>793</v>
      </c>
      <c r="B6" s="769"/>
      <c r="D6" s="770"/>
      <c r="E6" s="771"/>
      <c r="F6" s="766"/>
      <c r="G6" s="772" t="s">
        <v>27</v>
      </c>
      <c r="H6" s="2590" t="s">
        <v>1100</v>
      </c>
      <c r="I6" s="2590"/>
      <c r="J6" s="2590"/>
      <c r="K6" s="2590"/>
      <c r="L6" s="2590"/>
      <c r="M6" s="2590"/>
      <c r="N6" s="2590"/>
      <c r="O6" s="2590"/>
      <c r="P6" s="2590"/>
      <c r="Q6" s="2590"/>
      <c r="R6" s="2590"/>
      <c r="S6" s="2591"/>
      <c r="T6" s="698"/>
      <c r="U6" s="698"/>
    </row>
    <row r="7" spans="1:23" ht="32.1" customHeight="1" thickBot="1">
      <c r="A7" s="861" t="s">
        <v>28</v>
      </c>
      <c r="B7" s="862" t="s">
        <v>29</v>
      </c>
      <c r="C7" s="862"/>
      <c r="D7" s="862"/>
      <c r="E7" s="863" t="s">
        <v>346</v>
      </c>
      <c r="F7" s="864" t="s">
        <v>30</v>
      </c>
      <c r="G7" s="2438" t="s">
        <v>31</v>
      </c>
      <c r="H7" s="863" t="s">
        <v>668</v>
      </c>
      <c r="I7" s="863" t="s">
        <v>779</v>
      </c>
      <c r="J7" s="863" t="s">
        <v>780</v>
      </c>
      <c r="K7" s="863" t="s">
        <v>781</v>
      </c>
      <c r="L7" s="863" t="s">
        <v>777</v>
      </c>
      <c r="M7" s="863" t="s">
        <v>782</v>
      </c>
      <c r="N7" s="863" t="s">
        <v>783</v>
      </c>
      <c r="O7" s="863" t="s">
        <v>784</v>
      </c>
      <c r="P7" s="863" t="s">
        <v>785</v>
      </c>
      <c r="Q7" s="863" t="s">
        <v>786</v>
      </c>
      <c r="R7" s="863" t="s">
        <v>787</v>
      </c>
      <c r="S7" s="863" t="s">
        <v>669</v>
      </c>
      <c r="T7" s="2439" t="s">
        <v>32</v>
      </c>
      <c r="U7" s="2436" t="s">
        <v>33</v>
      </c>
    </row>
    <row r="8" spans="1:23" ht="15.6">
      <c r="A8" s="778"/>
      <c r="B8" s="779" t="s">
        <v>327</v>
      </c>
      <c r="C8" s="780"/>
      <c r="D8" s="781"/>
      <c r="E8" s="782"/>
      <c r="F8" s="781"/>
      <c r="G8" s="1138"/>
      <c r="H8" s="781"/>
      <c r="I8" s="781"/>
      <c r="J8" s="781"/>
      <c r="K8" s="781"/>
      <c r="L8" s="781"/>
      <c r="M8" s="781"/>
      <c r="N8" s="781"/>
      <c r="O8" s="781"/>
      <c r="P8" s="781"/>
      <c r="Q8" s="781"/>
      <c r="R8" s="781"/>
      <c r="S8" s="781"/>
      <c r="T8" s="2445"/>
      <c r="U8" s="783"/>
    </row>
    <row r="9" spans="1:23" ht="15.6">
      <c r="A9" s="784">
        <f>+'Appendix A'!A19</f>
        <v>6</v>
      </c>
      <c r="B9" s="785"/>
      <c r="C9" s="770" t="s">
        <v>1117</v>
      </c>
      <c r="D9" s="698"/>
      <c r="E9" s="977" t="str">
        <f>+'Appendix A'!E19</f>
        <v>(Note B)</v>
      </c>
      <c r="F9" s="786" t="s">
        <v>387</v>
      </c>
      <c r="G9" s="2446">
        <v>11744165070.65</v>
      </c>
      <c r="H9" s="788">
        <v>11793106251.969997</v>
      </c>
      <c r="I9" s="788">
        <v>11906832767.610001</v>
      </c>
      <c r="J9" s="788">
        <v>11983814708.23</v>
      </c>
      <c r="K9" s="788">
        <v>12520769282.310001</v>
      </c>
      <c r="L9" s="788">
        <v>12687520084.82</v>
      </c>
      <c r="M9" s="788">
        <v>12878797941.919998</v>
      </c>
      <c r="N9" s="788">
        <v>13106896061.26</v>
      </c>
      <c r="O9" s="788">
        <v>13171189658.289999</v>
      </c>
      <c r="P9" s="788">
        <v>13277782435.379997</v>
      </c>
      <c r="Q9" s="788">
        <v>13406039435.009998</v>
      </c>
      <c r="R9" s="788">
        <v>13535671657.879997</v>
      </c>
      <c r="S9" s="788">
        <v>13823348368.120001</v>
      </c>
      <c r="T9" s="1470">
        <f t="shared" ref="T9:T14" si="0">AVERAGE(G9:S9)</f>
        <v>12756610286.41923</v>
      </c>
      <c r="U9" s="2442"/>
      <c r="W9" s="1475"/>
    </row>
    <row r="10" spans="1:23" ht="15.6">
      <c r="A10" s="784">
        <f>+'Appendix A'!A20</f>
        <v>7</v>
      </c>
      <c r="B10" s="785"/>
      <c r="C10" s="770" t="s">
        <v>477</v>
      </c>
      <c r="D10" s="698"/>
      <c r="E10" s="977" t="s">
        <v>593</v>
      </c>
      <c r="F10" s="764" t="s">
        <v>478</v>
      </c>
      <c r="G10" s="2446">
        <v>138107062.08695</v>
      </c>
      <c r="H10" s="788">
        <v>138620971.85900003</v>
      </c>
      <c r="I10" s="788">
        <v>133162493.73100002</v>
      </c>
      <c r="J10" s="788">
        <v>132159645.77150004</v>
      </c>
      <c r="K10" s="788">
        <v>130747244.69750002</v>
      </c>
      <c r="L10" s="788">
        <v>131843356.05200002</v>
      </c>
      <c r="M10" s="788">
        <v>128894198.586</v>
      </c>
      <c r="N10" s="788">
        <v>128058827.21949999</v>
      </c>
      <c r="O10" s="788">
        <v>127991739.51500003</v>
      </c>
      <c r="P10" s="788">
        <v>130654856.64000002</v>
      </c>
      <c r="Q10" s="788">
        <v>129982690.98250002</v>
      </c>
      <c r="R10" s="788">
        <v>130355020.62150002</v>
      </c>
      <c r="S10" s="788">
        <v>132616314.08350003</v>
      </c>
      <c r="T10" s="1470">
        <f t="shared" si="0"/>
        <v>131784186.29584232</v>
      </c>
      <c r="U10" s="2442"/>
      <c r="W10" s="1475"/>
    </row>
    <row r="11" spans="1:23" ht="15.6">
      <c r="A11" s="784">
        <f>+'Appendix A'!A23</f>
        <v>9</v>
      </c>
      <c r="B11" s="785"/>
      <c r="C11" s="770" t="s">
        <v>117</v>
      </c>
      <c r="D11" s="698"/>
      <c r="E11" s="977" t="str">
        <f>+'Appendix A'!E23</f>
        <v>(Note B &amp; J)</v>
      </c>
      <c r="F11" s="786" t="s">
        <v>34</v>
      </c>
      <c r="G11" s="2446">
        <v>2882303603.7656026</v>
      </c>
      <c r="H11" s="788">
        <v>2803540640.1756029</v>
      </c>
      <c r="I11" s="788">
        <v>2815933147.3556023</v>
      </c>
      <c r="J11" s="788">
        <v>2811305892.9956026</v>
      </c>
      <c r="K11" s="788">
        <v>2803017320.9356027</v>
      </c>
      <c r="L11" s="788">
        <v>2807704633.7556033</v>
      </c>
      <c r="M11" s="788">
        <v>2818135985.6156034</v>
      </c>
      <c r="N11" s="788">
        <v>2819889513.8356028</v>
      </c>
      <c r="O11" s="788">
        <v>2791321767.0656023</v>
      </c>
      <c r="P11" s="788">
        <v>2790668644.3356028</v>
      </c>
      <c r="Q11" s="788">
        <v>2844362834.2845564</v>
      </c>
      <c r="R11" s="788">
        <v>2854992811.4756021</v>
      </c>
      <c r="S11" s="788">
        <v>2965383642</v>
      </c>
      <c r="T11" s="1470">
        <f t="shared" si="0"/>
        <v>2831427725.9689374</v>
      </c>
      <c r="U11" s="2442"/>
      <c r="W11" s="1475"/>
    </row>
    <row r="12" spans="1:23" ht="15" customHeight="1">
      <c r="A12" s="790">
        <f>+'Appendix A'!A24</f>
        <v>10</v>
      </c>
      <c r="B12" s="698"/>
      <c r="C12" s="791" t="s">
        <v>213</v>
      </c>
      <c r="D12" s="770"/>
      <c r="E12" s="977" t="str">
        <f>+'Appendix A'!E24</f>
        <v>(Note B)</v>
      </c>
      <c r="F12" s="764" t="s">
        <v>35</v>
      </c>
      <c r="G12" s="2446">
        <v>1839938.23</v>
      </c>
      <c r="H12" s="788">
        <v>1894745</v>
      </c>
      <c r="I12" s="788">
        <v>1948647.16</v>
      </c>
      <c r="J12" s="788">
        <v>2002549.3299999998</v>
      </c>
      <c r="K12" s="788">
        <v>2056451.5</v>
      </c>
      <c r="L12" s="788">
        <v>2110353.65</v>
      </c>
      <c r="M12" s="788">
        <v>2164255.7999999998</v>
      </c>
      <c r="N12" s="788">
        <v>2184280.92</v>
      </c>
      <c r="O12" s="788">
        <v>2204306.04</v>
      </c>
      <c r="P12" s="788">
        <v>2224331.16</v>
      </c>
      <c r="Q12" s="788">
        <v>2244356.2800000003</v>
      </c>
      <c r="R12" s="788">
        <v>2264381.41</v>
      </c>
      <c r="S12" s="788">
        <v>2279658.1900000004</v>
      </c>
      <c r="T12" s="1470">
        <f t="shared" si="0"/>
        <v>2109096.5130769233</v>
      </c>
      <c r="U12" s="2442"/>
      <c r="W12" s="1475"/>
    </row>
    <row r="13" spans="1:23">
      <c r="A13" s="790">
        <f>+'Appendix A'!A25</f>
        <v>11</v>
      </c>
      <c r="B13" s="770"/>
      <c r="C13" s="791" t="s">
        <v>484</v>
      </c>
      <c r="D13" s="770"/>
      <c r="E13" s="977" t="str">
        <f>+'Appendix A'!E25</f>
        <v>(Note B &amp; J)</v>
      </c>
      <c r="F13" s="764" t="s">
        <v>478</v>
      </c>
      <c r="G13" s="2446">
        <v>25369303.909000002</v>
      </c>
      <c r="H13" s="788">
        <v>21669065.416500006</v>
      </c>
      <c r="I13" s="788">
        <v>23588111.270500001</v>
      </c>
      <c r="J13" s="788">
        <v>23693322.920000002</v>
      </c>
      <c r="K13" s="788">
        <v>24072178.849000003</v>
      </c>
      <c r="L13" s="788">
        <v>24102371.538500004</v>
      </c>
      <c r="M13" s="788">
        <v>23796875.010000009</v>
      </c>
      <c r="N13" s="788">
        <v>23941146.643500008</v>
      </c>
      <c r="O13" s="788">
        <v>23561859.629000004</v>
      </c>
      <c r="P13" s="788">
        <v>23696649.208000001</v>
      </c>
      <c r="Q13" s="788">
        <v>23539118.640500005</v>
      </c>
      <c r="R13" s="788">
        <v>23657913.378500003</v>
      </c>
      <c r="S13" s="788">
        <v>23708576.163000006</v>
      </c>
      <c r="T13" s="1470">
        <f t="shared" si="0"/>
        <v>23722807.121230774</v>
      </c>
      <c r="U13" s="2443"/>
      <c r="W13" s="1475"/>
    </row>
    <row r="14" spans="1:23">
      <c r="A14" s="790">
        <f>+'Appendix A'!A26</f>
        <v>12</v>
      </c>
      <c r="B14" s="702"/>
      <c r="C14" s="791" t="s">
        <v>485</v>
      </c>
      <c r="D14" s="770"/>
      <c r="E14" s="977" t="str">
        <f>+'Appendix A'!E26</f>
        <v>(Note B)</v>
      </c>
      <c r="F14" s="764" t="s">
        <v>478</v>
      </c>
      <c r="G14" s="2446">
        <v>23204809.2795</v>
      </c>
      <c r="H14" s="788">
        <v>18433667.154500004</v>
      </c>
      <c r="I14" s="788">
        <v>24211643.4505</v>
      </c>
      <c r="J14" s="788">
        <v>24815898.409500003</v>
      </c>
      <c r="K14" s="788">
        <v>25373111.411000002</v>
      </c>
      <c r="L14" s="788">
        <v>26006263.188500002</v>
      </c>
      <c r="M14" s="788">
        <v>26545965.884</v>
      </c>
      <c r="N14" s="788">
        <v>27089941.387500003</v>
      </c>
      <c r="O14" s="788">
        <v>27633956.765999999</v>
      </c>
      <c r="P14" s="788">
        <v>28185275.214000005</v>
      </c>
      <c r="Q14" s="788">
        <v>29397457.801000003</v>
      </c>
      <c r="R14" s="788">
        <v>29049416.474500004</v>
      </c>
      <c r="S14" s="788">
        <v>29644938.592500005</v>
      </c>
      <c r="T14" s="1470">
        <f t="shared" si="0"/>
        <v>26122488.077923082</v>
      </c>
      <c r="U14" s="2442"/>
      <c r="W14" s="1475"/>
    </row>
    <row r="15" spans="1:23" ht="15.6">
      <c r="A15" s="790"/>
      <c r="B15" s="698"/>
      <c r="C15" s="791"/>
      <c r="D15" s="770"/>
      <c r="E15" s="977"/>
      <c r="F15" s="764"/>
      <c r="G15" s="2447"/>
      <c r="H15" s="792"/>
      <c r="I15" s="792"/>
      <c r="J15" s="792"/>
      <c r="K15" s="792"/>
      <c r="L15" s="792"/>
      <c r="M15" s="792"/>
      <c r="N15" s="792"/>
      <c r="O15" s="792"/>
      <c r="P15" s="792"/>
      <c r="Q15" s="792"/>
      <c r="R15" s="792"/>
      <c r="S15" s="792"/>
      <c r="T15" s="1470"/>
      <c r="U15" s="2442"/>
      <c r="V15" s="696"/>
      <c r="W15" s="698"/>
    </row>
    <row r="16" spans="1:23" ht="15.6">
      <c r="A16" s="784"/>
      <c r="B16" s="785" t="s">
        <v>165</v>
      </c>
      <c r="C16" s="770"/>
      <c r="D16" s="770"/>
      <c r="E16" s="793"/>
      <c r="F16" s="2440"/>
      <c r="G16" s="2447"/>
      <c r="H16" s="792"/>
      <c r="I16" s="792"/>
      <c r="J16" s="792"/>
      <c r="K16" s="792"/>
      <c r="L16" s="792"/>
      <c r="M16" s="792"/>
      <c r="N16" s="792"/>
      <c r="O16" s="792"/>
      <c r="P16" s="792"/>
      <c r="Q16" s="792"/>
      <c r="R16" s="792"/>
      <c r="S16" s="792"/>
      <c r="T16" s="1471"/>
      <c r="U16" s="795"/>
      <c r="V16" s="1475"/>
      <c r="W16" s="698"/>
    </row>
    <row r="17" spans="1:23" ht="15.6">
      <c r="A17" s="784">
        <f>+'Appendix A'!A40</f>
        <v>19</v>
      </c>
      <c r="B17" s="785"/>
      <c r="C17" s="770" t="s">
        <v>1119</v>
      </c>
      <c r="D17" s="770"/>
      <c r="E17" s="793" t="str">
        <f>+'Appendix A'!E40</f>
        <v>(Note B)</v>
      </c>
      <c r="F17" s="794" t="s">
        <v>388</v>
      </c>
      <c r="G17" s="2446">
        <v>4026909338.3052802</v>
      </c>
      <c r="H17" s="2410">
        <v>4074509135.3152766</v>
      </c>
      <c r="I17" s="2410">
        <v>4173717883.8452768</v>
      </c>
      <c r="J17" s="2410">
        <v>4228714856.0252762</v>
      </c>
      <c r="K17" s="2410">
        <v>4745498060.0852776</v>
      </c>
      <c r="L17" s="2410">
        <v>4894837953.5852776</v>
      </c>
      <c r="M17" s="2410">
        <v>5069583115.3752766</v>
      </c>
      <c r="N17" s="2410">
        <v>5293192979.4652777</v>
      </c>
      <c r="O17" s="2410">
        <v>5354840845.5952759</v>
      </c>
      <c r="P17" s="2410">
        <v>5457406207.1752768</v>
      </c>
      <c r="Q17" s="2410">
        <v>5518146362.2752762</v>
      </c>
      <c r="R17" s="2410">
        <v>5623484358.0978708</v>
      </c>
      <c r="S17" s="2410">
        <v>5834961216.6878691</v>
      </c>
      <c r="T17" s="1470">
        <f>AVERAGE(G17:S17)</f>
        <v>4945830947.0641375</v>
      </c>
      <c r="U17" s="2444"/>
      <c r="V17" s="1475"/>
      <c r="W17" s="698"/>
    </row>
    <row r="18" spans="1:23" ht="15.6">
      <c r="A18" s="784">
        <f>+'Appendix A'!A42</f>
        <v>20</v>
      </c>
      <c r="B18" s="785"/>
      <c r="C18" s="770" t="s">
        <v>1118</v>
      </c>
      <c r="D18" s="770"/>
      <c r="E18" s="765" t="str">
        <f>+'Appendix A'!E42</f>
        <v>(Note B)</v>
      </c>
      <c r="F18" s="764" t="s">
        <v>199</v>
      </c>
      <c r="G18" s="2446">
        <v>212873690.10399997</v>
      </c>
      <c r="H18" s="2410">
        <v>203504443.96399996</v>
      </c>
      <c r="I18" s="2410">
        <v>205203383.51399994</v>
      </c>
      <c r="J18" s="2410">
        <v>205717540.81399995</v>
      </c>
      <c r="K18" s="2410">
        <v>208770906.76399997</v>
      </c>
      <c r="L18" s="2410">
        <v>210857518.98399997</v>
      </c>
      <c r="M18" s="2410">
        <v>219212671.99400002</v>
      </c>
      <c r="N18" s="2410">
        <v>218230884.97399998</v>
      </c>
      <c r="O18" s="2410">
        <v>216427378.30399996</v>
      </c>
      <c r="P18" s="2410">
        <v>217657958.31399995</v>
      </c>
      <c r="Q18" s="2410">
        <v>224820776.86399996</v>
      </c>
      <c r="R18" s="2410">
        <v>229690133.13399994</v>
      </c>
      <c r="S18" s="2410">
        <v>240602064.93399996</v>
      </c>
      <c r="T18" s="1470">
        <f t="shared" ref="T18:T23" si="1">AVERAGE(G18:S18)</f>
        <v>216428411.7432307</v>
      </c>
      <c r="U18" s="795"/>
      <c r="V18" s="1477"/>
    </row>
    <row r="19" spans="1:23" ht="15.6">
      <c r="A19" s="784">
        <f>+'Appendix A'!A43</f>
        <v>21</v>
      </c>
      <c r="B19" s="785"/>
      <c r="C19" s="770" t="s">
        <v>424</v>
      </c>
      <c r="D19" s="770"/>
      <c r="E19" s="765" t="str">
        <f>+'Appendix A'!E43</f>
        <v>(Note B)</v>
      </c>
      <c r="F19" s="764" t="s">
        <v>421</v>
      </c>
      <c r="G19" s="2446">
        <v>1553468.45</v>
      </c>
      <c r="H19" s="2410">
        <v>1553467.45</v>
      </c>
      <c r="I19" s="2410">
        <v>1553467.45</v>
      </c>
      <c r="J19" s="2410">
        <v>1553467.45</v>
      </c>
      <c r="K19" s="2410">
        <v>1553467.45</v>
      </c>
      <c r="L19" s="2410">
        <v>1553467.45</v>
      </c>
      <c r="M19" s="2410">
        <v>1553467.45</v>
      </c>
      <c r="N19" s="2410">
        <v>1553467.45</v>
      </c>
      <c r="O19" s="2410">
        <v>1553467.45</v>
      </c>
      <c r="P19" s="2410">
        <v>2014069.18</v>
      </c>
      <c r="Q19" s="2410">
        <v>2365959.0099999998</v>
      </c>
      <c r="R19" s="2410">
        <v>2370480.0099999998</v>
      </c>
      <c r="S19" s="2410">
        <v>2110907.0099999998</v>
      </c>
      <c r="T19" s="1470">
        <f t="shared" si="1"/>
        <v>1757124.8661538453</v>
      </c>
      <c r="U19" s="2442"/>
      <c r="V19" s="696"/>
    </row>
    <row r="20" spans="1:23" ht="15.6">
      <c r="A20" s="784">
        <f>+'Appendix A'!A44</f>
        <v>22</v>
      </c>
      <c r="B20" s="785"/>
      <c r="C20" s="770" t="s">
        <v>477</v>
      </c>
      <c r="D20" s="698"/>
      <c r="E20" s="765" t="str">
        <f>+'Appendix A'!E44</f>
        <v>(Note B)</v>
      </c>
      <c r="F20" s="764" t="s">
        <v>478</v>
      </c>
      <c r="G20" s="2446">
        <v>138107062.08695</v>
      </c>
      <c r="H20" s="2410">
        <v>138620971.85900003</v>
      </c>
      <c r="I20" s="2410">
        <v>133162493.73100002</v>
      </c>
      <c r="J20" s="2410">
        <v>132159645.77150004</v>
      </c>
      <c r="K20" s="2410">
        <v>130747244.69750002</v>
      </c>
      <c r="L20" s="2410">
        <v>131843356.05200002</v>
      </c>
      <c r="M20" s="2410">
        <v>128894198.586</v>
      </c>
      <c r="N20" s="2410">
        <v>128058827.21949999</v>
      </c>
      <c r="O20" s="2410">
        <v>127991739.51500003</v>
      </c>
      <c r="P20" s="2410">
        <v>130654856.64000002</v>
      </c>
      <c r="Q20" s="2410">
        <v>129982690.98250002</v>
      </c>
      <c r="R20" s="2410">
        <v>130355020.62150002</v>
      </c>
      <c r="S20" s="2410">
        <v>132616314.08350003</v>
      </c>
      <c r="T20" s="1470">
        <f t="shared" si="1"/>
        <v>131784186.29584232</v>
      </c>
      <c r="U20" s="2442"/>
      <c r="V20" s="696"/>
    </row>
    <row r="21" spans="1:23">
      <c r="A21" s="790">
        <f>+'Appendix A'!A46</f>
        <v>24</v>
      </c>
      <c r="B21" s="769"/>
      <c r="C21" s="791" t="s">
        <v>756</v>
      </c>
      <c r="D21" s="770"/>
      <c r="E21" s="765" t="str">
        <f>+'Appendix A'!E46</f>
        <v>(Note B)</v>
      </c>
      <c r="F21" s="796" t="s">
        <v>390</v>
      </c>
      <c r="G21" s="2446">
        <v>29329019.530000001</v>
      </c>
      <c r="H21" s="2410">
        <v>29006728.790000003</v>
      </c>
      <c r="I21" s="2410">
        <v>29006728.790000003</v>
      </c>
      <c r="J21" s="2410">
        <v>29006728.790000003</v>
      </c>
      <c r="K21" s="2410">
        <v>28749315.330000002</v>
      </c>
      <c r="L21" s="2410">
        <v>28785539.450000003</v>
      </c>
      <c r="M21" s="2410">
        <v>28785539.450000003</v>
      </c>
      <c r="N21" s="2410">
        <v>25915523.030000001</v>
      </c>
      <c r="O21" s="2410">
        <v>25915523.030000001</v>
      </c>
      <c r="P21" s="2410">
        <v>25972257.41</v>
      </c>
      <c r="Q21" s="2410">
        <v>25913850.790000003</v>
      </c>
      <c r="R21" s="2410">
        <v>26170333.490000002</v>
      </c>
      <c r="S21" s="2410">
        <v>26180025.210000005</v>
      </c>
      <c r="T21" s="1470">
        <f t="shared" si="1"/>
        <v>27595162.545384619</v>
      </c>
      <c r="U21" s="2442"/>
      <c r="V21" s="696"/>
    </row>
    <row r="22" spans="1:23">
      <c r="A22" s="790">
        <f>+'Appendix A'!A47</f>
        <v>25</v>
      </c>
      <c r="B22" s="769"/>
      <c r="C22" s="791" t="s">
        <v>757</v>
      </c>
      <c r="D22" s="770"/>
      <c r="E22" s="765" t="str">
        <f>+'Appendix A'!E47</f>
        <v>(Note B)</v>
      </c>
      <c r="F22" s="796" t="s">
        <v>478</v>
      </c>
      <c r="G22" s="2446">
        <v>5584535.9555000002</v>
      </c>
      <c r="H22" s="2410">
        <v>5584535.9555000002</v>
      </c>
      <c r="I22" s="2410">
        <v>963188.56699999992</v>
      </c>
      <c r="J22" s="2410">
        <v>963188.56699999992</v>
      </c>
      <c r="K22" s="2410">
        <v>963188.56699999992</v>
      </c>
      <c r="L22" s="2410">
        <v>972222.58649999986</v>
      </c>
      <c r="M22" s="2410">
        <v>1070788.7960000001</v>
      </c>
      <c r="N22" s="2410">
        <v>1298488.0755</v>
      </c>
      <c r="O22" s="2410">
        <v>1496449.736</v>
      </c>
      <c r="P22" s="2410">
        <v>2787092.9745</v>
      </c>
      <c r="Q22" s="2410">
        <v>2941937.5819999999</v>
      </c>
      <c r="R22" s="2410">
        <v>2995729.8535000002</v>
      </c>
      <c r="S22" s="2410">
        <v>3435868.1460000002</v>
      </c>
      <c r="T22" s="1470">
        <f t="shared" si="1"/>
        <v>2389016.5663076928</v>
      </c>
      <c r="U22" s="2442"/>
      <c r="V22" s="696"/>
    </row>
    <row r="23" spans="1:23">
      <c r="A23" s="790">
        <f>+'Appendix A'!A51</f>
        <v>29</v>
      </c>
      <c r="B23" s="769"/>
      <c r="C23" s="791" t="s">
        <v>527</v>
      </c>
      <c r="D23" s="770"/>
      <c r="E23" s="765" t="str">
        <f>+'Appendix A'!E51</f>
        <v>(Note B)</v>
      </c>
      <c r="F23" s="796" t="s">
        <v>196</v>
      </c>
      <c r="G23" s="2446">
        <v>17755243.550000001</v>
      </c>
      <c r="H23" s="2410">
        <v>17755243.550000001</v>
      </c>
      <c r="I23" s="2410">
        <v>17755243.550000001</v>
      </c>
      <c r="J23" s="2410">
        <v>17755243.550000001</v>
      </c>
      <c r="K23" s="2410">
        <v>17755500.09</v>
      </c>
      <c r="L23" s="2410">
        <v>17755500.09</v>
      </c>
      <c r="M23" s="2410">
        <v>17755500.09</v>
      </c>
      <c r="N23" s="2410">
        <v>17755500.09</v>
      </c>
      <c r="O23" s="2410">
        <v>17755500.09</v>
      </c>
      <c r="P23" s="2410">
        <v>17756127.09</v>
      </c>
      <c r="Q23" s="2410">
        <v>17757951.09</v>
      </c>
      <c r="R23" s="2410">
        <v>17996104.960000001</v>
      </c>
      <c r="S23" s="2410">
        <v>18058582.960000001</v>
      </c>
      <c r="T23" s="1470">
        <f t="shared" si="1"/>
        <v>17797480.057692312</v>
      </c>
      <c r="U23" s="2442"/>
      <c r="V23" s="696"/>
    </row>
    <row r="24" spans="1:23" ht="15.6">
      <c r="A24" s="784"/>
      <c r="B24" s="785" t="s">
        <v>155</v>
      </c>
      <c r="C24" s="770"/>
      <c r="D24" s="770"/>
      <c r="E24" s="765"/>
      <c r="F24" s="2441"/>
      <c r="G24" s="2448"/>
      <c r="H24" s="797"/>
      <c r="I24" s="797"/>
      <c r="J24" s="797"/>
      <c r="K24" s="797"/>
      <c r="L24" s="797"/>
      <c r="M24" s="797"/>
      <c r="N24" s="797"/>
      <c r="O24" s="797"/>
      <c r="P24" s="797"/>
      <c r="Q24" s="797"/>
      <c r="R24" s="797"/>
      <c r="S24" s="797"/>
      <c r="T24" s="1471"/>
      <c r="U24" s="795"/>
    </row>
    <row r="25" spans="1:23">
      <c r="A25" s="790">
        <f>+'Appendix A'!A58</f>
        <v>32</v>
      </c>
      <c r="B25" s="765"/>
      <c r="C25" s="770" t="s">
        <v>335</v>
      </c>
      <c r="D25" s="770"/>
      <c r="E25" s="765" t="str">
        <f>+'Appendix A'!E58</f>
        <v>(Note B &amp; J)</v>
      </c>
      <c r="F25" s="791" t="s">
        <v>389</v>
      </c>
      <c r="G25" s="2446">
        <v>670071538.38999987</v>
      </c>
      <c r="H25" s="2410">
        <v>656394974.91999984</v>
      </c>
      <c r="I25" s="2410">
        <v>657917647.08999979</v>
      </c>
      <c r="J25" s="2410">
        <v>642436279.18999982</v>
      </c>
      <c r="K25" s="2410">
        <v>628186685.36999989</v>
      </c>
      <c r="L25" s="2410">
        <v>626392662.45999992</v>
      </c>
      <c r="M25" s="2410">
        <v>632622218.88999999</v>
      </c>
      <c r="N25" s="2410">
        <v>637426774.48999989</v>
      </c>
      <c r="O25" s="2410">
        <v>610755673.0599997</v>
      </c>
      <c r="P25" s="2410">
        <v>613966210.79999971</v>
      </c>
      <c r="Q25" s="2410">
        <v>610826315.34999967</v>
      </c>
      <c r="R25" s="2410">
        <v>612391327.85999966</v>
      </c>
      <c r="S25" s="2410">
        <v>617593694.77999961</v>
      </c>
      <c r="T25" s="1470">
        <f>AVERAGE(G25:S25)</f>
        <v>632075538.66538441</v>
      </c>
      <c r="U25" s="2442"/>
    </row>
    <row r="26" spans="1:23">
      <c r="A26" s="790">
        <f>+'Appendix A'!A60</f>
        <v>33</v>
      </c>
      <c r="B26" s="765"/>
      <c r="C26" s="770" t="s">
        <v>369</v>
      </c>
      <c r="D26" s="765"/>
      <c r="E26" s="765" t="str">
        <f>+'Appendix A'!E60</f>
        <v>(Note B &amp; J)</v>
      </c>
      <c r="F26" s="791" t="s">
        <v>36</v>
      </c>
      <c r="G26" s="2446">
        <v>125049283.36998932</v>
      </c>
      <c r="H26" s="2410">
        <v>117577802.79998934</v>
      </c>
      <c r="I26" s="2410">
        <v>118483034.23998936</v>
      </c>
      <c r="J26" s="2410">
        <v>119540561.69998936</v>
      </c>
      <c r="K26" s="2410">
        <v>120462938.82998936</v>
      </c>
      <c r="L26" s="2410">
        <v>121948393.77998936</v>
      </c>
      <c r="M26" s="2410">
        <v>124070901.92998935</v>
      </c>
      <c r="N26" s="2410">
        <v>122803217.05998935</v>
      </c>
      <c r="O26" s="2410">
        <v>121571307.47998933</v>
      </c>
      <c r="P26" s="2410">
        <v>122031069.62998931</v>
      </c>
      <c r="Q26" s="2410">
        <v>123299915.25998931</v>
      </c>
      <c r="R26" s="2410">
        <v>125002088.73998931</v>
      </c>
      <c r="S26" s="2410">
        <v>126683167.28998929</v>
      </c>
      <c r="T26" s="1470">
        <f>AVERAGE(G26:S26)</f>
        <v>122194129.39306626</v>
      </c>
      <c r="U26" s="2442"/>
      <c r="V26" s="696"/>
    </row>
    <row r="27" spans="1:23" ht="15.6">
      <c r="A27" s="790">
        <f>+'Appendix A'!A61</f>
        <v>34</v>
      </c>
      <c r="B27" s="799"/>
      <c r="C27" s="808" t="s">
        <v>423</v>
      </c>
      <c r="D27" s="808"/>
      <c r="E27" s="977" t="str">
        <f>+'Appendix A'!E61</f>
        <v>(Note B &amp; J)</v>
      </c>
      <c r="F27" s="770" t="s">
        <v>478</v>
      </c>
      <c r="G27" s="2446">
        <v>48574113.188500002</v>
      </c>
      <c r="H27" s="2410">
        <v>40102732.57100001</v>
      </c>
      <c r="I27" s="2410">
        <v>47799754.721000001</v>
      </c>
      <c r="J27" s="2410">
        <v>48509221.329500005</v>
      </c>
      <c r="K27" s="2410">
        <v>49445290.260000005</v>
      </c>
      <c r="L27" s="2410">
        <v>50108634.727000006</v>
      </c>
      <c r="M27" s="2410">
        <v>50342840.894000009</v>
      </c>
      <c r="N27" s="2410">
        <v>51031088.031000011</v>
      </c>
      <c r="O27" s="2410">
        <v>51195816.395000003</v>
      </c>
      <c r="P27" s="2410">
        <v>51881924.422000006</v>
      </c>
      <c r="Q27" s="2410">
        <v>52936576.441500008</v>
      </c>
      <c r="R27" s="2410">
        <v>52707329.853000008</v>
      </c>
      <c r="S27" s="2410">
        <v>53353514.755500011</v>
      </c>
      <c r="T27" s="1470">
        <f>AVERAGE(G27:S27)</f>
        <v>49845295.199153848</v>
      </c>
      <c r="U27" s="2442"/>
      <c r="V27" s="696"/>
    </row>
    <row r="28" spans="1:23" ht="15.6">
      <c r="A28" s="798">
        <f>+'Appendix A'!A62</f>
        <v>35</v>
      </c>
      <c r="B28" s="799"/>
      <c r="C28" s="800" t="s">
        <v>1120</v>
      </c>
      <c r="D28" s="702"/>
      <c r="E28" s="977" t="str">
        <f>+'Appendix A'!E62</f>
        <v>(Note B &amp; J)</v>
      </c>
      <c r="F28" s="770" t="s">
        <v>196</v>
      </c>
      <c r="G28" s="2446">
        <v>24075209.182500001</v>
      </c>
      <c r="H28" s="2410">
        <v>24073233.0645</v>
      </c>
      <c r="I28" s="2410">
        <v>20430836.989999998</v>
      </c>
      <c r="J28" s="2410">
        <v>20680156.263</v>
      </c>
      <c r="K28" s="2410">
        <v>20670739.085000001</v>
      </c>
      <c r="L28" s="2410">
        <v>20918107.7205</v>
      </c>
      <c r="M28" s="2410">
        <v>21166082.188000001</v>
      </c>
      <c r="N28" s="2410">
        <v>18533441.332500003</v>
      </c>
      <c r="O28" s="2410">
        <v>18030270.858000003</v>
      </c>
      <c r="P28" s="2410">
        <v>18263877.5865</v>
      </c>
      <c r="Q28" s="2410">
        <v>18492211.276999999</v>
      </c>
      <c r="R28" s="2410">
        <v>18699260.405500002</v>
      </c>
      <c r="S28" s="2410">
        <v>18933396.759999998</v>
      </c>
      <c r="T28" s="1470">
        <f>AVERAGE(G28:S28)</f>
        <v>20228217.131769232</v>
      </c>
      <c r="U28" s="2442"/>
    </row>
    <row r="29" spans="1:23" s="696" customFormat="1" ht="16.2" thickBot="1">
      <c r="A29" s="801">
        <f>+'Appendix A'!A68</f>
        <v>41</v>
      </c>
      <c r="B29" s="802"/>
      <c r="C29" s="803" t="s">
        <v>394</v>
      </c>
      <c r="D29" s="804"/>
      <c r="E29" s="805" t="str">
        <f>+'Appendix A'!E68</f>
        <v>(Note B &amp; J)</v>
      </c>
      <c r="F29" s="806" t="s">
        <v>196</v>
      </c>
      <c r="G29" s="2449">
        <v>12400977.439999999</v>
      </c>
      <c r="H29" s="2411">
        <v>12548501.15</v>
      </c>
      <c r="I29" s="2411">
        <v>12696024.869999999</v>
      </c>
      <c r="J29" s="2411">
        <v>12843548.67</v>
      </c>
      <c r="K29" s="2411">
        <v>12991079.66</v>
      </c>
      <c r="L29" s="2411">
        <v>13138618.029999999</v>
      </c>
      <c r="M29" s="2411">
        <v>13286156.470000001</v>
      </c>
      <c r="N29" s="2411">
        <v>13433694.800000001</v>
      </c>
      <c r="O29" s="2411">
        <v>13581233.050000001</v>
      </c>
      <c r="P29" s="2411">
        <v>13728961.23</v>
      </c>
      <c r="Q29" s="2411">
        <v>13876886.539999999</v>
      </c>
      <c r="R29" s="2411">
        <v>14025811.76</v>
      </c>
      <c r="S29" s="2411">
        <v>14175989.58</v>
      </c>
      <c r="T29" s="1472">
        <f>AVERAGE(G29:S29)</f>
        <v>13286729.48076923</v>
      </c>
      <c r="U29" s="807"/>
      <c r="V29" s="695"/>
      <c r="W29" s="1475"/>
    </row>
    <row r="30" spans="1:23" s="696" customFormat="1" ht="15.6">
      <c r="A30" s="700"/>
      <c r="B30" s="799"/>
      <c r="C30" s="786"/>
      <c r="D30" s="702"/>
      <c r="E30" s="700"/>
      <c r="F30" s="808"/>
      <c r="G30" s="252"/>
      <c r="H30" s="252"/>
      <c r="I30" s="252"/>
      <c r="J30" s="252"/>
      <c r="K30" s="252"/>
      <c r="L30" s="252"/>
      <c r="M30" s="252"/>
      <c r="N30" s="252"/>
      <c r="O30" s="252"/>
      <c r="P30" s="252"/>
      <c r="Q30" s="252"/>
      <c r="R30" s="252"/>
      <c r="S30" s="252"/>
      <c r="T30" s="252"/>
      <c r="U30" s="793"/>
      <c r="V30" s="695"/>
    </row>
    <row r="31" spans="1:23" s="696" customFormat="1" ht="15.6">
      <c r="A31" s="700"/>
      <c r="B31" s="799"/>
      <c r="C31" s="786"/>
      <c r="D31" s="702"/>
      <c r="E31" s="700"/>
      <c r="F31" s="808"/>
      <c r="G31" s="252"/>
      <c r="H31" s="252"/>
      <c r="I31" s="252"/>
      <c r="J31" s="252"/>
      <c r="K31" s="252"/>
      <c r="L31" s="252"/>
      <c r="M31" s="252"/>
      <c r="N31" s="252"/>
      <c r="O31" s="252"/>
      <c r="P31" s="252"/>
      <c r="Q31" s="252"/>
      <c r="R31" s="252"/>
      <c r="S31" s="252"/>
      <c r="U31" s="793"/>
    </row>
    <row r="32" spans="1:23" ht="16.2" thickBot="1">
      <c r="A32" s="768" t="s">
        <v>42</v>
      </c>
      <c r="B32" s="698"/>
      <c r="C32" s="809"/>
      <c r="D32" s="698"/>
      <c r="E32" s="810"/>
      <c r="F32" s="811"/>
      <c r="G32" s="812"/>
      <c r="H32" s="812"/>
      <c r="I32" s="812"/>
      <c r="J32" s="812"/>
      <c r="K32" s="812"/>
      <c r="L32" s="812"/>
      <c r="M32" s="812"/>
      <c r="N32" s="812"/>
      <c r="O32" s="812"/>
      <c r="P32" s="812"/>
      <c r="Q32" s="812"/>
      <c r="R32" s="812"/>
      <c r="S32" s="812"/>
      <c r="T32" s="812"/>
    </row>
    <row r="33" spans="1:21" ht="16.2" thickBot="1">
      <c r="A33" s="773" t="s">
        <v>28</v>
      </c>
      <c r="B33" s="774" t="s">
        <v>29</v>
      </c>
      <c r="C33" s="774"/>
      <c r="D33" s="774"/>
      <c r="E33" s="775" t="s">
        <v>346</v>
      </c>
      <c r="F33" s="776" t="s">
        <v>30</v>
      </c>
      <c r="G33" s="813"/>
      <c r="H33" s="813"/>
      <c r="I33" s="813"/>
      <c r="J33" s="813"/>
      <c r="K33" s="813"/>
      <c r="L33" s="813"/>
      <c r="M33" s="813"/>
      <c r="N33" s="813"/>
      <c r="O33" s="813"/>
      <c r="P33" s="813"/>
      <c r="Q33" s="813"/>
      <c r="R33" s="813"/>
      <c r="S33" s="813"/>
      <c r="T33" s="775" t="s">
        <v>490</v>
      </c>
      <c r="U33" s="814"/>
    </row>
    <row r="34" spans="1:21" s="696" customFormat="1" ht="15.6">
      <c r="A34" s="815"/>
      <c r="B34" s="701"/>
      <c r="C34" s="701"/>
      <c r="D34" s="701"/>
      <c r="E34" s="816"/>
      <c r="F34" s="817"/>
      <c r="G34" s="702"/>
      <c r="H34" s="702"/>
      <c r="I34" s="702"/>
      <c r="J34" s="702"/>
      <c r="K34" s="702"/>
      <c r="L34" s="702"/>
      <c r="M34" s="702"/>
      <c r="N34" s="702"/>
      <c r="O34" s="702"/>
      <c r="P34" s="702"/>
      <c r="Q34" s="702"/>
      <c r="R34" s="702"/>
      <c r="S34" s="702"/>
      <c r="T34" s="816"/>
      <c r="U34" s="818"/>
    </row>
    <row r="35" spans="1:21" ht="15.6">
      <c r="A35" s="790">
        <f>+'Appendix A'!A12</f>
        <v>2</v>
      </c>
      <c r="B35" s="768"/>
      <c r="C35" s="809" t="s">
        <v>43</v>
      </c>
      <c r="D35" s="768"/>
      <c r="E35" s="769" t="s">
        <v>38</v>
      </c>
      <c r="F35" s="811" t="s">
        <v>397</v>
      </c>
      <c r="G35" s="698"/>
      <c r="H35" s="698"/>
      <c r="I35" s="698"/>
      <c r="J35" s="698"/>
      <c r="K35" s="698"/>
      <c r="L35" s="698"/>
      <c r="M35" s="698"/>
      <c r="N35" s="698"/>
      <c r="O35" s="698"/>
      <c r="P35" s="698"/>
      <c r="Q35" s="698"/>
      <c r="R35" s="698"/>
      <c r="S35" s="702"/>
      <c r="T35" s="2410">
        <v>185177938</v>
      </c>
      <c r="U35" s="795"/>
    </row>
    <row r="36" spans="1:21" ht="15.6">
      <c r="A36" s="790">
        <f>+'Appendix A'!A13</f>
        <v>3</v>
      </c>
      <c r="B36" s="768"/>
      <c r="C36" s="809" t="s">
        <v>44</v>
      </c>
      <c r="D36" s="768"/>
      <c r="E36" s="769" t="s">
        <v>38</v>
      </c>
      <c r="F36" s="811" t="s">
        <v>398</v>
      </c>
      <c r="G36" s="698"/>
      <c r="H36" s="698"/>
      <c r="I36" s="698"/>
      <c r="J36" s="698"/>
      <c r="K36" s="698"/>
      <c r="L36" s="698"/>
      <c r="M36" s="698"/>
      <c r="N36" s="698"/>
      <c r="O36" s="698"/>
      <c r="P36" s="698"/>
      <c r="Q36" s="698"/>
      <c r="R36" s="698"/>
      <c r="S36" s="702"/>
      <c r="T36" s="2410">
        <v>6543065</v>
      </c>
      <c r="U36" s="795"/>
    </row>
    <row r="37" spans="1:21">
      <c r="A37" s="790">
        <f>+'Appendix A'!A10</f>
        <v>1</v>
      </c>
      <c r="B37" s="698"/>
      <c r="C37" s="809" t="s">
        <v>45</v>
      </c>
      <c r="D37" s="698"/>
      <c r="E37" s="819"/>
      <c r="F37" s="811" t="s">
        <v>200</v>
      </c>
      <c r="G37" s="698"/>
      <c r="H37" s="698"/>
      <c r="I37" s="698"/>
      <c r="J37" s="698"/>
      <c r="K37" s="698"/>
      <c r="L37" s="698"/>
      <c r="M37" s="698"/>
      <c r="N37" s="698"/>
      <c r="O37" s="698"/>
      <c r="P37" s="698"/>
      <c r="Q37" s="698"/>
      <c r="R37" s="698"/>
      <c r="S37" s="702"/>
      <c r="T37" s="2410">
        <v>26268020</v>
      </c>
      <c r="U37" s="795"/>
    </row>
    <row r="38" spans="1:21" ht="15.6" thickBot="1">
      <c r="A38" s="820"/>
      <c r="B38" s="821"/>
      <c r="C38" s="822"/>
      <c r="D38" s="821"/>
      <c r="E38" s="823"/>
      <c r="F38" s="824"/>
      <c r="G38" s="389"/>
      <c r="H38" s="821"/>
      <c r="I38" s="821"/>
      <c r="J38" s="821"/>
      <c r="K38" s="821"/>
      <c r="L38" s="821"/>
      <c r="M38" s="821"/>
      <c r="N38" s="821"/>
      <c r="O38" s="821"/>
      <c r="P38" s="821"/>
      <c r="Q38" s="821"/>
      <c r="R38" s="821"/>
      <c r="S38" s="821"/>
      <c r="T38" s="821"/>
      <c r="U38" s="825"/>
    </row>
    <row r="39" spans="1:21">
      <c r="A39" s="765"/>
      <c r="B39" s="698"/>
      <c r="C39" s="809"/>
      <c r="D39" s="698"/>
      <c r="E39" s="810"/>
      <c r="F39" s="811"/>
      <c r="G39" s="271"/>
      <c r="H39" s="271"/>
      <c r="I39" s="271"/>
      <c r="J39" s="271"/>
      <c r="K39" s="271"/>
      <c r="L39" s="271"/>
      <c r="M39" s="271"/>
      <c r="N39" s="271"/>
      <c r="O39" s="271"/>
      <c r="P39" s="271"/>
      <c r="Q39" s="271"/>
      <c r="R39" s="271"/>
      <c r="S39" s="271"/>
      <c r="T39" s="271"/>
      <c r="U39" s="698"/>
    </row>
    <row r="40" spans="1:21">
      <c r="A40" s="765"/>
      <c r="B40" s="698"/>
      <c r="C40" s="809"/>
      <c r="D40" s="698"/>
      <c r="E40" s="810"/>
      <c r="F40" s="811"/>
      <c r="G40" s="271"/>
      <c r="H40" s="271"/>
      <c r="I40" s="271"/>
      <c r="J40" s="271"/>
      <c r="K40" s="271"/>
      <c r="L40" s="271"/>
      <c r="M40" s="271"/>
      <c r="N40" s="271"/>
      <c r="O40" s="271"/>
      <c r="P40" s="271"/>
      <c r="Q40" s="271"/>
      <c r="R40" s="271"/>
      <c r="S40" s="271"/>
      <c r="T40" s="271"/>
      <c r="U40" s="698"/>
    </row>
    <row r="41" spans="1:21" ht="16.2" thickBot="1">
      <c r="A41" s="768" t="s">
        <v>811</v>
      </c>
      <c r="G41" s="812"/>
    </row>
    <row r="42" spans="1:21" ht="31.8" thickBot="1">
      <c r="A42" s="773" t="s">
        <v>28</v>
      </c>
      <c r="B42" s="774" t="s">
        <v>29</v>
      </c>
      <c r="C42" s="774"/>
      <c r="D42" s="774"/>
      <c r="E42" s="775" t="s">
        <v>346</v>
      </c>
      <c r="F42" s="776" t="s">
        <v>30</v>
      </c>
      <c r="G42" s="813"/>
      <c r="H42" s="813"/>
      <c r="I42" s="813"/>
      <c r="J42" s="813"/>
      <c r="K42" s="813"/>
      <c r="L42" s="813"/>
      <c r="M42" s="813"/>
      <c r="N42" s="813"/>
      <c r="O42" s="813"/>
      <c r="P42" s="813"/>
      <c r="Q42" s="813"/>
      <c r="R42" s="826" t="s">
        <v>47</v>
      </c>
      <c r="S42" s="775" t="s">
        <v>490</v>
      </c>
      <c r="T42" s="826" t="s">
        <v>32</v>
      </c>
      <c r="U42" s="814"/>
    </row>
    <row r="43" spans="1:21" ht="15.6">
      <c r="A43" s="815"/>
      <c r="B43" s="701"/>
      <c r="C43" s="701"/>
      <c r="D43" s="701"/>
      <c r="E43" s="816"/>
      <c r="F43" s="817"/>
      <c r="G43" s="698"/>
      <c r="H43" s="698"/>
      <c r="I43" s="698"/>
      <c r="J43" s="702"/>
      <c r="K43" s="702"/>
      <c r="L43" s="702"/>
      <c r="M43" s="702"/>
      <c r="N43" s="702"/>
      <c r="O43" s="702"/>
      <c r="P43" s="702"/>
      <c r="Q43" s="271"/>
      <c r="R43" s="271"/>
      <c r="S43" s="271"/>
      <c r="T43" s="699"/>
      <c r="U43" s="818"/>
    </row>
    <row r="44" spans="1:21" ht="15.6">
      <c r="A44" s="827"/>
      <c r="B44" s="765"/>
      <c r="C44" s="799" t="s">
        <v>670</v>
      </c>
      <c r="D44" s="808"/>
      <c r="E44" s="769" t="str">
        <f>+'Appendix A'!E85</f>
        <v>(Note C &amp; Q)</v>
      </c>
      <c r="F44" s="791" t="s">
        <v>46</v>
      </c>
      <c r="G44" s="698"/>
      <c r="H44" s="698"/>
      <c r="I44" s="698"/>
      <c r="J44" s="698"/>
      <c r="K44" s="698"/>
      <c r="L44" s="698"/>
      <c r="M44" s="698"/>
      <c r="N44" s="698"/>
      <c r="O44" s="698"/>
      <c r="P44" s="698"/>
      <c r="Q44" s="696"/>
      <c r="R44" s="2426">
        <v>3111405</v>
      </c>
      <c r="S44" s="2426">
        <v>15473126</v>
      </c>
      <c r="T44" s="271">
        <f>+(R44+S44)/2</f>
        <v>9292265.5</v>
      </c>
      <c r="U44" s="795"/>
    </row>
    <row r="45" spans="1:21" ht="15.6">
      <c r="A45" s="790"/>
      <c r="B45" s="765"/>
      <c r="C45" s="799"/>
      <c r="D45" s="808"/>
      <c r="E45" s="769"/>
      <c r="F45" s="791"/>
      <c r="G45" s="698"/>
      <c r="H45" s="698"/>
      <c r="I45" s="698"/>
      <c r="J45" s="698"/>
      <c r="K45" s="698"/>
      <c r="L45" s="698"/>
      <c r="M45" s="698"/>
      <c r="N45" s="698"/>
      <c r="O45" s="698"/>
      <c r="P45" s="698"/>
      <c r="Q45" s="271"/>
      <c r="R45" s="271"/>
      <c r="S45" s="271"/>
      <c r="T45" s="271"/>
      <c r="U45" s="795"/>
    </row>
    <row r="46" spans="1:21">
      <c r="A46" s="790">
        <f>+'Appendix A'!A85</f>
        <v>46</v>
      </c>
      <c r="B46" s="765"/>
      <c r="C46" s="828" t="s">
        <v>671</v>
      </c>
      <c r="D46" s="808"/>
      <c r="E46" s="765"/>
      <c r="F46" s="791"/>
      <c r="G46" s="698"/>
      <c r="H46" s="698"/>
      <c r="I46" s="698"/>
      <c r="J46" s="698"/>
      <c r="K46" s="698"/>
      <c r="L46" s="698"/>
      <c r="M46" s="698"/>
      <c r="N46" s="698"/>
      <c r="O46" s="698"/>
      <c r="P46" s="702"/>
      <c r="Q46" s="271"/>
      <c r="R46" s="2426">
        <v>930743.70999999973</v>
      </c>
      <c r="S46" s="2426">
        <v>13292465</v>
      </c>
      <c r="T46" s="271">
        <f>+(R46+S46)/2</f>
        <v>7111604.3549999995</v>
      </c>
      <c r="U46" s="795"/>
    </row>
    <row r="47" spans="1:21" ht="16.2" thickBot="1">
      <c r="A47" s="820"/>
      <c r="B47" s="829"/>
      <c r="C47" s="802"/>
      <c r="D47" s="806"/>
      <c r="E47" s="830"/>
      <c r="F47" s="803"/>
      <c r="G47" s="389"/>
      <c r="H47" s="389"/>
      <c r="I47" s="389"/>
      <c r="J47" s="821"/>
      <c r="K47" s="821"/>
      <c r="L47" s="821"/>
      <c r="M47" s="821"/>
      <c r="N47" s="821"/>
      <c r="O47" s="821"/>
      <c r="P47" s="821"/>
      <c r="Q47" s="389"/>
      <c r="R47" s="389"/>
      <c r="S47" s="389"/>
      <c r="T47" s="821"/>
      <c r="U47" s="825"/>
    </row>
    <row r="48" spans="1:21" ht="15.6">
      <c r="A48" s="765"/>
      <c r="B48" s="765"/>
      <c r="C48" s="799"/>
      <c r="D48" s="808"/>
      <c r="E48" s="769"/>
      <c r="F48" s="791"/>
      <c r="G48" s="271"/>
      <c r="H48" s="271"/>
      <c r="I48" s="271"/>
      <c r="J48" s="698"/>
      <c r="K48" s="698"/>
      <c r="L48" s="698"/>
      <c r="M48" s="698"/>
      <c r="N48" s="698"/>
      <c r="O48" s="698"/>
      <c r="P48" s="698"/>
      <c r="Q48" s="698"/>
      <c r="R48" s="698"/>
      <c r="S48" s="698"/>
      <c r="T48" s="698"/>
      <c r="U48" s="698"/>
    </row>
    <row r="49" spans="1:21" ht="15.6">
      <c r="A49" s="765"/>
      <c r="B49" s="765"/>
      <c r="C49" s="799"/>
      <c r="D49" s="808"/>
      <c r="E49" s="769"/>
      <c r="F49" s="791"/>
      <c r="G49" s="271"/>
      <c r="H49" s="271"/>
      <c r="I49" s="271"/>
      <c r="J49" s="698"/>
      <c r="K49" s="698"/>
      <c r="L49" s="698"/>
      <c r="M49" s="698"/>
      <c r="N49" s="698"/>
      <c r="O49" s="698"/>
      <c r="P49" s="698"/>
      <c r="Q49" s="698"/>
      <c r="R49" s="698"/>
      <c r="S49" s="698"/>
      <c r="T49" s="698"/>
      <c r="U49" s="698"/>
    </row>
    <row r="50" spans="1:21" ht="16.2" thickBot="1">
      <c r="A50" s="768" t="s">
        <v>156</v>
      </c>
    </row>
    <row r="51" spans="1:21" ht="31.8" thickBot="1">
      <c r="A51" s="773" t="s">
        <v>28</v>
      </c>
      <c r="B51" s="774" t="s">
        <v>29</v>
      </c>
      <c r="C51" s="774"/>
      <c r="D51" s="774"/>
      <c r="E51" s="775" t="s">
        <v>346</v>
      </c>
      <c r="F51" s="776" t="s">
        <v>30</v>
      </c>
      <c r="G51" s="775"/>
      <c r="H51" s="775"/>
      <c r="I51" s="775"/>
      <c r="J51" s="775"/>
      <c r="K51" s="775"/>
      <c r="L51" s="775"/>
      <c r="M51" s="775"/>
      <c r="N51" s="775"/>
      <c r="O51" s="775" t="s">
        <v>27</v>
      </c>
      <c r="P51" s="826" t="s">
        <v>140</v>
      </c>
      <c r="Q51" s="831" t="s">
        <v>141</v>
      </c>
      <c r="R51" s="826" t="s">
        <v>48</v>
      </c>
      <c r="S51" s="831" t="s">
        <v>467</v>
      </c>
      <c r="T51" s="832" t="s">
        <v>493</v>
      </c>
      <c r="U51" s="777"/>
    </row>
    <row r="52" spans="1:21" s="696" customFormat="1" ht="15.6">
      <c r="A52" s="833"/>
      <c r="B52" s="834" t="s">
        <v>156</v>
      </c>
      <c r="C52" s="835"/>
      <c r="D52" s="836"/>
      <c r="E52" s="837"/>
      <c r="F52" s="838"/>
      <c r="G52" s="836"/>
      <c r="H52" s="836"/>
      <c r="I52" s="836"/>
      <c r="J52" s="836"/>
      <c r="K52" s="836"/>
      <c r="L52" s="836"/>
      <c r="M52" s="839"/>
      <c r="N52" s="839"/>
      <c r="O52" s="836"/>
      <c r="P52" s="840"/>
      <c r="Q52" s="841"/>
      <c r="R52" s="836"/>
      <c r="S52" s="841"/>
      <c r="T52" s="838"/>
      <c r="U52" s="842"/>
    </row>
    <row r="53" spans="1:21" s="696" customFormat="1" ht="15.6">
      <c r="A53" s="843"/>
      <c r="B53" s="799"/>
      <c r="C53" s="844"/>
      <c r="D53" s="702"/>
      <c r="E53" s="700"/>
      <c r="F53" s="791"/>
      <c r="G53" s="702"/>
      <c r="H53" s="702"/>
      <c r="I53" s="702"/>
      <c r="J53" s="702"/>
      <c r="K53" s="702"/>
      <c r="L53" s="702"/>
      <c r="M53" s="845"/>
      <c r="N53" s="845"/>
      <c r="O53" s="702"/>
      <c r="P53" s="768"/>
      <c r="Q53" s="846"/>
      <c r="R53" s="702"/>
      <c r="S53" s="846"/>
      <c r="T53" s="791"/>
      <c r="U53" s="818"/>
    </row>
    <row r="54" spans="1:21" s="696" customFormat="1">
      <c r="A54" s="790">
        <f>+'Appendix A'!A88</f>
        <v>47</v>
      </c>
      <c r="B54" s="765"/>
      <c r="C54" s="702" t="s">
        <v>5</v>
      </c>
      <c r="D54" s="702"/>
      <c r="E54" s="700" t="str">
        <f>+'Appendix A'!E88</f>
        <v>(Note A &amp; Q)</v>
      </c>
      <c r="F54" s="791" t="s">
        <v>139</v>
      </c>
      <c r="G54" s="702"/>
      <c r="H54" s="702"/>
      <c r="I54" s="702"/>
      <c r="J54" s="702"/>
      <c r="K54" s="702"/>
      <c r="L54" s="702"/>
      <c r="M54" s="478"/>
      <c r="N54" s="478"/>
      <c r="O54" s="2426">
        <v>24102164</v>
      </c>
      <c r="P54" s="2426">
        <v>-5241241.67</v>
      </c>
      <c r="Q54" s="2426">
        <v>-1863641.3300000057</v>
      </c>
      <c r="R54" s="271">
        <f>+(P54+Q54)/2</f>
        <v>-3552441.5000000028</v>
      </c>
      <c r="S54" s="484">
        <f>+'Appendix A'!H16</f>
        <v>0.1470486672554692</v>
      </c>
      <c r="T54" s="478">
        <f>+R54*S54</f>
        <v>-522381.78807802027</v>
      </c>
      <c r="U54" s="847"/>
    </row>
    <row r="55" spans="1:21" s="696" customFormat="1" ht="15.6">
      <c r="A55" s="790"/>
      <c r="B55" s="765"/>
      <c r="C55" s="702"/>
      <c r="D55" s="702"/>
      <c r="E55" s="700"/>
      <c r="F55" s="702"/>
      <c r="G55" s="474"/>
      <c r="H55" s="474"/>
      <c r="I55" s="474"/>
      <c r="J55" s="848"/>
      <c r="K55" s="478"/>
      <c r="L55" s="702"/>
      <c r="M55" s="478"/>
      <c r="N55" s="478"/>
      <c r="O55" s="478"/>
      <c r="P55" s="478"/>
      <c r="Q55" s="478"/>
      <c r="R55" s="271"/>
      <c r="S55" s="484"/>
      <c r="T55" s="487"/>
      <c r="U55" s="847"/>
    </row>
    <row r="56" spans="1:21" s="696" customFormat="1" ht="15.6" thickBot="1">
      <c r="A56" s="820"/>
      <c r="B56" s="829"/>
      <c r="C56" s="829"/>
      <c r="D56" s="829"/>
      <c r="E56" s="829"/>
      <c r="F56" s="829"/>
      <c r="G56" s="829"/>
      <c r="H56" s="829"/>
      <c r="I56" s="829"/>
      <c r="J56" s="829"/>
      <c r="K56" s="829"/>
      <c r="L56" s="829"/>
      <c r="M56" s="829"/>
      <c r="N56" s="829"/>
      <c r="O56" s="829"/>
      <c r="P56" s="829"/>
      <c r="Q56" s="829"/>
      <c r="R56" s="829"/>
      <c r="S56" s="804"/>
      <c r="T56" s="804"/>
      <c r="U56" s="807"/>
    </row>
    <row r="57" spans="1:21" s="696" customFormat="1">
      <c r="A57" s="765"/>
      <c r="B57" s="765"/>
      <c r="C57" s="765"/>
      <c r="D57" s="765"/>
      <c r="E57" s="765"/>
      <c r="F57" s="765"/>
      <c r="G57" s="765"/>
      <c r="H57" s="765"/>
      <c r="I57" s="765"/>
      <c r="J57" s="765"/>
      <c r="K57" s="765"/>
      <c r="L57" s="765"/>
      <c r="M57" s="765"/>
      <c r="N57" s="765"/>
      <c r="O57" s="765"/>
      <c r="P57" s="765"/>
      <c r="Q57" s="765"/>
      <c r="R57" s="765"/>
      <c r="S57" s="702"/>
      <c r="T57" s="702"/>
      <c r="U57" s="702"/>
    </row>
    <row r="58" spans="1:21">
      <c r="A58" s="765"/>
      <c r="B58" s="698"/>
      <c r="C58" s="809"/>
      <c r="D58" s="698"/>
      <c r="E58" s="810"/>
      <c r="F58" s="811"/>
      <c r="G58" s="271"/>
      <c r="H58" s="271"/>
      <c r="I58" s="271"/>
      <c r="J58" s="271"/>
      <c r="K58" s="271"/>
      <c r="L58" s="271"/>
      <c r="M58" s="271"/>
      <c r="N58" s="271"/>
      <c r="O58" s="271"/>
      <c r="P58" s="271"/>
      <c r="Q58" s="271"/>
      <c r="R58" s="271"/>
      <c r="S58" s="271"/>
      <c r="T58" s="271"/>
      <c r="U58" s="698"/>
    </row>
    <row r="59" spans="1:21" ht="16.2" thickBot="1">
      <c r="A59" s="768" t="s">
        <v>154</v>
      </c>
      <c r="B59" s="698"/>
      <c r="C59" s="698"/>
      <c r="D59" s="698"/>
      <c r="E59" s="810"/>
      <c r="F59" s="698"/>
      <c r="G59" s="812"/>
      <c r="H59" s="2592"/>
      <c r="I59" s="2592"/>
      <c r="J59" s="2592"/>
      <c r="K59" s="2592"/>
      <c r="L59" s="2592"/>
      <c r="M59" s="2592"/>
      <c r="N59" s="2592"/>
      <c r="O59" s="2592"/>
      <c r="P59" s="2592"/>
      <c r="Q59" s="2592"/>
      <c r="R59" s="2592"/>
      <c r="S59" s="2592"/>
      <c r="T59" s="698"/>
      <c r="U59" s="698"/>
    </row>
    <row r="60" spans="1:21" ht="31.8" thickBot="1">
      <c r="A60" s="773" t="s">
        <v>28</v>
      </c>
      <c r="B60" s="774" t="s">
        <v>29</v>
      </c>
      <c r="C60" s="774"/>
      <c r="D60" s="774"/>
      <c r="E60" s="775" t="s">
        <v>346</v>
      </c>
      <c r="F60" s="776" t="s">
        <v>30</v>
      </c>
      <c r="G60" s="813"/>
      <c r="H60" s="813"/>
      <c r="I60" s="813"/>
      <c r="J60" s="813"/>
      <c r="K60" s="813"/>
      <c r="L60" s="813"/>
      <c r="M60" s="813"/>
      <c r="N60" s="813"/>
      <c r="O60" s="813"/>
      <c r="P60" s="813"/>
      <c r="Q60" s="813"/>
      <c r="R60" s="826" t="s">
        <v>47</v>
      </c>
      <c r="S60" s="826" t="s">
        <v>823</v>
      </c>
      <c r="T60" s="826" t="s">
        <v>32</v>
      </c>
      <c r="U60" s="777"/>
    </row>
    <row r="61" spans="1:21" s="696" customFormat="1">
      <c r="A61" s="790"/>
      <c r="B61" s="702"/>
      <c r="C61" s="786"/>
      <c r="D61" s="702"/>
      <c r="E61" s="700"/>
      <c r="F61" s="796"/>
      <c r="G61" s="702"/>
      <c r="H61" s="702"/>
      <c r="I61" s="702"/>
      <c r="J61" s="702"/>
      <c r="K61" s="702"/>
      <c r="L61" s="702"/>
      <c r="M61" s="702"/>
      <c r="N61" s="702"/>
      <c r="O61" s="702"/>
      <c r="P61" s="702"/>
      <c r="Q61" s="702"/>
      <c r="R61" s="271"/>
      <c r="S61" s="252"/>
      <c r="T61" s="252"/>
      <c r="U61" s="818"/>
    </row>
    <row r="62" spans="1:21" s="696" customFormat="1" ht="15.6">
      <c r="A62" s="790"/>
      <c r="B62" s="799" t="s">
        <v>154</v>
      </c>
      <c r="C62" s="786"/>
      <c r="D62" s="702"/>
      <c r="E62" s="700"/>
      <c r="F62" s="796"/>
      <c r="G62" s="702"/>
      <c r="H62" s="702"/>
      <c r="I62" s="702"/>
      <c r="J62" s="702"/>
      <c r="K62" s="702"/>
      <c r="L62" s="702"/>
      <c r="M62" s="702"/>
      <c r="N62" s="702"/>
      <c r="O62" s="702"/>
      <c r="P62" s="702"/>
      <c r="Q62" s="702"/>
      <c r="R62" s="271"/>
      <c r="S62" s="252"/>
      <c r="T62" s="252"/>
      <c r="U62" s="818"/>
    </row>
    <row r="63" spans="1:21" s="696" customFormat="1">
      <c r="A63" s="790"/>
      <c r="B63" s="702"/>
      <c r="C63" s="786"/>
      <c r="D63" s="702"/>
      <c r="E63" s="700"/>
      <c r="F63" s="796"/>
      <c r="G63" s="702"/>
      <c r="H63" s="702"/>
      <c r="I63" s="702"/>
      <c r="J63" s="702"/>
      <c r="K63" s="702"/>
      <c r="L63" s="702"/>
      <c r="M63" s="702"/>
      <c r="N63" s="702"/>
      <c r="O63" s="702"/>
      <c r="P63" s="702"/>
      <c r="Q63" s="702"/>
      <c r="R63" s="271"/>
      <c r="S63" s="252"/>
      <c r="T63" s="252"/>
      <c r="U63" s="818"/>
    </row>
    <row r="64" spans="1:21">
      <c r="A64" s="798">
        <f>+'Appendix A'!A91</f>
        <v>48</v>
      </c>
      <c r="B64" s="702"/>
      <c r="C64" s="786" t="s">
        <v>135</v>
      </c>
      <c r="D64" s="808"/>
      <c r="E64" s="700" t="str">
        <f>+'Appendix A'!E91</f>
        <v>(Note  Q)</v>
      </c>
      <c r="F64" s="808" t="s">
        <v>136</v>
      </c>
      <c r="G64" s="698"/>
      <c r="H64" s="698"/>
      <c r="I64" s="698"/>
      <c r="J64" s="271"/>
      <c r="K64" s="698"/>
      <c r="L64" s="698"/>
      <c r="M64" s="698"/>
      <c r="N64" s="698"/>
      <c r="O64" s="698"/>
      <c r="P64" s="698"/>
      <c r="Q64" s="698"/>
      <c r="R64" s="788">
        <v>0</v>
      </c>
      <c r="S64" s="788">
        <v>0</v>
      </c>
      <c r="T64" s="271">
        <f>(R64+S64)/2</f>
        <v>0</v>
      </c>
      <c r="U64" s="795"/>
    </row>
    <row r="65" spans="1:21">
      <c r="A65" s="798">
        <f>+'Appendix A'!A94</f>
        <v>51</v>
      </c>
      <c r="B65" s="702"/>
      <c r="C65" s="786" t="s">
        <v>131</v>
      </c>
      <c r="D65" s="808"/>
      <c r="E65" s="700" t="str">
        <f>+'Appendix A'!E94</f>
        <v>(Note  N &amp; Q))</v>
      </c>
      <c r="F65" s="808" t="s">
        <v>137</v>
      </c>
      <c r="G65" s="698"/>
      <c r="H65" s="698"/>
      <c r="I65" s="698"/>
      <c r="J65" s="271"/>
      <c r="K65" s="698"/>
      <c r="L65" s="698"/>
      <c r="M65" s="698"/>
      <c r="N65" s="698"/>
      <c r="O65" s="698"/>
      <c r="P65" s="698"/>
      <c r="Q65" s="698"/>
      <c r="R65" s="788">
        <v>8538089</v>
      </c>
      <c r="S65" s="788">
        <v>9654089</v>
      </c>
      <c r="T65" s="271">
        <f>(R65+S65)/2</f>
        <v>9096089</v>
      </c>
      <c r="U65" s="795"/>
    </row>
    <row r="66" spans="1:21" s="696" customFormat="1" ht="16.2" thickBot="1">
      <c r="A66" s="820"/>
      <c r="B66" s="849"/>
      <c r="C66" s="850"/>
      <c r="D66" s="806"/>
      <c r="E66" s="851"/>
      <c r="F66" s="806"/>
      <c r="G66" s="479"/>
      <c r="H66" s="479"/>
      <c r="I66" s="479"/>
      <c r="J66" s="479"/>
      <c r="K66" s="479"/>
      <c r="L66" s="479"/>
      <c r="M66" s="479"/>
      <c r="N66" s="479"/>
      <c r="O66" s="479"/>
      <c r="P66" s="479"/>
      <c r="Q66" s="479"/>
      <c r="R66" s="479"/>
      <c r="S66" s="389"/>
      <c r="T66" s="389"/>
      <c r="U66" s="480"/>
    </row>
    <row r="67" spans="1:21" s="698" customFormat="1" ht="15.6">
      <c r="A67" s="765"/>
      <c r="B67" s="785"/>
      <c r="C67" s="791"/>
      <c r="D67" s="808"/>
      <c r="E67" s="765"/>
      <c r="F67" s="764"/>
      <c r="G67" s="271"/>
      <c r="H67" s="271"/>
      <c r="I67" s="271"/>
      <c r="J67" s="271"/>
      <c r="K67" s="271"/>
      <c r="L67" s="271"/>
      <c r="M67" s="271"/>
      <c r="N67" s="271"/>
      <c r="O67" s="271"/>
      <c r="P67" s="271"/>
      <c r="Q67" s="271"/>
      <c r="R67" s="271"/>
      <c r="S67" s="271"/>
      <c r="T67" s="445"/>
      <c r="U67" s="852"/>
    </row>
    <row r="68" spans="1:21" s="698" customFormat="1" ht="15.6">
      <c r="A68" s="765"/>
      <c r="B68" s="785"/>
      <c r="C68" s="791"/>
      <c r="D68" s="808"/>
      <c r="E68" s="765"/>
      <c r="F68" s="764"/>
      <c r="G68" s="271"/>
      <c r="H68" s="271"/>
      <c r="I68" s="271"/>
      <c r="J68" s="271"/>
      <c r="K68" s="271"/>
      <c r="L68" s="271"/>
      <c r="M68" s="271"/>
      <c r="N68" s="271"/>
      <c r="O68" s="271"/>
      <c r="P68" s="271"/>
      <c r="Q68" s="271"/>
      <c r="R68" s="271"/>
      <c r="S68" s="271"/>
      <c r="T68" s="445"/>
      <c r="U68" s="852"/>
    </row>
    <row r="69" spans="1:21" ht="16.2" thickBot="1">
      <c r="A69" s="768" t="s">
        <v>816</v>
      </c>
    </row>
    <row r="70" spans="1:21" ht="31.8" thickBot="1">
      <c r="A70" s="773" t="s">
        <v>28</v>
      </c>
      <c r="B70" s="774" t="s">
        <v>29</v>
      </c>
      <c r="C70" s="774"/>
      <c r="D70" s="774"/>
      <c r="E70" s="775" t="s">
        <v>346</v>
      </c>
      <c r="F70" s="776" t="s">
        <v>30</v>
      </c>
      <c r="G70" s="775"/>
      <c r="H70" s="775"/>
      <c r="I70" s="775"/>
      <c r="J70" s="775"/>
      <c r="K70" s="775"/>
      <c r="L70" s="775"/>
      <c r="M70" s="775"/>
      <c r="N70" s="775"/>
      <c r="O70" s="775"/>
      <c r="P70" s="775"/>
      <c r="Q70" s="775"/>
      <c r="R70" s="826" t="s">
        <v>47</v>
      </c>
      <c r="S70" s="831" t="s">
        <v>823</v>
      </c>
      <c r="T70" s="826" t="s">
        <v>32</v>
      </c>
      <c r="U70" s="777"/>
    </row>
    <row r="71" spans="1:21" ht="15.6">
      <c r="A71" s="853"/>
      <c r="B71" s="834" t="s">
        <v>676</v>
      </c>
      <c r="C71" s="854"/>
      <c r="D71" s="855"/>
      <c r="E71" s="856"/>
      <c r="F71" s="857"/>
      <c r="G71" s="781"/>
      <c r="H71" s="781"/>
      <c r="I71" s="781"/>
      <c r="J71" s="857"/>
      <c r="K71" s="857"/>
      <c r="L71" s="857"/>
      <c r="M71" s="857"/>
      <c r="N71" s="857"/>
      <c r="O71" s="857"/>
      <c r="P71" s="857"/>
      <c r="Q71" s="857"/>
      <c r="R71" s="781"/>
      <c r="S71" s="781"/>
      <c r="T71" s="781"/>
      <c r="U71" s="783"/>
    </row>
    <row r="72" spans="1:21" ht="15.6">
      <c r="A72" s="827"/>
      <c r="B72" s="698"/>
      <c r="C72" s="698"/>
      <c r="D72" s="762"/>
      <c r="E72" s="810"/>
      <c r="F72" s="791"/>
      <c r="G72" s="698"/>
      <c r="H72" s="698"/>
      <c r="I72" s="698"/>
      <c r="J72" s="791"/>
      <c r="K72" s="791"/>
      <c r="L72" s="791"/>
      <c r="M72" s="791"/>
      <c r="N72" s="791"/>
      <c r="O72" s="791"/>
      <c r="P72" s="791"/>
      <c r="Q72" s="791"/>
      <c r="R72" s="698"/>
      <c r="S72" s="858"/>
      <c r="T72" s="698"/>
      <c r="U72" s="859"/>
    </row>
    <row r="73" spans="1:21" ht="15.6">
      <c r="A73" s="790">
        <f>+'Appendix A'!A103</f>
        <v>56</v>
      </c>
      <c r="B73" s="765"/>
      <c r="C73" s="799" t="s">
        <v>678</v>
      </c>
      <c r="D73" s="762"/>
      <c r="E73" s="765" t="str">
        <f>+'Appendix A'!E103</f>
        <v>(Note  N &amp; Q))</v>
      </c>
      <c r="F73" s="791" t="s">
        <v>49</v>
      </c>
      <c r="G73" s="698"/>
      <c r="H73" s="698"/>
      <c r="I73" s="698"/>
      <c r="J73" s="791"/>
      <c r="K73" s="791"/>
      <c r="L73" s="791"/>
      <c r="M73" s="791"/>
      <c r="N73" s="791"/>
      <c r="O73" s="791"/>
      <c r="P73" s="791"/>
      <c r="Q73" s="791"/>
      <c r="R73" s="788">
        <v>0</v>
      </c>
      <c r="S73" s="788">
        <v>0</v>
      </c>
      <c r="T73" s="477">
        <f>+R73+S73/2</f>
        <v>0</v>
      </c>
      <c r="U73" s="795"/>
    </row>
    <row r="74" spans="1:21" ht="16.2" thickBot="1">
      <c r="A74" s="820"/>
      <c r="B74" s="829"/>
      <c r="C74" s="802"/>
      <c r="D74" s="829"/>
      <c r="E74" s="829"/>
      <c r="F74" s="803"/>
      <c r="G74" s="821"/>
      <c r="H74" s="821"/>
      <c r="I74" s="860"/>
      <c r="J74" s="803"/>
      <c r="K74" s="803"/>
      <c r="L74" s="803"/>
      <c r="M74" s="803"/>
      <c r="N74" s="803"/>
      <c r="O74" s="803"/>
      <c r="P74" s="803"/>
      <c r="Q74" s="803"/>
      <c r="R74" s="803"/>
      <c r="S74" s="821"/>
      <c r="T74" s="2593"/>
      <c r="U74" s="2594"/>
    </row>
    <row r="75" spans="1:21" ht="15.6">
      <c r="A75" s="765"/>
      <c r="B75" s="765"/>
      <c r="C75" s="799"/>
      <c r="D75" s="765"/>
      <c r="E75" s="765"/>
      <c r="F75" s="791"/>
      <c r="G75" s="698"/>
      <c r="H75" s="698"/>
      <c r="I75" s="474"/>
      <c r="J75" s="791"/>
      <c r="K75" s="791"/>
      <c r="L75" s="791"/>
      <c r="M75" s="791"/>
      <c r="N75" s="791"/>
      <c r="O75" s="791"/>
      <c r="P75" s="791"/>
      <c r="Q75" s="791"/>
      <c r="R75" s="791"/>
      <c r="S75" s="698"/>
      <c r="T75" s="699"/>
      <c r="U75" s="699"/>
    </row>
    <row r="76" spans="1:21" s="698" customFormat="1" ht="15.6">
      <c r="A76" s="765"/>
      <c r="B76" s="785"/>
      <c r="C76" s="791"/>
      <c r="D76" s="808"/>
      <c r="E76" s="765"/>
      <c r="F76" s="764"/>
      <c r="G76" s="271"/>
      <c r="H76" s="271"/>
      <c r="I76" s="271"/>
      <c r="J76" s="271"/>
      <c r="K76" s="271"/>
      <c r="L76" s="271"/>
      <c r="M76" s="271"/>
      <c r="N76" s="271"/>
      <c r="O76" s="271"/>
      <c r="P76" s="271"/>
      <c r="Q76" s="271"/>
      <c r="R76" s="271"/>
      <c r="S76" s="271"/>
      <c r="T76" s="445"/>
      <c r="U76" s="852"/>
    </row>
    <row r="77" spans="1:21" ht="16.2" thickBot="1">
      <c r="A77" s="768" t="s">
        <v>40</v>
      </c>
      <c r="B77" s="698"/>
      <c r="C77" s="698"/>
      <c r="D77" s="698"/>
      <c r="E77" s="810"/>
      <c r="F77" s="698"/>
      <c r="G77" s="812"/>
    </row>
    <row r="78" spans="1:21" ht="31.8" thickBot="1">
      <c r="A78" s="773" t="s">
        <v>28</v>
      </c>
      <c r="B78" s="774" t="s">
        <v>29</v>
      </c>
      <c r="C78" s="774"/>
      <c r="D78" s="774"/>
      <c r="E78" s="775" t="s">
        <v>346</v>
      </c>
      <c r="F78" s="776" t="s">
        <v>30</v>
      </c>
      <c r="G78" s="813"/>
      <c r="H78" s="813"/>
      <c r="I78" s="813"/>
      <c r="J78" s="813"/>
      <c r="K78" s="813"/>
      <c r="L78" s="813"/>
      <c r="M78" s="813"/>
      <c r="N78" s="813"/>
      <c r="O78" s="813"/>
      <c r="P78" s="813"/>
      <c r="Q78" s="813"/>
      <c r="R78" s="813"/>
      <c r="S78" s="813"/>
      <c r="T78" s="775" t="s">
        <v>490</v>
      </c>
      <c r="U78" s="814"/>
    </row>
    <row r="79" spans="1:21">
      <c r="A79" s="790">
        <f>+'Appendix A'!A112</f>
        <v>59</v>
      </c>
      <c r="B79" s="698"/>
      <c r="C79" s="809" t="s">
        <v>258</v>
      </c>
      <c r="D79" s="698"/>
      <c r="E79" s="769" t="str">
        <f>+'Appendix A'!E112</f>
        <v>(Note  O)</v>
      </c>
      <c r="F79" s="906" t="s">
        <v>138</v>
      </c>
      <c r="G79" s="698"/>
      <c r="H79" s="698"/>
      <c r="I79" s="698"/>
      <c r="J79" s="698"/>
      <c r="K79" s="698"/>
      <c r="L79" s="698"/>
      <c r="M79" s="698"/>
      <c r="N79" s="698"/>
      <c r="O79" s="698"/>
      <c r="P79" s="698"/>
      <c r="Q79" s="698"/>
      <c r="R79" s="698"/>
      <c r="S79" s="698"/>
      <c r="T79" s="787">
        <v>88784825</v>
      </c>
      <c r="U79" s="795"/>
    </row>
    <row r="80" spans="1:21">
      <c r="A80" s="790">
        <f>+'Appendix A'!A113</f>
        <v>60</v>
      </c>
      <c r="B80" s="698"/>
      <c r="C80" s="809" t="s">
        <v>760</v>
      </c>
      <c r="D80" s="698"/>
      <c r="E80" s="810"/>
      <c r="F80" s="811" t="s">
        <v>41</v>
      </c>
      <c r="G80" s="698"/>
      <c r="H80" s="698"/>
      <c r="I80" s="698"/>
      <c r="J80" s="698"/>
      <c r="K80" s="698"/>
      <c r="L80" s="698"/>
      <c r="M80" s="698"/>
      <c r="N80" s="698"/>
      <c r="O80" s="698"/>
      <c r="P80" s="698"/>
      <c r="Q80" s="698"/>
      <c r="R80" s="698"/>
      <c r="S80" s="698"/>
      <c r="T80" s="787">
        <v>0</v>
      </c>
      <c r="U80" s="795"/>
    </row>
    <row r="81" spans="1:21" ht="15.6" thickBot="1">
      <c r="A81" s="820"/>
      <c r="B81" s="821"/>
      <c r="C81" s="822"/>
      <c r="D81" s="821"/>
      <c r="E81" s="823"/>
      <c r="F81" s="824"/>
      <c r="G81" s="389"/>
      <c r="H81" s="389"/>
      <c r="I81" s="389"/>
      <c r="J81" s="389"/>
      <c r="K81" s="389"/>
      <c r="L81" s="389"/>
      <c r="M81" s="389"/>
      <c r="N81" s="389"/>
      <c r="O81" s="389"/>
      <c r="P81" s="389"/>
      <c r="Q81" s="389"/>
      <c r="R81" s="389"/>
      <c r="S81" s="389"/>
      <c r="T81" s="389"/>
      <c r="U81" s="825"/>
    </row>
    <row r="82" spans="1:21">
      <c r="A82" s="765"/>
      <c r="B82" s="698"/>
      <c r="C82" s="809"/>
      <c r="D82" s="698"/>
      <c r="E82" s="810"/>
      <c r="F82" s="811"/>
      <c r="G82" s="271"/>
      <c r="H82" s="271"/>
      <c r="I82" s="271"/>
      <c r="J82" s="271"/>
      <c r="K82" s="271"/>
      <c r="L82" s="271"/>
      <c r="M82" s="271"/>
      <c r="N82" s="271"/>
      <c r="O82" s="271"/>
      <c r="P82" s="271"/>
      <c r="Q82" s="271"/>
      <c r="R82" s="271"/>
      <c r="S82" s="271"/>
      <c r="T82" s="271"/>
      <c r="U82" s="698"/>
    </row>
    <row r="83" spans="1:21">
      <c r="A83" s="765"/>
      <c r="B83" s="698"/>
      <c r="C83" s="809"/>
      <c r="D83" s="698"/>
      <c r="E83" s="810"/>
      <c r="F83" s="811"/>
      <c r="G83" s="271"/>
      <c r="H83" s="271"/>
      <c r="I83" s="271"/>
      <c r="J83" s="271"/>
      <c r="K83" s="271"/>
      <c r="L83" s="271"/>
      <c r="M83" s="271"/>
      <c r="N83" s="271"/>
      <c r="O83" s="271"/>
      <c r="P83" s="271"/>
      <c r="Q83" s="271"/>
      <c r="R83" s="271"/>
      <c r="S83" s="271"/>
      <c r="T83" s="271"/>
      <c r="U83" s="698"/>
    </row>
    <row r="84" spans="1:21" s="698" customFormat="1" ht="16.2" thickBot="1">
      <c r="A84" s="768" t="s">
        <v>491</v>
      </c>
      <c r="E84" s="810"/>
      <c r="G84" s="812"/>
      <c r="H84" s="271"/>
      <c r="I84" s="271"/>
      <c r="J84" s="271"/>
      <c r="K84" s="271"/>
      <c r="L84" s="271"/>
      <c r="M84" s="271"/>
      <c r="N84" s="271"/>
      <c r="O84" s="271"/>
      <c r="P84" s="271"/>
      <c r="Q84" s="271"/>
      <c r="R84" s="271"/>
      <c r="S84" s="271"/>
      <c r="T84" s="445"/>
      <c r="U84" s="852"/>
    </row>
    <row r="85" spans="1:21" s="698" customFormat="1" ht="31.8" thickBot="1">
      <c r="A85" s="773" t="s">
        <v>28</v>
      </c>
      <c r="B85" s="774" t="s">
        <v>29</v>
      </c>
      <c r="C85" s="774"/>
      <c r="D85" s="774"/>
      <c r="E85" s="775" t="s">
        <v>346</v>
      </c>
      <c r="F85" s="776" t="s">
        <v>30</v>
      </c>
      <c r="G85" s="813"/>
      <c r="H85" s="481"/>
      <c r="I85" s="481"/>
      <c r="J85" s="481"/>
      <c r="K85" s="481"/>
      <c r="L85" s="481"/>
      <c r="M85" s="481"/>
      <c r="N85" s="481"/>
      <c r="O85" s="481"/>
      <c r="P85" s="481"/>
      <c r="Q85" s="481"/>
      <c r="R85" s="481"/>
      <c r="S85" s="481"/>
      <c r="T85" s="775" t="s">
        <v>490</v>
      </c>
      <c r="U85" s="777"/>
    </row>
    <row r="86" spans="1:21" s="698" customFormat="1">
      <c r="A86" s="784"/>
      <c r="C86" s="800"/>
      <c r="D86" s="770"/>
      <c r="E86" s="810"/>
      <c r="F86" s="770"/>
      <c r="H86" s="271"/>
      <c r="I86" s="271"/>
      <c r="J86" s="271"/>
      <c r="K86" s="271"/>
      <c r="L86" s="271"/>
      <c r="M86" s="271"/>
      <c r="N86" s="271"/>
      <c r="O86" s="271"/>
      <c r="P86" s="271"/>
      <c r="Q86" s="271"/>
      <c r="R86" s="271"/>
      <c r="S86" s="271"/>
      <c r="T86" s="808"/>
      <c r="U86" s="866"/>
    </row>
    <row r="87" spans="1:21" s="698" customFormat="1" ht="15.6">
      <c r="A87" s="784"/>
      <c r="B87" s="867"/>
      <c r="C87" s="800"/>
      <c r="D87" s="770"/>
      <c r="E87" s="810"/>
      <c r="F87" s="770"/>
      <c r="H87" s="271"/>
      <c r="I87" s="271"/>
      <c r="J87" s="271"/>
      <c r="K87" s="271"/>
      <c r="L87" s="271"/>
      <c r="M87" s="271"/>
      <c r="N87" s="271"/>
      <c r="O87" s="271"/>
      <c r="P87" s="271"/>
      <c r="Q87" s="271"/>
      <c r="R87" s="271"/>
      <c r="S87" s="271"/>
      <c r="T87" s="808"/>
      <c r="U87" s="866"/>
    </row>
    <row r="88" spans="1:21" s="698" customFormat="1" ht="15.6">
      <c r="A88" s="784">
        <f>+'Appendix A'!A120</f>
        <v>65</v>
      </c>
      <c r="B88" s="867"/>
      <c r="C88" s="800" t="s">
        <v>492</v>
      </c>
      <c r="D88" s="770"/>
      <c r="E88" s="769" t="s">
        <v>594</v>
      </c>
      <c r="F88" s="770" t="s">
        <v>201</v>
      </c>
      <c r="H88" s="271"/>
      <c r="I88" s="271"/>
      <c r="J88" s="271"/>
      <c r="K88" s="271"/>
      <c r="L88" s="271"/>
      <c r="M88" s="271"/>
      <c r="N88" s="271"/>
      <c r="O88" s="271"/>
      <c r="P88" s="271"/>
      <c r="Q88" s="271"/>
      <c r="R88" s="271"/>
      <c r="S88" s="271"/>
      <c r="T88" s="787">
        <v>5390040</v>
      </c>
      <c r="U88" s="866"/>
    </row>
    <row r="89" spans="1:21" s="698" customFormat="1" ht="16.2" thickBot="1">
      <c r="A89" s="820"/>
      <c r="B89" s="849"/>
      <c r="C89" s="803"/>
      <c r="D89" s="806"/>
      <c r="E89" s="829"/>
      <c r="F89" s="868"/>
      <c r="G89" s="389"/>
      <c r="H89" s="389"/>
      <c r="I89" s="389"/>
      <c r="J89" s="389"/>
      <c r="K89" s="389"/>
      <c r="L89" s="389"/>
      <c r="M89" s="389"/>
      <c r="N89" s="389"/>
      <c r="O89" s="389"/>
      <c r="P89" s="389"/>
      <c r="Q89" s="389"/>
      <c r="R89" s="389"/>
      <c r="S89" s="389"/>
      <c r="T89" s="482"/>
      <c r="U89" s="869"/>
    </row>
    <row r="90" spans="1:21" ht="15.6">
      <c r="A90" s="765"/>
      <c r="B90" s="765"/>
      <c r="C90" s="799"/>
      <c r="D90" s="765"/>
      <c r="E90" s="765"/>
      <c r="F90" s="791"/>
      <c r="G90" s="698"/>
      <c r="H90" s="698"/>
      <c r="I90" s="474"/>
      <c r="J90" s="791"/>
      <c r="K90" s="791"/>
      <c r="L90" s="791"/>
      <c r="M90" s="791"/>
      <c r="N90" s="791"/>
      <c r="O90" s="791"/>
      <c r="P90" s="791"/>
      <c r="Q90" s="791"/>
      <c r="R90" s="791"/>
      <c r="S90" s="698"/>
      <c r="T90" s="699"/>
      <c r="U90" s="699"/>
    </row>
    <row r="91" spans="1:21" ht="16.2" thickBot="1">
      <c r="A91" s="768" t="s">
        <v>835</v>
      </c>
    </row>
    <row r="92" spans="1:21" ht="31.8" thickBot="1">
      <c r="A92" s="773" t="s">
        <v>28</v>
      </c>
      <c r="B92" s="774" t="s">
        <v>29</v>
      </c>
      <c r="C92" s="774"/>
      <c r="D92" s="774"/>
      <c r="E92" s="775" t="s">
        <v>346</v>
      </c>
      <c r="F92" s="776" t="s">
        <v>30</v>
      </c>
      <c r="G92" s="775"/>
      <c r="H92" s="775"/>
      <c r="I92" s="775"/>
      <c r="J92" s="775"/>
      <c r="K92" s="775"/>
      <c r="L92" s="775"/>
      <c r="M92" s="775"/>
      <c r="N92" s="775"/>
      <c r="O92" s="775"/>
      <c r="P92" s="775"/>
      <c r="Q92" s="775"/>
      <c r="R92" s="775"/>
      <c r="S92" s="826" t="s">
        <v>490</v>
      </c>
      <c r="T92" s="2595"/>
      <c r="U92" s="2596"/>
    </row>
    <row r="93" spans="1:21" ht="15.6">
      <c r="A93" s="790"/>
      <c r="B93" s="799"/>
      <c r="C93" s="765"/>
      <c r="D93" s="765"/>
      <c r="E93" s="765"/>
      <c r="F93" s="765"/>
      <c r="G93" s="765"/>
      <c r="H93" s="765"/>
      <c r="I93" s="765"/>
      <c r="J93" s="765"/>
      <c r="K93" s="765"/>
      <c r="L93" s="765"/>
      <c r="M93" s="765"/>
      <c r="N93" s="765"/>
      <c r="O93" s="765"/>
      <c r="P93" s="765"/>
      <c r="Q93" s="765"/>
      <c r="R93" s="765"/>
      <c r="S93" s="698"/>
      <c r="T93" s="698"/>
      <c r="U93" s="795"/>
    </row>
    <row r="94" spans="1:21" ht="15.6">
      <c r="A94" s="790">
        <f>+'Appendix A'!A117</f>
        <v>62</v>
      </c>
      <c r="B94" s="765"/>
      <c r="C94" s="791" t="s">
        <v>50</v>
      </c>
      <c r="D94" s="765"/>
      <c r="E94" s="765"/>
      <c r="F94" s="791" t="s">
        <v>51</v>
      </c>
      <c r="G94" s="791"/>
      <c r="H94" s="791"/>
      <c r="I94" s="791"/>
      <c r="J94" s="791"/>
      <c r="K94" s="791"/>
      <c r="L94" s="791"/>
      <c r="M94" s="791"/>
      <c r="N94" s="791"/>
      <c r="O94" s="791"/>
      <c r="P94" s="791"/>
      <c r="Q94" s="791"/>
      <c r="R94" s="791"/>
      <c r="S94" s="787">
        <v>156848386</v>
      </c>
      <c r="T94" s="2587"/>
      <c r="U94" s="2588"/>
    </row>
    <row r="95" spans="1:21" ht="15.6">
      <c r="A95" s="790"/>
      <c r="B95" s="765"/>
      <c r="C95" s="791"/>
      <c r="D95" s="765"/>
      <c r="E95" s="765"/>
      <c r="F95" s="791"/>
      <c r="G95" s="791"/>
      <c r="H95" s="791"/>
      <c r="I95" s="791"/>
      <c r="J95" s="791"/>
      <c r="K95" s="791"/>
      <c r="L95" s="791"/>
      <c r="M95" s="791"/>
      <c r="N95" s="791"/>
      <c r="O95" s="791"/>
      <c r="P95" s="791"/>
      <c r="Q95" s="791"/>
      <c r="R95" s="791"/>
      <c r="S95" s="787"/>
      <c r="T95" s="699"/>
      <c r="U95" s="847"/>
    </row>
    <row r="96" spans="1:21" ht="15.6">
      <c r="A96" s="790">
        <f>+'Appendix A'!A118</f>
        <v>63</v>
      </c>
      <c r="B96" s="765"/>
      <c r="C96" s="764" t="s">
        <v>417</v>
      </c>
      <c r="D96" s="271"/>
      <c r="E96" s="765" t="s">
        <v>595</v>
      </c>
      <c r="F96" s="791" t="s">
        <v>196</v>
      </c>
      <c r="G96" s="791"/>
      <c r="H96" s="791"/>
      <c r="I96" s="791"/>
      <c r="J96" s="791"/>
      <c r="K96" s="791"/>
      <c r="L96" s="791"/>
      <c r="M96" s="791"/>
      <c r="N96" s="791"/>
      <c r="O96" s="791"/>
      <c r="P96" s="791"/>
      <c r="Q96" s="791"/>
      <c r="R96" s="791"/>
      <c r="S96" s="787">
        <v>42000000</v>
      </c>
      <c r="T96" s="699"/>
      <c r="U96" s="847"/>
    </row>
    <row r="97" spans="1:21">
      <c r="A97" s="790">
        <f>+'Appendix A'!A119</f>
        <v>64</v>
      </c>
      <c r="B97" s="765"/>
      <c r="C97" s="764" t="s">
        <v>418</v>
      </c>
      <c r="D97" s="271"/>
      <c r="E97" s="765" t="s">
        <v>594</v>
      </c>
      <c r="F97" s="791" t="s">
        <v>196</v>
      </c>
      <c r="G97" s="765"/>
      <c r="H97" s="765"/>
      <c r="I97" s="765"/>
      <c r="J97" s="765"/>
      <c r="K97" s="765"/>
      <c r="L97" s="765"/>
      <c r="M97" s="765"/>
      <c r="N97" s="765"/>
      <c r="O97" s="765"/>
      <c r="P97" s="765"/>
      <c r="Q97" s="765"/>
      <c r="R97" s="791"/>
      <c r="S97" s="787">
        <v>28522987.240000002</v>
      </c>
      <c r="T97" s="698"/>
      <c r="U97" s="795"/>
    </row>
    <row r="98" spans="1:21" ht="15.6" thickBot="1">
      <c r="A98" s="820"/>
      <c r="B98" s="829"/>
      <c r="C98" s="829"/>
      <c r="D98" s="829"/>
      <c r="E98" s="829"/>
      <c r="F98" s="829"/>
      <c r="G98" s="829"/>
      <c r="H98" s="829"/>
      <c r="I98" s="829"/>
      <c r="J98" s="829"/>
      <c r="K98" s="829"/>
      <c r="L98" s="829"/>
      <c r="M98" s="829"/>
      <c r="N98" s="829"/>
      <c r="O98" s="829"/>
      <c r="P98" s="829"/>
      <c r="Q98" s="829"/>
      <c r="R98" s="829"/>
      <c r="S98" s="821"/>
      <c r="T98" s="821"/>
      <c r="U98" s="825"/>
    </row>
    <row r="101" spans="1:21" ht="16.2" thickBot="1">
      <c r="A101" s="768" t="s">
        <v>812</v>
      </c>
    </row>
    <row r="102" spans="1:21" ht="31.8" thickBot="1">
      <c r="A102" s="773" t="s">
        <v>28</v>
      </c>
      <c r="B102" s="774" t="s">
        <v>29</v>
      </c>
      <c r="C102" s="774"/>
      <c r="D102" s="774"/>
      <c r="E102" s="775" t="s">
        <v>346</v>
      </c>
      <c r="F102" s="776" t="s">
        <v>30</v>
      </c>
      <c r="G102" s="775"/>
      <c r="H102" s="775"/>
      <c r="I102" s="775"/>
      <c r="J102" s="775"/>
      <c r="K102" s="775"/>
      <c r="L102" s="775"/>
      <c r="M102" s="775"/>
      <c r="N102" s="775"/>
      <c r="O102" s="775"/>
      <c r="P102" s="775"/>
      <c r="Q102" s="775"/>
      <c r="R102" s="775"/>
      <c r="S102" s="826" t="s">
        <v>490</v>
      </c>
      <c r="T102" s="826" t="s">
        <v>703</v>
      </c>
      <c r="U102" s="777"/>
    </row>
    <row r="103" spans="1:21" s="696" customFormat="1" ht="15.6">
      <c r="A103" s="870"/>
      <c r="B103" s="871"/>
      <c r="C103" s="871"/>
      <c r="D103" s="871"/>
      <c r="E103" s="872"/>
      <c r="F103" s="873"/>
      <c r="G103" s="872"/>
      <c r="H103" s="872"/>
      <c r="I103" s="872"/>
      <c r="J103" s="872"/>
      <c r="K103" s="872"/>
      <c r="L103" s="872"/>
      <c r="M103" s="872"/>
      <c r="N103" s="872"/>
      <c r="O103" s="872"/>
      <c r="P103" s="872"/>
      <c r="Q103" s="872"/>
      <c r="R103" s="872"/>
      <c r="S103" s="874"/>
      <c r="T103" s="874"/>
      <c r="U103" s="875"/>
    </row>
    <row r="104" spans="1:21" ht="15.6">
      <c r="A104" s="790"/>
      <c r="B104" s="785" t="s">
        <v>133</v>
      </c>
      <c r="C104" s="808"/>
      <c r="D104" s="808"/>
      <c r="E104" s="793"/>
      <c r="F104" s="808"/>
      <c r="G104" s="808"/>
      <c r="H104" s="808"/>
      <c r="I104" s="808"/>
      <c r="J104" s="808"/>
      <c r="K104" s="808"/>
      <c r="L104" s="808"/>
      <c r="M104" s="808"/>
      <c r="N104" s="808"/>
      <c r="O104" s="808"/>
      <c r="P104" s="808"/>
      <c r="Q104" s="808"/>
      <c r="R104" s="808"/>
      <c r="S104" s="698"/>
      <c r="T104" s="698"/>
      <c r="U104" s="795"/>
    </row>
    <row r="105" spans="1:21" ht="15.6">
      <c r="A105" s="790"/>
      <c r="B105" s="785"/>
      <c r="C105" s="808"/>
      <c r="D105" s="808"/>
      <c r="E105" s="793"/>
      <c r="F105" s="808"/>
      <c r="G105" s="808"/>
      <c r="H105" s="808"/>
      <c r="I105" s="808"/>
      <c r="J105" s="808"/>
      <c r="K105" s="808"/>
      <c r="L105" s="808"/>
      <c r="M105" s="808"/>
      <c r="N105" s="808"/>
      <c r="O105" s="808"/>
      <c r="P105" s="808"/>
      <c r="Q105" s="808"/>
      <c r="R105" s="808"/>
      <c r="S105" s="698"/>
      <c r="T105" s="702"/>
      <c r="U105" s="818"/>
    </row>
    <row r="106" spans="1:21">
      <c r="A106" s="790">
        <f>+'Appendix A'!A121</f>
        <v>66</v>
      </c>
      <c r="B106" s="765"/>
      <c r="C106" s="791" t="s">
        <v>358</v>
      </c>
      <c r="D106" s="796"/>
      <c r="E106" s="765" t="str">
        <f>+'Appendix A'!E121</f>
        <v>(Note E &amp; O)</v>
      </c>
      <c r="F106" s="791" t="s">
        <v>399</v>
      </c>
      <c r="G106" s="791"/>
      <c r="H106" s="791"/>
      <c r="I106" s="791"/>
      <c r="J106" s="791"/>
      <c r="K106" s="791"/>
      <c r="L106" s="791"/>
      <c r="M106" s="791"/>
      <c r="N106" s="791"/>
      <c r="O106" s="791"/>
      <c r="P106" s="791"/>
      <c r="Q106" s="791"/>
      <c r="R106" s="791"/>
      <c r="S106" s="788">
        <v>13194579</v>
      </c>
      <c r="T106" s="788">
        <v>0</v>
      </c>
      <c r="U106" s="876"/>
    </row>
    <row r="107" spans="1:21" ht="15.6">
      <c r="A107" s="790"/>
      <c r="B107" s="765"/>
      <c r="C107" s="791"/>
      <c r="D107" s="796"/>
      <c r="E107" s="765"/>
      <c r="F107" s="791"/>
      <c r="G107" s="791"/>
      <c r="H107" s="791"/>
      <c r="I107" s="791"/>
      <c r="J107" s="791"/>
      <c r="K107" s="791"/>
      <c r="L107" s="791"/>
      <c r="M107" s="791"/>
      <c r="N107" s="791"/>
      <c r="O107" s="791"/>
      <c r="P107" s="791"/>
      <c r="Q107" s="791"/>
      <c r="R107" s="791"/>
      <c r="S107" s="1135"/>
      <c r="T107" s="816"/>
      <c r="U107" s="876"/>
    </row>
    <row r="108" spans="1:21" ht="15.6">
      <c r="A108" s="790"/>
      <c r="B108" s="785" t="s">
        <v>132</v>
      </c>
      <c r="C108" s="786"/>
      <c r="D108" s="808"/>
      <c r="E108" s="852"/>
      <c r="F108" s="800"/>
      <c r="G108" s="800"/>
      <c r="H108" s="800"/>
      <c r="I108" s="800"/>
      <c r="J108" s="800"/>
      <c r="K108" s="800"/>
      <c r="L108" s="800"/>
      <c r="M108" s="800"/>
      <c r="N108" s="800"/>
      <c r="O108" s="800"/>
      <c r="P108" s="800"/>
      <c r="Q108" s="800"/>
      <c r="R108" s="800"/>
      <c r="S108" s="771"/>
      <c r="T108" s="771"/>
      <c r="U108" s="877"/>
    </row>
    <row r="109" spans="1:21" ht="15.6">
      <c r="A109" s="790"/>
      <c r="B109" s="785"/>
      <c r="C109" s="786"/>
      <c r="D109" s="808"/>
      <c r="E109" s="852"/>
      <c r="F109" s="800"/>
      <c r="G109" s="800"/>
      <c r="H109" s="800"/>
      <c r="I109" s="800"/>
      <c r="J109" s="800"/>
      <c r="K109" s="800"/>
      <c r="L109" s="800"/>
      <c r="M109" s="800"/>
      <c r="N109" s="800"/>
      <c r="O109" s="800"/>
      <c r="P109" s="800"/>
      <c r="Q109" s="800"/>
      <c r="R109" s="800"/>
      <c r="S109" s="771"/>
      <c r="T109" s="771"/>
      <c r="U109" s="877"/>
    </row>
    <row r="110" spans="1:21">
      <c r="A110" s="790">
        <f>+'Appendix A'!A129</f>
        <v>72</v>
      </c>
      <c r="B110" s="765"/>
      <c r="C110" s="791" t="str">
        <f>+'Appendix A'!C129</f>
        <v>Regulatory Commission Exp Account 928</v>
      </c>
      <c r="D110" s="700"/>
      <c r="E110" s="765" t="str">
        <f>+'Appendix A'!E129</f>
        <v>(Note G &amp; O)</v>
      </c>
      <c r="F110" s="791" t="s">
        <v>739</v>
      </c>
      <c r="G110" s="791"/>
      <c r="H110" s="791"/>
      <c r="I110" s="791"/>
      <c r="J110" s="791"/>
      <c r="K110" s="791"/>
      <c r="L110" s="791"/>
      <c r="M110" s="791"/>
      <c r="N110" s="791"/>
      <c r="O110" s="791"/>
      <c r="P110" s="791"/>
      <c r="Q110" s="791"/>
      <c r="R110" s="791"/>
      <c r="S110" s="787">
        <v>308984</v>
      </c>
      <c r="T110" s="787">
        <f>+S110</f>
        <v>308984</v>
      </c>
      <c r="U110" s="878"/>
    </row>
    <row r="111" spans="1:21" ht="15.6" thickBot="1">
      <c r="A111" s="879"/>
      <c r="B111" s="821"/>
      <c r="C111" s="821"/>
      <c r="D111" s="821"/>
      <c r="E111" s="823"/>
      <c r="F111" s="821"/>
      <c r="G111" s="821"/>
      <c r="H111" s="821"/>
      <c r="I111" s="821"/>
      <c r="J111" s="821"/>
      <c r="K111" s="821"/>
      <c r="L111" s="821"/>
      <c r="M111" s="821"/>
      <c r="N111" s="821"/>
      <c r="O111" s="821"/>
      <c r="P111" s="821"/>
      <c r="Q111" s="821"/>
      <c r="R111" s="821"/>
      <c r="S111" s="821"/>
      <c r="T111" s="821"/>
      <c r="U111" s="825"/>
    </row>
    <row r="112" spans="1:21">
      <c r="A112" s="698"/>
      <c r="B112" s="698"/>
      <c r="C112" s="698"/>
      <c r="D112" s="698"/>
      <c r="E112" s="810"/>
      <c r="F112" s="698"/>
      <c r="G112" s="698"/>
      <c r="H112" s="698"/>
      <c r="I112" s="698"/>
      <c r="J112" s="698"/>
      <c r="K112" s="698"/>
      <c r="L112" s="698"/>
      <c r="M112" s="698"/>
      <c r="N112" s="698"/>
      <c r="O112" s="698"/>
      <c r="P112" s="698"/>
      <c r="Q112" s="698"/>
      <c r="R112" s="698"/>
      <c r="S112" s="698"/>
      <c r="T112" s="698"/>
      <c r="U112" s="698"/>
    </row>
    <row r="113" spans="1:21">
      <c r="A113" s="698"/>
      <c r="B113" s="698"/>
      <c r="C113" s="698"/>
      <c r="D113" s="698"/>
      <c r="E113" s="810"/>
      <c r="F113" s="698"/>
      <c r="G113" s="698"/>
      <c r="H113" s="698"/>
      <c r="I113" s="698"/>
      <c r="J113" s="698"/>
      <c r="K113" s="698"/>
      <c r="L113" s="698"/>
      <c r="M113" s="698"/>
      <c r="N113" s="698"/>
      <c r="O113" s="698"/>
      <c r="P113" s="698"/>
      <c r="Q113" s="698"/>
      <c r="R113" s="698"/>
      <c r="S113" s="698"/>
      <c r="T113" s="698"/>
      <c r="U113" s="698"/>
    </row>
    <row r="114" spans="1:21" s="698" customFormat="1" ht="16.2" thickBot="1">
      <c r="A114" s="880" t="s">
        <v>638</v>
      </c>
      <c r="E114" s="810"/>
      <c r="F114" s="791"/>
    </row>
    <row r="115" spans="1:21" ht="31.8" thickBot="1">
      <c r="A115" s="773" t="s">
        <v>28</v>
      </c>
      <c r="B115" s="774" t="s">
        <v>29</v>
      </c>
      <c r="C115" s="774"/>
      <c r="D115" s="774"/>
      <c r="E115" s="775" t="s">
        <v>346</v>
      </c>
      <c r="F115" s="776" t="s">
        <v>30</v>
      </c>
      <c r="G115" s="775"/>
      <c r="H115" s="775"/>
      <c r="I115" s="775"/>
      <c r="J115" s="775"/>
      <c r="K115" s="775"/>
      <c r="L115" s="775"/>
      <c r="M115" s="775"/>
      <c r="N115" s="775"/>
      <c r="O115" s="775"/>
      <c r="P115" s="775"/>
      <c r="Q115" s="775"/>
      <c r="R115" s="775"/>
      <c r="S115" s="826" t="s">
        <v>490</v>
      </c>
      <c r="T115" s="826" t="s">
        <v>695</v>
      </c>
      <c r="U115" s="777"/>
    </row>
    <row r="116" spans="1:21" s="696" customFormat="1" ht="15.6">
      <c r="A116" s="815"/>
      <c r="B116" s="701"/>
      <c r="C116" s="701"/>
      <c r="D116" s="701"/>
      <c r="E116" s="816"/>
      <c r="F116" s="817"/>
      <c r="G116" s="816"/>
      <c r="H116" s="816"/>
      <c r="I116" s="816"/>
      <c r="J116" s="816"/>
      <c r="K116" s="816"/>
      <c r="L116" s="816"/>
      <c r="M116" s="816"/>
      <c r="N116" s="816"/>
      <c r="O116" s="816"/>
      <c r="P116" s="816"/>
      <c r="Q116" s="816"/>
      <c r="R116" s="816"/>
      <c r="S116" s="699"/>
      <c r="T116" s="699"/>
      <c r="U116" s="859"/>
    </row>
    <row r="117" spans="1:21" ht="15.6">
      <c r="A117" s="790"/>
      <c r="B117" s="785"/>
      <c r="C117" s="808"/>
      <c r="D117" s="808"/>
      <c r="E117" s="793"/>
      <c r="F117" s="808"/>
      <c r="G117" s="808"/>
      <c r="H117" s="808"/>
      <c r="I117" s="808"/>
      <c r="J117" s="808"/>
      <c r="K117" s="808"/>
      <c r="L117" s="808"/>
      <c r="M117" s="808"/>
      <c r="N117" s="808"/>
      <c r="O117" s="808"/>
      <c r="P117" s="808"/>
      <c r="Q117" s="808"/>
      <c r="R117" s="808"/>
      <c r="S117" s="699"/>
      <c r="T117" s="698"/>
      <c r="U117" s="795"/>
    </row>
    <row r="118" spans="1:21">
      <c r="A118" s="790">
        <f>+'Appendix A'!A123</f>
        <v>68</v>
      </c>
      <c r="B118" s="765"/>
      <c r="C118" s="791" t="str">
        <f>+'Appendix A'!C123</f>
        <v xml:space="preserve">    Less EPRI Dues</v>
      </c>
      <c r="D118" s="698"/>
      <c r="E118" s="852" t="str">
        <f>+'Appendix A'!E123</f>
        <v>(Note D &amp; O)</v>
      </c>
      <c r="F118" s="811" t="s">
        <v>400</v>
      </c>
      <c r="G118" s="791"/>
      <c r="H118" s="791"/>
      <c r="I118" s="791"/>
      <c r="J118" s="791"/>
      <c r="K118" s="791"/>
      <c r="L118" s="791"/>
      <c r="M118" s="791"/>
      <c r="N118" s="791"/>
      <c r="O118" s="791"/>
      <c r="P118" s="791"/>
      <c r="Q118" s="791"/>
      <c r="R118" s="791"/>
      <c r="S118" s="788">
        <v>0</v>
      </c>
      <c r="T118" s="788">
        <v>0</v>
      </c>
      <c r="U118" s="881"/>
    </row>
    <row r="119" spans="1:21" ht="15.6" thickBot="1">
      <c r="A119" s="820"/>
      <c r="B119" s="829"/>
      <c r="C119" s="803"/>
      <c r="D119" s="821"/>
      <c r="E119" s="830"/>
      <c r="F119" s="824"/>
      <c r="G119" s="803"/>
      <c r="H119" s="803"/>
      <c r="I119" s="803"/>
      <c r="J119" s="803"/>
      <c r="K119" s="803"/>
      <c r="L119" s="803"/>
      <c r="M119" s="803"/>
      <c r="N119" s="803"/>
      <c r="O119" s="803"/>
      <c r="P119" s="803"/>
      <c r="Q119" s="803"/>
      <c r="R119" s="803"/>
      <c r="S119" s="389"/>
      <c r="T119" s="882"/>
      <c r="U119" s="883"/>
    </row>
    <row r="120" spans="1:21">
      <c r="F120" s="698"/>
      <c r="G120" s="698"/>
      <c r="H120" s="698"/>
      <c r="I120" s="698"/>
      <c r="J120" s="698"/>
      <c r="K120" s="698"/>
      <c r="L120" s="698"/>
      <c r="M120" s="698"/>
      <c r="N120" s="698"/>
      <c r="O120" s="698"/>
      <c r="P120" s="698"/>
      <c r="Q120" s="698"/>
      <c r="R120" s="698"/>
      <c r="S120" s="698"/>
      <c r="T120" s="698"/>
      <c r="U120" s="795"/>
    </row>
    <row r="121" spans="1:21">
      <c r="F121" s="698"/>
      <c r="G121" s="698"/>
      <c r="H121" s="698"/>
      <c r="I121" s="698"/>
      <c r="J121" s="698"/>
      <c r="K121" s="698"/>
      <c r="L121" s="698"/>
      <c r="M121" s="698"/>
      <c r="N121" s="698"/>
      <c r="O121" s="698"/>
      <c r="P121" s="698"/>
      <c r="Q121" s="698"/>
      <c r="R121" s="698"/>
      <c r="S121" s="698"/>
      <c r="T121" s="698"/>
      <c r="U121" s="795"/>
    </row>
    <row r="122" spans="1:21" ht="16.2" thickBot="1">
      <c r="A122" s="768" t="s">
        <v>813</v>
      </c>
      <c r="F122" s="698"/>
      <c r="G122" s="698"/>
      <c r="H122" s="698"/>
      <c r="I122" s="698"/>
      <c r="J122" s="698"/>
      <c r="K122" s="698"/>
      <c r="L122" s="698"/>
      <c r="M122" s="698"/>
      <c r="N122" s="698"/>
      <c r="O122" s="698"/>
      <c r="P122" s="698"/>
      <c r="Q122" s="698"/>
      <c r="R122" s="698"/>
      <c r="S122" s="698"/>
      <c r="T122" s="698"/>
      <c r="U122" s="795"/>
    </row>
    <row r="123" spans="1:21" ht="31.8" thickBot="1">
      <c r="A123" s="773" t="s">
        <v>28</v>
      </c>
      <c r="B123" s="774" t="s">
        <v>29</v>
      </c>
      <c r="C123" s="774"/>
      <c r="D123" s="774"/>
      <c r="E123" s="775" t="s">
        <v>346</v>
      </c>
      <c r="F123" s="776" t="s">
        <v>30</v>
      </c>
      <c r="G123" s="775"/>
      <c r="H123" s="775"/>
      <c r="I123" s="775"/>
      <c r="J123" s="775"/>
      <c r="K123" s="775"/>
      <c r="L123" s="775"/>
      <c r="M123" s="775"/>
      <c r="N123" s="775"/>
      <c r="O123" s="775"/>
      <c r="P123" s="775"/>
      <c r="Q123" s="775"/>
      <c r="R123" s="775"/>
      <c r="S123" s="826" t="s">
        <v>490</v>
      </c>
      <c r="T123" s="826" t="s">
        <v>704</v>
      </c>
      <c r="U123" s="777" t="s">
        <v>792</v>
      </c>
    </row>
    <row r="124" spans="1:21" s="696" customFormat="1" ht="15.6">
      <c r="A124" s="815"/>
      <c r="B124" s="701"/>
      <c r="C124" s="701"/>
      <c r="D124" s="701"/>
      <c r="E124" s="816"/>
      <c r="F124" s="817"/>
      <c r="G124" s="816"/>
      <c r="H124" s="816"/>
      <c r="I124" s="816"/>
      <c r="J124" s="816"/>
      <c r="K124" s="816"/>
      <c r="L124" s="816"/>
      <c r="M124" s="816"/>
      <c r="N124" s="816"/>
      <c r="O124" s="816"/>
      <c r="P124" s="816"/>
      <c r="Q124" s="816"/>
      <c r="R124" s="816"/>
      <c r="S124" s="699"/>
      <c r="T124" s="699"/>
      <c r="U124" s="859"/>
    </row>
    <row r="125" spans="1:21" ht="15.6">
      <c r="A125" s="790"/>
      <c r="B125" s="785" t="s">
        <v>132</v>
      </c>
      <c r="C125" s="702"/>
      <c r="D125" s="808"/>
      <c r="E125" s="852"/>
      <c r="F125" s="770"/>
      <c r="G125" s="770"/>
      <c r="H125" s="770"/>
      <c r="I125" s="770"/>
      <c r="J125" s="770"/>
      <c r="K125" s="770"/>
      <c r="L125" s="770"/>
      <c r="M125" s="770"/>
      <c r="N125" s="770"/>
      <c r="O125" s="770"/>
      <c r="P125" s="770"/>
      <c r="Q125" s="770"/>
      <c r="R125" s="770"/>
      <c r="S125" s="698"/>
      <c r="T125" s="698"/>
      <c r="U125" s="795"/>
    </row>
    <row r="126" spans="1:21" ht="15.6">
      <c r="A126" s="790"/>
      <c r="B126" s="785"/>
      <c r="C126" s="702"/>
      <c r="D126" s="808"/>
      <c r="E126" s="852"/>
      <c r="F126" s="770"/>
      <c r="G126" s="770"/>
      <c r="H126" s="770"/>
      <c r="I126" s="770"/>
      <c r="J126" s="770"/>
      <c r="K126" s="770"/>
      <c r="L126" s="770"/>
      <c r="M126" s="770"/>
      <c r="N126" s="770"/>
      <c r="O126" s="770"/>
      <c r="P126" s="770"/>
      <c r="Q126" s="770"/>
      <c r="R126" s="770"/>
      <c r="S126" s="698"/>
      <c r="T126" s="698"/>
      <c r="U126" s="795"/>
    </row>
    <row r="127" spans="1:21">
      <c r="A127" s="884">
        <f>+'Appendix A'!A130</f>
        <v>73</v>
      </c>
      <c r="B127" s="885"/>
      <c r="C127" s="769" t="s">
        <v>359</v>
      </c>
      <c r="D127" s="808"/>
      <c r="E127" s="769" t="str">
        <f>+'Appendix A'!E130</f>
        <v>(Note K &amp; O)</v>
      </c>
      <c r="F127" s="791" t="s">
        <v>214</v>
      </c>
      <c r="G127" s="809"/>
      <c r="H127" s="809"/>
      <c r="I127" s="809"/>
      <c r="J127" s="809"/>
      <c r="K127" s="809"/>
      <c r="L127" s="809"/>
      <c r="M127" s="809"/>
      <c r="N127" s="809"/>
      <c r="O127" s="809"/>
      <c r="P127" s="809"/>
      <c r="Q127" s="809"/>
      <c r="R127" s="809"/>
      <c r="S127" s="788">
        <v>3188462</v>
      </c>
      <c r="T127" s="788">
        <v>0</v>
      </c>
      <c r="U127" s="886">
        <f>+S127</f>
        <v>3188462</v>
      </c>
    </row>
    <row r="128" spans="1:21" ht="16.2" thickBot="1">
      <c r="A128" s="887"/>
      <c r="B128" s="888"/>
      <c r="C128" s="803"/>
      <c r="D128" s="806"/>
      <c r="E128" s="805"/>
      <c r="F128" s="803"/>
      <c r="G128" s="803"/>
      <c r="H128" s="803"/>
      <c r="I128" s="803"/>
      <c r="J128" s="803"/>
      <c r="K128" s="803"/>
      <c r="L128" s="803"/>
      <c r="M128" s="803"/>
      <c r="N128" s="803"/>
      <c r="O128" s="803"/>
      <c r="P128" s="803"/>
      <c r="Q128" s="803"/>
      <c r="R128" s="803"/>
      <c r="S128" s="889"/>
      <c r="T128" s="889"/>
      <c r="U128" s="890"/>
    </row>
    <row r="130" spans="1:21" ht="16.2" thickBot="1">
      <c r="A130" s="768" t="s">
        <v>814</v>
      </c>
    </row>
    <row r="131" spans="1:21" ht="31.8" thickBot="1">
      <c r="A131" s="773" t="s">
        <v>28</v>
      </c>
      <c r="B131" s="774" t="s">
        <v>29</v>
      </c>
      <c r="C131" s="774"/>
      <c r="D131" s="774"/>
      <c r="E131" s="775" t="s">
        <v>346</v>
      </c>
      <c r="F131" s="776" t="s">
        <v>30</v>
      </c>
      <c r="G131" s="775"/>
      <c r="H131" s="775"/>
      <c r="I131" s="775"/>
      <c r="J131" s="775"/>
      <c r="K131" s="775"/>
      <c r="L131" s="775"/>
      <c r="M131" s="775"/>
      <c r="N131" s="775"/>
      <c r="O131" s="775"/>
      <c r="P131" s="775"/>
      <c r="Q131" s="775"/>
      <c r="R131" s="775"/>
      <c r="S131" s="826" t="s">
        <v>490</v>
      </c>
      <c r="T131" s="826" t="s">
        <v>708</v>
      </c>
      <c r="U131" s="777" t="s">
        <v>709</v>
      </c>
    </row>
    <row r="132" spans="1:21" s="696" customFormat="1" ht="15.6">
      <c r="A132" s="815"/>
      <c r="B132" s="701"/>
      <c r="C132" s="701"/>
      <c r="D132" s="701"/>
      <c r="E132" s="816"/>
      <c r="F132" s="817"/>
      <c r="G132" s="816"/>
      <c r="H132" s="816"/>
      <c r="I132" s="816"/>
      <c r="J132" s="816"/>
      <c r="K132" s="816"/>
      <c r="L132" s="816"/>
      <c r="M132" s="816"/>
      <c r="N132" s="816"/>
      <c r="O132" s="816"/>
      <c r="P132" s="816"/>
      <c r="Q132" s="816"/>
      <c r="R132" s="816"/>
      <c r="S132" s="699"/>
      <c r="T132" s="699"/>
      <c r="U132" s="859"/>
    </row>
    <row r="133" spans="1:21" ht="15.6">
      <c r="A133" s="790"/>
      <c r="B133" s="785" t="s">
        <v>132</v>
      </c>
      <c r="C133" s="702"/>
      <c r="D133" s="808"/>
      <c r="E133" s="852"/>
      <c r="F133" s="770"/>
      <c r="G133" s="770"/>
      <c r="H133" s="770"/>
      <c r="I133" s="770"/>
      <c r="J133" s="770"/>
      <c r="K133" s="770"/>
      <c r="L133" s="770"/>
      <c r="M133" s="770"/>
      <c r="N133" s="770"/>
      <c r="O133" s="770"/>
      <c r="P133" s="770"/>
      <c r="Q133" s="770"/>
      <c r="R133" s="770"/>
      <c r="S133" s="698"/>
      <c r="T133" s="698"/>
      <c r="U133" s="795"/>
    </row>
    <row r="134" spans="1:21" ht="15.6">
      <c r="A134" s="790"/>
      <c r="B134" s="785"/>
      <c r="C134" s="702"/>
      <c r="D134" s="808"/>
      <c r="E134" s="793"/>
      <c r="F134" s="808"/>
      <c r="G134" s="770"/>
      <c r="H134" s="770"/>
      <c r="I134" s="770"/>
      <c r="J134" s="770"/>
      <c r="K134" s="770"/>
      <c r="L134" s="770"/>
      <c r="M134" s="770"/>
      <c r="N134" s="770"/>
      <c r="O134" s="770"/>
      <c r="P134" s="770"/>
      <c r="Q134" s="770"/>
      <c r="R134" s="770"/>
      <c r="S134" s="698"/>
      <c r="T134" s="698"/>
      <c r="U134" s="795"/>
    </row>
    <row r="135" spans="1:21">
      <c r="A135" s="884">
        <f>+'Appendix A'!A134</f>
        <v>76</v>
      </c>
      <c r="B135" s="885"/>
      <c r="C135" s="809" t="str">
        <f>+'Appendix A'!C134</f>
        <v>General Advertising Exp Account 930.1</v>
      </c>
      <c r="D135" s="808"/>
      <c r="E135" s="769" t="str">
        <f>+'Appendix A'!E130</f>
        <v>(Note K &amp; O)</v>
      </c>
      <c r="F135" s="809" t="s">
        <v>214</v>
      </c>
      <c r="G135" s="809"/>
      <c r="H135" s="809"/>
      <c r="I135" s="809"/>
      <c r="J135" s="809"/>
      <c r="K135" s="809"/>
      <c r="L135" s="809"/>
      <c r="M135" s="809"/>
      <c r="N135" s="809"/>
      <c r="O135" s="809"/>
      <c r="P135" s="809"/>
      <c r="Q135" s="809"/>
      <c r="R135" s="809"/>
      <c r="S135" s="788">
        <v>3188462</v>
      </c>
      <c r="T135" s="788">
        <v>0</v>
      </c>
      <c r="U135" s="891">
        <f>+S135-T135</f>
        <v>3188462</v>
      </c>
    </row>
    <row r="136" spans="1:21" ht="15.6" thickBot="1">
      <c r="A136" s="879"/>
      <c r="B136" s="821"/>
      <c r="C136" s="821"/>
      <c r="D136" s="821"/>
      <c r="E136" s="823"/>
      <c r="F136" s="821"/>
      <c r="G136" s="821"/>
      <c r="H136" s="821"/>
      <c r="I136" s="821"/>
      <c r="J136" s="821"/>
      <c r="K136" s="821"/>
      <c r="L136" s="821"/>
      <c r="M136" s="821"/>
      <c r="N136" s="821"/>
      <c r="O136" s="821"/>
      <c r="P136" s="821"/>
      <c r="Q136" s="821"/>
      <c r="R136" s="821"/>
      <c r="S136" s="821"/>
      <c r="T136" s="821"/>
      <c r="U136" s="825"/>
    </row>
    <row r="137" spans="1:21">
      <c r="A137" s="698"/>
      <c r="B137" s="698"/>
      <c r="C137" s="698"/>
      <c r="D137" s="698"/>
      <c r="E137" s="810"/>
      <c r="F137" s="698"/>
      <c r="G137" s="698"/>
      <c r="H137" s="698"/>
      <c r="I137" s="698"/>
      <c r="J137" s="698"/>
      <c r="K137" s="698"/>
      <c r="L137" s="698"/>
      <c r="M137" s="698"/>
      <c r="N137" s="698"/>
      <c r="O137" s="698"/>
      <c r="P137" s="698"/>
      <c r="Q137" s="698"/>
      <c r="R137" s="698"/>
      <c r="S137" s="698"/>
      <c r="T137" s="698"/>
      <c r="U137" s="698"/>
    </row>
    <row r="138" spans="1:21" s="698" customFormat="1" ht="15.6">
      <c r="A138" s="765"/>
      <c r="B138" s="785"/>
      <c r="C138" s="791"/>
      <c r="D138" s="808"/>
      <c r="E138" s="765"/>
      <c r="F138" s="764"/>
      <c r="G138" s="271"/>
      <c r="H138" s="271"/>
      <c r="I138" s="271"/>
      <c r="J138" s="271"/>
      <c r="K138" s="271"/>
      <c r="L138" s="271"/>
      <c r="M138" s="271"/>
      <c r="N138" s="271"/>
      <c r="O138" s="271"/>
      <c r="P138" s="271"/>
      <c r="Q138" s="271"/>
      <c r="R138" s="271"/>
      <c r="S138" s="271"/>
      <c r="T138" s="445"/>
      <c r="U138" s="852"/>
    </row>
    <row r="139" spans="1:21" s="698" customFormat="1" ht="16.2" thickBot="1">
      <c r="A139" s="768" t="s">
        <v>116</v>
      </c>
      <c r="E139" s="810"/>
      <c r="G139" s="812"/>
      <c r="H139" s="695"/>
      <c r="I139" s="695"/>
      <c r="J139" s="695"/>
      <c r="K139" s="695"/>
      <c r="L139" s="695"/>
      <c r="M139" s="695"/>
      <c r="N139" s="695"/>
      <c r="O139" s="695"/>
      <c r="P139" s="695"/>
      <c r="Q139" s="695"/>
      <c r="R139" s="695"/>
      <c r="S139" s="695"/>
      <c r="T139" s="695"/>
      <c r="U139" s="695"/>
    </row>
    <row r="140" spans="1:21" s="698" customFormat="1" ht="31.8" thickBot="1">
      <c r="A140" s="773" t="s">
        <v>28</v>
      </c>
      <c r="B140" s="774" t="s">
        <v>29</v>
      </c>
      <c r="C140" s="774"/>
      <c r="D140" s="774"/>
      <c r="E140" s="775" t="s">
        <v>346</v>
      </c>
      <c r="F140" s="776" t="s">
        <v>30</v>
      </c>
      <c r="G140" s="813"/>
      <c r="H140" s="813"/>
      <c r="I140" s="813"/>
      <c r="J140" s="813"/>
      <c r="K140" s="813"/>
      <c r="L140" s="813"/>
      <c r="M140" s="813"/>
      <c r="N140" s="813"/>
      <c r="O140" s="813"/>
      <c r="P140" s="813"/>
      <c r="Q140" s="813"/>
      <c r="R140" s="813"/>
      <c r="S140" s="813"/>
      <c r="T140" s="775" t="s">
        <v>490</v>
      </c>
      <c r="U140" s="814"/>
    </row>
    <row r="141" spans="1:21">
      <c r="A141" s="778"/>
      <c r="B141" s="781"/>
      <c r="C141" s="992"/>
      <c r="D141" s="780"/>
      <c r="E141" s="782"/>
      <c r="F141" s="780"/>
      <c r="G141" s="781"/>
      <c r="H141" s="781"/>
      <c r="I141" s="781"/>
      <c r="J141" s="781"/>
      <c r="K141" s="781"/>
      <c r="L141" s="781"/>
      <c r="M141" s="781"/>
      <c r="N141" s="781"/>
      <c r="O141" s="781"/>
      <c r="P141" s="781"/>
      <c r="Q141" s="781"/>
      <c r="R141" s="781"/>
      <c r="S141" s="781"/>
      <c r="T141" s="892"/>
      <c r="U141" s="783"/>
    </row>
    <row r="142" spans="1:21" ht="15.6">
      <c r="A142" s="784"/>
      <c r="B142" s="867" t="s">
        <v>116</v>
      </c>
      <c r="C142" s="800"/>
      <c r="D142" s="770"/>
      <c r="E142" s="810"/>
      <c r="F142" s="770"/>
      <c r="G142" s="698"/>
      <c r="H142" s="698"/>
      <c r="I142" s="698"/>
      <c r="J142" s="698"/>
      <c r="K142" s="698"/>
      <c r="L142" s="698"/>
      <c r="M142" s="698"/>
      <c r="N142" s="698"/>
      <c r="O142" s="698"/>
      <c r="P142" s="698"/>
      <c r="Q142" s="698"/>
      <c r="R142" s="698"/>
      <c r="S142" s="702"/>
      <c r="T142" s="808"/>
      <c r="U142" s="795"/>
    </row>
    <row r="143" spans="1:21" ht="15.6">
      <c r="A143" s="784"/>
      <c r="B143" s="867"/>
      <c r="C143" s="800"/>
      <c r="D143" s="770"/>
      <c r="E143" s="810"/>
      <c r="F143" s="770"/>
      <c r="G143" s="698"/>
      <c r="H143" s="698"/>
      <c r="I143" s="698"/>
      <c r="J143" s="698"/>
      <c r="K143" s="698"/>
      <c r="L143" s="698"/>
      <c r="M143" s="698"/>
      <c r="N143" s="698"/>
      <c r="O143" s="698"/>
      <c r="P143" s="698"/>
      <c r="Q143" s="698"/>
      <c r="R143" s="698"/>
      <c r="S143" s="702"/>
      <c r="T143" s="808"/>
      <c r="U143" s="795"/>
    </row>
    <row r="144" spans="1:21" s="696" customFormat="1" ht="15.6">
      <c r="A144" s="798">
        <f>+'Appendix A'!A144</f>
        <v>81</v>
      </c>
      <c r="B144" s="799"/>
      <c r="C144" s="786" t="s">
        <v>37</v>
      </c>
      <c r="D144" s="808"/>
      <c r="E144" s="765" t="str">
        <f>+'Appendix A'!E144</f>
        <v>(Note J &amp; O)</v>
      </c>
      <c r="F144" s="808" t="s">
        <v>202</v>
      </c>
      <c r="G144" s="702"/>
      <c r="H144" s="702"/>
      <c r="I144" s="702"/>
      <c r="J144" s="702"/>
      <c r="K144" s="702"/>
      <c r="L144" s="702"/>
      <c r="M144" s="702"/>
      <c r="N144" s="702"/>
      <c r="O144" s="702"/>
      <c r="P144" s="702"/>
      <c r="Q144" s="702"/>
      <c r="R144" s="702"/>
      <c r="S144" s="271"/>
      <c r="T144" s="788">
        <v>117406653</v>
      </c>
      <c r="U144" s="818"/>
    </row>
    <row r="145" spans="1:21" s="696" customFormat="1" ht="15.6">
      <c r="A145" s="798">
        <f>+'Appendix A'!A146</f>
        <v>82</v>
      </c>
      <c r="B145" s="799"/>
      <c r="C145" s="786" t="s">
        <v>758</v>
      </c>
      <c r="D145" s="808"/>
      <c r="E145" s="765" t="str">
        <f>+'Appendix A'!E146</f>
        <v>(Note J &amp; O)</v>
      </c>
      <c r="F145" s="808" t="s">
        <v>203</v>
      </c>
      <c r="G145" s="702"/>
      <c r="H145" s="702"/>
      <c r="I145" s="702"/>
      <c r="J145" s="702"/>
      <c r="K145" s="702"/>
      <c r="L145" s="702"/>
      <c r="M145" s="702"/>
      <c r="N145" s="702"/>
      <c r="O145" s="702"/>
      <c r="P145" s="702"/>
      <c r="Q145" s="702"/>
      <c r="R145" s="702"/>
      <c r="S145" s="271"/>
      <c r="T145" s="788">
        <v>15096739</v>
      </c>
      <c r="U145" s="818"/>
    </row>
    <row r="146" spans="1:21" ht="15.6">
      <c r="A146" s="784">
        <f>+'Appendix A'!A147</f>
        <v>83</v>
      </c>
      <c r="B146" s="867"/>
      <c r="C146" s="800" t="s">
        <v>759</v>
      </c>
      <c r="D146" s="770"/>
      <c r="E146" s="769" t="str">
        <f>+'Appendix A'!E147</f>
        <v>(Note J &amp; O)</v>
      </c>
      <c r="F146" s="808" t="s">
        <v>196</v>
      </c>
      <c r="G146" s="698"/>
      <c r="H146" s="698"/>
      <c r="I146" s="698"/>
      <c r="J146" s="698"/>
      <c r="K146" s="698"/>
      <c r="L146" s="698"/>
      <c r="M146" s="698"/>
      <c r="N146" s="698"/>
      <c r="O146" s="698"/>
      <c r="P146" s="698"/>
      <c r="Q146" s="698"/>
      <c r="R146" s="698"/>
      <c r="S146" s="271"/>
      <c r="T146" s="788">
        <v>1200172.011500001</v>
      </c>
      <c r="U146" s="795"/>
    </row>
    <row r="147" spans="1:21">
      <c r="A147" s="784">
        <f>+'Appendix A'!A149</f>
        <v>85</v>
      </c>
      <c r="B147" s="893"/>
      <c r="C147" s="809" t="s">
        <v>39</v>
      </c>
      <c r="D147" s="808"/>
      <c r="E147" s="769" t="str">
        <f>+'Appendix A'!E149</f>
        <v>(Note A &amp; O)</v>
      </c>
      <c r="F147" s="808" t="s">
        <v>204</v>
      </c>
      <c r="G147" s="698"/>
      <c r="H147" s="698"/>
      <c r="I147" s="698"/>
      <c r="J147" s="698"/>
      <c r="K147" s="698"/>
      <c r="L147" s="698"/>
      <c r="M147" s="698"/>
      <c r="N147" s="698"/>
      <c r="O147" s="698"/>
      <c r="P147" s="698"/>
      <c r="Q147" s="698"/>
      <c r="R147" s="698"/>
      <c r="S147" s="271"/>
      <c r="T147" s="788">
        <v>6228864</v>
      </c>
      <c r="U147" s="795"/>
    </row>
    <row r="148" spans="1:21">
      <c r="A148" s="784">
        <f>+'Appendix A'!A153</f>
        <v>89</v>
      </c>
      <c r="B148" s="893"/>
      <c r="C148" s="809" t="s">
        <v>142</v>
      </c>
      <c r="D148" s="808"/>
      <c r="E148" s="769" t="str">
        <f>+'Appendix A'!E153</f>
        <v>(Note J &amp; O)</v>
      </c>
      <c r="F148" s="808" t="s">
        <v>196</v>
      </c>
      <c r="G148" s="698"/>
      <c r="H148" s="698"/>
      <c r="I148" s="698"/>
      <c r="J148" s="698"/>
      <c r="K148" s="698"/>
      <c r="L148" s="698"/>
      <c r="M148" s="698"/>
      <c r="N148" s="698"/>
      <c r="O148" s="698"/>
      <c r="P148" s="698"/>
      <c r="Q148" s="698"/>
      <c r="R148" s="698"/>
      <c r="S148" s="271"/>
      <c r="T148" s="788">
        <v>1775012.17</v>
      </c>
      <c r="U148" s="795"/>
    </row>
    <row r="149" spans="1:21" ht="15.6" thickBot="1">
      <c r="A149" s="820"/>
      <c r="B149" s="888"/>
      <c r="C149" s="803"/>
      <c r="D149" s="806"/>
      <c r="E149" s="829"/>
      <c r="F149" s="868"/>
      <c r="G149" s="868"/>
      <c r="H149" s="821"/>
      <c r="I149" s="821"/>
      <c r="J149" s="821"/>
      <c r="K149" s="821"/>
      <c r="L149" s="821"/>
      <c r="M149" s="821"/>
      <c r="N149" s="821"/>
      <c r="O149" s="821"/>
      <c r="P149" s="821"/>
      <c r="Q149" s="821"/>
      <c r="R149" s="821"/>
      <c r="S149" s="821"/>
      <c r="T149" s="821"/>
      <c r="U149" s="825"/>
    </row>
    <row r="150" spans="1:21">
      <c r="A150" s="765"/>
      <c r="B150" s="885"/>
      <c r="C150" s="791"/>
      <c r="D150" s="808"/>
      <c r="E150" s="765"/>
      <c r="F150" s="764"/>
      <c r="G150" s="764"/>
      <c r="H150" s="764"/>
      <c r="I150" s="764"/>
      <c r="J150" s="764"/>
      <c r="K150" s="764"/>
      <c r="L150" s="764"/>
      <c r="M150" s="764"/>
      <c r="N150" s="764"/>
      <c r="O150" s="764"/>
      <c r="P150" s="764"/>
      <c r="Q150" s="764"/>
      <c r="R150" s="764"/>
      <c r="S150" s="852"/>
      <c r="T150" s="793"/>
      <c r="U150" s="852"/>
    </row>
    <row r="151" spans="1:21">
      <c r="A151" s="765"/>
      <c r="B151" s="885"/>
      <c r="C151" s="791"/>
      <c r="D151" s="808"/>
      <c r="E151" s="765"/>
      <c r="F151" s="764"/>
      <c r="G151" s="764"/>
      <c r="H151" s="764"/>
      <c r="I151" s="764"/>
      <c r="J151" s="764"/>
      <c r="K151" s="764"/>
      <c r="L151" s="764"/>
      <c r="M151" s="764"/>
      <c r="N151" s="764"/>
      <c r="O151" s="764"/>
      <c r="P151" s="764"/>
      <c r="Q151" s="764"/>
      <c r="R151" s="764"/>
      <c r="S151" s="852"/>
      <c r="T151" s="793"/>
      <c r="U151" s="852"/>
    </row>
    <row r="152" spans="1:21" ht="16.2" thickBot="1">
      <c r="A152" s="768" t="s">
        <v>144</v>
      </c>
    </row>
    <row r="153" spans="1:21" ht="31.8" thickBot="1">
      <c r="A153" s="773" t="s">
        <v>28</v>
      </c>
      <c r="B153" s="774" t="s">
        <v>29</v>
      </c>
      <c r="C153" s="774"/>
      <c r="D153" s="774"/>
      <c r="E153" s="775" t="s">
        <v>346</v>
      </c>
      <c r="F153" s="776" t="s">
        <v>30</v>
      </c>
      <c r="G153" s="775"/>
      <c r="H153" s="775"/>
      <c r="I153" s="775"/>
      <c r="J153" s="775"/>
      <c r="K153" s="775"/>
      <c r="L153" s="775"/>
      <c r="M153" s="775"/>
      <c r="N153" s="775"/>
      <c r="O153" s="775"/>
      <c r="P153" s="775"/>
      <c r="Q153" s="775"/>
      <c r="R153" s="775"/>
      <c r="S153" s="826" t="s">
        <v>490</v>
      </c>
      <c r="T153" s="826" t="s">
        <v>703</v>
      </c>
      <c r="U153" s="777" t="s">
        <v>761</v>
      </c>
    </row>
    <row r="154" spans="1:21">
      <c r="A154" s="865">
        <f>+'Appendix A'!A161</f>
        <v>92</v>
      </c>
      <c r="B154" s="894"/>
      <c r="C154" s="838" t="s">
        <v>143</v>
      </c>
      <c r="D154" s="894"/>
      <c r="E154" s="894"/>
      <c r="F154" s="838" t="s">
        <v>872</v>
      </c>
      <c r="G154" s="838"/>
      <c r="H154" s="838"/>
      <c r="I154" s="838"/>
      <c r="J154" s="838"/>
      <c r="K154" s="838"/>
      <c r="L154" s="838"/>
      <c r="M154" s="838"/>
      <c r="N154" s="838"/>
      <c r="O154" s="781"/>
      <c r="P154" s="838"/>
      <c r="Q154" s="895"/>
      <c r="R154" s="896"/>
      <c r="S154" s="788">
        <v>19305804</v>
      </c>
      <c r="T154" s="788">
        <v>7219338.1900000004</v>
      </c>
      <c r="U154" s="897">
        <f>+S154-T154</f>
        <v>12086465.809999999</v>
      </c>
    </row>
    <row r="155" spans="1:21">
      <c r="A155" s="790"/>
      <c r="B155" s="765"/>
      <c r="C155" s="791"/>
      <c r="D155" s="765"/>
      <c r="E155" s="765"/>
      <c r="F155" s="791"/>
      <c r="G155" s="791"/>
      <c r="H155" s="791"/>
      <c r="I155" s="791"/>
      <c r="J155" s="791"/>
      <c r="K155" s="791"/>
      <c r="L155" s="791"/>
      <c r="M155" s="791"/>
      <c r="N155" s="791"/>
      <c r="O155" s="698"/>
      <c r="P155" s="791"/>
      <c r="Q155" s="898"/>
      <c r="R155" s="791"/>
      <c r="S155" s="271"/>
      <c r="T155" s="698"/>
      <c r="U155" s="899"/>
    </row>
    <row r="156" spans="1:21" ht="15.6">
      <c r="A156" s="900" t="s">
        <v>851</v>
      </c>
      <c r="B156" s="765"/>
      <c r="C156" s="791"/>
      <c r="D156" s="765"/>
      <c r="E156" s="765"/>
      <c r="F156" s="791"/>
      <c r="G156" s="791"/>
      <c r="H156" s="791"/>
      <c r="I156" s="791"/>
      <c r="J156" s="791"/>
      <c r="K156" s="791"/>
      <c r="L156" s="816"/>
      <c r="M156" s="816"/>
      <c r="N156" s="816"/>
      <c r="O156" s="816"/>
      <c r="P156" s="816"/>
      <c r="Q156" s="816"/>
      <c r="R156" s="816"/>
      <c r="S156" s="271"/>
      <c r="T156" s="271"/>
      <c r="U156" s="899"/>
    </row>
    <row r="157" spans="1:21" ht="15.6" thickBot="1">
      <c r="A157" s="879" t="s">
        <v>852</v>
      </c>
      <c r="B157" s="821"/>
      <c r="C157" s="821"/>
      <c r="D157" s="821"/>
      <c r="E157" s="823"/>
      <c r="F157" s="821"/>
      <c r="G157" s="821"/>
      <c r="H157" s="821"/>
      <c r="I157" s="821"/>
      <c r="J157" s="821"/>
      <c r="K157" s="821"/>
      <c r="L157" s="821"/>
      <c r="M157" s="821"/>
      <c r="N157" s="821"/>
      <c r="O157" s="821"/>
      <c r="P157" s="821"/>
      <c r="Q157" s="821"/>
      <c r="R157" s="821"/>
      <c r="S157" s="821"/>
      <c r="T157" s="821"/>
      <c r="U157" s="825"/>
    </row>
    <row r="160" spans="1:21" ht="16.2" thickBot="1">
      <c r="A160" s="901" t="s">
        <v>191</v>
      </c>
    </row>
    <row r="161" spans="1:21" ht="31.8" thickBot="1">
      <c r="A161" s="773" t="s">
        <v>28</v>
      </c>
      <c r="B161" s="774" t="s">
        <v>29</v>
      </c>
      <c r="C161" s="774"/>
      <c r="D161" s="774"/>
      <c r="E161" s="775" t="s">
        <v>346</v>
      </c>
      <c r="F161" s="776" t="s">
        <v>30</v>
      </c>
      <c r="G161" s="813"/>
      <c r="H161" s="813"/>
      <c r="I161" s="813"/>
      <c r="J161" s="775"/>
      <c r="K161" s="775"/>
      <c r="L161" s="775"/>
      <c r="M161" s="775"/>
      <c r="N161" s="775"/>
      <c r="O161" s="775"/>
      <c r="P161" s="775"/>
      <c r="Q161" s="775"/>
      <c r="R161" s="826" t="s">
        <v>922</v>
      </c>
      <c r="S161" s="831" t="s">
        <v>928</v>
      </c>
      <c r="T161" s="826" t="s">
        <v>32</v>
      </c>
      <c r="U161" s="777"/>
    </row>
    <row r="162" spans="1:21" ht="15.6">
      <c r="A162" s="1138"/>
      <c r="B162" s="834"/>
      <c r="C162" s="781"/>
      <c r="D162" s="781"/>
      <c r="E162" s="782"/>
      <c r="F162" s="838"/>
      <c r="G162" s="781"/>
      <c r="H162" s="781"/>
      <c r="I162" s="781"/>
      <c r="J162" s="856"/>
      <c r="K162" s="1140"/>
      <c r="L162" s="781"/>
      <c r="M162" s="1140"/>
      <c r="N162" s="1140"/>
      <c r="O162" s="1140"/>
      <c r="P162" s="1141"/>
      <c r="Q162" s="1141"/>
      <c r="R162" s="836"/>
      <c r="S162" s="836"/>
      <c r="T162" s="781"/>
      <c r="U162" s="783"/>
    </row>
    <row r="163" spans="1:21" s="696" customFormat="1">
      <c r="A163" s="790">
        <f>+'Appendix A'!A172</f>
        <v>96</v>
      </c>
      <c r="B163" s="765"/>
      <c r="C163" s="789" t="s">
        <v>332</v>
      </c>
      <c r="D163" s="702"/>
      <c r="E163" s="810" t="str">
        <f>+'Appendix A'!E172</f>
        <v>(Note P)</v>
      </c>
      <c r="F163" s="794" t="s">
        <v>189</v>
      </c>
      <c r="G163" s="702"/>
      <c r="H163" s="702"/>
      <c r="I163" s="702"/>
      <c r="J163" s="702"/>
      <c r="K163" s="858"/>
      <c r="L163" s="791"/>
      <c r="M163" s="478"/>
      <c r="N163" s="478"/>
      <c r="O163" s="478"/>
      <c r="P163" s="702"/>
      <c r="Q163" s="478"/>
      <c r="R163" s="788">
        <v>5920315656</v>
      </c>
      <c r="S163" s="788">
        <v>6835533489</v>
      </c>
      <c r="T163" s="483">
        <f>+(S163+R163)/2</f>
        <v>6377924572.5</v>
      </c>
      <c r="U163" s="847"/>
    </row>
    <row r="164" spans="1:21" s="696" customFormat="1" ht="15.6">
      <c r="A164" s="790">
        <f>+'Appendix A'!A173</f>
        <v>97</v>
      </c>
      <c r="B164" s="765"/>
      <c r="C164" s="789" t="s">
        <v>188</v>
      </c>
      <c r="D164" s="702"/>
      <c r="E164" s="810" t="str">
        <f>+'Appendix A'!E173</f>
        <v>(Note P )</v>
      </c>
      <c r="F164" s="794" t="s">
        <v>190</v>
      </c>
      <c r="G164" s="702"/>
      <c r="H164" s="702"/>
      <c r="I164" s="702"/>
      <c r="J164" s="702"/>
      <c r="K164" s="484"/>
      <c r="L164" s="478"/>
      <c r="M164" s="902"/>
      <c r="N164" s="902"/>
      <c r="O164" s="902"/>
      <c r="P164" s="902"/>
      <c r="Q164" s="902"/>
      <c r="R164" s="788">
        <v>1083198</v>
      </c>
      <c r="S164" s="788">
        <v>1732845</v>
      </c>
      <c r="T164" s="483">
        <f>+(S164+R164)/2</f>
        <v>1408021.5</v>
      </c>
      <c r="U164" s="847"/>
    </row>
    <row r="165" spans="1:21" ht="15.6">
      <c r="A165" s="790">
        <f>+'Appendix A'!A175</f>
        <v>99</v>
      </c>
      <c r="B165" s="765"/>
      <c r="C165" s="789" t="s">
        <v>147</v>
      </c>
      <c r="D165" s="702"/>
      <c r="E165" s="810" t="str">
        <f>+'Appendix A'!E175</f>
        <v>(Note P)</v>
      </c>
      <c r="F165" s="794" t="s">
        <v>205</v>
      </c>
      <c r="G165" s="698"/>
      <c r="H165" s="698"/>
      <c r="I165" s="698"/>
      <c r="J165" s="698"/>
      <c r="K165" s="848"/>
      <c r="L165" s="478"/>
      <c r="M165" s="698"/>
      <c r="N165" s="698"/>
      <c r="O165" s="698"/>
      <c r="P165" s="698"/>
      <c r="Q165" s="698"/>
      <c r="R165" s="788">
        <v>3537410</v>
      </c>
      <c r="S165" s="788">
        <v>3323160</v>
      </c>
      <c r="T165" s="483">
        <f t="shared" ref="T165:T169" si="2">+(R165+S165)/2</f>
        <v>3430285</v>
      </c>
      <c r="U165" s="795"/>
    </row>
    <row r="166" spans="1:21">
      <c r="A166" s="790">
        <v>101</v>
      </c>
      <c r="B166" s="765"/>
      <c r="C166" s="789" t="s">
        <v>115</v>
      </c>
      <c r="D166" s="702"/>
      <c r="E166" s="810" t="str">
        <f>+'Appendix A'!E173</f>
        <v>(Note P )</v>
      </c>
      <c r="F166" s="794" t="s">
        <v>90</v>
      </c>
      <c r="G166" s="698"/>
      <c r="H166" s="698"/>
      <c r="I166" s="698"/>
      <c r="J166" s="698"/>
      <c r="K166" s="698"/>
      <c r="L166" s="698"/>
      <c r="M166" s="698"/>
      <c r="N166" s="698"/>
      <c r="O166" s="698"/>
      <c r="P166" s="698"/>
      <c r="Q166" s="698"/>
      <c r="R166" s="788">
        <f>5579625700-13463048</f>
        <v>5566162652</v>
      </c>
      <c r="S166" s="788">
        <f>6329625700-17250606</f>
        <v>6312375094</v>
      </c>
      <c r="T166" s="483">
        <f>+(S166+R166)/2</f>
        <v>5939268873</v>
      </c>
      <c r="U166" s="795"/>
    </row>
    <row r="167" spans="1:21">
      <c r="A167" s="790">
        <v>102</v>
      </c>
      <c r="B167" s="765"/>
      <c r="C167" s="789" t="s">
        <v>192</v>
      </c>
      <c r="D167" s="702"/>
      <c r="E167" s="810" t="str">
        <f>+'Appendix A'!E180</f>
        <v>(Note P)</v>
      </c>
      <c r="F167" s="794" t="s">
        <v>193</v>
      </c>
      <c r="G167" s="698"/>
      <c r="H167" s="698"/>
      <c r="I167" s="698"/>
      <c r="J167" s="698"/>
      <c r="K167" s="698"/>
      <c r="L167" s="698"/>
      <c r="M167" s="698"/>
      <c r="N167" s="698"/>
      <c r="O167" s="698"/>
      <c r="P167" s="698"/>
      <c r="Q167" s="698"/>
      <c r="R167" s="788">
        <v>81363909</v>
      </c>
      <c r="S167" s="788">
        <v>74029072</v>
      </c>
      <c r="T167" s="483">
        <f>+(S167+R167)/2</f>
        <v>77696490.5</v>
      </c>
      <c r="U167" s="795"/>
    </row>
    <row r="168" spans="1:21">
      <c r="A168" s="790">
        <v>103</v>
      </c>
      <c r="B168" s="765"/>
      <c r="C168" s="789" t="s">
        <v>219</v>
      </c>
      <c r="D168" s="702"/>
      <c r="E168" s="810" t="str">
        <f>+'Appendix A'!E181</f>
        <v>(Note P)</v>
      </c>
      <c r="F168" s="794" t="s">
        <v>220</v>
      </c>
      <c r="G168" s="698"/>
      <c r="H168" s="698"/>
      <c r="I168" s="698"/>
      <c r="J168" s="698"/>
      <c r="K168" s="698"/>
      <c r="L168" s="698"/>
      <c r="M168" s="698"/>
      <c r="N168" s="698"/>
      <c r="O168" s="698"/>
      <c r="P168" s="698"/>
      <c r="Q168" s="698"/>
      <c r="R168" s="788">
        <v>0</v>
      </c>
      <c r="S168" s="788">
        <v>0</v>
      </c>
      <c r="T168" s="483">
        <f t="shared" si="2"/>
        <v>0</v>
      </c>
      <c r="U168" s="795"/>
    </row>
    <row r="169" spans="1:21">
      <c r="A169" s="790">
        <v>104</v>
      </c>
      <c r="B169" s="765"/>
      <c r="C169" s="789" t="s">
        <v>351</v>
      </c>
      <c r="D169" s="702"/>
      <c r="E169" s="810" t="str">
        <f>+'Appendix A'!E182</f>
        <v>(Note P)</v>
      </c>
      <c r="F169" s="794" t="s">
        <v>430</v>
      </c>
      <c r="G169" s="698"/>
      <c r="H169" s="698"/>
      <c r="I169" s="698"/>
      <c r="J169" s="698"/>
      <c r="K169" s="698"/>
      <c r="L169" s="698"/>
      <c r="M169" s="698"/>
      <c r="N169" s="698"/>
      <c r="O169" s="698"/>
      <c r="P169" s="698"/>
      <c r="Q169" s="698"/>
      <c r="R169" s="788">
        <v>30823791</v>
      </c>
      <c r="S169" s="788">
        <v>16982115</v>
      </c>
      <c r="T169" s="483">
        <f t="shared" si="2"/>
        <v>23902953</v>
      </c>
      <c r="U169" s="795"/>
    </row>
    <row r="170" spans="1:21" ht="15.6" thickBot="1">
      <c r="A170" s="820">
        <f>+'Appendix A'!A184</f>
        <v>106</v>
      </c>
      <c r="B170" s="829"/>
      <c r="C170" s="903" t="s">
        <v>126</v>
      </c>
      <c r="D170" s="804"/>
      <c r="E170" s="823" t="str">
        <f>+'Appendix A'!E181</f>
        <v>(Note P)</v>
      </c>
      <c r="F170" s="904" t="s">
        <v>194</v>
      </c>
      <c r="G170" s="821"/>
      <c r="H170" s="821"/>
      <c r="I170" s="821"/>
      <c r="J170" s="821"/>
      <c r="K170" s="821"/>
      <c r="L170" s="821"/>
      <c r="M170" s="821"/>
      <c r="N170" s="821"/>
      <c r="O170" s="821"/>
      <c r="P170" s="821"/>
      <c r="Q170" s="821"/>
      <c r="R170" s="2437">
        <v>0</v>
      </c>
      <c r="S170" s="2437">
        <v>0</v>
      </c>
      <c r="T170" s="485">
        <f>+(R170+S170)/2</f>
        <v>0</v>
      </c>
      <c r="U170" s="825"/>
    </row>
    <row r="171" spans="1:21">
      <c r="S171" s="696"/>
      <c r="T171" s="696"/>
      <c r="U171" s="696"/>
    </row>
    <row r="172" spans="1:21" ht="15.6">
      <c r="A172" s="785"/>
      <c r="S172" s="696"/>
      <c r="T172" s="696"/>
      <c r="U172" s="696"/>
    </row>
    <row r="173" spans="1:21" ht="16.2" thickBot="1">
      <c r="A173" s="768" t="s">
        <v>702</v>
      </c>
    </row>
    <row r="174" spans="1:21" ht="31.8" thickBot="1">
      <c r="A174" s="773" t="s">
        <v>28</v>
      </c>
      <c r="B174" s="774" t="s">
        <v>29</v>
      </c>
      <c r="C174" s="774"/>
      <c r="D174" s="774"/>
      <c r="E174" s="775" t="s">
        <v>346</v>
      </c>
      <c r="F174" s="776" t="s">
        <v>30</v>
      </c>
      <c r="G174" s="775"/>
      <c r="H174" s="775"/>
      <c r="I174" s="775"/>
      <c r="J174" s="775"/>
      <c r="K174" s="775"/>
      <c r="L174" s="775"/>
      <c r="M174" s="775"/>
      <c r="N174" s="775"/>
      <c r="O174" s="775"/>
      <c r="P174" s="775"/>
      <c r="Q174" s="775"/>
      <c r="R174" s="775"/>
      <c r="S174" s="826" t="s">
        <v>705</v>
      </c>
      <c r="T174" s="826" t="s">
        <v>706</v>
      </c>
      <c r="U174" s="777" t="s">
        <v>707</v>
      </c>
    </row>
    <row r="175" spans="1:21" s="696" customFormat="1" ht="15.6">
      <c r="A175" s="815"/>
      <c r="B175" s="701"/>
      <c r="C175" s="701"/>
      <c r="D175" s="701"/>
      <c r="E175" s="816"/>
      <c r="F175" s="817"/>
      <c r="G175" s="816"/>
      <c r="H175" s="816"/>
      <c r="I175" s="816"/>
      <c r="J175" s="816"/>
      <c r="K175" s="816"/>
      <c r="L175" s="816"/>
      <c r="M175" s="816"/>
      <c r="N175" s="816"/>
      <c r="O175" s="816"/>
      <c r="P175" s="816"/>
      <c r="Q175" s="816"/>
      <c r="R175" s="816"/>
      <c r="S175" s="699"/>
      <c r="T175" s="699"/>
      <c r="U175" s="859"/>
    </row>
    <row r="176" spans="1:21" ht="15.6">
      <c r="A176" s="884" t="s">
        <v>121</v>
      </c>
      <c r="B176" s="905" t="s">
        <v>247</v>
      </c>
      <c r="C176" s="770"/>
      <c r="D176" s="770"/>
      <c r="E176" s="852"/>
      <c r="F176" s="906"/>
      <c r="G176" s="698"/>
      <c r="H176" s="698"/>
      <c r="I176" s="698"/>
      <c r="J176" s="698"/>
      <c r="K176" s="698"/>
      <c r="L176" s="698"/>
      <c r="M176" s="698"/>
      <c r="N176" s="698"/>
      <c r="O176" s="698"/>
      <c r="P176" s="698"/>
      <c r="Q176" s="698"/>
      <c r="R176" s="698"/>
      <c r="S176" s="698"/>
      <c r="T176" s="698"/>
      <c r="U176" s="795"/>
    </row>
    <row r="177" spans="1:23" ht="15.6">
      <c r="A177" s="884"/>
      <c r="B177" s="905"/>
      <c r="C177" s="770"/>
      <c r="D177" s="770"/>
      <c r="E177" s="852"/>
      <c r="F177" s="906"/>
      <c r="G177" s="906"/>
      <c r="H177" s="906"/>
      <c r="I177" s="906"/>
      <c r="J177" s="906"/>
      <c r="K177" s="906"/>
      <c r="L177" s="906"/>
      <c r="M177" s="906"/>
      <c r="N177" s="906"/>
      <c r="O177" s="906"/>
      <c r="P177" s="906"/>
      <c r="Q177" s="906"/>
      <c r="R177" s="906"/>
      <c r="S177" s="771" t="s">
        <v>513</v>
      </c>
      <c r="T177" s="771"/>
      <c r="U177" s="877"/>
    </row>
    <row r="178" spans="1:23">
      <c r="A178" s="884">
        <f>+'Appendix A'!A207</f>
        <v>121</v>
      </c>
      <c r="B178" s="769"/>
      <c r="C178" s="809" t="str">
        <f>+'Appendix A'!C207</f>
        <v>SIT=State Income Tax Rate or Composite</v>
      </c>
      <c r="D178" s="907"/>
      <c r="E178" s="769" t="str">
        <f>+'Appendix A'!E206</f>
        <v>(Note I)</v>
      </c>
      <c r="F178" s="809"/>
      <c r="G178" s="809"/>
      <c r="H178" s="809"/>
      <c r="I178" s="809"/>
      <c r="J178" s="809"/>
      <c r="K178" s="809"/>
      <c r="L178" s="809"/>
      <c r="M178" s="809"/>
      <c r="N178" s="809"/>
      <c r="O178" s="809"/>
      <c r="P178" s="809"/>
      <c r="Q178" s="809"/>
      <c r="R178" s="809"/>
      <c r="S178" s="1142">
        <v>0.09</v>
      </c>
      <c r="T178" s="908"/>
      <c r="U178" s="909"/>
      <c r="W178" s="698"/>
    </row>
    <row r="179" spans="1:23" ht="15.6" thickBot="1">
      <c r="A179" s="879"/>
      <c r="B179" s="821"/>
      <c r="C179" s="821"/>
      <c r="D179" s="821"/>
      <c r="E179" s="823"/>
      <c r="F179" s="821"/>
      <c r="G179" s="821"/>
      <c r="H179" s="821"/>
      <c r="I179" s="821"/>
      <c r="J179" s="821"/>
      <c r="K179" s="821"/>
      <c r="L179" s="821"/>
      <c r="M179" s="821"/>
      <c r="N179" s="821"/>
      <c r="O179" s="821"/>
      <c r="P179" s="821"/>
      <c r="Q179" s="821"/>
      <c r="R179" s="821"/>
      <c r="S179" s="821"/>
      <c r="T179" s="821"/>
      <c r="U179" s="825"/>
      <c r="W179" s="698"/>
    </row>
    <row r="180" spans="1:23">
      <c r="W180" s="698"/>
    </row>
    <row r="181" spans="1:23">
      <c r="W181" s="698"/>
    </row>
    <row r="182" spans="1:23" s="696" customFormat="1" ht="16.2" thickBot="1">
      <c r="A182" s="768" t="s">
        <v>334</v>
      </c>
      <c r="E182" s="910"/>
      <c r="W182" s="702"/>
    </row>
    <row r="183" spans="1:23" s="696" customFormat="1" ht="31.8" thickBot="1">
      <c r="A183" s="773" t="s">
        <v>28</v>
      </c>
      <c r="B183" s="774" t="s">
        <v>29</v>
      </c>
      <c r="C183" s="774"/>
      <c r="D183" s="774"/>
      <c r="E183" s="775" t="s">
        <v>346</v>
      </c>
      <c r="F183" s="776" t="s">
        <v>30</v>
      </c>
      <c r="G183" s="813"/>
      <c r="H183" s="775"/>
      <c r="I183" s="775"/>
      <c r="J183" s="775"/>
      <c r="K183" s="775"/>
      <c r="L183" s="775"/>
      <c r="M183" s="775"/>
      <c r="N183" s="775"/>
      <c r="O183" s="775"/>
      <c r="P183" s="775"/>
      <c r="Q183" s="775"/>
      <c r="R183" s="775"/>
      <c r="S183" s="831" t="s">
        <v>490</v>
      </c>
      <c r="T183" s="2595"/>
      <c r="U183" s="2596"/>
      <c r="W183" s="702"/>
    </row>
    <row r="184" spans="1:23" s="696" customFormat="1" ht="15.6">
      <c r="A184" s="790"/>
      <c r="B184" s="799"/>
      <c r="C184" s="765"/>
      <c r="D184" s="765"/>
      <c r="E184" s="765"/>
      <c r="F184" s="765"/>
      <c r="G184" s="702"/>
      <c r="H184" s="765"/>
      <c r="I184" s="765"/>
      <c r="J184" s="765"/>
      <c r="K184" s="765"/>
      <c r="L184" s="765"/>
      <c r="M184" s="765"/>
      <c r="N184" s="765"/>
      <c r="O184" s="765"/>
      <c r="P184" s="765"/>
      <c r="Q184" s="765"/>
      <c r="R184" s="765"/>
      <c r="S184" s="765"/>
      <c r="T184" s="702"/>
      <c r="U184" s="818"/>
      <c r="W184" s="702"/>
    </row>
    <row r="185" spans="1:23" s="696" customFormat="1" ht="17.399999999999999">
      <c r="A185" s="790">
        <f>+'Appendix A'!A213</f>
        <v>125</v>
      </c>
      <c r="B185" s="765"/>
      <c r="C185" s="791" t="str">
        <f>+'Appendix A'!C213</f>
        <v>Amortized Investment Tax Credit</v>
      </c>
      <c r="D185" s="765"/>
      <c r="E185" s="765" t="str">
        <f>+'Appendix A'!E213</f>
        <v>(Note O)</v>
      </c>
      <c r="F185" s="911" t="s">
        <v>662</v>
      </c>
      <c r="G185" s="702"/>
      <c r="H185" s="791"/>
      <c r="I185" s="791"/>
      <c r="J185" s="791"/>
      <c r="K185" s="791"/>
      <c r="L185" s="791"/>
      <c r="M185" s="791"/>
      <c r="N185" s="791"/>
      <c r="O185" s="791"/>
      <c r="P185" s="791"/>
      <c r="Q185" s="791"/>
      <c r="R185" s="791"/>
      <c r="S185" s="1473">
        <f>9295898-8159907</f>
        <v>1135991</v>
      </c>
      <c r="T185" s="2587"/>
      <c r="U185" s="2588"/>
      <c r="W185" s="702"/>
    </row>
    <row r="186" spans="1:23" s="696" customFormat="1" ht="15.6" thickBot="1">
      <c r="A186" s="820"/>
      <c r="B186" s="829"/>
      <c r="C186" s="829"/>
      <c r="D186" s="829"/>
      <c r="E186" s="829"/>
      <c r="F186" s="829"/>
      <c r="G186" s="829"/>
      <c r="H186" s="829"/>
      <c r="I186" s="829"/>
      <c r="J186" s="829"/>
      <c r="K186" s="829"/>
      <c r="L186" s="829"/>
      <c r="M186" s="829"/>
      <c r="N186" s="829"/>
      <c r="O186" s="829"/>
      <c r="P186" s="829"/>
      <c r="Q186" s="829"/>
      <c r="R186" s="829"/>
      <c r="S186" s="829"/>
      <c r="T186" s="804"/>
      <c r="U186" s="807"/>
      <c r="W186" s="702"/>
    </row>
    <row r="187" spans="1:23" ht="15.6">
      <c r="A187" s="765"/>
      <c r="B187" s="765"/>
      <c r="C187" s="762"/>
      <c r="D187" s="765"/>
      <c r="E187" s="765"/>
      <c r="F187" s="765"/>
      <c r="G187" s="765"/>
      <c r="H187" s="765"/>
      <c r="I187" s="765"/>
      <c r="J187" s="765"/>
      <c r="K187" s="765"/>
      <c r="L187" s="765"/>
      <c r="M187" s="765"/>
      <c r="N187" s="765"/>
      <c r="O187" s="765"/>
      <c r="P187" s="765"/>
      <c r="Q187" s="765"/>
      <c r="R187" s="765"/>
      <c r="S187" s="698"/>
      <c r="T187" s="698"/>
      <c r="U187" s="698"/>
    </row>
    <row r="188" spans="1:23" ht="16.2" thickBot="1">
      <c r="A188" s="867" t="s">
        <v>393</v>
      </c>
    </row>
    <row r="189" spans="1:23" ht="31.8" thickBot="1">
      <c r="A189" s="861" t="s">
        <v>28</v>
      </c>
      <c r="B189" s="862" t="s">
        <v>29</v>
      </c>
      <c r="C189" s="862"/>
      <c r="D189" s="862"/>
      <c r="E189" s="863" t="s">
        <v>346</v>
      </c>
      <c r="F189" s="864" t="s">
        <v>30</v>
      </c>
      <c r="G189" s="863" t="s">
        <v>31</v>
      </c>
      <c r="H189" s="863" t="s">
        <v>668</v>
      </c>
      <c r="I189" s="863" t="s">
        <v>779</v>
      </c>
      <c r="J189" s="863" t="s">
        <v>780</v>
      </c>
      <c r="K189" s="863" t="s">
        <v>781</v>
      </c>
      <c r="L189" s="863" t="s">
        <v>777</v>
      </c>
      <c r="M189" s="863" t="s">
        <v>782</v>
      </c>
      <c r="N189" s="863" t="s">
        <v>783</v>
      </c>
      <c r="O189" s="863" t="s">
        <v>784</v>
      </c>
      <c r="P189" s="863" t="s">
        <v>785</v>
      </c>
      <c r="Q189" s="863" t="s">
        <v>786</v>
      </c>
      <c r="R189" s="863" t="s">
        <v>787</v>
      </c>
      <c r="S189" s="912" t="s">
        <v>669</v>
      </c>
      <c r="T189" s="912" t="s">
        <v>32</v>
      </c>
      <c r="U189" s="913"/>
    </row>
    <row r="190" spans="1:23" s="696" customFormat="1" ht="15.6">
      <c r="A190" s="870"/>
      <c r="B190" s="871"/>
      <c r="C190" s="871"/>
      <c r="D190" s="871"/>
      <c r="E190" s="872"/>
      <c r="F190" s="873"/>
      <c r="G190" s="872"/>
      <c r="H190" s="872"/>
      <c r="I190" s="872"/>
      <c r="J190" s="872"/>
      <c r="K190" s="872"/>
      <c r="L190" s="872"/>
      <c r="M190" s="872"/>
      <c r="N190" s="872"/>
      <c r="O190" s="872"/>
      <c r="P190" s="872"/>
      <c r="Q190" s="872"/>
      <c r="R190" s="872"/>
      <c r="S190" s="874"/>
      <c r="T190" s="874"/>
      <c r="U190" s="914"/>
    </row>
    <row r="191" spans="1:23" s="698" customFormat="1">
      <c r="A191" s="784">
        <f>+'Appendix A'!A240</f>
        <v>141</v>
      </c>
      <c r="C191" s="698" t="str">
        <f>+'Appendix A'!C240</f>
        <v>Excluded Transmission Facilities</v>
      </c>
      <c r="E191" s="810" t="str">
        <f>+'Appendix A'!E240</f>
        <v>(Note B &amp; M)</v>
      </c>
      <c r="G191" s="788">
        <v>0</v>
      </c>
      <c r="H191" s="788">
        <v>0</v>
      </c>
      <c r="I191" s="788">
        <v>0</v>
      </c>
      <c r="J191" s="788">
        <v>0</v>
      </c>
      <c r="K191" s="788">
        <v>0</v>
      </c>
      <c r="L191" s="788">
        <v>0</v>
      </c>
      <c r="M191" s="788">
        <v>0</v>
      </c>
      <c r="N191" s="788">
        <v>0</v>
      </c>
      <c r="O191" s="788">
        <v>0</v>
      </c>
      <c r="P191" s="788">
        <v>0</v>
      </c>
      <c r="Q191" s="788">
        <v>0</v>
      </c>
      <c r="R191" s="788">
        <v>0</v>
      </c>
      <c r="S191" s="788">
        <v>0</v>
      </c>
      <c r="T191" s="483">
        <f>+(R191+S191)/2</f>
        <v>0</v>
      </c>
      <c r="U191" s="795"/>
    </row>
    <row r="192" spans="1:23" s="698" customFormat="1" ht="15.6" thickBot="1">
      <c r="A192" s="879"/>
      <c r="B192" s="821"/>
      <c r="C192" s="821"/>
      <c r="D192" s="821"/>
      <c r="E192" s="823"/>
      <c r="F192" s="821"/>
      <c r="G192" s="821"/>
      <c r="H192" s="821"/>
      <c r="I192" s="821"/>
      <c r="J192" s="821"/>
      <c r="K192" s="821"/>
      <c r="L192" s="821"/>
      <c r="M192" s="821"/>
      <c r="N192" s="821"/>
      <c r="O192" s="821"/>
      <c r="P192" s="821"/>
      <c r="Q192" s="821"/>
      <c r="R192" s="821"/>
      <c r="S192" s="821"/>
      <c r="T192" s="821"/>
      <c r="U192" s="825"/>
    </row>
    <row r="193" spans="1:21" s="698" customFormat="1">
      <c r="E193" s="810"/>
    </row>
    <row r="194" spans="1:21" s="698" customFormat="1">
      <c r="E194" s="810"/>
    </row>
    <row r="195" spans="1:21" ht="16.2" thickBot="1">
      <c r="A195" s="768" t="s">
        <v>817</v>
      </c>
    </row>
    <row r="196" spans="1:21" ht="31.8" thickBot="1">
      <c r="A196" s="773" t="s">
        <v>28</v>
      </c>
      <c r="B196" s="774" t="s">
        <v>29</v>
      </c>
      <c r="C196" s="774"/>
      <c r="D196" s="774"/>
      <c r="E196" s="775" t="s">
        <v>346</v>
      </c>
      <c r="F196" s="776" t="s">
        <v>30</v>
      </c>
      <c r="G196" s="775"/>
      <c r="H196" s="775"/>
      <c r="I196" s="775"/>
      <c r="J196" s="775"/>
      <c r="K196" s="775"/>
      <c r="L196" s="775"/>
      <c r="M196" s="775"/>
      <c r="N196" s="775"/>
      <c r="O196" s="775"/>
      <c r="P196" s="775"/>
      <c r="Q196" s="775"/>
      <c r="R196" s="775"/>
      <c r="S196" s="826" t="s">
        <v>490</v>
      </c>
      <c r="T196" s="2595"/>
      <c r="U196" s="2596"/>
    </row>
    <row r="197" spans="1:21" ht="15.6">
      <c r="A197" s="865"/>
      <c r="B197" s="834"/>
      <c r="C197" s="894"/>
      <c r="D197" s="894"/>
      <c r="E197" s="894"/>
      <c r="F197" s="894"/>
      <c r="G197" s="894"/>
      <c r="H197" s="894"/>
      <c r="I197" s="894"/>
      <c r="J197" s="894"/>
      <c r="K197" s="894"/>
      <c r="L197" s="894"/>
      <c r="M197" s="894"/>
      <c r="N197" s="894"/>
      <c r="O197" s="894"/>
      <c r="P197" s="894"/>
      <c r="Q197" s="894"/>
      <c r="R197" s="894"/>
      <c r="S197" s="781"/>
      <c r="T197" s="781"/>
      <c r="U197" s="783"/>
    </row>
    <row r="198" spans="1:21" ht="17.399999999999999">
      <c r="A198" s="790">
        <f>+'Appendix A'!A248</f>
        <v>147</v>
      </c>
      <c r="B198" s="765"/>
      <c r="C198" s="791" t="str">
        <f>+'Appendix A'!C248</f>
        <v>Interest on Network Credits</v>
      </c>
      <c r="D198" s="765"/>
      <c r="E198" s="765" t="str">
        <f>+'Appendix A'!E248</f>
        <v>(Note N &amp; O)</v>
      </c>
      <c r="F198" s="791"/>
      <c r="G198" s="791"/>
      <c r="H198" s="791"/>
      <c r="I198" s="791"/>
      <c r="J198" s="791"/>
      <c r="K198" s="791"/>
      <c r="L198" s="791"/>
      <c r="M198" s="791"/>
      <c r="N198" s="791"/>
      <c r="O198" s="791"/>
      <c r="P198" s="791"/>
      <c r="Q198" s="791"/>
      <c r="R198" s="791"/>
      <c r="S198" s="1473">
        <v>0</v>
      </c>
      <c r="T198" s="2587"/>
      <c r="U198" s="2588"/>
    </row>
    <row r="199" spans="1:21" ht="15.6" thickBot="1">
      <c r="A199" s="820"/>
      <c r="B199" s="829"/>
      <c r="C199" s="829"/>
      <c r="D199" s="829"/>
      <c r="E199" s="829"/>
      <c r="F199" s="829"/>
      <c r="G199" s="829"/>
      <c r="H199" s="829"/>
      <c r="I199" s="829"/>
      <c r="J199" s="829"/>
      <c r="K199" s="829"/>
      <c r="L199" s="829"/>
      <c r="M199" s="829"/>
      <c r="N199" s="829"/>
      <c r="O199" s="829"/>
      <c r="P199" s="829"/>
      <c r="Q199" s="829"/>
      <c r="R199" s="829"/>
      <c r="S199" s="821"/>
      <c r="T199" s="821"/>
      <c r="U199" s="825"/>
    </row>
    <row r="200" spans="1:21">
      <c r="A200" s="765"/>
      <c r="B200" s="765"/>
      <c r="C200" s="765"/>
      <c r="D200" s="765"/>
      <c r="E200" s="765"/>
      <c r="F200" s="765"/>
      <c r="G200" s="765"/>
      <c r="H200" s="765"/>
      <c r="I200" s="765"/>
      <c r="J200" s="765"/>
      <c r="K200" s="765"/>
      <c r="L200" s="765"/>
      <c r="M200" s="765"/>
      <c r="N200" s="765"/>
      <c r="O200" s="765"/>
      <c r="P200" s="765"/>
      <c r="Q200" s="765"/>
      <c r="R200" s="765"/>
      <c r="S200" s="698"/>
      <c r="T200" s="698"/>
      <c r="U200" s="698"/>
    </row>
    <row r="201" spans="1:21">
      <c r="A201" s="765"/>
      <c r="B201" s="765"/>
      <c r="C201" s="765"/>
      <c r="D201" s="765"/>
      <c r="E201" s="765"/>
      <c r="F201" s="765"/>
      <c r="G201" s="765"/>
      <c r="H201" s="765"/>
      <c r="I201" s="765"/>
      <c r="J201" s="765"/>
      <c r="K201" s="765"/>
      <c r="L201" s="765"/>
      <c r="M201" s="765"/>
      <c r="N201" s="765"/>
      <c r="O201" s="765"/>
      <c r="P201" s="765"/>
      <c r="Q201" s="765"/>
      <c r="R201" s="765"/>
      <c r="S201" s="698"/>
      <c r="T201" s="698"/>
      <c r="U201" s="698"/>
    </row>
    <row r="202" spans="1:21" ht="16.2" thickBot="1">
      <c r="A202" s="768" t="s">
        <v>221</v>
      </c>
    </row>
    <row r="203" spans="1:21" ht="31.8" thickBot="1">
      <c r="A203" s="861" t="s">
        <v>28</v>
      </c>
      <c r="B203" s="862" t="s">
        <v>29</v>
      </c>
      <c r="C203" s="862"/>
      <c r="D203" s="862"/>
      <c r="E203" s="863" t="s">
        <v>346</v>
      </c>
      <c r="F203" s="864" t="s">
        <v>30</v>
      </c>
      <c r="G203" s="863"/>
      <c r="H203" s="863"/>
      <c r="I203" s="863"/>
      <c r="J203" s="863"/>
      <c r="K203" s="863"/>
      <c r="L203" s="863"/>
      <c r="M203" s="863"/>
      <c r="N203" s="863"/>
      <c r="O203" s="863"/>
      <c r="P203" s="863"/>
      <c r="Q203" s="863"/>
      <c r="R203" s="863"/>
      <c r="S203" s="912" t="s">
        <v>490</v>
      </c>
      <c r="T203" s="2597"/>
      <c r="U203" s="2598"/>
    </row>
    <row r="204" spans="1:21" s="696" customFormat="1" ht="15.6">
      <c r="A204" s="870"/>
      <c r="B204" s="871"/>
      <c r="C204" s="871"/>
      <c r="D204" s="871"/>
      <c r="E204" s="872"/>
      <c r="F204" s="873"/>
      <c r="G204" s="872"/>
      <c r="H204" s="872"/>
      <c r="I204" s="872"/>
      <c r="J204" s="872"/>
      <c r="K204" s="872"/>
      <c r="L204" s="872"/>
      <c r="M204" s="872"/>
      <c r="N204" s="872"/>
      <c r="O204" s="872"/>
      <c r="P204" s="872"/>
      <c r="Q204" s="872"/>
      <c r="R204" s="872"/>
      <c r="S204" s="874"/>
      <c r="T204" s="874"/>
      <c r="U204" s="875"/>
    </row>
    <row r="205" spans="1:21" ht="15.6">
      <c r="A205" s="790"/>
      <c r="B205" s="867" t="s">
        <v>503</v>
      </c>
      <c r="C205" s="702"/>
      <c r="D205" s="702"/>
      <c r="E205" s="810"/>
      <c r="F205" s="770"/>
      <c r="G205" s="770"/>
      <c r="H205" s="770"/>
      <c r="I205" s="770"/>
      <c r="J205" s="770"/>
      <c r="K205" s="770"/>
      <c r="L205" s="770"/>
      <c r="M205" s="770"/>
      <c r="N205" s="770"/>
      <c r="O205" s="770"/>
      <c r="P205" s="770"/>
      <c r="Q205" s="770"/>
      <c r="R205" s="770"/>
      <c r="S205" s="698"/>
      <c r="T205" s="698"/>
      <c r="U205" s="795"/>
    </row>
    <row r="206" spans="1:21" ht="15.6">
      <c r="A206" s="790">
        <f>+'Appendix A'!A270</f>
        <v>163</v>
      </c>
      <c r="B206" s="769"/>
      <c r="C206" s="791" t="str">
        <f>+'Appendix A'!C270</f>
        <v xml:space="preserve">Facility Credits under Section 30.9 of the PJM OATT </v>
      </c>
      <c r="D206" s="808"/>
      <c r="E206" s="765"/>
      <c r="F206" s="765"/>
      <c r="G206" s="765"/>
      <c r="H206" s="765"/>
      <c r="I206" s="765"/>
      <c r="J206" s="765"/>
      <c r="K206" s="765"/>
      <c r="L206" s="765"/>
      <c r="M206" s="765"/>
      <c r="N206" s="765"/>
      <c r="O206" s="765"/>
      <c r="P206" s="765"/>
      <c r="Q206" s="765"/>
      <c r="R206" s="765"/>
      <c r="S206" s="788">
        <v>0</v>
      </c>
      <c r="T206" s="2587"/>
      <c r="U206" s="2588"/>
    </row>
    <row r="207" spans="1:21" ht="15.6" thickBot="1">
      <c r="A207" s="820"/>
      <c r="B207" s="829"/>
      <c r="C207" s="829"/>
      <c r="D207" s="829"/>
      <c r="E207" s="829"/>
      <c r="F207" s="829"/>
      <c r="G207" s="829"/>
      <c r="H207" s="829"/>
      <c r="I207" s="829"/>
      <c r="J207" s="829"/>
      <c r="K207" s="829"/>
      <c r="L207" s="829"/>
      <c r="M207" s="829"/>
      <c r="N207" s="829"/>
      <c r="O207" s="829"/>
      <c r="P207" s="829"/>
      <c r="Q207" s="829"/>
      <c r="R207" s="829"/>
      <c r="S207" s="821"/>
      <c r="T207" s="821"/>
      <c r="U207" s="825"/>
    </row>
    <row r="210" spans="1:21" ht="16.2" thickBot="1">
      <c r="A210" s="768" t="s">
        <v>815</v>
      </c>
    </row>
    <row r="211" spans="1:21" ht="31.8" thickBot="1">
      <c r="A211" s="861" t="s">
        <v>28</v>
      </c>
      <c r="B211" s="862" t="s">
        <v>29</v>
      </c>
      <c r="C211" s="862"/>
      <c r="D211" s="862"/>
      <c r="E211" s="863" t="s">
        <v>346</v>
      </c>
      <c r="F211" s="864" t="s">
        <v>30</v>
      </c>
      <c r="G211" s="863"/>
      <c r="H211" s="863"/>
      <c r="I211" s="863"/>
      <c r="J211" s="863"/>
      <c r="K211" s="863"/>
      <c r="L211" s="863"/>
      <c r="M211" s="863"/>
      <c r="N211" s="863"/>
      <c r="O211" s="863"/>
      <c r="P211" s="863"/>
      <c r="Q211" s="863"/>
      <c r="R211" s="863"/>
      <c r="S211" s="912" t="s">
        <v>250</v>
      </c>
      <c r="T211" s="2595"/>
      <c r="U211" s="2596"/>
    </row>
    <row r="212" spans="1:21" s="696" customFormat="1" ht="15.6">
      <c r="A212" s="870"/>
      <c r="B212" s="871"/>
      <c r="C212" s="871"/>
      <c r="D212" s="871"/>
      <c r="E212" s="872"/>
      <c r="F212" s="873"/>
      <c r="G212" s="872"/>
      <c r="H212" s="872"/>
      <c r="I212" s="872"/>
      <c r="J212" s="872"/>
      <c r="K212" s="872"/>
      <c r="L212" s="872"/>
      <c r="M212" s="872"/>
      <c r="N212" s="872"/>
      <c r="O212" s="872"/>
      <c r="P212" s="872"/>
      <c r="Q212" s="872"/>
      <c r="R212" s="872"/>
      <c r="S212" s="874"/>
      <c r="T212" s="874"/>
      <c r="U212" s="875"/>
    </row>
    <row r="213" spans="1:21" ht="15.6">
      <c r="A213" s="790"/>
      <c r="B213" s="867" t="s">
        <v>692</v>
      </c>
      <c r="C213" s="702"/>
      <c r="D213" s="702"/>
      <c r="E213" s="810"/>
      <c r="F213" s="770"/>
      <c r="G213" s="770"/>
      <c r="H213" s="770"/>
      <c r="I213" s="770"/>
      <c r="J213" s="770"/>
      <c r="K213" s="770"/>
      <c r="L213" s="770"/>
      <c r="M213" s="770"/>
      <c r="N213" s="770"/>
      <c r="O213" s="770"/>
      <c r="P213" s="770"/>
      <c r="Q213" s="770"/>
      <c r="R213" s="770"/>
      <c r="S213" s="698"/>
      <c r="T213" s="698"/>
      <c r="U213" s="795"/>
    </row>
    <row r="214" spans="1:21" ht="15.6">
      <c r="A214" s="790">
        <f>+'Appendix A'!A274</f>
        <v>165</v>
      </c>
      <c r="B214" s="769"/>
      <c r="C214" s="791" t="str">
        <f>+'Appendix A'!C274</f>
        <v>1 CP Peak</v>
      </c>
      <c r="D214" s="791"/>
      <c r="E214" s="765" t="str">
        <f>+'Appendix A'!E274</f>
        <v>(Note L)</v>
      </c>
      <c r="F214" s="791" t="s">
        <v>215</v>
      </c>
      <c r="G214" s="791"/>
      <c r="H214" s="791"/>
      <c r="I214" s="791"/>
      <c r="J214" s="791"/>
      <c r="K214" s="791"/>
      <c r="L214" s="791"/>
      <c r="M214" s="791"/>
      <c r="N214" s="791"/>
      <c r="O214" s="791"/>
      <c r="P214" s="791"/>
      <c r="Q214" s="791"/>
      <c r="R214" s="791"/>
      <c r="S214" s="2548">
        <v>10414.4</v>
      </c>
      <c r="T214" s="2587"/>
      <c r="U214" s="2588"/>
    </row>
    <row r="215" spans="1:21" ht="15.6" thickBot="1">
      <c r="A215" s="879"/>
      <c r="B215" s="821"/>
      <c r="C215" s="821"/>
      <c r="D215" s="821"/>
      <c r="E215" s="823"/>
      <c r="F215" s="821"/>
      <c r="G215" s="821"/>
      <c r="H215" s="821"/>
      <c r="I215" s="821"/>
      <c r="J215" s="821"/>
      <c r="K215" s="821"/>
      <c r="L215" s="821"/>
      <c r="M215" s="821"/>
      <c r="N215" s="821"/>
      <c r="O215" s="821"/>
      <c r="P215" s="821"/>
      <c r="Q215" s="821"/>
      <c r="R215" s="821"/>
      <c r="S215" s="821"/>
      <c r="T215" s="821"/>
      <c r="U215" s="825"/>
    </row>
    <row r="216" spans="1:21">
      <c r="A216" s="698"/>
      <c r="B216" s="698"/>
      <c r="C216" s="698"/>
      <c r="D216" s="915"/>
      <c r="E216" s="810"/>
      <c r="F216" s="698"/>
      <c r="G216" s="698"/>
      <c r="H216" s="698"/>
      <c r="I216" s="698"/>
      <c r="J216" s="698"/>
      <c r="K216" s="698"/>
      <c r="L216" s="698"/>
      <c r="M216" s="698"/>
      <c r="N216" s="698"/>
      <c r="O216" s="698"/>
      <c r="P216" s="698"/>
      <c r="Q216" s="698"/>
      <c r="R216" s="698"/>
      <c r="S216" s="698"/>
      <c r="T216" s="698"/>
      <c r="U216" s="698"/>
    </row>
    <row r="217" spans="1:21" ht="15.6">
      <c r="A217" s="768"/>
    </row>
    <row r="218" spans="1:21" s="696" customFormat="1" ht="16.2" thickBot="1">
      <c r="A218" s="539" t="s">
        <v>602</v>
      </c>
      <c r="B218" s="537"/>
      <c r="C218" s="537"/>
      <c r="D218" s="537"/>
      <c r="E218" s="537"/>
      <c r="F218" s="537"/>
      <c r="G218" s="537"/>
      <c r="H218" s="537"/>
      <c r="I218" s="537"/>
      <c r="J218" s="537"/>
      <c r="K218" s="557"/>
      <c r="L218" s="557"/>
      <c r="M218" s="557"/>
      <c r="N218" s="557"/>
      <c r="O218" s="557"/>
      <c r="P218" s="557"/>
      <c r="Q218" s="557"/>
      <c r="R218" s="557"/>
      <c r="S218" s="491"/>
      <c r="T218" s="491"/>
      <c r="U218" s="491"/>
    </row>
    <row r="219" spans="1:21" ht="16.2" thickBot="1">
      <c r="A219" s="773" t="s">
        <v>28</v>
      </c>
      <c r="B219" s="774" t="s">
        <v>29</v>
      </c>
      <c r="C219" s="774"/>
      <c r="D219" s="774"/>
      <c r="E219" s="775"/>
      <c r="F219" s="776"/>
      <c r="G219" s="775"/>
      <c r="H219" s="775" t="s">
        <v>776</v>
      </c>
      <c r="I219" s="775" t="s">
        <v>609</v>
      </c>
      <c r="J219" s="775" t="s">
        <v>610</v>
      </c>
      <c r="K219" s="775"/>
      <c r="L219" s="775"/>
      <c r="M219" s="775"/>
      <c r="N219" s="775"/>
      <c r="O219" s="775"/>
      <c r="P219" s="775"/>
      <c r="Q219" s="775"/>
      <c r="R219" s="775"/>
      <c r="S219" s="826"/>
      <c r="T219" s="2595"/>
      <c r="U219" s="2596"/>
    </row>
    <row r="220" spans="1:21">
      <c r="A220" s="533"/>
      <c r="B220" s="531"/>
      <c r="C220" s="531"/>
      <c r="D220" s="531"/>
      <c r="E220" s="532"/>
      <c r="F220" s="538"/>
      <c r="G220" s="531"/>
      <c r="H220" s="532"/>
      <c r="I220" s="532"/>
      <c r="J220" s="532"/>
      <c r="K220" s="528"/>
      <c r="L220" s="528"/>
      <c r="M220" s="528"/>
      <c r="N220" s="528"/>
      <c r="O220" s="528"/>
      <c r="P220" s="528"/>
      <c r="Q220" s="528"/>
      <c r="R220" s="528"/>
      <c r="S220" s="490"/>
      <c r="T220" s="529"/>
      <c r="U220" s="530"/>
    </row>
    <row r="221" spans="1:21" ht="15.6">
      <c r="A221" s="533"/>
      <c r="B221" s="537" t="s">
        <v>611</v>
      </c>
      <c r="C221" s="537" t="s">
        <v>612</v>
      </c>
      <c r="D221" s="531"/>
      <c r="E221" s="532"/>
      <c r="F221" s="537" t="s">
        <v>613</v>
      </c>
      <c r="G221" s="531"/>
      <c r="H221" s="916">
        <v>0</v>
      </c>
      <c r="I221" s="916">
        <v>0</v>
      </c>
      <c r="J221" s="916">
        <v>0</v>
      </c>
      <c r="K221" s="543"/>
      <c r="L221" s="543"/>
      <c r="M221" s="543"/>
      <c r="N221" s="543"/>
      <c r="O221" s="543"/>
      <c r="P221" s="543"/>
      <c r="Q221" s="543"/>
      <c r="R221" s="543"/>
      <c r="S221" s="544"/>
      <c r="T221" s="545"/>
      <c r="U221" s="547"/>
    </row>
    <row r="222" spans="1:21" ht="15.6">
      <c r="A222" s="548" t="s">
        <v>732</v>
      </c>
      <c r="B222" s="537" t="s">
        <v>614</v>
      </c>
      <c r="C222" s="537" t="s">
        <v>615</v>
      </c>
      <c r="D222" s="532"/>
      <c r="E222" s="537"/>
      <c r="F222" s="537" t="str">
        <f>+F221</f>
        <v>Per FERC Order</v>
      </c>
      <c r="G222" s="531"/>
      <c r="H222" s="916">
        <v>0</v>
      </c>
      <c r="I222" s="916">
        <v>0</v>
      </c>
      <c r="J222" s="916">
        <v>0</v>
      </c>
      <c r="K222" s="543"/>
      <c r="L222" s="543"/>
      <c r="M222" s="543"/>
      <c r="N222" s="543"/>
      <c r="O222" s="543"/>
      <c r="P222" s="543"/>
      <c r="Q222" s="543"/>
      <c r="R222" s="543"/>
      <c r="S222" s="544"/>
      <c r="T222" s="545"/>
      <c r="U222" s="547"/>
    </row>
    <row r="223" spans="1:21" ht="15.6">
      <c r="A223" s="548">
        <v>81</v>
      </c>
      <c r="B223" s="537" t="s">
        <v>616</v>
      </c>
      <c r="C223" s="537" t="s">
        <v>712</v>
      </c>
      <c r="D223" s="532"/>
      <c r="E223" s="537"/>
      <c r="F223" s="537" t="s">
        <v>617</v>
      </c>
      <c r="G223" s="531"/>
      <c r="H223" s="1145">
        <v>0</v>
      </c>
      <c r="I223" s="558">
        <v>0</v>
      </c>
      <c r="J223" s="558">
        <v>0</v>
      </c>
      <c r="K223" s="543"/>
      <c r="L223" s="543"/>
      <c r="M223" s="543"/>
      <c r="N223" s="543"/>
      <c r="O223" s="543"/>
      <c r="P223" s="543"/>
      <c r="Q223" s="543"/>
      <c r="R223" s="543"/>
      <c r="S223" s="544"/>
      <c r="T223" s="545"/>
      <c r="U223" s="547"/>
    </row>
    <row r="224" spans="1:21" ht="15.6">
      <c r="A224" s="548"/>
      <c r="B224" s="537"/>
      <c r="C224" s="537"/>
      <c r="D224" s="532"/>
      <c r="E224" s="537"/>
      <c r="F224" s="537"/>
      <c r="G224" s="531"/>
      <c r="H224" s="541"/>
      <c r="I224" s="541"/>
      <c r="J224" s="541"/>
      <c r="K224" s="543"/>
      <c r="L224" s="543"/>
      <c r="M224" s="543"/>
      <c r="N224" s="543"/>
      <c r="O224" s="543"/>
      <c r="P224" s="543"/>
      <c r="Q224" s="543"/>
      <c r="R224" s="543"/>
      <c r="S224" s="544"/>
      <c r="T224" s="545"/>
      <c r="U224" s="547"/>
    </row>
    <row r="225" spans="1:21" ht="15.6">
      <c r="A225" s="548"/>
      <c r="B225" s="537" t="s">
        <v>618</v>
      </c>
      <c r="C225" s="537" t="s">
        <v>619</v>
      </c>
      <c r="D225" s="532"/>
      <c r="E225" s="537"/>
      <c r="F225" s="537" t="s">
        <v>620</v>
      </c>
      <c r="G225" s="534"/>
      <c r="H225" s="1487">
        <f>+H221-H223</f>
        <v>0</v>
      </c>
      <c r="I225" s="540">
        <f>+I221-I223</f>
        <v>0</v>
      </c>
      <c r="J225" s="540">
        <f>+J221-J223</f>
        <v>0</v>
      </c>
      <c r="K225" s="543"/>
      <c r="L225" s="543"/>
      <c r="M225" s="543"/>
      <c r="N225" s="543"/>
      <c r="O225" s="543"/>
      <c r="P225" s="543"/>
      <c r="Q225" s="543"/>
      <c r="R225" s="543"/>
      <c r="S225" s="544"/>
      <c r="T225" s="545"/>
      <c r="U225" s="547"/>
    </row>
    <row r="226" spans="1:21" ht="15.6">
      <c r="A226" s="548"/>
      <c r="B226" s="537" t="s">
        <v>621</v>
      </c>
      <c r="C226" s="537" t="s">
        <v>622</v>
      </c>
      <c r="D226" s="532"/>
      <c r="E226" s="537"/>
      <c r="F226" s="537" t="s">
        <v>623</v>
      </c>
      <c r="G226" s="531"/>
      <c r="H226" s="1488">
        <f>+H221/2+H225/2</f>
        <v>0</v>
      </c>
      <c r="I226" s="540">
        <f>+I221/2+I225/2</f>
        <v>0</v>
      </c>
      <c r="J226" s="540">
        <f>+J221/2+J225/2</f>
        <v>0</v>
      </c>
      <c r="K226" s="543"/>
      <c r="L226" s="543"/>
      <c r="M226" s="543"/>
      <c r="N226" s="543"/>
      <c r="O226" s="543"/>
      <c r="P226" s="543"/>
      <c r="Q226" s="543"/>
      <c r="R226" s="543"/>
      <c r="S226" s="544"/>
      <c r="T226" s="545"/>
      <c r="U226" s="547"/>
    </row>
    <row r="227" spans="1:21" ht="15.6">
      <c r="A227" s="548"/>
      <c r="B227" s="537"/>
      <c r="C227" s="537"/>
      <c r="D227" s="532"/>
      <c r="E227" s="537"/>
      <c r="F227" s="537"/>
      <c r="G227" s="531"/>
      <c r="H227" s="1489"/>
      <c r="I227" s="541"/>
      <c r="J227" s="541"/>
      <c r="K227" s="543"/>
      <c r="L227" s="543"/>
      <c r="M227" s="543"/>
      <c r="N227" s="543"/>
      <c r="O227" s="543"/>
      <c r="P227" s="543"/>
      <c r="Q227" s="543"/>
      <c r="R227" s="543"/>
      <c r="S227" s="544"/>
      <c r="T227" s="545"/>
      <c r="U227" s="547"/>
    </row>
    <row r="228" spans="1:21" ht="16.8">
      <c r="A228" s="548"/>
      <c r="B228" s="537" t="s">
        <v>624</v>
      </c>
      <c r="C228" s="537" t="s">
        <v>625</v>
      </c>
      <c r="D228" s="532"/>
      <c r="E228" s="537"/>
      <c r="F228" s="537" t="s">
        <v>626</v>
      </c>
      <c r="G228" s="535"/>
      <c r="H228" s="1487">
        <v>0</v>
      </c>
      <c r="I228" s="540">
        <v>0</v>
      </c>
      <c r="J228" s="540">
        <v>0</v>
      </c>
      <c r="K228" s="546"/>
      <c r="L228" s="546"/>
      <c r="M228" s="546"/>
      <c r="N228" s="546"/>
      <c r="O228" s="546"/>
      <c r="P228" s="546"/>
      <c r="Q228" s="546"/>
      <c r="R228" s="546"/>
      <c r="S228" s="537"/>
      <c r="T228" s="491"/>
      <c r="U228" s="549"/>
    </row>
    <row r="229" spans="1:21" ht="16.8">
      <c r="A229" s="548"/>
      <c r="B229" s="537" t="s">
        <v>627</v>
      </c>
      <c r="C229" s="537" t="s">
        <v>323</v>
      </c>
      <c r="D229" s="532"/>
      <c r="E229" s="537"/>
      <c r="F229" s="537" t="s">
        <v>628</v>
      </c>
      <c r="G229" s="535"/>
      <c r="H229" s="1488">
        <v>0</v>
      </c>
      <c r="I229" s="540">
        <v>0</v>
      </c>
      <c r="J229" s="540">
        <v>0</v>
      </c>
      <c r="K229" s="546"/>
      <c r="L229" s="546"/>
      <c r="M229" s="546"/>
      <c r="N229" s="546"/>
      <c r="O229" s="546"/>
      <c r="P229" s="546"/>
      <c r="Q229" s="546"/>
      <c r="R229" s="546"/>
      <c r="S229" s="537"/>
      <c r="T229" s="491"/>
      <c r="U229" s="549"/>
    </row>
    <row r="230" spans="1:21" ht="16.8">
      <c r="A230" s="548" t="s">
        <v>732</v>
      </c>
      <c r="B230" s="537" t="s">
        <v>629</v>
      </c>
      <c r="C230" s="537" t="s">
        <v>625</v>
      </c>
      <c r="D230" s="532"/>
      <c r="E230" s="537"/>
      <c r="F230" s="537" t="s">
        <v>630</v>
      </c>
      <c r="G230" s="535"/>
      <c r="H230" s="1490">
        <v>0</v>
      </c>
      <c r="I230" s="542">
        <v>0</v>
      </c>
      <c r="J230" s="542">
        <v>0</v>
      </c>
      <c r="K230" s="546"/>
      <c r="L230" s="546"/>
      <c r="M230" s="546"/>
      <c r="N230" s="546"/>
      <c r="O230" s="546"/>
      <c r="P230" s="546"/>
      <c r="Q230" s="546"/>
      <c r="R230" s="546"/>
      <c r="S230" s="537"/>
      <c r="T230" s="491"/>
      <c r="U230" s="549"/>
    </row>
    <row r="231" spans="1:21">
      <c r="A231" s="548"/>
      <c r="B231" s="537"/>
      <c r="C231" s="531"/>
      <c r="D231" s="532"/>
      <c r="E231" s="537"/>
      <c r="F231" s="537"/>
      <c r="G231" s="531"/>
      <c r="H231" s="531"/>
      <c r="I231" s="531"/>
      <c r="J231" s="531"/>
      <c r="K231" s="546"/>
      <c r="L231" s="546"/>
      <c r="M231" s="546"/>
      <c r="N231" s="546"/>
      <c r="O231" s="546"/>
      <c r="P231" s="546"/>
      <c r="Q231" s="546"/>
      <c r="R231" s="546"/>
      <c r="S231" s="537"/>
      <c r="T231" s="491"/>
      <c r="U231" s="549"/>
    </row>
    <row r="232" spans="1:21" ht="15.6" thickBot="1">
      <c r="A232" s="550"/>
      <c r="B232" s="551"/>
      <c r="C232" s="551" t="s">
        <v>913</v>
      </c>
      <c r="D232" s="552"/>
      <c r="E232" s="551"/>
      <c r="F232" s="551"/>
      <c r="G232" s="536"/>
      <c r="H232" s="552" t="s">
        <v>920</v>
      </c>
      <c r="I232" s="536" t="s">
        <v>631</v>
      </c>
      <c r="J232" s="553" t="s">
        <v>631</v>
      </c>
      <c r="K232" s="554"/>
      <c r="L232" s="554"/>
      <c r="M232" s="555"/>
      <c r="N232" s="555"/>
      <c r="O232" s="555"/>
      <c r="P232" s="555"/>
      <c r="Q232" s="555"/>
      <c r="R232" s="555"/>
      <c r="S232" s="536"/>
      <c r="T232" s="536"/>
      <c r="U232" s="556"/>
    </row>
    <row r="233" spans="1:21">
      <c r="K233" s="702"/>
      <c r="L233" s="702"/>
      <c r="M233" s="702"/>
      <c r="N233" s="702"/>
      <c r="O233" s="702"/>
      <c r="P233" s="702"/>
      <c r="Q233" s="702"/>
      <c r="R233" s="702"/>
      <c r="S233" s="702"/>
      <c r="T233" s="702"/>
      <c r="U233" s="702"/>
    </row>
    <row r="234" spans="1:21">
      <c r="K234" s="702"/>
      <c r="L234" s="702"/>
      <c r="M234" s="702"/>
      <c r="N234" s="702"/>
      <c r="O234" s="702"/>
      <c r="P234" s="702"/>
      <c r="Q234" s="702"/>
      <c r="R234" s="702"/>
      <c r="S234" s="702"/>
      <c r="T234" s="702"/>
      <c r="U234" s="702"/>
    </row>
    <row r="235" spans="1:21">
      <c r="K235" s="702"/>
      <c r="L235" s="702"/>
      <c r="M235" s="702"/>
      <c r="N235" s="702"/>
      <c r="O235" s="702"/>
      <c r="P235" s="702"/>
      <c r="Q235" s="702"/>
      <c r="R235" s="702"/>
      <c r="S235" s="702"/>
      <c r="T235" s="702"/>
      <c r="U235" s="702"/>
    </row>
    <row r="236" spans="1:21">
      <c r="K236" s="702"/>
      <c r="L236" s="702"/>
      <c r="M236" s="702"/>
      <c r="N236" s="702"/>
      <c r="O236" s="702"/>
      <c r="P236" s="702"/>
      <c r="Q236" s="702"/>
      <c r="R236" s="702"/>
      <c r="S236" s="702"/>
      <c r="T236" s="702"/>
      <c r="U236" s="702"/>
    </row>
    <row r="237" spans="1:21">
      <c r="K237" s="702"/>
      <c r="L237" s="702"/>
      <c r="M237" s="702"/>
      <c r="N237" s="702"/>
      <c r="O237" s="702"/>
      <c r="P237" s="702"/>
      <c r="Q237" s="702"/>
      <c r="R237" s="702"/>
      <c r="S237" s="702"/>
      <c r="T237" s="702"/>
      <c r="U237" s="702"/>
    </row>
    <row r="238" spans="1:21">
      <c r="E238" s="695"/>
      <c r="K238" s="702"/>
      <c r="L238" s="702"/>
      <c r="M238" s="702"/>
      <c r="N238" s="702"/>
      <c r="O238" s="702"/>
      <c r="P238" s="702"/>
      <c r="Q238" s="702"/>
      <c r="R238" s="702"/>
      <c r="S238" s="702"/>
      <c r="T238" s="702"/>
      <c r="U238" s="702"/>
    </row>
    <row r="239" spans="1:21">
      <c r="E239" s="695"/>
      <c r="K239" s="702"/>
      <c r="L239" s="702"/>
      <c r="M239" s="702"/>
      <c r="N239" s="702"/>
      <c r="O239" s="702"/>
      <c r="P239" s="702"/>
      <c r="Q239" s="702"/>
      <c r="R239" s="702"/>
      <c r="S239" s="702"/>
      <c r="T239" s="702"/>
      <c r="U239" s="702"/>
    </row>
    <row r="240" spans="1:21">
      <c r="E240" s="695"/>
      <c r="K240" s="702"/>
      <c r="L240" s="702"/>
      <c r="M240" s="702"/>
      <c r="N240" s="702"/>
      <c r="O240" s="702"/>
      <c r="P240" s="702"/>
      <c r="Q240" s="702"/>
      <c r="R240" s="702"/>
      <c r="S240" s="702"/>
      <c r="T240" s="702"/>
      <c r="U240" s="702"/>
    </row>
    <row r="241" spans="5:21">
      <c r="E241" s="695"/>
      <c r="K241" s="702"/>
      <c r="L241" s="702"/>
      <c r="M241" s="702"/>
      <c r="N241" s="702"/>
      <c r="O241" s="702"/>
      <c r="P241" s="702"/>
      <c r="Q241" s="702"/>
      <c r="R241" s="702"/>
      <c r="S241" s="702"/>
      <c r="T241" s="702"/>
      <c r="U241" s="702"/>
    </row>
    <row r="242" spans="5:21">
      <c r="E242" s="695"/>
      <c r="K242" s="702"/>
      <c r="L242" s="702"/>
      <c r="M242" s="702"/>
      <c r="N242" s="702"/>
      <c r="O242" s="702"/>
      <c r="P242" s="702"/>
      <c r="Q242" s="702"/>
      <c r="R242" s="702"/>
      <c r="S242" s="702"/>
      <c r="T242" s="702"/>
      <c r="U242" s="702"/>
    </row>
    <row r="243" spans="5:21">
      <c r="E243" s="695"/>
      <c r="K243" s="702"/>
      <c r="L243" s="702"/>
      <c r="M243" s="702"/>
      <c r="N243" s="702"/>
      <c r="O243" s="702"/>
      <c r="P243" s="702"/>
      <c r="Q243" s="702"/>
      <c r="R243" s="702"/>
      <c r="S243" s="702"/>
      <c r="T243" s="702"/>
      <c r="U243" s="702"/>
    </row>
    <row r="244" spans="5:21">
      <c r="E244" s="695"/>
      <c r="K244" s="702"/>
      <c r="L244" s="702"/>
      <c r="M244" s="702"/>
      <c r="N244" s="702"/>
      <c r="O244" s="702"/>
      <c r="P244" s="702"/>
      <c r="Q244" s="702"/>
      <c r="R244" s="702"/>
      <c r="S244" s="702"/>
      <c r="T244" s="702"/>
      <c r="U244" s="702"/>
    </row>
  </sheetData>
  <customSheetViews>
    <customSheetView guid="{416404B7-8533-4A12-ABD0-58CFDEB49D80}" scale="75" topLeftCell="I105">
      <selection activeCell="F45" sqref="F45"/>
      <rowBreaks count="1" manualBreakCount="1">
        <brk id="91" max="16383" man="1"/>
      </rowBreaks>
      <pageMargins left="0.45" right="0.21" top="5.5555555555555601E-3" bottom="1.46" header="0.45" footer="0.3"/>
      <printOptions horizontalCentered="1"/>
      <pageSetup scale="31" fitToHeight="4" orientation="landscape" r:id="rId1"/>
    </customSheetView>
  </customSheetViews>
  <mergeCells count="17">
    <mergeCell ref="T203:U203"/>
    <mergeCell ref="T206:U206"/>
    <mergeCell ref="T211:U211"/>
    <mergeCell ref="T214:U214"/>
    <mergeCell ref="T219:U219"/>
    <mergeCell ref="T198:U198"/>
    <mergeCell ref="A1:U1"/>
    <mergeCell ref="A2:U2"/>
    <mergeCell ref="A3:U3"/>
    <mergeCell ref="H6:S6"/>
    <mergeCell ref="H59:S59"/>
    <mergeCell ref="T74:U74"/>
    <mergeCell ref="T92:U92"/>
    <mergeCell ref="T94:U94"/>
    <mergeCell ref="T183:U183"/>
    <mergeCell ref="T185:U185"/>
    <mergeCell ref="T196:U196"/>
  </mergeCells>
  <printOptions horizontalCentered="1"/>
  <pageMargins left="0.45" right="0.21" top="5.5555555555555601E-3" bottom="1.46" header="0.45" footer="0.3"/>
  <pageSetup scale="30" fitToHeight="4" orientation="landscape" r:id="rId2"/>
  <rowBreaks count="2" manualBreakCount="2">
    <brk id="89" max="16383" man="1"/>
    <brk id="158" max="16383" man="1"/>
  </rowBreaks>
  <ignoredErrors>
    <ignoredError sqref="E165 E169 T165:T16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2:P102"/>
  <sheetViews>
    <sheetView zoomScale="75" zoomScaleNormal="75" workbookViewId="0"/>
  </sheetViews>
  <sheetFormatPr defaultColWidth="9.109375" defaultRowHeight="13.2"/>
  <cols>
    <col min="1" max="1" width="14.109375" style="290" customWidth="1"/>
    <col min="2" max="2" width="31.109375" style="290" customWidth="1"/>
    <col min="3" max="3" width="8" style="290" customWidth="1"/>
    <col min="4" max="4" width="11.109375" style="290" bestFit="1" customWidth="1"/>
    <col min="5" max="5" width="9.109375" style="290"/>
    <col min="6" max="6" width="57.6640625" style="290" customWidth="1"/>
    <col min="7" max="7" width="21" style="290" bestFit="1" customWidth="1"/>
    <col min="8" max="8" width="14.109375" style="290" bestFit="1" customWidth="1"/>
    <col min="9" max="9" width="12.44140625" style="290" customWidth="1"/>
    <col min="10" max="11" width="9.109375" style="290"/>
    <col min="12" max="12" width="10.109375" style="290" customWidth="1"/>
    <col min="13" max="16384" width="9.109375" style="290"/>
  </cols>
  <sheetData>
    <row r="2" spans="1:16" ht="17.399999999999999">
      <c r="A2" s="2581" t="str">
        <f>+'Appendix A'!A3</f>
        <v>Public Service Electric and Gas Company</v>
      </c>
      <c r="B2" s="2581"/>
      <c r="C2" s="2581"/>
      <c r="D2" s="2581"/>
      <c r="E2" s="2581"/>
      <c r="F2" s="2581"/>
      <c r="G2" s="2581"/>
      <c r="H2" s="2581"/>
      <c r="I2" s="2581"/>
      <c r="J2" s="2581"/>
      <c r="K2" s="2581"/>
    </row>
    <row r="3" spans="1:16" ht="17.399999999999999">
      <c r="A3" s="2581" t="str">
        <f>+'Appendix A'!A4</f>
        <v xml:space="preserve">ATTACHMENT H-10A </v>
      </c>
      <c r="B3" s="2581"/>
      <c r="C3" s="2581"/>
      <c r="D3" s="2581"/>
      <c r="E3" s="2581"/>
      <c r="F3" s="2581"/>
      <c r="G3" s="2581"/>
      <c r="H3" s="2581"/>
      <c r="I3" s="2581"/>
      <c r="J3" s="46"/>
      <c r="K3" s="46"/>
    </row>
    <row r="4" spans="1:16" ht="17.399999999999999">
      <c r="A4" s="2581" t="s">
        <v>1109</v>
      </c>
      <c r="B4" s="2581"/>
      <c r="C4" s="2581"/>
      <c r="D4" s="2581"/>
      <c r="E4" s="2581"/>
      <c r="F4" s="2581"/>
      <c r="G4" s="2581"/>
      <c r="H4" s="2581"/>
      <c r="I4" s="2581"/>
      <c r="J4" s="2581"/>
      <c r="K4" s="2581"/>
    </row>
    <row r="5" spans="1:16" s="47" customFormat="1" ht="15.6">
      <c r="A5" s="247"/>
      <c r="B5" s="247"/>
      <c r="C5" s="247"/>
      <c r="D5" s="247"/>
      <c r="E5" s="247"/>
      <c r="F5" s="247"/>
      <c r="G5" s="247"/>
      <c r="H5" s="247"/>
      <c r="I5" s="247"/>
      <c r="J5" s="247"/>
      <c r="K5" s="247"/>
    </row>
    <row r="6" spans="1:16" s="47" customFormat="1" ht="15">
      <c r="B6" s="3"/>
      <c r="C6" s="3"/>
      <c r="D6" s="3"/>
      <c r="E6" s="3"/>
      <c r="F6" s="3"/>
      <c r="G6" s="7"/>
      <c r="H6" s="7"/>
      <c r="I6" s="6"/>
      <c r="J6" s="6"/>
      <c r="K6" s="6"/>
      <c r="L6" s="6"/>
      <c r="M6" s="6"/>
      <c r="N6" s="6"/>
      <c r="O6" s="6"/>
      <c r="P6" s="6"/>
    </row>
    <row r="7" spans="1:16" s="47" customFormat="1" ht="15">
      <c r="A7" s="3" t="s">
        <v>54</v>
      </c>
      <c r="B7" s="3"/>
      <c r="D7" s="3"/>
      <c r="E7" s="3"/>
      <c r="F7" s="3"/>
      <c r="G7" s="3"/>
      <c r="H7" s="3"/>
      <c r="I7" s="6"/>
      <c r="J7" s="6"/>
      <c r="K7" s="6"/>
      <c r="L7" s="6"/>
      <c r="M7" s="6"/>
      <c r="N7" s="6"/>
      <c r="O7" s="6"/>
      <c r="P7" s="6"/>
    </row>
    <row r="8" spans="1:16" s="47" customFormat="1" ht="15">
      <c r="A8" s="3" t="s">
        <v>55</v>
      </c>
      <c r="B8" s="274"/>
      <c r="E8" s="3"/>
      <c r="F8" s="3"/>
      <c r="G8" s="3"/>
      <c r="H8" s="3"/>
      <c r="I8" s="7"/>
      <c r="J8" s="3"/>
      <c r="K8" s="3"/>
    </row>
    <row r="9" spans="1:16" s="47" customFormat="1" ht="15">
      <c r="A9" s="3"/>
      <c r="B9" s="3"/>
      <c r="D9" s="3"/>
      <c r="E9" s="3"/>
      <c r="F9" s="3"/>
      <c r="G9" s="3"/>
      <c r="H9" s="3"/>
      <c r="I9" s="3"/>
      <c r="J9" s="3"/>
      <c r="K9" s="3"/>
    </row>
    <row r="10" spans="1:16" s="47" customFormat="1" ht="15">
      <c r="A10" s="3" t="s">
        <v>56</v>
      </c>
      <c r="B10" s="3" t="s">
        <v>497</v>
      </c>
      <c r="D10" s="3"/>
      <c r="E10" s="3"/>
      <c r="F10" s="3"/>
      <c r="G10" s="3"/>
      <c r="H10" s="3"/>
      <c r="I10" s="3"/>
      <c r="J10" s="3"/>
      <c r="K10" s="3"/>
    </row>
    <row r="11" spans="1:16" s="47" customFormat="1" ht="15">
      <c r="A11" s="3"/>
      <c r="B11" s="3" t="s">
        <v>57</v>
      </c>
      <c r="D11" s="3"/>
      <c r="E11" s="3"/>
      <c r="F11" s="3"/>
      <c r="G11" s="3"/>
      <c r="H11" s="3"/>
      <c r="I11" s="3"/>
      <c r="J11" s="3"/>
      <c r="K11" s="3"/>
    </row>
    <row r="12" spans="1:16" s="47" customFormat="1" ht="18.600000000000001">
      <c r="A12" s="3"/>
      <c r="B12" s="3" t="s">
        <v>648</v>
      </c>
      <c r="D12" s="3"/>
      <c r="E12" s="3"/>
      <c r="F12" s="3"/>
      <c r="G12" s="275"/>
      <c r="I12" s="3"/>
      <c r="J12" s="3"/>
      <c r="K12" s="3"/>
    </row>
    <row r="13" spans="1:16" s="47" customFormat="1" ht="15">
      <c r="A13" s="3"/>
      <c r="B13" s="3"/>
      <c r="D13" s="3"/>
      <c r="E13" s="3"/>
      <c r="F13" s="3"/>
      <c r="G13" s="3"/>
      <c r="H13" s="3"/>
      <c r="I13" s="3"/>
      <c r="J13" s="3"/>
      <c r="K13" s="3"/>
    </row>
    <row r="14" spans="1:16" s="47" customFormat="1" ht="15">
      <c r="A14" s="3" t="s">
        <v>58</v>
      </c>
      <c r="B14" s="3" t="s">
        <v>496</v>
      </c>
      <c r="D14" s="3"/>
      <c r="E14" s="3"/>
      <c r="F14" s="3"/>
      <c r="G14" s="3"/>
      <c r="H14" s="3"/>
      <c r="I14" s="3"/>
      <c r="J14" s="3"/>
      <c r="K14" s="3"/>
    </row>
    <row r="15" spans="1:16" s="47" customFormat="1" ht="15">
      <c r="A15" s="3"/>
      <c r="B15" s="3" t="s">
        <v>59</v>
      </c>
      <c r="D15" s="3"/>
      <c r="E15" s="3"/>
      <c r="F15" s="3"/>
      <c r="G15" s="3"/>
      <c r="H15" s="3"/>
      <c r="I15" s="3"/>
      <c r="J15" s="3"/>
      <c r="K15" s="3"/>
    </row>
    <row r="16" spans="1:16" s="47" customFormat="1" ht="15">
      <c r="A16" s="3"/>
      <c r="B16" s="3" t="s">
        <v>60</v>
      </c>
      <c r="D16" s="3"/>
      <c r="E16" s="3"/>
      <c r="F16" s="3"/>
      <c r="G16" s="3"/>
      <c r="H16" s="3"/>
      <c r="I16" s="3"/>
      <c r="J16" s="3"/>
      <c r="K16" s="3"/>
    </row>
    <row r="17" spans="1:11" s="47" customFormat="1" ht="15">
      <c r="A17" s="3"/>
      <c r="B17" s="3"/>
      <c r="D17" s="3"/>
      <c r="E17" s="3"/>
      <c r="F17" s="3"/>
      <c r="G17" s="3"/>
      <c r="H17" s="3"/>
      <c r="I17" s="3"/>
      <c r="J17" s="3"/>
      <c r="K17" s="3"/>
    </row>
    <row r="18" spans="1:11" s="47" customFormat="1" ht="15">
      <c r="A18" s="3" t="s">
        <v>61</v>
      </c>
      <c r="B18" s="3" t="s">
        <v>62</v>
      </c>
      <c r="D18" s="3"/>
      <c r="E18" s="3"/>
      <c r="F18" s="3"/>
      <c r="G18" s="3"/>
      <c r="H18" s="3"/>
      <c r="I18" s="3"/>
      <c r="J18" s="3"/>
      <c r="K18" s="3"/>
    </row>
    <row r="19" spans="1:11" s="47" customFormat="1" ht="15">
      <c r="A19" s="3"/>
      <c r="B19" s="3"/>
      <c r="D19" s="3"/>
      <c r="E19" s="3"/>
      <c r="F19" s="3"/>
      <c r="G19" s="3"/>
      <c r="H19" s="3"/>
      <c r="I19" s="3"/>
      <c r="K19" s="3"/>
    </row>
    <row r="20" spans="1:11" s="47" customFormat="1" ht="15">
      <c r="B20" s="3" t="s">
        <v>63</v>
      </c>
      <c r="C20" s="3"/>
      <c r="E20" s="3"/>
      <c r="F20" s="3"/>
      <c r="G20" s="3"/>
      <c r="H20" s="3"/>
      <c r="I20" s="3"/>
      <c r="J20" s="276"/>
      <c r="K20" s="3"/>
    </row>
    <row r="21" spans="1:11" s="47" customFormat="1" ht="15">
      <c r="C21" s="3"/>
      <c r="E21" s="3"/>
      <c r="F21" s="3"/>
      <c r="G21" s="3"/>
      <c r="H21" s="3"/>
      <c r="I21" s="3"/>
      <c r="J21" s="3"/>
      <c r="K21" s="3"/>
    </row>
    <row r="22" spans="1:11" s="47" customFormat="1" ht="15">
      <c r="B22" s="3" t="s">
        <v>64</v>
      </c>
      <c r="C22" s="18" t="s">
        <v>65</v>
      </c>
      <c r="D22" s="3" t="s">
        <v>686</v>
      </c>
      <c r="F22" s="3"/>
      <c r="G22" s="3"/>
      <c r="H22" s="3"/>
      <c r="I22" s="3"/>
      <c r="J22" s="3"/>
      <c r="K22" s="3"/>
    </row>
    <row r="23" spans="1:11" s="47" customFormat="1" ht="15">
      <c r="D23" s="3" t="s">
        <v>91</v>
      </c>
      <c r="E23" s="3"/>
      <c r="F23" s="3"/>
      <c r="G23" s="3"/>
      <c r="H23" s="3"/>
      <c r="I23" s="3"/>
      <c r="J23" s="388"/>
      <c r="K23" s="3"/>
    </row>
    <row r="24" spans="1:11" s="47" customFormat="1" ht="15">
      <c r="E24" s="3"/>
      <c r="F24" s="3"/>
      <c r="G24" s="3"/>
      <c r="H24" s="3"/>
      <c r="I24" s="3"/>
      <c r="J24" s="3"/>
      <c r="K24" s="3"/>
    </row>
    <row r="25" spans="1:11" s="47" customFormat="1" ht="15">
      <c r="D25" s="3"/>
      <c r="H25" s="3"/>
      <c r="I25" s="3"/>
      <c r="J25" s="3"/>
      <c r="K25" s="3"/>
    </row>
    <row r="26" spans="1:11" s="47" customFormat="1" ht="15">
      <c r="A26" s="3"/>
      <c r="D26" s="3"/>
      <c r="F26" s="3"/>
      <c r="G26" s="3"/>
      <c r="H26" s="3"/>
      <c r="I26" s="3"/>
      <c r="J26" s="3"/>
      <c r="K26" s="3"/>
    </row>
    <row r="27" spans="1:11" s="47" customFormat="1" ht="15">
      <c r="C27" s="3"/>
      <c r="F27" s="3"/>
      <c r="G27" s="277"/>
      <c r="H27" s="3"/>
      <c r="I27" s="3"/>
      <c r="J27" s="3"/>
      <c r="K27" s="3"/>
    </row>
    <row r="28" spans="1:11" s="47" customFormat="1" ht="15">
      <c r="A28" s="277" t="s">
        <v>66</v>
      </c>
      <c r="B28" s="278"/>
      <c r="C28" s="278"/>
      <c r="D28" s="277"/>
      <c r="E28" s="277"/>
      <c r="F28" s="277"/>
      <c r="H28" s="277"/>
      <c r="I28" s="3"/>
      <c r="J28" s="3"/>
      <c r="K28" s="3"/>
    </row>
    <row r="29" spans="1:11" s="47" customFormat="1">
      <c r="G29" s="38"/>
    </row>
    <row r="30" spans="1:11" s="47" customFormat="1" ht="15">
      <c r="A30" s="38"/>
      <c r="B30" s="38"/>
      <c r="C30" s="38"/>
      <c r="D30" s="38"/>
      <c r="E30" s="38"/>
      <c r="F30" s="38"/>
      <c r="G30" s="7"/>
      <c r="H30" s="38"/>
      <c r="I30" s="38"/>
      <c r="J30" s="38"/>
      <c r="K30" s="38"/>
    </row>
    <row r="31" spans="1:11" s="47" customFormat="1" ht="15">
      <c r="A31" s="7" t="s">
        <v>772</v>
      </c>
      <c r="B31" s="7" t="s">
        <v>773</v>
      </c>
      <c r="C31" s="7" t="s">
        <v>774</v>
      </c>
      <c r="D31" s="38"/>
      <c r="E31" s="7"/>
      <c r="F31" s="7"/>
      <c r="G31" s="7"/>
      <c r="H31" s="7"/>
      <c r="I31" s="38"/>
      <c r="J31" s="38"/>
      <c r="K31" s="38"/>
    </row>
    <row r="32" spans="1:11" s="47" customFormat="1" ht="15">
      <c r="A32" s="7"/>
      <c r="B32" s="7"/>
      <c r="C32" s="7"/>
      <c r="D32" s="38"/>
      <c r="E32" s="7"/>
      <c r="F32" s="7"/>
      <c r="G32" s="7"/>
      <c r="H32" s="7"/>
      <c r="I32" s="38"/>
      <c r="J32" s="38"/>
      <c r="K32" s="38"/>
    </row>
    <row r="33" spans="1:15" s="47" customFormat="1" ht="15">
      <c r="A33" s="19" t="s">
        <v>802</v>
      </c>
      <c r="B33" s="19">
        <v>2008</v>
      </c>
      <c r="C33" s="7" t="s">
        <v>67</v>
      </c>
      <c r="D33" s="38"/>
      <c r="E33" s="7"/>
      <c r="F33" s="7"/>
      <c r="G33" s="7"/>
      <c r="H33" s="7"/>
      <c r="I33" s="38"/>
      <c r="J33" s="38"/>
      <c r="K33" s="38"/>
    </row>
    <row r="34" spans="1:15" s="47" customFormat="1" ht="15">
      <c r="A34" s="19" t="s">
        <v>498</v>
      </c>
      <c r="B34" s="19">
        <v>2008</v>
      </c>
      <c r="C34" s="7" t="s">
        <v>68</v>
      </c>
      <c r="D34" s="38"/>
      <c r="E34" s="7"/>
      <c r="F34" s="7"/>
      <c r="G34" s="7"/>
      <c r="H34" s="7"/>
      <c r="I34" s="38"/>
      <c r="J34" s="38"/>
      <c r="K34" s="38"/>
    </row>
    <row r="35" spans="1:15" s="47" customFormat="1" ht="15">
      <c r="A35" s="19" t="s">
        <v>778</v>
      </c>
      <c r="B35" s="19">
        <v>2009</v>
      </c>
      <c r="C35" s="7" t="s">
        <v>69</v>
      </c>
      <c r="D35" s="38"/>
      <c r="E35" s="7"/>
      <c r="F35" s="7"/>
      <c r="G35" s="7"/>
      <c r="H35" s="7"/>
      <c r="I35" s="38"/>
      <c r="J35" s="38"/>
      <c r="K35" s="38"/>
    </row>
    <row r="36" spans="1:15" s="47" customFormat="1" ht="15">
      <c r="A36" s="19" t="s">
        <v>498</v>
      </c>
      <c r="B36" s="19">
        <v>2009</v>
      </c>
      <c r="C36" s="7" t="s">
        <v>70</v>
      </c>
      <c r="D36" s="38"/>
      <c r="E36" s="7"/>
      <c r="F36" s="7"/>
      <c r="G36" s="7"/>
      <c r="H36" s="7"/>
      <c r="I36" s="38"/>
      <c r="J36" s="38"/>
      <c r="K36" s="38"/>
    </row>
    <row r="37" spans="1:15" s="47" customFormat="1" ht="15">
      <c r="A37" s="19" t="s">
        <v>498</v>
      </c>
      <c r="B37" s="19">
        <f>+B36</f>
        <v>2009</v>
      </c>
      <c r="C37" s="7" t="s">
        <v>71</v>
      </c>
      <c r="D37" s="38"/>
      <c r="E37" s="7"/>
      <c r="F37" s="7"/>
      <c r="G37" s="7"/>
      <c r="H37" s="7"/>
      <c r="I37" s="38"/>
      <c r="J37" s="38"/>
      <c r="K37" s="38"/>
    </row>
    <row r="38" spans="1:15" s="47" customFormat="1" ht="15">
      <c r="A38" s="19" t="s">
        <v>778</v>
      </c>
      <c r="B38" s="19">
        <v>2010</v>
      </c>
      <c r="C38" s="7" t="s">
        <v>72</v>
      </c>
      <c r="D38" s="38"/>
      <c r="E38" s="7"/>
      <c r="F38" s="7"/>
      <c r="G38" s="7"/>
      <c r="H38" s="7"/>
      <c r="I38" s="38"/>
      <c r="J38" s="38"/>
      <c r="K38" s="38"/>
    </row>
    <row r="39" spans="1:15" s="47" customFormat="1" ht="15">
      <c r="A39" s="19" t="s">
        <v>498</v>
      </c>
      <c r="B39" s="19">
        <v>2010</v>
      </c>
      <c r="C39" s="7" t="s">
        <v>73</v>
      </c>
      <c r="D39" s="38"/>
      <c r="E39" s="7"/>
      <c r="F39" s="7"/>
      <c r="G39" s="7"/>
      <c r="H39" s="7"/>
      <c r="I39" s="38"/>
      <c r="J39" s="38"/>
      <c r="K39" s="38"/>
    </row>
    <row r="40" spans="1:15" s="47" customFormat="1" ht="15">
      <c r="A40" s="19" t="str">
        <f>+A39</f>
        <v>October</v>
      </c>
      <c r="B40" s="19">
        <v>2010</v>
      </c>
      <c r="C40" s="7" t="s">
        <v>74</v>
      </c>
      <c r="D40" s="38"/>
      <c r="E40" s="7"/>
      <c r="F40" s="7"/>
      <c r="G40" s="7"/>
      <c r="H40" s="7"/>
      <c r="I40" s="38"/>
      <c r="J40" s="38"/>
      <c r="K40" s="38"/>
    </row>
    <row r="41" spans="1:15" s="47" customFormat="1" ht="15">
      <c r="A41" s="19" t="s">
        <v>778</v>
      </c>
      <c r="B41" s="19">
        <v>2011</v>
      </c>
      <c r="C41" s="7" t="s">
        <v>714</v>
      </c>
      <c r="D41" s="38"/>
      <c r="E41" s="7"/>
      <c r="F41" s="7"/>
      <c r="G41" s="7"/>
      <c r="H41" s="7"/>
      <c r="I41" s="38"/>
      <c r="J41" s="38"/>
      <c r="K41" s="38"/>
    </row>
    <row r="42" spans="1:15" s="47" customFormat="1" ht="15">
      <c r="A42" s="19" t="s">
        <v>498</v>
      </c>
      <c r="B42" s="19">
        <v>2011</v>
      </c>
      <c r="C42" s="7" t="s">
        <v>713</v>
      </c>
      <c r="D42" s="38"/>
      <c r="E42" s="7"/>
      <c r="F42" s="7"/>
      <c r="G42" s="7"/>
      <c r="H42" s="7"/>
      <c r="I42" s="38"/>
      <c r="J42" s="38"/>
      <c r="K42" s="38"/>
    </row>
    <row r="43" spans="1:15" s="47" customFormat="1" ht="15">
      <c r="A43" s="19" t="str">
        <f>+A42</f>
        <v>October</v>
      </c>
      <c r="B43" s="19">
        <v>2011</v>
      </c>
      <c r="C43" s="7" t="s">
        <v>715</v>
      </c>
      <c r="D43" s="38"/>
      <c r="E43" s="7"/>
      <c r="F43" s="7"/>
      <c r="G43" s="7"/>
      <c r="H43" s="7"/>
      <c r="I43" s="38"/>
      <c r="J43" s="38"/>
      <c r="K43" s="38"/>
    </row>
    <row r="44" spans="1:15" s="47" customFormat="1" ht="15">
      <c r="A44" s="19" t="s">
        <v>778</v>
      </c>
      <c r="B44" s="19">
        <v>2012</v>
      </c>
      <c r="C44" s="7" t="s">
        <v>842</v>
      </c>
      <c r="D44" s="38"/>
      <c r="E44" s="7"/>
      <c r="F44" s="7"/>
      <c r="G44" s="7"/>
      <c r="H44" s="7"/>
      <c r="I44" s="38"/>
      <c r="J44" s="38"/>
      <c r="K44" s="38"/>
    </row>
    <row r="45" spans="1:15" s="47" customFormat="1" ht="15">
      <c r="A45" s="19" t="s">
        <v>498</v>
      </c>
      <c r="B45" s="19">
        <v>2012</v>
      </c>
      <c r="C45" s="7" t="s">
        <v>843</v>
      </c>
      <c r="D45" s="38"/>
      <c r="E45" s="7"/>
      <c r="F45" s="7"/>
      <c r="G45" s="7"/>
      <c r="H45" s="7"/>
      <c r="I45" s="38"/>
      <c r="J45" s="38"/>
      <c r="K45" s="38"/>
    </row>
    <row r="46" spans="1:15" s="47" customFormat="1" ht="15">
      <c r="A46" s="19" t="str">
        <f>+A45</f>
        <v>October</v>
      </c>
      <c r="B46" s="19">
        <v>2012</v>
      </c>
      <c r="C46" s="7" t="s">
        <v>844</v>
      </c>
      <c r="D46" s="38"/>
      <c r="E46" s="7"/>
      <c r="F46" s="7"/>
      <c r="G46" s="3"/>
      <c r="H46" s="7"/>
      <c r="I46" s="38"/>
      <c r="J46" s="38"/>
      <c r="K46" s="38"/>
    </row>
    <row r="47" spans="1:15" s="47" customFormat="1" ht="15">
      <c r="A47" s="19" t="s">
        <v>778</v>
      </c>
      <c r="B47" s="19">
        <v>2013</v>
      </c>
      <c r="C47" s="7" t="s">
        <v>862</v>
      </c>
      <c r="D47" s="38"/>
      <c r="E47" s="7"/>
      <c r="F47" s="7"/>
      <c r="G47" s="3"/>
      <c r="H47" s="7"/>
      <c r="I47" s="38"/>
      <c r="J47" s="979"/>
      <c r="K47" s="38"/>
      <c r="L47" s="38"/>
      <c r="M47" s="38"/>
      <c r="N47" s="38"/>
      <c r="O47" s="38"/>
    </row>
    <row r="48" spans="1:15" s="47" customFormat="1" ht="15">
      <c r="A48" s="910" t="s">
        <v>498</v>
      </c>
      <c r="B48" s="910">
        <v>2013</v>
      </c>
      <c r="C48" s="696" t="s">
        <v>873</v>
      </c>
      <c r="D48" s="694"/>
      <c r="E48" s="696"/>
      <c r="F48" s="696"/>
      <c r="G48" s="3"/>
      <c r="H48" s="7"/>
      <c r="I48" s="38"/>
      <c r="J48" s="38"/>
      <c r="K48" s="38"/>
    </row>
    <row r="49" spans="1:11" s="47" customFormat="1" ht="15">
      <c r="A49" s="910" t="str">
        <f>+A48</f>
        <v>October</v>
      </c>
      <c r="B49" s="910">
        <v>2013</v>
      </c>
      <c r="C49" s="696" t="s">
        <v>874</v>
      </c>
      <c r="D49" s="694"/>
      <c r="E49" s="696"/>
      <c r="F49" s="696"/>
      <c r="H49" s="3"/>
    </row>
    <row r="50" spans="1:11" s="47" customFormat="1" ht="15">
      <c r="A50" s="1413" t="s">
        <v>778</v>
      </c>
      <c r="B50" s="19">
        <v>2014</v>
      </c>
      <c r="C50" s="7" t="s">
        <v>918</v>
      </c>
      <c r="D50" s="38"/>
      <c r="E50" s="7"/>
      <c r="F50" s="7"/>
    </row>
    <row r="51" spans="1:11" s="47" customFormat="1" ht="15">
      <c r="A51" s="910" t="s">
        <v>498</v>
      </c>
      <c r="B51" s="910">
        <v>2014</v>
      </c>
      <c r="C51" s="696" t="s">
        <v>1112</v>
      </c>
      <c r="D51" s="694"/>
      <c r="E51" s="696"/>
      <c r="F51" s="696"/>
      <c r="G51" s="3"/>
      <c r="H51" s="7"/>
      <c r="I51" s="38"/>
      <c r="J51" s="38"/>
      <c r="K51" s="38"/>
    </row>
    <row r="52" spans="1:11" s="47" customFormat="1" ht="15">
      <c r="A52" s="910" t="str">
        <f>+A51</f>
        <v>October</v>
      </c>
      <c r="B52" s="910">
        <v>2014</v>
      </c>
      <c r="C52" s="696" t="s">
        <v>1113</v>
      </c>
      <c r="D52" s="694"/>
      <c r="E52" s="696"/>
      <c r="F52" s="696"/>
      <c r="H52" s="3"/>
    </row>
    <row r="53" spans="1:11" s="47" customFormat="1" ht="15">
      <c r="A53" s="1413" t="s">
        <v>1110</v>
      </c>
      <c r="B53" s="19">
        <v>2015</v>
      </c>
      <c r="C53" s="7" t="s">
        <v>1111</v>
      </c>
      <c r="D53" s="38"/>
      <c r="E53" s="7"/>
      <c r="F53" s="7"/>
    </row>
    <row r="54" spans="1:11" s="47" customFormat="1" ht="15">
      <c r="D54" s="3"/>
      <c r="E54" s="3"/>
      <c r="F54" s="3"/>
    </row>
    <row r="55" spans="1:11" s="47" customFormat="1" ht="16.2">
      <c r="A55" s="279">
        <v>1</v>
      </c>
      <c r="B55" s="3" t="s">
        <v>75</v>
      </c>
      <c r="C55" s="3"/>
      <c r="G55" s="3"/>
    </row>
    <row r="56" spans="1:11" s="47" customFormat="1" ht="16.2">
      <c r="A56" s="280"/>
      <c r="B56" s="3" t="s">
        <v>76</v>
      </c>
      <c r="C56" s="3"/>
      <c r="G56" s="3"/>
      <c r="H56" s="3"/>
    </row>
    <row r="57" spans="1:11" s="47" customFormat="1" ht="16.2">
      <c r="A57" s="280"/>
      <c r="B57" s="3"/>
      <c r="G57" s="3"/>
      <c r="H57" s="3"/>
    </row>
    <row r="58" spans="1:11" s="47" customFormat="1" ht="16.2">
      <c r="A58" s="279">
        <v>2</v>
      </c>
      <c r="B58" s="3" t="s">
        <v>80</v>
      </c>
      <c r="E58" s="3"/>
      <c r="F58" s="3"/>
      <c r="G58" s="3"/>
      <c r="H58" s="3"/>
    </row>
    <row r="59" spans="1:11" s="47" customFormat="1" ht="15">
      <c r="A59" s="3"/>
      <c r="B59" s="3" t="s">
        <v>81</v>
      </c>
      <c r="E59" s="3"/>
      <c r="F59" s="3"/>
      <c r="H59" s="3"/>
    </row>
    <row r="60" spans="1:11" s="47" customFormat="1" ht="15">
      <c r="A60" s="3"/>
      <c r="B60" s="3" t="s">
        <v>596</v>
      </c>
      <c r="E60" s="3"/>
      <c r="F60" s="3"/>
    </row>
    <row r="61" spans="1:11" s="47" customFormat="1" ht="15">
      <c r="A61" s="3"/>
      <c r="B61" s="3" t="s">
        <v>82</v>
      </c>
      <c r="E61" s="3"/>
      <c r="F61" s="3"/>
    </row>
    <row r="62" spans="1:11" s="47" customFormat="1" ht="15">
      <c r="A62" s="3"/>
      <c r="B62" s="3" t="s">
        <v>83</v>
      </c>
    </row>
    <row r="63" spans="1:11" s="47" customFormat="1" ht="15">
      <c r="A63" s="3"/>
      <c r="B63" s="3" t="s">
        <v>84</v>
      </c>
      <c r="G63" s="3"/>
    </row>
    <row r="64" spans="1:11" s="47" customFormat="1" ht="15">
      <c r="G64" s="3"/>
      <c r="H64" s="3"/>
      <c r="I64" s="3"/>
      <c r="J64" s="3"/>
    </row>
    <row r="65" spans="1:16" s="47" customFormat="1" ht="15">
      <c r="G65" s="3"/>
      <c r="H65" s="3"/>
      <c r="I65" s="3"/>
      <c r="J65" s="3"/>
    </row>
    <row r="66" spans="1:16" s="47" customFormat="1" ht="15">
      <c r="B66" s="3" t="s">
        <v>85</v>
      </c>
      <c r="C66" s="18"/>
      <c r="D66" s="7" t="s">
        <v>89</v>
      </c>
      <c r="E66" s="3"/>
      <c r="F66" s="3"/>
      <c r="H66" s="3"/>
      <c r="I66" s="3"/>
      <c r="J66" s="3"/>
    </row>
    <row r="67" spans="1:16" s="47" customFormat="1" ht="15">
      <c r="B67" s="3"/>
      <c r="C67" s="18"/>
      <c r="D67" s="7"/>
      <c r="E67" s="3"/>
      <c r="F67" s="3"/>
      <c r="K67" s="38"/>
      <c r="L67" s="38"/>
      <c r="M67" s="38"/>
    </row>
    <row r="68" spans="1:16" s="47" customFormat="1" ht="15">
      <c r="B68" s="3"/>
      <c r="C68" s="18"/>
      <c r="D68" s="3"/>
      <c r="E68" s="3"/>
      <c r="F68" s="3"/>
    </row>
    <row r="69" spans="1:16" s="47" customFormat="1" ht="15">
      <c r="A69" s="47" t="s">
        <v>123</v>
      </c>
      <c r="B69" s="3" t="s">
        <v>86</v>
      </c>
      <c r="C69" s="18"/>
      <c r="D69" s="3"/>
      <c r="E69" s="3"/>
      <c r="F69" s="3"/>
      <c r="G69" s="463">
        <f>+'Appendix A'!H271-3867301-70940-7899-173347</f>
        <v>717516446.79186249</v>
      </c>
      <c r="H69" s="7"/>
      <c r="I69" s="7"/>
      <c r="J69" s="7"/>
    </row>
    <row r="70" spans="1:16" s="47" customFormat="1" ht="15">
      <c r="A70" s="47" t="s">
        <v>331</v>
      </c>
      <c r="B70" s="3" t="s">
        <v>87</v>
      </c>
      <c r="C70" s="18"/>
      <c r="D70" s="3"/>
      <c r="E70" s="3"/>
      <c r="F70" s="3"/>
      <c r="G70" s="691">
        <v>736263946</v>
      </c>
      <c r="H70" s="7"/>
      <c r="I70" s="3"/>
      <c r="J70" s="3"/>
    </row>
    <row r="71" spans="1:16" s="47" customFormat="1" ht="15">
      <c r="A71" s="47" t="s">
        <v>108</v>
      </c>
      <c r="B71" s="3" t="s">
        <v>687</v>
      </c>
      <c r="C71" s="18"/>
      <c r="D71" s="3"/>
      <c r="E71" s="3"/>
      <c r="F71" s="3"/>
      <c r="G71" s="249">
        <f>(G69-G70)</f>
        <v>-18747499.208137512</v>
      </c>
      <c r="H71" s="38" t="s">
        <v>511</v>
      </c>
      <c r="I71" s="3"/>
      <c r="J71" s="3"/>
    </row>
    <row r="72" spans="1:16" s="47" customFormat="1" ht="15">
      <c r="A72" s="47" t="s">
        <v>124</v>
      </c>
      <c r="B72" s="3" t="s">
        <v>688</v>
      </c>
      <c r="C72" s="18"/>
      <c r="D72" s="3"/>
      <c r="E72" s="3"/>
      <c r="F72" s="3"/>
      <c r="G72" s="448">
        <f>1*(1+D102)^24</f>
        <v>1</v>
      </c>
      <c r="H72" s="38" t="s">
        <v>512</v>
      </c>
      <c r="I72" s="3"/>
      <c r="J72" s="3"/>
    </row>
    <row r="73" spans="1:16" s="47" customFormat="1" ht="15">
      <c r="A73" s="47" t="s">
        <v>122</v>
      </c>
      <c r="B73" s="3" t="s">
        <v>689</v>
      </c>
      <c r="C73" s="18"/>
      <c r="D73" s="3"/>
      <c r="E73" s="3"/>
      <c r="F73" s="3"/>
      <c r="G73" s="249">
        <f>+G71*G72</f>
        <v>-18747499.208137512</v>
      </c>
      <c r="H73" s="38" t="s">
        <v>515</v>
      </c>
      <c r="I73" s="3"/>
      <c r="J73" s="3"/>
    </row>
    <row r="74" spans="1:16" s="47" customFormat="1" ht="15">
      <c r="B74" s="3"/>
      <c r="C74" s="18"/>
      <c r="D74" s="3"/>
      <c r="E74" s="3"/>
      <c r="F74" s="3"/>
      <c r="G74" s="3"/>
      <c r="H74" s="38" t="s">
        <v>516</v>
      </c>
      <c r="I74" s="3"/>
      <c r="J74" s="3"/>
    </row>
    <row r="75" spans="1:16" s="47" customFormat="1" ht="15">
      <c r="B75" s="3"/>
      <c r="C75" s="18"/>
      <c r="D75" s="3"/>
      <c r="E75" s="3"/>
      <c r="F75" s="3"/>
      <c r="G75" s="3"/>
      <c r="H75" s="38"/>
      <c r="I75" s="3"/>
      <c r="J75" s="3"/>
    </row>
    <row r="76" spans="1:16" s="47" customFormat="1" ht="15">
      <c r="B76" s="3" t="s">
        <v>88</v>
      </c>
      <c r="C76" s="3"/>
      <c r="D76" s="3"/>
      <c r="E76" s="3"/>
      <c r="F76" s="3"/>
      <c r="G76" s="371"/>
    </row>
    <row r="77" spans="1:16" ht="15">
      <c r="A77" s="47"/>
      <c r="B77" s="3" t="s">
        <v>93</v>
      </c>
      <c r="C77" s="3"/>
      <c r="D77" s="3"/>
      <c r="E77" s="3"/>
      <c r="F77" s="3"/>
      <c r="G77" s="979"/>
      <c r="H77" s="1201"/>
      <c r="I77" s="372"/>
      <c r="J77" s="369"/>
      <c r="K77" s="369"/>
      <c r="L77" s="369"/>
      <c r="M77" s="369"/>
      <c r="N77" s="369"/>
      <c r="O77" s="369"/>
      <c r="P77" s="369"/>
    </row>
    <row r="78" spans="1:16" ht="15">
      <c r="A78" s="47"/>
      <c r="B78" s="3"/>
      <c r="C78" s="3"/>
      <c r="D78" s="3"/>
      <c r="E78" s="3"/>
      <c r="F78" s="3"/>
      <c r="G78" s="980"/>
      <c r="H78" s="981"/>
      <c r="I78" s="981"/>
      <c r="J78" s="981"/>
      <c r="K78" s="369"/>
      <c r="L78" s="369"/>
    </row>
    <row r="79" spans="1:16" ht="21">
      <c r="A79" s="4" t="s">
        <v>789</v>
      </c>
      <c r="B79" s="18"/>
      <c r="C79" s="3"/>
      <c r="D79" s="3"/>
      <c r="G79" s="518"/>
      <c r="H79" s="980"/>
      <c r="I79" s="371"/>
      <c r="J79" s="982"/>
      <c r="K79" s="369"/>
      <c r="L79" s="369"/>
    </row>
    <row r="80" spans="1:16" ht="15">
      <c r="A80" s="559" t="s">
        <v>772</v>
      </c>
      <c r="B80" s="18" t="s">
        <v>790</v>
      </c>
      <c r="C80" s="3"/>
      <c r="D80" s="18" t="s">
        <v>772</v>
      </c>
      <c r="G80" s="1240"/>
      <c r="H80" s="372"/>
      <c r="I80" s="373"/>
      <c r="J80" s="982"/>
      <c r="K80" s="369"/>
      <c r="L80" s="369"/>
    </row>
    <row r="81" spans="1:12" ht="15">
      <c r="A81" s="3" t="s">
        <v>799</v>
      </c>
      <c r="B81" s="18" t="s">
        <v>734</v>
      </c>
      <c r="C81" s="3"/>
      <c r="D81" s="692">
        <v>0</v>
      </c>
      <c r="E81" s="1200"/>
      <c r="F81" s="488"/>
      <c r="G81" s="1240"/>
      <c r="H81" s="372"/>
      <c r="I81" s="373"/>
      <c r="J81" s="982"/>
      <c r="K81" s="369"/>
      <c r="L81" s="369"/>
    </row>
    <row r="82" spans="1:12" ht="15">
      <c r="A82" s="3" t="s">
        <v>800</v>
      </c>
      <c r="B82" s="18" t="s">
        <v>734</v>
      </c>
      <c r="C82" s="3"/>
      <c r="D82" s="692">
        <v>0</v>
      </c>
      <c r="E82" s="1200"/>
      <c r="F82"/>
      <c r="G82" s="1240"/>
      <c r="H82" s="372"/>
      <c r="I82" s="373"/>
      <c r="J82" s="45"/>
    </row>
    <row r="83" spans="1:12" ht="15">
      <c r="A83" s="3" t="s">
        <v>801</v>
      </c>
      <c r="B83" s="18" t="s">
        <v>734</v>
      </c>
      <c r="C83" s="3"/>
      <c r="D83" s="692">
        <v>0</v>
      </c>
      <c r="E83" s="1200"/>
      <c r="G83" s="1240"/>
      <c r="H83" s="372"/>
      <c r="I83" s="373"/>
      <c r="J83" s="45"/>
    </row>
    <row r="84" spans="1:12" ht="15">
      <c r="A84" s="3" t="s">
        <v>775</v>
      </c>
      <c r="B84" s="18" t="s">
        <v>734</v>
      </c>
      <c r="C84" s="3"/>
      <c r="D84" s="692">
        <v>0</v>
      </c>
      <c r="E84" s="1200"/>
      <c r="F84"/>
      <c r="G84" s="1240"/>
      <c r="H84" s="372"/>
      <c r="I84" s="373"/>
      <c r="J84" s="45"/>
    </row>
    <row r="85" spans="1:12" ht="15">
      <c r="A85" s="3" t="s">
        <v>777</v>
      </c>
      <c r="B85" s="18" t="s">
        <v>734</v>
      </c>
      <c r="C85" s="3"/>
      <c r="D85" s="692">
        <v>0</v>
      </c>
      <c r="E85" s="1200"/>
      <c r="F85"/>
      <c r="G85" s="1240"/>
      <c r="H85" s="372"/>
      <c r="I85" s="373"/>
      <c r="J85" s="45"/>
    </row>
    <row r="86" spans="1:12" ht="15">
      <c r="A86" s="3" t="s">
        <v>778</v>
      </c>
      <c r="B86" s="18" t="s">
        <v>734</v>
      </c>
      <c r="C86" s="3"/>
      <c r="D86" s="692">
        <v>0</v>
      </c>
      <c r="E86" s="1200"/>
      <c r="F86"/>
      <c r="G86" s="1240"/>
      <c r="H86" s="372"/>
      <c r="I86" s="373"/>
      <c r="J86" s="45"/>
    </row>
    <row r="87" spans="1:12" ht="15">
      <c r="A87" s="3" t="s">
        <v>802</v>
      </c>
      <c r="B87" s="18" t="s">
        <v>734</v>
      </c>
      <c r="C87" s="3"/>
      <c r="D87" s="692">
        <v>0</v>
      </c>
      <c r="E87" s="1200"/>
      <c r="F87"/>
      <c r="G87" s="1240"/>
      <c r="H87" s="372"/>
      <c r="I87" s="373"/>
      <c r="J87" s="45"/>
    </row>
    <row r="88" spans="1:12" ht="15">
      <c r="A88" s="3" t="s">
        <v>803</v>
      </c>
      <c r="B88" s="18" t="s">
        <v>734</v>
      </c>
      <c r="C88" s="3"/>
      <c r="D88" s="692">
        <v>0</v>
      </c>
      <c r="E88" s="1200"/>
      <c r="F88"/>
      <c r="G88" s="1240"/>
      <c r="H88" s="372"/>
      <c r="I88" s="373"/>
      <c r="J88" s="45"/>
    </row>
    <row r="89" spans="1:12" ht="15">
      <c r="A89" s="3" t="s">
        <v>804</v>
      </c>
      <c r="B89" s="18" t="s">
        <v>734</v>
      </c>
      <c r="C89" s="3"/>
      <c r="D89" s="692">
        <v>0</v>
      </c>
      <c r="E89" s="1200"/>
      <c r="F89"/>
      <c r="G89" s="1240"/>
      <c r="H89" s="372"/>
      <c r="I89" s="373"/>
      <c r="J89" s="45"/>
    </row>
    <row r="90" spans="1:12" ht="15">
      <c r="A90" s="3" t="s">
        <v>498</v>
      </c>
      <c r="B90" s="18" t="s">
        <v>734</v>
      </c>
      <c r="C90" s="3"/>
      <c r="D90" s="692">
        <v>0</v>
      </c>
      <c r="E90" s="1200"/>
      <c r="F90"/>
      <c r="G90" s="1240"/>
      <c r="H90" s="372"/>
      <c r="I90" s="373"/>
      <c r="J90" s="45"/>
    </row>
    <row r="91" spans="1:12" ht="15">
      <c r="A91" s="3" t="s">
        <v>805</v>
      </c>
      <c r="B91" s="18" t="s">
        <v>734</v>
      </c>
      <c r="C91" s="3"/>
      <c r="D91" s="692">
        <v>0</v>
      </c>
      <c r="E91" s="1200"/>
      <c r="F91"/>
      <c r="G91" s="1240"/>
      <c r="H91" s="372"/>
      <c r="I91" s="373"/>
      <c r="J91" s="45"/>
    </row>
    <row r="92" spans="1:12" ht="15">
      <c r="A92" s="3" t="s">
        <v>806</v>
      </c>
      <c r="B92" s="18" t="s">
        <v>734</v>
      </c>
      <c r="C92" s="3"/>
      <c r="D92" s="692">
        <v>0</v>
      </c>
      <c r="E92" s="1200"/>
      <c r="F92"/>
      <c r="G92" s="1240"/>
      <c r="H92" s="372"/>
      <c r="I92" s="373"/>
      <c r="J92" s="45"/>
    </row>
    <row r="93" spans="1:12" ht="15">
      <c r="A93" s="3" t="s">
        <v>799</v>
      </c>
      <c r="B93" s="18" t="s">
        <v>770</v>
      </c>
      <c r="C93" s="3"/>
      <c r="D93" s="692">
        <v>0</v>
      </c>
      <c r="E93" s="1200"/>
      <c r="F93"/>
      <c r="G93" s="1240"/>
      <c r="H93" s="372"/>
      <c r="I93" s="373"/>
      <c r="J93" s="45"/>
    </row>
    <row r="94" spans="1:12" ht="15">
      <c r="A94" s="3" t="s">
        <v>800</v>
      </c>
      <c r="B94" s="18" t="s">
        <v>770</v>
      </c>
      <c r="C94" s="3"/>
      <c r="D94" s="692">
        <v>0</v>
      </c>
      <c r="E94" s="1200"/>
      <c r="F94"/>
      <c r="G94" s="1240"/>
      <c r="H94" s="372"/>
      <c r="I94" s="373"/>
      <c r="J94" s="45"/>
    </row>
    <row r="95" spans="1:12" ht="15">
      <c r="A95" s="3" t="s">
        <v>801</v>
      </c>
      <c r="B95" s="18" t="s">
        <v>770</v>
      </c>
      <c r="C95" s="3"/>
      <c r="D95" s="692">
        <v>0</v>
      </c>
      <c r="E95" s="1200"/>
      <c r="F95"/>
      <c r="G95" s="1240"/>
      <c r="H95" s="372"/>
      <c r="I95" s="373"/>
      <c r="J95" s="45"/>
    </row>
    <row r="96" spans="1:12" ht="15">
      <c r="A96" s="3" t="s">
        <v>775</v>
      </c>
      <c r="B96" s="18" t="s">
        <v>770</v>
      </c>
      <c r="C96" s="3"/>
      <c r="D96" s="692">
        <v>0</v>
      </c>
      <c r="E96" s="1200"/>
      <c r="F96"/>
      <c r="G96" s="1240"/>
      <c r="H96" s="372"/>
      <c r="I96" s="373"/>
      <c r="J96" s="45"/>
    </row>
    <row r="97" spans="1:10" ht="15">
      <c r="A97" s="3" t="s">
        <v>777</v>
      </c>
      <c r="B97" s="18" t="s">
        <v>770</v>
      </c>
      <c r="C97" s="3"/>
      <c r="D97" s="692">
        <v>0</v>
      </c>
      <c r="E97" s="1200"/>
      <c r="F97"/>
      <c r="G97" s="1240"/>
      <c r="H97" s="372"/>
      <c r="I97" s="373"/>
      <c r="J97" s="45"/>
    </row>
    <row r="98" spans="1:10" ht="15">
      <c r="A98" s="3" t="s">
        <v>778</v>
      </c>
      <c r="B98" s="18" t="s">
        <v>770</v>
      </c>
      <c r="C98" s="3"/>
      <c r="D98" s="692">
        <v>0</v>
      </c>
      <c r="E98" s="1200"/>
      <c r="F98"/>
      <c r="G98" s="1240"/>
      <c r="H98" s="372"/>
      <c r="I98" s="373"/>
      <c r="J98" s="45"/>
    </row>
    <row r="99" spans="1:10" ht="15">
      <c r="A99" s="3" t="s">
        <v>802</v>
      </c>
      <c r="B99" s="18" t="s">
        <v>770</v>
      </c>
      <c r="C99" s="3"/>
      <c r="D99" s="692">
        <v>0</v>
      </c>
      <c r="E99" s="1200"/>
      <c r="F99"/>
      <c r="G99" s="1240"/>
      <c r="H99" s="372"/>
      <c r="I99" s="373"/>
      <c r="J99" s="45"/>
    </row>
    <row r="100" spans="1:10" ht="15">
      <c r="A100" s="3" t="s">
        <v>803</v>
      </c>
      <c r="B100" s="18" t="s">
        <v>770</v>
      </c>
      <c r="C100" s="3"/>
      <c r="D100" s="692">
        <v>0</v>
      </c>
      <c r="E100" s="1200"/>
      <c r="F100"/>
      <c r="G100" s="1240"/>
      <c r="H100" s="372"/>
    </row>
    <row r="101" spans="1:10" ht="15">
      <c r="A101" s="3" t="s">
        <v>804</v>
      </c>
      <c r="B101" s="18" t="s">
        <v>770</v>
      </c>
      <c r="C101" s="3"/>
      <c r="D101" s="692">
        <v>0</v>
      </c>
      <c r="E101" s="1200"/>
      <c r="F101"/>
    </row>
    <row r="102" spans="1:10" ht="15">
      <c r="A102" s="7" t="s">
        <v>92</v>
      </c>
      <c r="B102" s="7"/>
      <c r="C102" s="7"/>
      <c r="D102" s="273">
        <f>AVERAGE(D81:D101)</f>
        <v>0</v>
      </c>
    </row>
  </sheetData>
  <customSheetViews>
    <customSheetView guid="{416404B7-8533-4A12-ABD0-58CFDEB49D80}" scale="75" fitToPage="1">
      <selection activeCell="F45" sqref="F45"/>
      <pageMargins left="0.75" right="0.75" top="1" bottom="1" header="0.5" footer="0.5"/>
      <printOptions horizontalCentered="1"/>
      <pageSetup scale="44" orientation="portrait" r:id="rId1"/>
      <headerFooter alignWithMargins="0">
        <oddFooter>&amp;L&amp;P</oddFooter>
      </headerFooter>
    </customSheetView>
  </customSheetViews>
  <mergeCells count="5">
    <mergeCell ref="A2:I2"/>
    <mergeCell ref="J2:K2"/>
    <mergeCell ref="A4:I4"/>
    <mergeCell ref="J4:K4"/>
    <mergeCell ref="A3:I3"/>
  </mergeCells>
  <phoneticPr fontId="28" type="noConversion"/>
  <printOptions horizontalCentered="1"/>
  <pageMargins left="0.75" right="0.75" top="1" bottom="1" header="0.5" footer="0.5"/>
  <pageSetup scale="43" orientation="portrait" r:id="rId2"/>
  <headerFooter alignWithMargins="0">
    <oddFooter>&amp;L&amp;P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J81"/>
  <sheetViews>
    <sheetView view="pageBreakPreview" zoomScale="60" zoomScaleNormal="80" workbookViewId="0"/>
  </sheetViews>
  <sheetFormatPr defaultColWidth="15.33203125" defaultRowHeight="17.399999999999999"/>
  <cols>
    <col min="1" max="1" width="22.88671875" style="281" customWidth="1"/>
    <col min="2" max="2" width="21.88671875" style="281" customWidth="1"/>
    <col min="3" max="3" width="18.109375" style="47" customWidth="1"/>
    <col min="4" max="4" width="17.5546875" style="47" customWidth="1"/>
    <col min="5" max="5" width="22.33203125" style="47" customWidth="1"/>
    <col min="6" max="6" width="20.5546875" style="47" customWidth="1"/>
    <col min="7" max="7" width="18.6640625" style="47" customWidth="1"/>
    <col min="8" max="8" width="23.88671875" style="47" customWidth="1"/>
    <col min="9" max="9" width="19.5546875" style="47" customWidth="1"/>
    <col min="10" max="10" width="19" style="47" customWidth="1"/>
    <col min="11" max="11" width="17.88671875" style="47" customWidth="1"/>
    <col min="12" max="12" width="17.5546875" style="47" customWidth="1"/>
    <col min="13" max="13" width="18.88671875" style="47" customWidth="1"/>
    <col min="14" max="14" width="18.33203125" style="47" customWidth="1"/>
    <col min="15" max="15" width="19.6640625" style="47" customWidth="1"/>
    <col min="16" max="16" width="20.109375" style="47" customWidth="1"/>
    <col min="17" max="17" width="18.6640625" style="47" customWidth="1"/>
    <col min="18" max="18" width="19" style="286" customWidth="1"/>
    <col min="19" max="19" width="17.5546875" style="286" customWidth="1"/>
    <col min="20" max="20" width="19.33203125" style="286" customWidth="1"/>
    <col min="21" max="23" width="18" style="286" customWidth="1"/>
    <col min="24" max="24" width="17.109375" style="286" customWidth="1"/>
    <col min="25" max="25" width="18.6640625" style="286" customWidth="1"/>
    <col min="26" max="26" width="23.88671875" style="286" customWidth="1"/>
    <col min="27" max="27" width="18.5546875" style="286" customWidth="1"/>
    <col min="28" max="28" width="21.88671875" style="286" customWidth="1"/>
    <col min="29" max="29" width="25.33203125" style="286" customWidth="1"/>
    <col min="30" max="30" width="20.6640625" style="286" customWidth="1"/>
    <col min="31" max="31" width="23.6640625" style="286" customWidth="1"/>
    <col min="32" max="32" width="20.5546875" style="286" customWidth="1"/>
    <col min="33" max="33" width="21" style="286" customWidth="1"/>
    <col min="34" max="34" width="24.6640625" style="286" customWidth="1"/>
    <col min="35" max="35" width="24.44140625" style="286" customWidth="1"/>
    <col min="36" max="36" width="21.6640625" style="286" customWidth="1"/>
    <col min="37" max="37" width="20.88671875" style="286" customWidth="1"/>
    <col min="38" max="38" width="21.109375" style="286" bestFit="1" customWidth="1"/>
    <col min="39" max="39" width="24.6640625" style="286" customWidth="1"/>
    <col min="40" max="40" width="20.5546875" style="286" customWidth="1"/>
    <col min="41" max="41" width="19.33203125" style="47" customWidth="1"/>
    <col min="42" max="42" width="24.109375" style="47" customWidth="1"/>
    <col min="43" max="43" width="18.33203125" style="47" customWidth="1"/>
    <col min="44" max="44" width="21.44140625" style="47" customWidth="1"/>
    <col min="45" max="45" width="18.33203125" style="47" customWidth="1"/>
    <col min="46" max="46" width="19" style="47" customWidth="1"/>
    <col min="47" max="47" width="17.33203125" style="47" customWidth="1"/>
    <col min="48" max="48" width="18" style="47" customWidth="1"/>
    <col min="49" max="49" width="17.88671875" style="47" customWidth="1"/>
    <col min="50" max="50" width="18.109375" style="47" customWidth="1"/>
    <col min="51" max="51" width="15.33203125" style="47"/>
    <col min="52" max="52" width="19.88671875" style="47" customWidth="1"/>
    <col min="53" max="53" width="17.44140625" style="47" customWidth="1"/>
    <col min="54" max="54" width="19.109375" style="47" customWidth="1"/>
    <col min="55" max="55" width="19.44140625" style="47" customWidth="1"/>
    <col min="56" max="56" width="20.5546875" style="47" customWidth="1"/>
    <col min="57" max="57" width="19.109375" style="47" customWidth="1"/>
    <col min="58" max="58" width="19.44140625" style="47" customWidth="1"/>
    <col min="59" max="59" width="20.6640625" style="47" customWidth="1"/>
    <col min="60" max="60" width="19.88671875" style="47" customWidth="1"/>
    <col min="61" max="61" width="20.6640625" style="47" customWidth="1"/>
    <col min="62" max="63" width="19.5546875" style="47" customWidth="1"/>
    <col min="64" max="64" width="17.33203125" style="47" customWidth="1"/>
    <col min="65" max="65" width="18" style="47" customWidth="1"/>
    <col min="66" max="66" width="20" style="47" customWidth="1"/>
    <col min="67" max="67" width="19.5546875" style="47" customWidth="1"/>
    <col min="68" max="69" width="19.109375" style="47" customWidth="1"/>
    <col min="70" max="81" width="15.33203125" style="47"/>
    <col min="82" max="82" width="17.109375" style="47" customWidth="1"/>
    <col min="83" max="84" width="16.6640625" style="47" customWidth="1"/>
    <col min="85" max="87" width="15.33203125" style="47"/>
    <col min="88" max="88" width="18.88671875" style="47" bestFit="1" customWidth="1"/>
    <col min="89" max="16384" width="15.33203125" style="47"/>
  </cols>
  <sheetData>
    <row r="1" spans="1:86" s="560" customFormat="1" ht="13.2">
      <c r="A1" s="561"/>
      <c r="B1" s="561"/>
    </row>
    <row r="2" spans="1:86" s="560" customFormat="1">
      <c r="A2" s="2570" t="s">
        <v>494</v>
      </c>
      <c r="B2" s="2570"/>
      <c r="C2" s="2570"/>
      <c r="D2" s="2570"/>
      <c r="E2" s="2570"/>
      <c r="F2" s="2570"/>
      <c r="G2" s="2570"/>
      <c r="H2" s="2570"/>
      <c r="I2" s="2570"/>
      <c r="J2" s="2570"/>
      <c r="K2" s="2570"/>
      <c r="L2" s="2570"/>
      <c r="M2" s="2570"/>
      <c r="N2" s="2570"/>
      <c r="O2" s="2570"/>
      <c r="P2" s="2570"/>
      <c r="Q2" s="2570"/>
      <c r="R2" s="2570"/>
      <c r="S2" s="1411"/>
      <c r="T2" s="2570" t="s">
        <v>494</v>
      </c>
      <c r="U2" s="2570"/>
      <c r="V2" s="2570"/>
      <c r="W2" s="2570"/>
      <c r="X2" s="2570"/>
      <c r="Y2" s="2570"/>
      <c r="Z2" s="2570"/>
      <c r="AA2" s="2570"/>
      <c r="AB2" s="2570"/>
      <c r="AC2" s="2570"/>
      <c r="AD2" s="2570"/>
      <c r="AE2" s="2570"/>
      <c r="AF2" s="2570"/>
      <c r="AG2" s="2570"/>
      <c r="AH2" s="2570"/>
      <c r="AI2" s="2570"/>
      <c r="AJ2" s="2570"/>
      <c r="AK2" s="2570"/>
    </row>
    <row r="3" spans="1:86" s="560" customFormat="1">
      <c r="A3" s="2570" t="s">
        <v>495</v>
      </c>
      <c r="B3" s="2570"/>
      <c r="C3" s="2570"/>
      <c r="D3" s="2570"/>
      <c r="E3" s="2570"/>
      <c r="F3" s="2570"/>
      <c r="G3" s="2570"/>
      <c r="H3" s="2570"/>
      <c r="I3" s="2570"/>
      <c r="J3" s="2570"/>
      <c r="K3" s="2570"/>
      <c r="L3" s="2570"/>
      <c r="M3" s="2570"/>
      <c r="N3" s="2570"/>
      <c r="O3" s="2570"/>
      <c r="P3" s="2570"/>
      <c r="Q3" s="2570"/>
      <c r="R3" s="2570"/>
      <c r="S3" s="1411"/>
      <c r="T3" s="2570" t="s">
        <v>495</v>
      </c>
      <c r="U3" s="2570"/>
      <c r="V3" s="2570"/>
      <c r="W3" s="2570"/>
      <c r="X3" s="2570"/>
      <c r="Y3" s="2570"/>
      <c r="Z3" s="2570"/>
      <c r="AA3" s="2570"/>
      <c r="AB3" s="2570"/>
      <c r="AC3" s="2570"/>
      <c r="AD3" s="2570"/>
      <c r="AE3" s="2570"/>
      <c r="AF3" s="2570"/>
      <c r="AG3" s="2570"/>
      <c r="AH3" s="2570"/>
      <c r="AI3" s="2570"/>
      <c r="AJ3" s="2570"/>
      <c r="AK3" s="2570"/>
      <c r="AQ3" s="2434"/>
      <c r="CH3" s="2434" t="s">
        <v>1108</v>
      </c>
    </row>
    <row r="4" spans="1:86" s="560" customFormat="1">
      <c r="A4" s="2570" t="s">
        <v>940</v>
      </c>
      <c r="B4" s="2570"/>
      <c r="C4" s="2570"/>
      <c r="D4" s="2570"/>
      <c r="E4" s="2570"/>
      <c r="F4" s="2570"/>
      <c r="G4" s="2570"/>
      <c r="H4" s="2570"/>
      <c r="I4" s="2570"/>
      <c r="J4" s="2570"/>
      <c r="K4" s="2570"/>
      <c r="L4" s="2570"/>
      <c r="M4" s="2570"/>
      <c r="N4" s="2570"/>
      <c r="O4" s="2570"/>
      <c r="P4" s="2570"/>
      <c r="Q4" s="2570"/>
      <c r="R4" s="2570"/>
      <c r="S4" s="1411"/>
      <c r="T4" s="2570" t="s">
        <v>940</v>
      </c>
      <c r="U4" s="2570"/>
      <c r="V4" s="2570"/>
      <c r="W4" s="2570"/>
      <c r="X4" s="2570"/>
      <c r="Y4" s="2570"/>
      <c r="Z4" s="2570"/>
      <c r="AA4" s="2570"/>
      <c r="AB4" s="2570"/>
      <c r="AC4" s="2570"/>
      <c r="AD4" s="2570"/>
      <c r="AE4" s="2570"/>
      <c r="AF4" s="2570"/>
      <c r="AG4" s="2570"/>
      <c r="AH4" s="2570"/>
      <c r="AI4" s="2570"/>
      <c r="AJ4" s="2570"/>
      <c r="AK4" s="2570"/>
    </row>
    <row r="5" spans="1:86" s="560" customFormat="1">
      <c r="A5" s="1482"/>
      <c r="B5" s="1409"/>
      <c r="C5" s="1409"/>
      <c r="D5" s="1409"/>
      <c r="E5" s="1409"/>
      <c r="F5" s="1409"/>
      <c r="G5" s="1409"/>
      <c r="H5" s="1409"/>
      <c r="I5" s="1409"/>
      <c r="J5" s="1409"/>
      <c r="K5" s="1409"/>
      <c r="L5" s="1409"/>
      <c r="M5" s="1409"/>
      <c r="N5" s="1409"/>
      <c r="O5" s="1409"/>
      <c r="P5" s="1409"/>
      <c r="Q5" s="1409"/>
      <c r="R5" s="1409"/>
      <c r="S5" s="1409"/>
      <c r="T5" s="1409"/>
      <c r="U5" s="1409"/>
      <c r="V5" s="1409"/>
      <c r="W5" s="1409"/>
      <c r="X5" s="1409"/>
      <c r="Y5" s="1409"/>
      <c r="Z5" s="1409"/>
      <c r="AA5" s="1409"/>
      <c r="AB5" s="1409"/>
      <c r="AC5" s="1412"/>
      <c r="AD5" s="1409"/>
    </row>
    <row r="6" spans="1:86" ht="18" thickBot="1">
      <c r="A6" s="1410"/>
      <c r="B6" s="1410"/>
      <c r="C6" s="1410"/>
      <c r="D6" s="1410"/>
      <c r="E6" s="1410"/>
      <c r="F6" s="1410"/>
      <c r="G6" s="1410"/>
      <c r="H6" s="1410"/>
      <c r="I6" s="1410"/>
      <c r="J6" s="1410"/>
      <c r="K6" s="1410"/>
      <c r="L6" s="1410"/>
      <c r="M6" s="1410"/>
      <c r="N6" s="1410"/>
      <c r="O6" s="1410"/>
      <c r="P6" s="1410"/>
      <c r="Q6" s="1410"/>
      <c r="R6" s="1410"/>
      <c r="S6" s="1410"/>
      <c r="T6" s="1410"/>
      <c r="U6" s="1410"/>
      <c r="V6" s="1410" t="s">
        <v>1101</v>
      </c>
      <c r="W6" s="1410"/>
      <c r="X6" s="1410"/>
      <c r="Y6" s="1410"/>
      <c r="Z6" s="1410"/>
      <c r="AA6" s="1410"/>
      <c r="AB6" s="1410"/>
      <c r="AC6" s="1410"/>
      <c r="AD6" s="1410"/>
      <c r="AE6" s="1410"/>
      <c r="AF6" s="1410"/>
      <c r="AG6" s="438"/>
      <c r="AH6" s="1410"/>
      <c r="AR6" s="2434" t="s">
        <v>1102</v>
      </c>
    </row>
    <row r="7" spans="1:86" ht="18" thickBot="1">
      <c r="A7" s="1483"/>
      <c r="B7" s="2610" t="s">
        <v>1073</v>
      </c>
      <c r="C7" s="2611"/>
      <c r="D7" s="2611"/>
      <c r="E7" s="2611"/>
      <c r="F7" s="2611"/>
      <c r="G7" s="2611"/>
      <c r="H7" s="2611"/>
      <c r="I7" s="2611"/>
      <c r="J7" s="2611"/>
      <c r="K7" s="2611"/>
      <c r="L7" s="2611"/>
      <c r="M7" s="2611"/>
      <c r="N7" s="2611"/>
      <c r="O7" s="2611"/>
      <c r="P7" s="2611"/>
      <c r="Q7" s="2611"/>
      <c r="R7" s="2611"/>
      <c r="S7" s="2611"/>
      <c r="T7" s="2611"/>
      <c r="U7" s="2611"/>
      <c r="V7" s="2612"/>
      <c r="W7" s="739"/>
      <c r="X7" s="739"/>
      <c r="Y7" s="739"/>
      <c r="Z7" s="739"/>
      <c r="AA7" s="739"/>
      <c r="AB7" s="739"/>
      <c r="AC7" s="739"/>
      <c r="AD7" s="739"/>
      <c r="AE7" s="739"/>
      <c r="AF7" s="739"/>
      <c r="AG7" s="739"/>
      <c r="AH7" s="739"/>
      <c r="AI7" s="739"/>
      <c r="AJ7" s="739"/>
      <c r="AK7" s="739"/>
      <c r="AL7" s="739"/>
      <c r="AM7" s="739"/>
      <c r="AN7" s="739"/>
      <c r="AO7" s="560"/>
      <c r="AP7" s="560"/>
      <c r="AQ7" s="560"/>
      <c r="AR7" s="560"/>
      <c r="AS7" s="1598"/>
      <c r="AT7" s="560"/>
      <c r="AU7" s="560"/>
      <c r="AV7" s="560"/>
      <c r="AW7" s="560"/>
      <c r="AX7" s="560"/>
      <c r="AY7" s="560"/>
      <c r="AZ7" s="560"/>
      <c r="BA7" s="560"/>
      <c r="BB7" s="560"/>
      <c r="BC7" s="560"/>
      <c r="BD7" s="560"/>
      <c r="BE7" s="560"/>
      <c r="BF7" s="560"/>
      <c r="BG7" s="560"/>
      <c r="BH7" s="560"/>
      <c r="BI7" s="560"/>
      <c r="BJ7" s="560"/>
      <c r="BK7" s="560"/>
      <c r="BL7" s="2434" t="s">
        <v>1105</v>
      </c>
    </row>
    <row r="8" spans="1:86" s="50" customFormat="1" ht="18" thickBot="1">
      <c r="A8" s="703"/>
      <c r="B8" s="1175" t="s">
        <v>1</v>
      </c>
      <c r="C8" s="1176" t="s">
        <v>2</v>
      </c>
      <c r="D8" s="1176" t="s">
        <v>3</v>
      </c>
      <c r="E8" s="1177" t="s">
        <v>583</v>
      </c>
      <c r="F8" s="1177" t="s">
        <v>584</v>
      </c>
      <c r="G8" s="1177" t="s">
        <v>585</v>
      </c>
      <c r="H8" s="1177" t="s">
        <v>432</v>
      </c>
      <c r="I8" s="1177" t="s">
        <v>433</v>
      </c>
      <c r="J8" s="1177" t="s">
        <v>434</v>
      </c>
      <c r="K8" s="1177" t="s">
        <v>436</v>
      </c>
      <c r="L8" s="1177" t="s">
        <v>437</v>
      </c>
      <c r="M8" s="1177" t="s">
        <v>882</v>
      </c>
      <c r="N8" s="1176" t="s">
        <v>438</v>
      </c>
      <c r="O8" s="1176" t="s">
        <v>439</v>
      </c>
      <c r="P8" s="1178" t="s">
        <v>440</v>
      </c>
      <c r="Q8" s="736" t="s">
        <v>441</v>
      </c>
      <c r="R8" s="736" t="s">
        <v>442</v>
      </c>
      <c r="S8" s="736" t="s">
        <v>443</v>
      </c>
      <c r="T8" s="736" t="s">
        <v>452</v>
      </c>
      <c r="U8" s="736" t="s">
        <v>453</v>
      </c>
      <c r="V8" s="743" t="s">
        <v>454</v>
      </c>
      <c r="W8" s="739"/>
      <c r="X8" s="740"/>
      <c r="Y8" s="1180" t="s">
        <v>455</v>
      </c>
      <c r="Z8" s="704" t="s">
        <v>456</v>
      </c>
      <c r="AA8" s="704" t="s">
        <v>457</v>
      </c>
      <c r="AB8" s="704" t="s">
        <v>458</v>
      </c>
      <c r="AC8" s="704" t="s">
        <v>460</v>
      </c>
      <c r="AD8" s="704" t="s">
        <v>459</v>
      </c>
      <c r="AE8" s="704" t="s">
        <v>461</v>
      </c>
      <c r="AF8" s="704" t="s">
        <v>462</v>
      </c>
      <c r="AG8" s="741" t="s">
        <v>463</v>
      </c>
      <c r="AH8" s="741" t="s">
        <v>883</v>
      </c>
      <c r="AI8" s="741" t="s">
        <v>884</v>
      </c>
      <c r="AJ8" s="741" t="s">
        <v>885</v>
      </c>
      <c r="AK8" s="741" t="s">
        <v>886</v>
      </c>
      <c r="AL8" s="741" t="s">
        <v>887</v>
      </c>
      <c r="AM8" s="741" t="s">
        <v>888</v>
      </c>
      <c r="AN8" s="741" t="s">
        <v>889</v>
      </c>
      <c r="AO8" s="741" t="s">
        <v>890</v>
      </c>
      <c r="AP8" s="741" t="s">
        <v>891</v>
      </c>
      <c r="AQ8" s="741" t="s">
        <v>892</v>
      </c>
      <c r="AR8" s="741" t="s">
        <v>893</v>
      </c>
      <c r="AS8" s="741" t="s">
        <v>894</v>
      </c>
      <c r="AT8" s="560"/>
      <c r="AU8" s="560"/>
      <c r="AV8" s="560"/>
      <c r="AW8" s="560"/>
      <c r="AX8" s="560"/>
      <c r="AY8" s="560"/>
      <c r="AZ8" s="560"/>
      <c r="BA8" s="560"/>
      <c r="BB8" s="560"/>
      <c r="BC8" s="560"/>
      <c r="BD8" s="560"/>
      <c r="BE8" s="560"/>
      <c r="BF8" s="560"/>
      <c r="BG8" s="560"/>
      <c r="BH8" s="560"/>
      <c r="BI8" s="560"/>
      <c r="BJ8" s="560"/>
      <c r="BK8" s="560"/>
      <c r="BL8" s="560"/>
    </row>
    <row r="9" spans="1:86" s="50" customFormat="1" ht="139.80000000000001" thickBot="1">
      <c r="A9" s="470"/>
      <c r="B9" s="706" t="s">
        <v>586</v>
      </c>
      <c r="C9" s="707" t="s">
        <v>1072</v>
      </c>
      <c r="D9" s="707" t="s">
        <v>919</v>
      </c>
      <c r="E9" s="708" t="s">
        <v>1024</v>
      </c>
      <c r="F9" s="708" t="s">
        <v>871</v>
      </c>
      <c r="G9" s="708"/>
      <c r="H9" s="708" t="s">
        <v>908</v>
      </c>
      <c r="I9" s="708" t="s">
        <v>856</v>
      </c>
      <c r="J9" s="708" t="s">
        <v>720</v>
      </c>
      <c r="K9" s="708" t="s">
        <v>451</v>
      </c>
      <c r="L9" s="708" t="s">
        <v>868</v>
      </c>
      <c r="M9" s="708" t="str">
        <f>+U9</f>
        <v>Northeast Grid Reliability Project (B1304.1-B1304.4) (monthly additions)</v>
      </c>
      <c r="N9" s="708" t="s">
        <v>720</v>
      </c>
      <c r="O9" s="708" t="s">
        <v>721</v>
      </c>
      <c r="P9" s="708" t="s">
        <v>868</v>
      </c>
      <c r="Q9" s="708" t="s">
        <v>895</v>
      </c>
      <c r="R9" s="708" t="s">
        <v>915</v>
      </c>
      <c r="S9" s="708" t="s">
        <v>451</v>
      </c>
      <c r="T9" s="708" t="s">
        <v>896</v>
      </c>
      <c r="U9" s="708" t="s">
        <v>897</v>
      </c>
      <c r="V9" s="1181" t="s">
        <v>898</v>
      </c>
      <c r="W9" s="739"/>
      <c r="X9" s="739"/>
      <c r="Y9" s="742" t="s">
        <v>435</v>
      </c>
      <c r="Z9" s="736" t="s">
        <v>1071</v>
      </c>
      <c r="AA9" s="736" t="s">
        <v>1070</v>
      </c>
      <c r="AB9" s="736" t="s">
        <v>1069</v>
      </c>
      <c r="AC9" s="736" t="s">
        <v>1068</v>
      </c>
      <c r="AD9" s="736"/>
      <c r="AE9" s="736" t="s">
        <v>910</v>
      </c>
      <c r="AF9" s="736" t="s">
        <v>716</v>
      </c>
      <c r="AG9" s="736" t="s">
        <v>879</v>
      </c>
      <c r="AH9" s="736" t="s">
        <v>718</v>
      </c>
      <c r="AI9" s="736" t="s">
        <v>904</v>
      </c>
      <c r="AJ9" s="736" t="s">
        <v>880</v>
      </c>
      <c r="AK9" s="708" t="s">
        <v>879</v>
      </c>
      <c r="AL9" s="708" t="s">
        <v>726</v>
      </c>
      <c r="AM9" s="708" t="s">
        <v>904</v>
      </c>
      <c r="AN9" s="708" t="s">
        <v>905</v>
      </c>
      <c r="AO9" s="708" t="s">
        <v>914</v>
      </c>
      <c r="AP9" s="708" t="s">
        <v>718</v>
      </c>
      <c r="AQ9" s="708" t="s">
        <v>907</v>
      </c>
      <c r="AR9" s="708" t="s">
        <v>901</v>
      </c>
      <c r="AS9" s="1181" t="s">
        <v>881</v>
      </c>
      <c r="AT9" s="560"/>
      <c r="AU9" s="560"/>
      <c r="AV9" s="560"/>
      <c r="AW9" s="560"/>
      <c r="AX9" s="560"/>
      <c r="AY9" s="560"/>
      <c r="AZ9" s="560"/>
      <c r="BA9" s="560"/>
      <c r="BB9" s="560"/>
      <c r="BC9" s="560"/>
      <c r="BD9" s="560"/>
      <c r="BE9" s="560"/>
      <c r="BF9" s="560"/>
      <c r="BG9" s="560"/>
      <c r="BH9" s="560"/>
      <c r="BI9" s="560"/>
      <c r="BJ9" s="560"/>
      <c r="BK9" s="560"/>
      <c r="BL9" s="560"/>
    </row>
    <row r="10" spans="1:86" s="50" customFormat="1" ht="18" thickBot="1">
      <c r="A10" s="705"/>
      <c r="B10" s="709"/>
      <c r="C10" s="710" t="s">
        <v>587</v>
      </c>
      <c r="D10" s="710" t="s">
        <v>587</v>
      </c>
      <c r="E10" s="710" t="s">
        <v>587</v>
      </c>
      <c r="F10" s="710" t="s">
        <v>514</v>
      </c>
      <c r="G10" s="710"/>
      <c r="H10" s="1182" t="s">
        <v>587</v>
      </c>
      <c r="I10" s="1182" t="s">
        <v>587</v>
      </c>
      <c r="J10" s="1182" t="s">
        <v>587</v>
      </c>
      <c r="K10" s="1182" t="s">
        <v>514</v>
      </c>
      <c r="L10" s="1182" t="s">
        <v>587</v>
      </c>
      <c r="M10" s="1182" t="s">
        <v>587</v>
      </c>
      <c r="N10" s="1182" t="s">
        <v>588</v>
      </c>
      <c r="O10" s="1182" t="s">
        <v>588</v>
      </c>
      <c r="P10" s="1182" t="s">
        <v>588</v>
      </c>
      <c r="Q10" s="1182" t="s">
        <v>588</v>
      </c>
      <c r="R10" s="1182" t="s">
        <v>588</v>
      </c>
      <c r="S10" s="1182" t="s">
        <v>588</v>
      </c>
      <c r="T10" s="1182" t="s">
        <v>588</v>
      </c>
      <c r="U10" s="1182" t="s">
        <v>588</v>
      </c>
      <c r="V10" s="1183" t="s">
        <v>588</v>
      </c>
      <c r="W10" s="739"/>
      <c r="X10" s="739"/>
      <c r="Y10" s="1180"/>
      <c r="Z10" s="708" t="s">
        <v>587</v>
      </c>
      <c r="AA10" s="708" t="s">
        <v>587</v>
      </c>
      <c r="AB10" s="708" t="s">
        <v>587</v>
      </c>
      <c r="AC10" s="708" t="s">
        <v>514</v>
      </c>
      <c r="AD10" s="708"/>
      <c r="AE10" s="708" t="s">
        <v>587</v>
      </c>
      <c r="AF10" s="708" t="s">
        <v>587</v>
      </c>
      <c r="AG10" s="708" t="s">
        <v>587</v>
      </c>
      <c r="AH10" s="708" t="s">
        <v>514</v>
      </c>
      <c r="AI10" s="708" t="s">
        <v>587</v>
      </c>
      <c r="AJ10" s="708" t="s">
        <v>587</v>
      </c>
      <c r="AK10" s="708" t="s">
        <v>588</v>
      </c>
      <c r="AL10" s="708" t="s">
        <v>588</v>
      </c>
      <c r="AM10" s="708" t="s">
        <v>588</v>
      </c>
      <c r="AN10" s="708" t="s">
        <v>588</v>
      </c>
      <c r="AO10" s="708" t="s">
        <v>588</v>
      </c>
      <c r="AP10" s="708" t="s">
        <v>588</v>
      </c>
      <c r="AQ10" s="708" t="s">
        <v>588</v>
      </c>
      <c r="AR10" s="708" t="s">
        <v>588</v>
      </c>
      <c r="AS10" s="708" t="s">
        <v>588</v>
      </c>
      <c r="AT10" s="560"/>
      <c r="AU10" s="560"/>
      <c r="AV10" s="560"/>
      <c r="AW10" s="560"/>
      <c r="AX10" s="560"/>
      <c r="AY10" s="560"/>
      <c r="AZ10" s="560"/>
      <c r="BA10" s="560"/>
      <c r="BB10" s="560"/>
      <c r="BC10" s="560"/>
      <c r="BD10" s="560"/>
      <c r="BE10" s="560"/>
      <c r="BF10" s="560"/>
      <c r="BG10" s="560"/>
      <c r="BH10" s="560"/>
      <c r="BI10" s="560"/>
      <c r="BJ10" s="560"/>
      <c r="BK10" s="560"/>
      <c r="BL10" s="560"/>
    </row>
    <row r="11" spans="1:86" s="50" customFormat="1">
      <c r="A11" s="1193" t="s">
        <v>788</v>
      </c>
      <c r="B11" s="711"/>
      <c r="C11" s="744"/>
      <c r="D11" s="1184">
        <v>3244303.83</v>
      </c>
      <c r="E11" s="1185"/>
      <c r="F11" s="1186">
        <v>8274710.3134263949</v>
      </c>
      <c r="G11" s="1540"/>
      <c r="H11" s="712">
        <v>5857687</v>
      </c>
      <c r="I11" s="713">
        <v>6688164.6500000004</v>
      </c>
      <c r="J11" s="1187">
        <v>19381706.289999999</v>
      </c>
      <c r="K11" s="714">
        <v>202317985</v>
      </c>
      <c r="L11" s="1597">
        <v>256386258.79000002</v>
      </c>
      <c r="M11" s="1206">
        <v>207293.86</v>
      </c>
      <c r="N11" s="715">
        <v>540529976.167413</v>
      </c>
      <c r="O11" s="1440">
        <v>39745158.010000005</v>
      </c>
      <c r="P11" s="716">
        <v>64035553.179315776</v>
      </c>
      <c r="Q11" s="1188">
        <v>116279184.77000001</v>
      </c>
      <c r="R11" s="1219">
        <v>532375</v>
      </c>
      <c r="S11" s="714">
        <v>64317324.205060944</v>
      </c>
      <c r="T11" s="1220">
        <v>4452526.3</v>
      </c>
      <c r="U11" s="1596">
        <v>224794171.99000001</v>
      </c>
      <c r="V11" s="1506">
        <v>25009285.41</v>
      </c>
      <c r="W11" s="739"/>
      <c r="X11" s="1442" t="s">
        <v>788</v>
      </c>
      <c r="Y11" s="711"/>
      <c r="Z11" s="744"/>
      <c r="AA11" s="1184">
        <f>+D11</f>
        <v>3244303.83</v>
      </c>
      <c r="AB11" s="1185"/>
      <c r="AC11" s="1186">
        <f>+F11</f>
        <v>8274710.3134263949</v>
      </c>
      <c r="AD11" s="1540"/>
      <c r="AE11" s="712">
        <f t="shared" ref="AE11:AS11" si="0">+H11</f>
        <v>5857687</v>
      </c>
      <c r="AF11" s="713">
        <f t="shared" si="0"/>
        <v>6688164.6500000004</v>
      </c>
      <c r="AG11" s="1187">
        <f t="shared" si="0"/>
        <v>19381706.289999999</v>
      </c>
      <c r="AH11" s="714">
        <f t="shared" si="0"/>
        <v>202317985</v>
      </c>
      <c r="AI11" s="1597">
        <f t="shared" si="0"/>
        <v>256386258.79000002</v>
      </c>
      <c r="AJ11" s="1206">
        <f t="shared" si="0"/>
        <v>207293.86</v>
      </c>
      <c r="AK11" s="715">
        <f t="shared" si="0"/>
        <v>540529976.167413</v>
      </c>
      <c r="AL11" s="1440">
        <f t="shared" si="0"/>
        <v>39745158.010000005</v>
      </c>
      <c r="AM11" s="716">
        <f t="shared" si="0"/>
        <v>64035553.179315776</v>
      </c>
      <c r="AN11" s="1188">
        <f t="shared" si="0"/>
        <v>116279184.77000001</v>
      </c>
      <c r="AO11" s="1219">
        <f t="shared" si="0"/>
        <v>532375</v>
      </c>
      <c r="AP11" s="714">
        <f t="shared" si="0"/>
        <v>64317324.205060944</v>
      </c>
      <c r="AQ11" s="1220">
        <f t="shared" si="0"/>
        <v>4452526.3</v>
      </c>
      <c r="AR11" s="1596">
        <f t="shared" si="0"/>
        <v>224794171.99000001</v>
      </c>
      <c r="AS11" s="1506">
        <f t="shared" si="0"/>
        <v>25009285.41</v>
      </c>
      <c r="AT11" s="560"/>
      <c r="AU11" s="560"/>
      <c r="AV11" s="560"/>
      <c r="AW11" s="560"/>
      <c r="AX11" s="560"/>
      <c r="AY11" s="560"/>
      <c r="AZ11" s="560"/>
      <c r="BA11" s="560"/>
      <c r="BB11" s="560"/>
      <c r="BC11" s="560"/>
      <c r="BD11" s="560"/>
      <c r="BE11" s="560"/>
      <c r="BF11" s="560"/>
      <c r="BG11" s="560"/>
      <c r="BH11" s="560"/>
      <c r="BI11" s="560"/>
      <c r="BJ11" s="560"/>
      <c r="BK11" s="560"/>
      <c r="BL11" s="560"/>
    </row>
    <row r="12" spans="1:86" s="50" customFormat="1">
      <c r="A12" s="717" t="s">
        <v>296</v>
      </c>
      <c r="B12" s="718">
        <v>-2350445.6666664993</v>
      </c>
      <c r="C12" s="728"/>
      <c r="D12" s="729"/>
      <c r="E12" s="719"/>
      <c r="F12" s="720"/>
      <c r="G12" s="730"/>
      <c r="H12" s="721"/>
      <c r="I12" s="719"/>
      <c r="J12" s="1189"/>
      <c r="K12" s="722">
        <v>4306698.0639514839</v>
      </c>
      <c r="L12" s="1594"/>
      <c r="M12" s="1595"/>
      <c r="N12" s="723">
        <v>13301000</v>
      </c>
      <c r="O12" s="724"/>
      <c r="P12" s="725">
        <v>5891332.538461539</v>
      </c>
      <c r="Q12" s="1190">
        <v>4214000</v>
      </c>
      <c r="R12" s="1191"/>
      <c r="S12" s="722">
        <v>917464.52159482765</v>
      </c>
      <c r="T12" s="1192"/>
      <c r="U12" s="1591">
        <v>17482664.133184358</v>
      </c>
      <c r="V12" s="1506">
        <v>2838094.8268156424</v>
      </c>
      <c r="W12" s="739"/>
      <c r="X12" s="717" t="s">
        <v>296</v>
      </c>
      <c r="Y12" s="718">
        <f t="shared" ref="Y12:Y23" si="1">+B12</f>
        <v>-2350445.6666664993</v>
      </c>
      <c r="Z12" s="728"/>
      <c r="AA12" s="729">
        <f t="shared" ref="AA12:AA23" si="2">+AA11+D12</f>
        <v>3244303.83</v>
      </c>
      <c r="AB12" s="719"/>
      <c r="AC12" s="720">
        <f t="shared" ref="AC12:AC23" si="3">+AC11+F12</f>
        <v>8274710.3134263949</v>
      </c>
      <c r="AD12" s="730"/>
      <c r="AE12" s="721">
        <f t="shared" ref="AE12:AS15" si="4">+AE11+H12</f>
        <v>5857687</v>
      </c>
      <c r="AF12" s="719">
        <f t="shared" si="4"/>
        <v>6688164.6500000004</v>
      </c>
      <c r="AG12" s="1189">
        <f t="shared" si="4"/>
        <v>19381706.289999999</v>
      </c>
      <c r="AH12" s="722">
        <f t="shared" si="4"/>
        <v>206624683.06395149</v>
      </c>
      <c r="AI12" s="1594">
        <f t="shared" si="4"/>
        <v>256386258.79000002</v>
      </c>
      <c r="AJ12" s="1458">
        <f t="shared" si="4"/>
        <v>207293.86</v>
      </c>
      <c r="AK12" s="723">
        <f t="shared" si="4"/>
        <v>553830976.167413</v>
      </c>
      <c r="AL12" s="724">
        <f t="shared" si="4"/>
        <v>39745158.010000005</v>
      </c>
      <c r="AM12" s="725">
        <f t="shared" si="4"/>
        <v>69926885.717777312</v>
      </c>
      <c r="AN12" s="1190">
        <f t="shared" si="4"/>
        <v>120493184.77000001</v>
      </c>
      <c r="AO12" s="1191">
        <f t="shared" si="4"/>
        <v>532375</v>
      </c>
      <c r="AP12" s="722">
        <f t="shared" si="4"/>
        <v>65234788.726655774</v>
      </c>
      <c r="AQ12" s="1192">
        <f t="shared" si="4"/>
        <v>4452526.3</v>
      </c>
      <c r="AR12" s="1591">
        <f t="shared" si="4"/>
        <v>242276836.12318438</v>
      </c>
      <c r="AS12" s="1506">
        <f t="shared" si="4"/>
        <v>27847380.236815643</v>
      </c>
      <c r="AT12" s="560"/>
      <c r="AU12" s="560"/>
      <c r="AV12" s="560"/>
      <c r="AW12" s="560"/>
      <c r="AX12" s="560"/>
      <c r="AY12" s="560"/>
      <c r="AZ12" s="560"/>
      <c r="BA12" s="560"/>
      <c r="BB12" s="560"/>
      <c r="BC12" s="560"/>
      <c r="BD12" s="560"/>
      <c r="BE12" s="560"/>
      <c r="BF12" s="560"/>
      <c r="BG12" s="560"/>
      <c r="BH12" s="560"/>
      <c r="BI12" s="560"/>
      <c r="BJ12" s="560"/>
      <c r="BK12" s="560"/>
      <c r="BL12" s="560"/>
    </row>
    <row r="13" spans="1:86" s="50" customFormat="1">
      <c r="A13" s="726" t="s">
        <v>779</v>
      </c>
      <c r="B13" s="718">
        <v>6569603.3333332017</v>
      </c>
      <c r="C13" s="728"/>
      <c r="D13" s="729"/>
      <c r="E13" s="719"/>
      <c r="F13" s="720"/>
      <c r="G13" s="730"/>
      <c r="H13" s="721"/>
      <c r="I13" s="719"/>
      <c r="J13" s="1189">
        <v>1520000</v>
      </c>
      <c r="K13" s="722">
        <v>3198568.922314934</v>
      </c>
      <c r="L13" s="1594"/>
      <c r="M13" s="1595"/>
      <c r="N13" s="723">
        <v>16319000</v>
      </c>
      <c r="O13" s="724"/>
      <c r="P13" s="725">
        <v>5400388.16025641</v>
      </c>
      <c r="Q13" s="1190">
        <v>4318000</v>
      </c>
      <c r="R13" s="1191"/>
      <c r="S13" s="722">
        <v>2795120.9752856875</v>
      </c>
      <c r="T13" s="1192"/>
      <c r="U13" s="1591">
        <v>19935913.384581007</v>
      </c>
      <c r="V13" s="1506">
        <v>3236349.5754189943</v>
      </c>
      <c r="W13" s="739"/>
      <c r="X13" s="726" t="s">
        <v>779</v>
      </c>
      <c r="Y13" s="718">
        <f t="shared" si="1"/>
        <v>6569603.3333332017</v>
      </c>
      <c r="Z13" s="728"/>
      <c r="AA13" s="729">
        <f t="shared" si="2"/>
        <v>3244303.83</v>
      </c>
      <c r="AB13" s="719"/>
      <c r="AC13" s="720">
        <f t="shared" si="3"/>
        <v>8274710.3134263949</v>
      </c>
      <c r="AD13" s="730"/>
      <c r="AE13" s="721">
        <f t="shared" si="4"/>
        <v>5857687</v>
      </c>
      <c r="AF13" s="719">
        <f t="shared" si="4"/>
        <v>6688164.6500000004</v>
      </c>
      <c r="AG13" s="1189">
        <f t="shared" si="4"/>
        <v>20901706.289999999</v>
      </c>
      <c r="AH13" s="722">
        <f t="shared" si="4"/>
        <v>209823251.98626643</v>
      </c>
      <c r="AI13" s="1594">
        <f t="shared" si="4"/>
        <v>256386258.79000002</v>
      </c>
      <c r="AJ13" s="1458">
        <f t="shared" si="4"/>
        <v>207293.86</v>
      </c>
      <c r="AK13" s="723">
        <f t="shared" si="4"/>
        <v>570149976.167413</v>
      </c>
      <c r="AL13" s="724">
        <f t="shared" si="4"/>
        <v>39745158.010000005</v>
      </c>
      <c r="AM13" s="725">
        <f t="shared" si="4"/>
        <v>75327273.878033727</v>
      </c>
      <c r="AN13" s="1190">
        <f t="shared" si="4"/>
        <v>124811184.77000001</v>
      </c>
      <c r="AO13" s="1191">
        <f t="shared" si="4"/>
        <v>532375</v>
      </c>
      <c r="AP13" s="722">
        <f t="shared" si="4"/>
        <v>68029909.70194146</v>
      </c>
      <c r="AQ13" s="1192">
        <f t="shared" si="4"/>
        <v>4452526.3</v>
      </c>
      <c r="AR13" s="1591">
        <f t="shared" si="4"/>
        <v>262212749.50776538</v>
      </c>
      <c r="AS13" s="1506">
        <f t="shared" si="4"/>
        <v>31083729.812234636</v>
      </c>
      <c r="AT13" s="560"/>
      <c r="AU13" s="560"/>
      <c r="AV13" s="560"/>
      <c r="AW13" s="560"/>
      <c r="AX13" s="560"/>
      <c r="AY13" s="560"/>
      <c r="AZ13" s="560"/>
      <c r="BA13" s="560"/>
      <c r="BB13" s="560"/>
      <c r="BC13" s="560"/>
      <c r="BD13" s="560"/>
      <c r="BE13" s="560"/>
      <c r="BF13" s="560"/>
      <c r="BG13" s="560"/>
      <c r="BH13" s="560"/>
      <c r="BI13" s="560"/>
      <c r="BJ13" s="560"/>
      <c r="BK13" s="560"/>
      <c r="BL13" s="560"/>
    </row>
    <row r="14" spans="1:86" s="50" customFormat="1">
      <c r="A14" s="726" t="s">
        <v>780</v>
      </c>
      <c r="B14" s="718">
        <v>25825717.333333194</v>
      </c>
      <c r="C14" s="728"/>
      <c r="D14" s="729"/>
      <c r="E14" s="719"/>
      <c r="F14" s="720">
        <v>2300000</v>
      </c>
      <c r="G14" s="730"/>
      <c r="H14" s="721"/>
      <c r="I14" s="719"/>
      <c r="J14" s="1189">
        <v>917000</v>
      </c>
      <c r="K14" s="722">
        <v>2483174.5069025164</v>
      </c>
      <c r="L14" s="1594"/>
      <c r="M14" s="1595"/>
      <c r="N14" s="723">
        <v>34809000</v>
      </c>
      <c r="O14" s="724"/>
      <c r="P14" s="725">
        <v>4909443.782051282</v>
      </c>
      <c r="Q14" s="1190">
        <v>11133000</v>
      </c>
      <c r="R14" s="1191"/>
      <c r="S14" s="722">
        <v>2727496.0002664975</v>
      </c>
      <c r="T14" s="1192"/>
      <c r="U14" s="1591">
        <v>25544246.368379887</v>
      </c>
      <c r="V14" s="1506">
        <v>4146793.2416201113</v>
      </c>
      <c r="W14" s="739"/>
      <c r="X14" s="726" t="s">
        <v>780</v>
      </c>
      <c r="Y14" s="718">
        <f t="shared" si="1"/>
        <v>25825717.333333194</v>
      </c>
      <c r="Z14" s="728"/>
      <c r="AA14" s="729">
        <f t="shared" si="2"/>
        <v>3244303.83</v>
      </c>
      <c r="AB14" s="719"/>
      <c r="AC14" s="720">
        <f t="shared" si="3"/>
        <v>10574710.313426394</v>
      </c>
      <c r="AD14" s="730"/>
      <c r="AE14" s="721">
        <f t="shared" si="4"/>
        <v>5857687</v>
      </c>
      <c r="AF14" s="719">
        <f t="shared" si="4"/>
        <v>6688164.6500000004</v>
      </c>
      <c r="AG14" s="1189">
        <f t="shared" si="4"/>
        <v>21818706.289999999</v>
      </c>
      <c r="AH14" s="722">
        <f t="shared" si="4"/>
        <v>212306426.49316895</v>
      </c>
      <c r="AI14" s="1594">
        <f t="shared" si="4"/>
        <v>256386258.79000002</v>
      </c>
      <c r="AJ14" s="1458">
        <f t="shared" si="4"/>
        <v>207293.86</v>
      </c>
      <c r="AK14" s="723">
        <f t="shared" si="4"/>
        <v>604958976.167413</v>
      </c>
      <c r="AL14" s="724">
        <f t="shared" si="4"/>
        <v>39745158.010000005</v>
      </c>
      <c r="AM14" s="725">
        <f t="shared" si="4"/>
        <v>80236717.660085008</v>
      </c>
      <c r="AN14" s="1190">
        <f t="shared" si="4"/>
        <v>135944184.77000001</v>
      </c>
      <c r="AO14" s="1191">
        <f t="shared" si="4"/>
        <v>532375</v>
      </c>
      <c r="AP14" s="722">
        <f t="shared" si="4"/>
        <v>70757405.702207953</v>
      </c>
      <c r="AQ14" s="1192">
        <f t="shared" si="4"/>
        <v>4452526.3</v>
      </c>
      <c r="AR14" s="1591">
        <f t="shared" si="4"/>
        <v>287756995.87614524</v>
      </c>
      <c r="AS14" s="1506">
        <f t="shared" si="4"/>
        <v>35230523.053854749</v>
      </c>
      <c r="AT14" s="560"/>
      <c r="AU14" s="560"/>
      <c r="AV14" s="560"/>
      <c r="AW14" s="560"/>
      <c r="AX14" s="560"/>
      <c r="AY14" s="560"/>
      <c r="AZ14" s="560"/>
      <c r="BA14" s="560"/>
      <c r="BB14" s="560"/>
      <c r="BC14" s="560"/>
      <c r="BD14" s="560"/>
      <c r="BE14" s="560"/>
      <c r="BF14" s="560"/>
      <c r="BG14" s="560"/>
      <c r="BH14" s="560"/>
      <c r="BI14" s="560"/>
      <c r="BJ14" s="560"/>
      <c r="BK14" s="560"/>
      <c r="BL14" s="560"/>
    </row>
    <row r="15" spans="1:86" s="50" customFormat="1">
      <c r="A15" s="726" t="s">
        <v>781</v>
      </c>
      <c r="B15" s="718">
        <v>12961032.733332753</v>
      </c>
      <c r="C15" s="728"/>
      <c r="D15" s="729"/>
      <c r="E15" s="719"/>
      <c r="F15" s="720"/>
      <c r="G15" s="730"/>
      <c r="H15" s="721"/>
      <c r="I15" s="719"/>
      <c r="J15" s="1189">
        <v>83065000</v>
      </c>
      <c r="K15" s="722">
        <v>55665637.20423162</v>
      </c>
      <c r="L15" s="1594"/>
      <c r="M15" s="1595"/>
      <c r="N15" s="723">
        <v>-68363000</v>
      </c>
      <c r="O15" s="724"/>
      <c r="P15" s="725">
        <v>4418499.403846154</v>
      </c>
      <c r="Q15" s="1190">
        <v>11000000</v>
      </c>
      <c r="R15" s="1191"/>
      <c r="S15" s="722">
        <v>-50600119.598283999</v>
      </c>
      <c r="T15" s="1192">
        <v>-582899.4</v>
      </c>
      <c r="U15" s="1591">
        <v>31079748.278435756</v>
      </c>
      <c r="V15" s="1506">
        <v>5045413.6815642454</v>
      </c>
      <c r="W15" s="739"/>
      <c r="X15" s="726" t="s">
        <v>781</v>
      </c>
      <c r="Y15" s="718">
        <f t="shared" si="1"/>
        <v>12961032.733332753</v>
      </c>
      <c r="Z15" s="728"/>
      <c r="AA15" s="729">
        <f t="shared" si="2"/>
        <v>3244303.83</v>
      </c>
      <c r="AB15" s="719"/>
      <c r="AC15" s="720">
        <f t="shared" si="3"/>
        <v>10574710.313426394</v>
      </c>
      <c r="AD15" s="730"/>
      <c r="AE15" s="721">
        <f t="shared" si="4"/>
        <v>5857687</v>
      </c>
      <c r="AF15" s="719">
        <f t="shared" si="4"/>
        <v>6688164.6500000004</v>
      </c>
      <c r="AG15" s="1189">
        <f t="shared" si="4"/>
        <v>104883706.28999999</v>
      </c>
      <c r="AH15" s="722">
        <f t="shared" si="4"/>
        <v>267972063.69740057</v>
      </c>
      <c r="AI15" s="1594">
        <f t="shared" si="4"/>
        <v>256386258.79000002</v>
      </c>
      <c r="AJ15" s="1458">
        <f t="shared" si="4"/>
        <v>207293.86</v>
      </c>
      <c r="AK15" s="723">
        <f t="shared" si="4"/>
        <v>536595976.167413</v>
      </c>
      <c r="AL15" s="724">
        <f t="shared" si="4"/>
        <v>39745158.010000005</v>
      </c>
      <c r="AM15" s="725">
        <f t="shared" si="4"/>
        <v>84655217.063931167</v>
      </c>
      <c r="AN15" s="1190">
        <f t="shared" si="4"/>
        <v>146944184.77000001</v>
      </c>
      <c r="AO15" s="1191">
        <f t="shared" si="4"/>
        <v>532375</v>
      </c>
      <c r="AP15" s="722">
        <f t="shared" si="4"/>
        <v>20157286.103923954</v>
      </c>
      <c r="AQ15" s="1192">
        <f t="shared" si="4"/>
        <v>3869626.9</v>
      </c>
      <c r="AR15" s="1591">
        <f t="shared" si="4"/>
        <v>318836744.15458101</v>
      </c>
      <c r="AS15" s="1506">
        <f t="shared" si="4"/>
        <v>40275936.73541899</v>
      </c>
      <c r="AT15" s="560"/>
      <c r="AU15" s="560"/>
      <c r="AV15" s="560"/>
      <c r="AW15" s="560"/>
      <c r="AX15" s="560"/>
      <c r="AY15" s="560"/>
      <c r="AZ15" s="560"/>
      <c r="BA15" s="560"/>
      <c r="BB15" s="560"/>
      <c r="BC15" s="560"/>
      <c r="BD15" s="560"/>
      <c r="BE15" s="560"/>
      <c r="BF15" s="560"/>
      <c r="BG15" s="560"/>
      <c r="BH15" s="560"/>
      <c r="BI15" s="560"/>
      <c r="BJ15" s="560"/>
      <c r="BK15" s="560"/>
      <c r="BL15" s="560"/>
    </row>
    <row r="16" spans="1:86" s="50" customFormat="1">
      <c r="A16" s="727" t="s">
        <v>777</v>
      </c>
      <c r="B16" s="718">
        <v>14591143.133333936</v>
      </c>
      <c r="C16" s="728"/>
      <c r="D16" s="729"/>
      <c r="E16" s="719"/>
      <c r="F16" s="720"/>
      <c r="G16" s="730"/>
      <c r="H16" s="721"/>
      <c r="I16" s="719"/>
      <c r="J16" s="1189"/>
      <c r="K16" s="722">
        <v>25757799.961560473</v>
      </c>
      <c r="L16" s="1594"/>
      <c r="M16" s="1595"/>
      <c r="N16" s="723">
        <v>14444000</v>
      </c>
      <c r="O16" s="724"/>
      <c r="P16" s="725">
        <v>3927555.0256410255</v>
      </c>
      <c r="Q16" s="1190">
        <v>14300000</v>
      </c>
      <c r="R16" s="1191"/>
      <c r="S16" s="722">
        <v>-20157286.006796099</v>
      </c>
      <c r="T16" s="1192">
        <v>-2266159.7999999998</v>
      </c>
      <c r="U16" s="1591">
        <v>31149591.322011169</v>
      </c>
      <c r="V16" s="1506">
        <v>5056751.8379888264</v>
      </c>
      <c r="W16" s="739"/>
      <c r="X16" s="727" t="s">
        <v>777</v>
      </c>
      <c r="Y16" s="718">
        <f t="shared" si="1"/>
        <v>14591143.133333936</v>
      </c>
      <c r="Z16" s="728"/>
      <c r="AA16" s="729">
        <f t="shared" si="2"/>
        <v>3244303.83</v>
      </c>
      <c r="AB16" s="719"/>
      <c r="AC16" s="720">
        <f t="shared" si="3"/>
        <v>10574710.313426394</v>
      </c>
      <c r="AD16" s="730"/>
      <c r="AE16" s="721">
        <f t="shared" ref="AE16:AO16" si="5">+AE15+H16</f>
        <v>5857687</v>
      </c>
      <c r="AF16" s="719">
        <f t="shared" si="5"/>
        <v>6688164.6500000004</v>
      </c>
      <c r="AG16" s="1189">
        <f t="shared" si="5"/>
        <v>104883706.28999999</v>
      </c>
      <c r="AH16" s="722">
        <f t="shared" si="5"/>
        <v>293729863.65896106</v>
      </c>
      <c r="AI16" s="1594">
        <f t="shared" si="5"/>
        <v>256386258.79000002</v>
      </c>
      <c r="AJ16" s="1458">
        <f t="shared" si="5"/>
        <v>207293.86</v>
      </c>
      <c r="AK16" s="723">
        <f t="shared" si="5"/>
        <v>551039976.167413</v>
      </c>
      <c r="AL16" s="724">
        <f t="shared" si="5"/>
        <v>39745158.010000005</v>
      </c>
      <c r="AM16" s="725">
        <f t="shared" si="5"/>
        <v>88582772.089572191</v>
      </c>
      <c r="AN16" s="1190">
        <f t="shared" si="5"/>
        <v>161244184.77000001</v>
      </c>
      <c r="AO16" s="1191">
        <f t="shared" si="5"/>
        <v>532375</v>
      </c>
      <c r="AP16" s="722"/>
      <c r="AQ16" s="1192">
        <f>+AQ15+T16</f>
        <v>1603467.1</v>
      </c>
      <c r="AR16" s="1591">
        <f>+AR15+U16</f>
        <v>349986335.47659218</v>
      </c>
      <c r="AS16" s="1506">
        <f>+AS15+V16</f>
        <v>45332688.573407814</v>
      </c>
      <c r="AT16" s="560"/>
      <c r="AU16" s="560"/>
      <c r="AV16" s="560"/>
      <c r="AW16" s="560"/>
      <c r="AX16" s="560"/>
      <c r="AY16" s="560"/>
      <c r="AZ16" s="560"/>
      <c r="BA16" s="560"/>
      <c r="BB16" s="560"/>
      <c r="BC16" s="560"/>
      <c r="BD16" s="560"/>
      <c r="BE16" s="560"/>
      <c r="BF16" s="560"/>
      <c r="BG16" s="560"/>
      <c r="BH16" s="560"/>
      <c r="BI16" s="560"/>
      <c r="BJ16" s="560"/>
      <c r="BK16" s="560"/>
      <c r="BL16" s="560"/>
    </row>
    <row r="17" spans="1:64" s="50" customFormat="1">
      <c r="A17" s="727" t="s">
        <v>782</v>
      </c>
      <c r="B17" s="718">
        <v>67884434.343333572</v>
      </c>
      <c r="C17" s="728">
        <v>20690000</v>
      </c>
      <c r="D17" s="729">
        <v>48338514</v>
      </c>
      <c r="E17" s="719">
        <v>40000000</v>
      </c>
      <c r="F17" s="720"/>
      <c r="G17" s="730"/>
      <c r="H17" s="721"/>
      <c r="I17" s="719">
        <v>39745158</v>
      </c>
      <c r="J17" s="1189">
        <v>363281841.99000001</v>
      </c>
      <c r="K17" s="722">
        <v>7779184.81143896</v>
      </c>
      <c r="L17" s="1594">
        <v>92018181</v>
      </c>
      <c r="M17" s="1595"/>
      <c r="N17" s="723">
        <v>-350927841.99000001</v>
      </c>
      <c r="O17" s="724">
        <v>-39745158.010000005</v>
      </c>
      <c r="P17" s="725">
        <v>-88582772.083333328</v>
      </c>
      <c r="Q17" s="1190">
        <v>16000000</v>
      </c>
      <c r="R17" s="1191"/>
      <c r="S17" s="722"/>
      <c r="T17" s="1192">
        <v>-1603467.19712785</v>
      </c>
      <c r="U17" s="1591">
        <v>29291480.361675978</v>
      </c>
      <c r="V17" s="1506">
        <v>4755110.4483240228</v>
      </c>
      <c r="W17" s="739"/>
      <c r="X17" s="727" t="s">
        <v>782</v>
      </c>
      <c r="Y17" s="718">
        <f t="shared" si="1"/>
        <v>67884434.343333572</v>
      </c>
      <c r="Z17" s="728">
        <f t="shared" ref="Z17:Z23" si="6">+Z16+C17</f>
        <v>20690000</v>
      </c>
      <c r="AA17" s="729">
        <f t="shared" si="2"/>
        <v>51582817.829999998</v>
      </c>
      <c r="AB17" s="719">
        <f t="shared" ref="AB17:AB23" si="7">+AB16+E17</f>
        <v>40000000</v>
      </c>
      <c r="AC17" s="720">
        <f t="shared" si="3"/>
        <v>10574710.313426394</v>
      </c>
      <c r="AD17" s="730"/>
      <c r="AE17" s="721">
        <f t="shared" ref="AE17:AK23" si="8">+AE16+H17</f>
        <v>5857687</v>
      </c>
      <c r="AF17" s="719">
        <f t="shared" si="8"/>
        <v>46433322.649999999</v>
      </c>
      <c r="AG17" s="1189">
        <f t="shared" si="8"/>
        <v>468165548.27999997</v>
      </c>
      <c r="AH17" s="722">
        <f t="shared" si="8"/>
        <v>301509048.47040004</v>
      </c>
      <c r="AI17" s="1594">
        <f t="shared" si="8"/>
        <v>348404439.79000002</v>
      </c>
      <c r="AJ17" s="1458">
        <f t="shared" si="8"/>
        <v>207293.86</v>
      </c>
      <c r="AK17" s="723">
        <f t="shared" si="8"/>
        <v>200112134.17741299</v>
      </c>
      <c r="AL17" s="724"/>
      <c r="AM17" s="725"/>
      <c r="AN17" s="1190">
        <f t="shared" ref="AN17:AO23" si="9">+AN16+Q17</f>
        <v>177244184.77000001</v>
      </c>
      <c r="AO17" s="1191">
        <f t="shared" si="9"/>
        <v>532375</v>
      </c>
      <c r="AP17" s="722"/>
      <c r="AQ17" s="1192"/>
      <c r="AR17" s="1591">
        <f t="shared" ref="AR17:AS23" si="10">+AR16+U17</f>
        <v>379277815.83826816</v>
      </c>
      <c r="AS17" s="1506">
        <f t="shared" si="10"/>
        <v>50087799.021731839</v>
      </c>
      <c r="AT17" s="560"/>
      <c r="AU17" s="560"/>
      <c r="AV17" s="560"/>
      <c r="AW17" s="560"/>
      <c r="AX17" s="560"/>
      <c r="AY17" s="560"/>
      <c r="AZ17" s="560"/>
      <c r="BA17" s="560"/>
      <c r="BB17" s="560"/>
      <c r="BC17" s="560"/>
      <c r="BD17" s="560"/>
      <c r="BE17" s="560"/>
      <c r="BF17" s="560"/>
      <c r="BG17" s="560"/>
      <c r="BH17" s="560"/>
      <c r="BI17" s="560"/>
      <c r="BJ17" s="560"/>
      <c r="BK17" s="560"/>
      <c r="BL17" s="560"/>
    </row>
    <row r="18" spans="1:64" s="50" customFormat="1">
      <c r="A18" s="727" t="s">
        <v>783</v>
      </c>
      <c r="B18" s="718">
        <v>5045187.183332352</v>
      </c>
      <c r="C18" s="728"/>
      <c r="D18" s="729"/>
      <c r="E18" s="719"/>
      <c r="F18" s="720"/>
      <c r="G18" s="730"/>
      <c r="H18" s="721"/>
      <c r="I18" s="719"/>
      <c r="J18" s="1189"/>
      <c r="K18" s="722">
        <v>5022825.45396051</v>
      </c>
      <c r="L18" s="1594">
        <v>2945560</v>
      </c>
      <c r="M18" s="1595"/>
      <c r="N18" s="723">
        <v>7557000</v>
      </c>
      <c r="O18" s="724"/>
      <c r="P18" s="725"/>
      <c r="Q18" s="1190">
        <v>16430000</v>
      </c>
      <c r="R18" s="1191"/>
      <c r="S18" s="722"/>
      <c r="T18" s="1192"/>
      <c r="U18" s="1591">
        <v>25754607.968044691</v>
      </c>
      <c r="V18" s="1506">
        <v>4180942.8519553072</v>
      </c>
      <c r="W18" s="739"/>
      <c r="X18" s="727" t="s">
        <v>783</v>
      </c>
      <c r="Y18" s="718">
        <f t="shared" si="1"/>
        <v>5045187.183332352</v>
      </c>
      <c r="Z18" s="728">
        <f t="shared" si="6"/>
        <v>20690000</v>
      </c>
      <c r="AA18" s="729">
        <f t="shared" si="2"/>
        <v>51582817.829999998</v>
      </c>
      <c r="AB18" s="719">
        <f t="shared" si="7"/>
        <v>40000000</v>
      </c>
      <c r="AC18" s="720">
        <f t="shared" si="3"/>
        <v>10574710.313426394</v>
      </c>
      <c r="AD18" s="730"/>
      <c r="AE18" s="721">
        <f t="shared" si="8"/>
        <v>5857687</v>
      </c>
      <c r="AF18" s="719">
        <f t="shared" si="8"/>
        <v>46433322.649999999</v>
      </c>
      <c r="AG18" s="1189">
        <f t="shared" si="8"/>
        <v>468165548.27999997</v>
      </c>
      <c r="AH18" s="722">
        <f t="shared" si="8"/>
        <v>306531873.92436057</v>
      </c>
      <c r="AI18" s="1594">
        <f t="shared" si="8"/>
        <v>351349999.79000002</v>
      </c>
      <c r="AJ18" s="1458">
        <f t="shared" si="8"/>
        <v>207293.86</v>
      </c>
      <c r="AK18" s="723">
        <f t="shared" si="8"/>
        <v>207669134.17741299</v>
      </c>
      <c r="AL18" s="724"/>
      <c r="AM18" s="725"/>
      <c r="AN18" s="1190">
        <f t="shared" si="9"/>
        <v>193674184.77000001</v>
      </c>
      <c r="AO18" s="1191">
        <f t="shared" si="9"/>
        <v>532375</v>
      </c>
      <c r="AP18" s="722"/>
      <c r="AQ18" s="1192"/>
      <c r="AR18" s="1591">
        <f t="shared" si="10"/>
        <v>405032423.80631286</v>
      </c>
      <c r="AS18" s="1506">
        <f t="shared" si="10"/>
        <v>54268741.873687148</v>
      </c>
      <c r="AT18" s="560"/>
      <c r="AU18" s="560"/>
      <c r="AV18" s="560"/>
      <c r="AW18" s="560"/>
      <c r="AX18" s="560"/>
      <c r="AY18" s="560"/>
      <c r="AZ18" s="560"/>
      <c r="BA18" s="560"/>
      <c r="BB18" s="560"/>
      <c r="BC18" s="560"/>
      <c r="BD18" s="560"/>
      <c r="BE18" s="560"/>
      <c r="BF18" s="560"/>
      <c r="BG18" s="560"/>
      <c r="BH18" s="560"/>
      <c r="BI18" s="560"/>
      <c r="BJ18" s="560"/>
      <c r="BK18" s="560"/>
      <c r="BL18" s="560"/>
    </row>
    <row r="19" spans="1:64" s="50" customFormat="1">
      <c r="A19" s="727" t="s">
        <v>784</v>
      </c>
      <c r="B19" s="718">
        <v>-1313001.5266660415</v>
      </c>
      <c r="C19" s="728"/>
      <c r="D19" s="729"/>
      <c r="E19" s="719"/>
      <c r="F19" s="720"/>
      <c r="G19" s="730"/>
      <c r="H19" s="721"/>
      <c r="I19" s="719"/>
      <c r="J19" s="1189"/>
      <c r="K19" s="722">
        <v>6896810.0358765302</v>
      </c>
      <c r="L19" s="1594">
        <v>2454721.891025641</v>
      </c>
      <c r="M19" s="1595"/>
      <c r="N19" s="723">
        <v>5398000</v>
      </c>
      <c r="O19" s="724"/>
      <c r="P19" s="725"/>
      <c r="Q19" s="1190">
        <v>15370000</v>
      </c>
      <c r="R19" s="1191"/>
      <c r="S19" s="722"/>
      <c r="T19" s="1192"/>
      <c r="U19" s="1591">
        <v>25773074.202681564</v>
      </c>
      <c r="V19" s="1506">
        <v>4183940.6173184356</v>
      </c>
      <c r="W19" s="739"/>
      <c r="X19" s="727" t="s">
        <v>784</v>
      </c>
      <c r="Y19" s="718">
        <f t="shared" si="1"/>
        <v>-1313001.5266660415</v>
      </c>
      <c r="Z19" s="728">
        <f t="shared" si="6"/>
        <v>20690000</v>
      </c>
      <c r="AA19" s="729">
        <f t="shared" si="2"/>
        <v>51582817.829999998</v>
      </c>
      <c r="AB19" s="719">
        <f t="shared" si="7"/>
        <v>40000000</v>
      </c>
      <c r="AC19" s="720">
        <f t="shared" si="3"/>
        <v>10574710.313426394</v>
      </c>
      <c r="AD19" s="730"/>
      <c r="AE19" s="721">
        <f t="shared" si="8"/>
        <v>5857687</v>
      </c>
      <c r="AF19" s="719">
        <f t="shared" si="8"/>
        <v>46433322.649999999</v>
      </c>
      <c r="AG19" s="1189">
        <f t="shared" si="8"/>
        <v>468165548.27999997</v>
      </c>
      <c r="AH19" s="722">
        <f t="shared" si="8"/>
        <v>313428683.96023709</v>
      </c>
      <c r="AI19" s="1594">
        <f t="shared" si="8"/>
        <v>353804721.68102568</v>
      </c>
      <c r="AJ19" s="1458">
        <f t="shared" si="8"/>
        <v>207293.86</v>
      </c>
      <c r="AK19" s="723">
        <f t="shared" si="8"/>
        <v>213067134.17741299</v>
      </c>
      <c r="AL19" s="724"/>
      <c r="AM19" s="725"/>
      <c r="AN19" s="1190">
        <f t="shared" si="9"/>
        <v>209044184.77000001</v>
      </c>
      <c r="AO19" s="1191">
        <f t="shared" si="9"/>
        <v>532375</v>
      </c>
      <c r="AP19" s="722"/>
      <c r="AQ19" s="1192"/>
      <c r="AR19" s="1591">
        <f t="shared" si="10"/>
        <v>430805498.0089944</v>
      </c>
      <c r="AS19" s="1506">
        <f t="shared" si="10"/>
        <v>58452682.491005585</v>
      </c>
      <c r="AT19" s="560"/>
      <c r="AU19" s="560"/>
      <c r="AV19" s="560"/>
      <c r="AW19" s="560"/>
      <c r="AX19" s="560"/>
      <c r="AY19" s="560"/>
      <c r="AZ19" s="560"/>
      <c r="BA19" s="560"/>
      <c r="BB19" s="560"/>
      <c r="BC19" s="560"/>
      <c r="BD19" s="560"/>
      <c r="BE19" s="560"/>
      <c r="BF19" s="560"/>
      <c r="BG19" s="560"/>
      <c r="BH19" s="560"/>
      <c r="BI19" s="560"/>
      <c r="BJ19" s="560"/>
      <c r="BK19" s="560"/>
      <c r="BL19" s="560"/>
    </row>
    <row r="20" spans="1:64" s="50" customFormat="1">
      <c r="A20" s="727" t="s">
        <v>785</v>
      </c>
      <c r="B20" s="718">
        <v>2977444.9333330812</v>
      </c>
      <c r="C20" s="728"/>
      <c r="D20" s="729"/>
      <c r="E20" s="719"/>
      <c r="F20" s="720"/>
      <c r="G20" s="730"/>
      <c r="H20" s="721"/>
      <c r="I20" s="719"/>
      <c r="J20" s="1189"/>
      <c r="K20" s="722">
        <v>5991224.93585019</v>
      </c>
      <c r="L20" s="1594">
        <v>1963777.5128205128</v>
      </c>
      <c r="M20" s="1595"/>
      <c r="N20" s="723">
        <v>3840000</v>
      </c>
      <c r="O20" s="724"/>
      <c r="P20" s="725"/>
      <c r="Q20" s="1190">
        <v>13300000</v>
      </c>
      <c r="R20" s="1191"/>
      <c r="S20" s="722"/>
      <c r="T20" s="1192"/>
      <c r="U20" s="1591">
        <v>21704433.476983238</v>
      </c>
      <c r="V20" s="1506">
        <v>3523446.9930167594</v>
      </c>
      <c r="W20" s="739"/>
      <c r="X20" s="727" t="s">
        <v>785</v>
      </c>
      <c r="Y20" s="718">
        <f t="shared" si="1"/>
        <v>2977444.9333330812</v>
      </c>
      <c r="Z20" s="728">
        <f t="shared" si="6"/>
        <v>20690000</v>
      </c>
      <c r="AA20" s="729">
        <f t="shared" si="2"/>
        <v>51582817.829999998</v>
      </c>
      <c r="AB20" s="719">
        <f t="shared" si="7"/>
        <v>40000000</v>
      </c>
      <c r="AC20" s="720">
        <f t="shared" si="3"/>
        <v>10574710.313426394</v>
      </c>
      <c r="AD20" s="730"/>
      <c r="AE20" s="721">
        <f t="shared" si="8"/>
        <v>5857687</v>
      </c>
      <c r="AF20" s="719">
        <f t="shared" si="8"/>
        <v>46433322.649999999</v>
      </c>
      <c r="AG20" s="1189">
        <f t="shared" si="8"/>
        <v>468165548.27999997</v>
      </c>
      <c r="AH20" s="722">
        <f t="shared" si="8"/>
        <v>319419908.89608729</v>
      </c>
      <c r="AI20" s="1594">
        <f t="shared" si="8"/>
        <v>355768499.19384623</v>
      </c>
      <c r="AJ20" s="1458">
        <f t="shared" si="8"/>
        <v>207293.86</v>
      </c>
      <c r="AK20" s="723">
        <f t="shared" si="8"/>
        <v>216907134.17741299</v>
      </c>
      <c r="AL20" s="724"/>
      <c r="AM20" s="725"/>
      <c r="AN20" s="1190">
        <f t="shared" si="9"/>
        <v>222344184.77000001</v>
      </c>
      <c r="AO20" s="1191">
        <f t="shared" si="9"/>
        <v>532375</v>
      </c>
      <c r="AP20" s="722"/>
      <c r="AQ20" s="1192"/>
      <c r="AR20" s="1591">
        <f t="shared" si="10"/>
        <v>452509931.48597765</v>
      </c>
      <c r="AS20" s="1506">
        <f t="shared" si="10"/>
        <v>61976129.484022342</v>
      </c>
      <c r="AT20" s="560"/>
      <c r="AU20" s="560"/>
      <c r="AV20" s="560"/>
      <c r="AW20" s="560"/>
      <c r="AX20" s="560"/>
      <c r="AY20" s="560"/>
      <c r="AZ20" s="560"/>
      <c r="BA20" s="560"/>
      <c r="BB20" s="560"/>
      <c r="BC20" s="560"/>
      <c r="BD20" s="560"/>
      <c r="BE20" s="560"/>
      <c r="BF20" s="560"/>
      <c r="BG20" s="560"/>
      <c r="BH20" s="560"/>
      <c r="BI20" s="560"/>
      <c r="BJ20" s="560"/>
      <c r="BK20" s="560"/>
      <c r="BL20" s="560"/>
    </row>
    <row r="21" spans="1:64" s="50" customFormat="1">
      <c r="A21" s="727" t="s">
        <v>786</v>
      </c>
      <c r="B21" s="718">
        <v>16815558.223332502</v>
      </c>
      <c r="C21" s="728"/>
      <c r="D21" s="729"/>
      <c r="E21" s="719"/>
      <c r="F21" s="720"/>
      <c r="G21" s="730"/>
      <c r="H21" s="721"/>
      <c r="I21" s="719"/>
      <c r="J21" s="1189"/>
      <c r="K21" s="722">
        <v>6697843.0019583097</v>
      </c>
      <c r="L21" s="1594">
        <v>1472833.1346153847</v>
      </c>
      <c r="M21" s="1595"/>
      <c r="N21" s="723">
        <v>5304000</v>
      </c>
      <c r="O21" s="724"/>
      <c r="P21" s="725"/>
      <c r="Q21" s="1190">
        <v>15993000</v>
      </c>
      <c r="R21" s="1191"/>
      <c r="S21" s="722"/>
      <c r="T21" s="1192"/>
      <c r="U21" s="1591">
        <v>21555973.476424582</v>
      </c>
      <c r="V21" s="1506">
        <v>3499346.3435754189</v>
      </c>
      <c r="W21" s="739"/>
      <c r="X21" s="727" t="s">
        <v>786</v>
      </c>
      <c r="Y21" s="718">
        <f t="shared" si="1"/>
        <v>16815558.223332502</v>
      </c>
      <c r="Z21" s="728">
        <f t="shared" si="6"/>
        <v>20690000</v>
      </c>
      <c r="AA21" s="729">
        <f t="shared" si="2"/>
        <v>51582817.829999998</v>
      </c>
      <c r="AB21" s="719">
        <f t="shared" si="7"/>
        <v>40000000</v>
      </c>
      <c r="AC21" s="720">
        <f t="shared" si="3"/>
        <v>10574710.313426394</v>
      </c>
      <c r="AD21" s="730"/>
      <c r="AE21" s="721">
        <f t="shared" si="8"/>
        <v>5857687</v>
      </c>
      <c r="AF21" s="719">
        <f t="shared" si="8"/>
        <v>46433322.649999999</v>
      </c>
      <c r="AG21" s="1189">
        <f t="shared" si="8"/>
        <v>468165548.27999997</v>
      </c>
      <c r="AH21" s="722">
        <f t="shared" si="8"/>
        <v>326117751.8980456</v>
      </c>
      <c r="AI21" s="1594">
        <f t="shared" si="8"/>
        <v>357241332.32846159</v>
      </c>
      <c r="AJ21" s="1458">
        <f t="shared" si="8"/>
        <v>207293.86</v>
      </c>
      <c r="AK21" s="723">
        <f t="shared" si="8"/>
        <v>222211134.17741299</v>
      </c>
      <c r="AL21" s="724"/>
      <c r="AM21" s="725"/>
      <c r="AN21" s="1190">
        <f t="shared" si="9"/>
        <v>238337184.77000001</v>
      </c>
      <c r="AO21" s="1191">
        <f t="shared" si="9"/>
        <v>532375</v>
      </c>
      <c r="AP21" s="722"/>
      <c r="AQ21" s="1192"/>
      <c r="AR21" s="1591">
        <f t="shared" si="10"/>
        <v>474065904.96240222</v>
      </c>
      <c r="AS21" s="1506">
        <f t="shared" si="10"/>
        <v>65475475.82759776</v>
      </c>
      <c r="AT21" s="560"/>
      <c r="AU21" s="560"/>
      <c r="AV21" s="560"/>
      <c r="AW21" s="560"/>
      <c r="AX21" s="560"/>
      <c r="AY21" s="560"/>
      <c r="AZ21" s="560"/>
      <c r="BA21" s="560"/>
      <c r="BB21" s="560"/>
      <c r="BC21" s="560"/>
      <c r="BD21" s="560"/>
      <c r="BE21" s="560"/>
      <c r="BF21" s="560"/>
      <c r="BG21" s="560"/>
      <c r="BH21" s="560"/>
      <c r="BI21" s="560"/>
      <c r="BJ21" s="560"/>
      <c r="BK21" s="560"/>
      <c r="BL21" s="560"/>
    </row>
    <row r="22" spans="1:64" s="50" customFormat="1">
      <c r="A22" s="727" t="s">
        <v>787</v>
      </c>
      <c r="B22" s="718">
        <v>19621408.313334193</v>
      </c>
      <c r="C22" s="728"/>
      <c r="D22" s="729"/>
      <c r="E22" s="719"/>
      <c r="F22" s="720">
        <v>2300000</v>
      </c>
      <c r="G22" s="730"/>
      <c r="H22" s="721"/>
      <c r="I22" s="719"/>
      <c r="J22" s="1189"/>
      <c r="K22" s="722">
        <v>7121715.1363083301</v>
      </c>
      <c r="L22" s="1594">
        <v>981888.75641025638</v>
      </c>
      <c r="M22" s="1595"/>
      <c r="N22" s="723">
        <v>3775000</v>
      </c>
      <c r="O22" s="724"/>
      <c r="P22" s="725"/>
      <c r="Q22" s="1190">
        <v>10332000</v>
      </c>
      <c r="R22" s="1191"/>
      <c r="S22" s="722"/>
      <c r="T22" s="1192"/>
      <c r="U22" s="1591">
        <v>20777199.778100558</v>
      </c>
      <c r="V22" s="1506">
        <v>3372922.0418994413</v>
      </c>
      <c r="W22" s="739"/>
      <c r="X22" s="727" t="s">
        <v>787</v>
      </c>
      <c r="Y22" s="718">
        <f t="shared" si="1"/>
        <v>19621408.313334193</v>
      </c>
      <c r="Z22" s="728">
        <f t="shared" si="6"/>
        <v>20690000</v>
      </c>
      <c r="AA22" s="729">
        <f t="shared" si="2"/>
        <v>51582817.829999998</v>
      </c>
      <c r="AB22" s="719">
        <f t="shared" si="7"/>
        <v>40000000</v>
      </c>
      <c r="AC22" s="720">
        <f t="shared" si="3"/>
        <v>12874710.313426394</v>
      </c>
      <c r="AD22" s="730"/>
      <c r="AE22" s="721">
        <f t="shared" si="8"/>
        <v>5857687</v>
      </c>
      <c r="AF22" s="719">
        <f t="shared" si="8"/>
        <v>46433322.649999999</v>
      </c>
      <c r="AG22" s="1189">
        <f t="shared" si="8"/>
        <v>468165548.27999997</v>
      </c>
      <c r="AH22" s="722">
        <f t="shared" si="8"/>
        <v>333239467.03435391</v>
      </c>
      <c r="AI22" s="1594">
        <f t="shared" si="8"/>
        <v>358223221.08487183</v>
      </c>
      <c r="AJ22" s="1458">
        <f t="shared" si="8"/>
        <v>207293.86</v>
      </c>
      <c r="AK22" s="723">
        <f t="shared" si="8"/>
        <v>225986134.17741299</v>
      </c>
      <c r="AL22" s="724"/>
      <c r="AM22" s="725"/>
      <c r="AN22" s="1190">
        <f t="shared" si="9"/>
        <v>248669184.77000001</v>
      </c>
      <c r="AO22" s="1191">
        <f t="shared" si="9"/>
        <v>532375</v>
      </c>
      <c r="AP22" s="722"/>
      <c r="AQ22" s="1192"/>
      <c r="AR22" s="1591">
        <f t="shared" si="10"/>
        <v>494843104.74050277</v>
      </c>
      <c r="AS22" s="1506">
        <f t="shared" si="10"/>
        <v>68848397.869497195</v>
      </c>
      <c r="AT22" s="560"/>
      <c r="AU22" s="560"/>
      <c r="AV22" s="560"/>
      <c r="AW22" s="560"/>
      <c r="AX22" s="560"/>
      <c r="AY22" s="560"/>
      <c r="AZ22" s="560"/>
      <c r="BA22" s="560"/>
      <c r="BB22" s="560"/>
      <c r="BC22" s="560"/>
      <c r="BD22" s="560"/>
      <c r="BE22" s="560"/>
      <c r="BF22" s="560"/>
      <c r="BG22" s="560"/>
      <c r="BH22" s="560"/>
      <c r="BI22" s="560"/>
      <c r="BJ22" s="560"/>
      <c r="BK22" s="560"/>
      <c r="BL22" s="560"/>
    </row>
    <row r="23" spans="1:64" s="50" customFormat="1" ht="18" thickBot="1">
      <c r="A23" s="1194" t="s">
        <v>788</v>
      </c>
      <c r="B23" s="1338">
        <v>233803826.60333306</v>
      </c>
      <c r="C23" s="745"/>
      <c r="D23" s="746"/>
      <c r="E23" s="747">
        <v>31806913</v>
      </c>
      <c r="F23" s="737"/>
      <c r="G23" s="748"/>
      <c r="H23" s="749"/>
      <c r="I23" s="747"/>
      <c r="J23" s="1237">
        <v>1154000</v>
      </c>
      <c r="K23" s="722">
        <v>9714633.6472736597</v>
      </c>
      <c r="L23" s="1593">
        <v>490944.37820512819</v>
      </c>
      <c r="M23" s="1592"/>
      <c r="N23" s="751">
        <v>4179000</v>
      </c>
      <c r="O23" s="1441"/>
      <c r="P23" s="752"/>
      <c r="Q23" s="1190">
        <v>7610000</v>
      </c>
      <c r="R23" s="1238"/>
      <c r="S23" s="750"/>
      <c r="T23" s="1239"/>
      <c r="U23" s="1591">
        <v>19797284.150391061</v>
      </c>
      <c r="V23" s="1506">
        <v>3213844.8296089382</v>
      </c>
      <c r="W23" s="739"/>
      <c r="X23" s="1534" t="s">
        <v>788</v>
      </c>
      <c r="Y23" s="1590">
        <f t="shared" si="1"/>
        <v>233803826.60333306</v>
      </c>
      <c r="Z23" s="1589">
        <f t="shared" si="6"/>
        <v>20690000</v>
      </c>
      <c r="AA23" s="1449">
        <f t="shared" si="2"/>
        <v>51582817.829999998</v>
      </c>
      <c r="AB23" s="1450">
        <f t="shared" si="7"/>
        <v>71806913</v>
      </c>
      <c r="AC23" s="1451">
        <f t="shared" si="3"/>
        <v>12874710.313426394</v>
      </c>
      <c r="AD23" s="1452"/>
      <c r="AE23" s="1453">
        <f t="shared" si="8"/>
        <v>5857687</v>
      </c>
      <c r="AF23" s="1450">
        <f t="shared" si="8"/>
        <v>46433322.649999999</v>
      </c>
      <c r="AG23" s="1588">
        <f t="shared" si="8"/>
        <v>469319548.27999997</v>
      </c>
      <c r="AH23" s="1585">
        <f t="shared" si="8"/>
        <v>342954100.68162757</v>
      </c>
      <c r="AI23" s="1587">
        <f t="shared" si="8"/>
        <v>358714165.46307695</v>
      </c>
      <c r="AJ23" s="1458">
        <f t="shared" si="8"/>
        <v>207293.86</v>
      </c>
      <c r="AK23" s="1454">
        <f t="shared" si="8"/>
        <v>230165134.17741299</v>
      </c>
      <c r="AL23" s="1455"/>
      <c r="AM23" s="1456"/>
      <c r="AN23" s="1190">
        <f t="shared" si="9"/>
        <v>256279184.77000001</v>
      </c>
      <c r="AO23" s="1586">
        <f t="shared" si="9"/>
        <v>532375</v>
      </c>
      <c r="AP23" s="1585"/>
      <c r="AQ23" s="1584"/>
      <c r="AR23" s="1583">
        <f t="shared" si="10"/>
        <v>514640388.89089382</v>
      </c>
      <c r="AS23" s="1506">
        <f t="shared" si="10"/>
        <v>72062242.699106127</v>
      </c>
      <c r="AT23" s="560"/>
      <c r="AU23" s="560"/>
      <c r="AV23" s="560"/>
      <c r="AW23" s="560"/>
      <c r="AX23" s="560"/>
      <c r="AY23" s="560"/>
      <c r="AZ23" s="560"/>
      <c r="BA23" s="560"/>
      <c r="BB23" s="560"/>
      <c r="BC23" s="560"/>
      <c r="BD23" s="560"/>
      <c r="BE23" s="560"/>
      <c r="BF23" s="560"/>
      <c r="BG23" s="560"/>
      <c r="BH23" s="560"/>
      <c r="BI23" s="560"/>
      <c r="BJ23" s="560"/>
      <c r="BK23" s="560"/>
      <c r="BL23" s="560"/>
    </row>
    <row r="24" spans="1:64" s="50" customFormat="1" ht="18" thickBot="1">
      <c r="A24" s="1582" t="s">
        <v>330</v>
      </c>
      <c r="B24" s="732">
        <f>SUM(B12:B23)</f>
        <v>402431908.93999934</v>
      </c>
      <c r="C24" s="733">
        <f>SUM(C11:C23)</f>
        <v>20690000</v>
      </c>
      <c r="D24" s="733">
        <f>SUM(D11:D23)</f>
        <v>51582817.829999998</v>
      </c>
      <c r="E24" s="733">
        <f>SUM(E11:E23)</f>
        <v>71806913</v>
      </c>
      <c r="F24" s="733">
        <f>SUM(F11:F23)</f>
        <v>12874710.313426394</v>
      </c>
      <c r="G24" s="733"/>
      <c r="H24" s="733">
        <f t="shared" ref="H24:N24" si="11">SUM(H11:H23)</f>
        <v>5857687</v>
      </c>
      <c r="I24" s="733">
        <f t="shared" si="11"/>
        <v>46433322.649999999</v>
      </c>
      <c r="J24" s="733">
        <f t="shared" si="11"/>
        <v>469319548.27999997</v>
      </c>
      <c r="K24" s="734">
        <f t="shared" si="11"/>
        <v>342954100.68162757</v>
      </c>
      <c r="L24" s="733">
        <f t="shared" si="11"/>
        <v>358714165.46307695</v>
      </c>
      <c r="M24" s="733">
        <f t="shared" si="11"/>
        <v>207293.86</v>
      </c>
      <c r="N24" s="733">
        <f t="shared" si="11"/>
        <v>230165134.17741299</v>
      </c>
      <c r="O24" s="733">
        <v>0</v>
      </c>
      <c r="P24" s="733">
        <f t="shared" ref="P24:V24" si="12">SUM(P11:P23)</f>
        <v>6.2388628721237183E-3</v>
      </c>
      <c r="Q24" s="733">
        <f t="shared" si="12"/>
        <v>256279184.77000001</v>
      </c>
      <c r="R24" s="733">
        <f t="shared" si="12"/>
        <v>532375</v>
      </c>
      <c r="S24" s="733">
        <f t="shared" si="12"/>
        <v>9.7127854824066162E-2</v>
      </c>
      <c r="T24" s="733">
        <f t="shared" si="12"/>
        <v>-9.7127849934622645E-2</v>
      </c>
      <c r="U24" s="734">
        <f t="shared" si="12"/>
        <v>514640388.89089382</v>
      </c>
      <c r="V24" s="735">
        <f t="shared" si="12"/>
        <v>72062242.699106127</v>
      </c>
      <c r="W24" s="739"/>
      <c r="X24" s="731" t="s">
        <v>330</v>
      </c>
      <c r="Y24" s="753">
        <f>SUM(Y11:Y23)</f>
        <v>402431908.93999934</v>
      </c>
      <c r="Z24" s="754">
        <f>SUM(Z11:Z23)</f>
        <v>144830000</v>
      </c>
      <c r="AA24" s="754">
        <f>SUM(AA11:AA23)</f>
        <v>380545547.78999996</v>
      </c>
      <c r="AB24" s="754">
        <f>SUM(AB11:AB23)</f>
        <v>311806913</v>
      </c>
      <c r="AC24" s="754">
        <f>SUM(AC11:AC23)</f>
        <v>135171234.07454309</v>
      </c>
      <c r="AD24" s="754"/>
      <c r="AE24" s="754">
        <f t="shared" ref="AE24:AS24" si="13">SUM(AE11:AE23)</f>
        <v>76149931</v>
      </c>
      <c r="AF24" s="754">
        <f t="shared" si="13"/>
        <v>365162246.44999993</v>
      </c>
      <c r="AG24" s="754">
        <f t="shared" si="13"/>
        <v>3569564075.6999989</v>
      </c>
      <c r="AH24" s="754">
        <f t="shared" si="13"/>
        <v>3635975108.7648606</v>
      </c>
      <c r="AI24" s="754">
        <f t="shared" si="13"/>
        <v>4021823932.0712824</v>
      </c>
      <c r="AJ24" s="754">
        <f t="shared" si="13"/>
        <v>2694820.1799999992</v>
      </c>
      <c r="AK24" s="754">
        <f t="shared" si="13"/>
        <v>4873223796.2463684</v>
      </c>
      <c r="AL24" s="754">
        <f t="shared" si="13"/>
        <v>238470948.06</v>
      </c>
      <c r="AM24" s="754">
        <f t="shared" si="13"/>
        <v>462764419.5887152</v>
      </c>
      <c r="AN24" s="754">
        <f t="shared" si="13"/>
        <v>2351308402.0100002</v>
      </c>
      <c r="AO24" s="754">
        <f t="shared" si="13"/>
        <v>6920875</v>
      </c>
      <c r="AP24" s="754">
        <f t="shared" si="13"/>
        <v>288496714.43979007</v>
      </c>
      <c r="AQ24" s="754">
        <f t="shared" si="13"/>
        <v>23283199.199999999</v>
      </c>
      <c r="AR24" s="754">
        <f t="shared" si="13"/>
        <v>4837038900.8616209</v>
      </c>
      <c r="AS24" s="754">
        <f t="shared" si="13"/>
        <v>635951013.08837986</v>
      </c>
      <c r="AT24" s="560"/>
      <c r="AU24" s="560"/>
      <c r="AV24" s="560"/>
      <c r="AW24" s="560"/>
      <c r="AX24" s="560"/>
      <c r="AY24" s="560"/>
      <c r="AZ24" s="560"/>
      <c r="BA24" s="560"/>
      <c r="BB24" s="560"/>
      <c r="BC24" s="560"/>
      <c r="BD24" s="560"/>
      <c r="BE24" s="560"/>
      <c r="BF24" s="560"/>
      <c r="BG24" s="560"/>
      <c r="BH24" s="560"/>
      <c r="BI24" s="560"/>
      <c r="BJ24" s="560"/>
      <c r="BK24" s="560"/>
      <c r="BL24" s="560"/>
    </row>
    <row r="25" spans="1:64" s="50" customFormat="1" ht="52.2">
      <c r="A25" s="1501"/>
      <c r="B25" s="1581"/>
      <c r="C25" s="1580"/>
      <c r="D25" s="1523"/>
      <c r="E25" s="695"/>
      <c r="F25" s="49"/>
      <c r="G25" s="695"/>
      <c r="H25" s="1537"/>
      <c r="I25" s="1537"/>
      <c r="J25" s="1537"/>
      <c r="K25" s="1579"/>
      <c r="L25" s="1579"/>
      <c r="M25" s="695"/>
      <c r="N25" s="1579"/>
      <c r="O25" s="1579"/>
      <c r="P25" s="1579"/>
      <c r="Q25" s="1579"/>
      <c r="R25" s="1579"/>
      <c r="S25" s="1579"/>
      <c r="T25" s="1579"/>
      <c r="U25" s="1579"/>
      <c r="V25" s="1579"/>
      <c r="W25" s="739"/>
      <c r="X25" s="1531" t="s">
        <v>589</v>
      </c>
      <c r="Y25" s="755">
        <f>Y24/13</f>
        <v>30956300.687692259</v>
      </c>
      <c r="Z25" s="755">
        <f>Z24/13</f>
        <v>11140769.23076923</v>
      </c>
      <c r="AA25" s="755">
        <f>AA24/13</f>
        <v>29272734.445384614</v>
      </c>
      <c r="AB25" s="755">
        <f>AB24/13</f>
        <v>23985147.153846152</v>
      </c>
      <c r="AC25" s="755">
        <f>AC24/13</f>
        <v>10397787.236503314</v>
      </c>
      <c r="AD25" s="755"/>
      <c r="AE25" s="755">
        <f t="shared" ref="AE25:AJ25" si="14">AE24/13</f>
        <v>5857687</v>
      </c>
      <c r="AF25" s="755">
        <f t="shared" si="14"/>
        <v>28089403.573076919</v>
      </c>
      <c r="AG25" s="755">
        <f t="shared" si="14"/>
        <v>274581851.97692299</v>
      </c>
      <c r="AH25" s="755">
        <f t="shared" si="14"/>
        <v>279690392.98191237</v>
      </c>
      <c r="AI25" s="755">
        <f t="shared" si="14"/>
        <v>309371071.69779098</v>
      </c>
      <c r="AJ25" s="755">
        <f t="shared" si="14"/>
        <v>207293.85999999993</v>
      </c>
      <c r="AK25" s="1199"/>
      <c r="AL25" s="1199"/>
      <c r="AM25" s="1199"/>
      <c r="AN25" s="1199"/>
      <c r="AO25" s="1199"/>
      <c r="AP25" s="1199"/>
      <c r="AQ25" s="1199"/>
      <c r="AR25" s="1199"/>
      <c r="AS25" s="1199"/>
      <c r="AT25" s="560"/>
      <c r="AU25" s="560"/>
      <c r="AV25" s="560"/>
      <c r="AW25" s="560"/>
      <c r="AX25" s="560"/>
      <c r="AY25" s="560"/>
      <c r="AZ25" s="560"/>
      <c r="BA25" s="560"/>
      <c r="BB25" s="560"/>
      <c r="BC25" s="560"/>
      <c r="BD25" s="560"/>
      <c r="BE25" s="560"/>
      <c r="BF25" s="560"/>
      <c r="BG25" s="560"/>
      <c r="BH25" s="560"/>
      <c r="BI25" s="560"/>
      <c r="BJ25" s="560"/>
      <c r="BK25" s="560"/>
      <c r="BL25" s="560"/>
    </row>
    <row r="26" spans="1:64" s="50" customFormat="1" ht="52.2">
      <c r="A26" s="1501"/>
      <c r="B26" s="1578"/>
      <c r="C26" s="271"/>
      <c r="D26" s="271"/>
      <c r="E26" s="271"/>
      <c r="F26" s="49"/>
      <c r="G26" s="695"/>
      <c r="H26" s="30"/>
      <c r="I26" s="1577"/>
      <c r="J26" s="1523"/>
      <c r="K26" s="1523"/>
      <c r="L26" s="1523"/>
      <c r="M26" s="695"/>
      <c r="N26" s="1523"/>
      <c r="O26" s="1523"/>
      <c r="P26" s="1523"/>
      <c r="Q26" s="1523"/>
      <c r="R26" s="739"/>
      <c r="S26" s="695"/>
      <c r="T26" s="695"/>
      <c r="U26" s="695"/>
      <c r="V26" s="695"/>
      <c r="W26" s="739"/>
      <c r="X26" s="1576" t="s">
        <v>252</v>
      </c>
      <c r="Y26" s="1170">
        <f>+Y25/Y23*13</f>
        <v>1.7212374783872011</v>
      </c>
      <c r="Z26" s="1170">
        <f>+Z25/Z23*13</f>
        <v>7</v>
      </c>
      <c r="AA26" s="1170">
        <f>+AA25/AA23*13</f>
        <v>7.3773702910948549</v>
      </c>
      <c r="AB26" s="1170">
        <f>+AB25/AB23*13</f>
        <v>4.3422965836172347</v>
      </c>
      <c r="AC26" s="1170">
        <f>+AC25/AC23*13</f>
        <v>10.498972853282744</v>
      </c>
      <c r="AD26" s="1170"/>
      <c r="AE26" s="1170">
        <f t="shared" ref="AE26:AJ26" si="15">+AE25/AE23*13</f>
        <v>13</v>
      </c>
      <c r="AF26" s="1170">
        <f t="shared" si="15"/>
        <v>7.8642282225306133</v>
      </c>
      <c r="AG26" s="1170">
        <f t="shared" si="15"/>
        <v>7.6058286700011202</v>
      </c>
      <c r="AH26" s="1170">
        <f t="shared" si="15"/>
        <v>10.601929242246392</v>
      </c>
      <c r="AI26" s="1170">
        <f t="shared" si="15"/>
        <v>11.211778957430818</v>
      </c>
      <c r="AJ26" s="1170">
        <f t="shared" si="15"/>
        <v>12.999999999999996</v>
      </c>
      <c r="AK26" s="1196">
        <f>+AK27/AK23*13</f>
        <v>21.172728066145986</v>
      </c>
      <c r="AL26" s="1196">
        <v>13</v>
      </c>
      <c r="AM26" s="1196">
        <v>13</v>
      </c>
      <c r="AN26" s="1196">
        <f>+AN27/AN23*13</f>
        <v>9.1747927328557815</v>
      </c>
      <c r="AO26" s="1196">
        <f>+AO27/AO23*13</f>
        <v>13</v>
      </c>
      <c r="AP26" s="1196">
        <v>13</v>
      </c>
      <c r="AQ26" s="1196">
        <v>13</v>
      </c>
      <c r="AR26" s="1196">
        <f>+AR27/AR23*13</f>
        <v>9.3988715329668704</v>
      </c>
      <c r="AS26" s="1196">
        <f>+AS27/AS23*13</f>
        <v>8.8250238858617749</v>
      </c>
      <c r="AT26" s="560"/>
      <c r="AU26" s="560"/>
      <c r="AV26" s="560"/>
      <c r="AW26" s="560"/>
      <c r="AX26" s="560"/>
      <c r="AY26" s="560"/>
      <c r="AZ26" s="560"/>
      <c r="BA26" s="560"/>
      <c r="BB26" s="560"/>
      <c r="BC26" s="560"/>
      <c r="BD26" s="560"/>
      <c r="BE26" s="560"/>
      <c r="BF26" s="560"/>
      <c r="BG26" s="560"/>
      <c r="BH26" s="560"/>
      <c r="BI26" s="560"/>
      <c r="BJ26" s="560"/>
      <c r="BK26" s="560"/>
      <c r="BL26" s="560"/>
    </row>
    <row r="27" spans="1:64" s="50" customFormat="1" ht="87.6" thickBot="1">
      <c r="A27" s="1575"/>
      <c r="B27" s="1574"/>
      <c r="C27" s="271"/>
      <c r="D27" s="1573"/>
      <c r="E27" s="1573"/>
      <c r="F27" s="1573"/>
      <c r="G27" s="702"/>
      <c r="H27" s="1523"/>
      <c r="I27" s="1523"/>
      <c r="J27" s="1523"/>
      <c r="K27" s="1523"/>
      <c r="L27" s="1523"/>
      <c r="M27" s="1523"/>
      <c r="N27" s="1523"/>
      <c r="O27" s="702"/>
      <c r="P27" s="702"/>
      <c r="Q27" s="1523"/>
      <c r="R27" s="1523"/>
      <c r="S27" s="1523"/>
      <c r="T27" s="1523"/>
      <c r="U27" s="1523"/>
      <c r="V27" s="1523"/>
      <c r="W27" s="1483"/>
      <c r="X27" s="1522" t="s">
        <v>403</v>
      </c>
      <c r="Y27" s="1171"/>
      <c r="Z27" s="1171"/>
      <c r="AA27" s="1171"/>
      <c r="AB27" s="1171"/>
      <c r="AC27" s="1171"/>
      <c r="AD27" s="1171"/>
      <c r="AE27" s="1171"/>
      <c r="AF27" s="1171"/>
      <c r="AG27" s="1171"/>
      <c r="AH27" s="1171"/>
      <c r="AI27" s="1171"/>
      <c r="AJ27" s="1197"/>
      <c r="AK27" s="1198">
        <f t="shared" ref="AK27:AS27" si="16">+AK24/13</f>
        <v>374863368.94202834</v>
      </c>
      <c r="AL27" s="1198">
        <f t="shared" si="16"/>
        <v>18343919.081538461</v>
      </c>
      <c r="AM27" s="1198">
        <f t="shared" si="16"/>
        <v>35597263.045285784</v>
      </c>
      <c r="AN27" s="1198">
        <f t="shared" si="16"/>
        <v>180869877.07769233</v>
      </c>
      <c r="AO27" s="1198">
        <f t="shared" si="16"/>
        <v>532375</v>
      </c>
      <c r="AP27" s="1198">
        <f t="shared" si="16"/>
        <v>22192054.95690693</v>
      </c>
      <c r="AQ27" s="1198">
        <f t="shared" si="16"/>
        <v>1791015.3230769229</v>
      </c>
      <c r="AR27" s="1198">
        <f t="shared" si="16"/>
        <v>372079915.45089394</v>
      </c>
      <c r="AS27" s="1198">
        <f t="shared" si="16"/>
        <v>48919308.699106142</v>
      </c>
      <c r="AT27" s="1532"/>
      <c r="AU27" s="560"/>
      <c r="AV27" s="560"/>
      <c r="AW27" s="560"/>
      <c r="AX27" s="560"/>
      <c r="AY27" s="560"/>
      <c r="AZ27" s="560"/>
      <c r="BA27" s="560"/>
      <c r="BB27" s="560"/>
      <c r="BC27" s="560"/>
      <c r="BD27" s="560"/>
      <c r="BE27" s="560"/>
      <c r="BF27" s="560"/>
      <c r="BG27" s="560"/>
      <c r="BH27" s="560"/>
      <c r="BI27" s="560"/>
      <c r="BJ27" s="560"/>
      <c r="BK27" s="560"/>
      <c r="BL27" s="560"/>
    </row>
    <row r="28" spans="1:64" s="50" customFormat="1">
      <c r="A28" s="702"/>
      <c r="B28" s="977"/>
      <c r="C28" s="1572"/>
      <c r="D28" s="1572"/>
      <c r="E28" s="1572"/>
      <c r="F28" s="1572"/>
      <c r="G28" s="702"/>
      <c r="H28" s="1523"/>
      <c r="I28" s="1523"/>
      <c r="J28" s="1523"/>
      <c r="K28" s="1523"/>
      <c r="L28" s="1523"/>
      <c r="M28" s="1523"/>
      <c r="N28" s="1523"/>
      <c r="O28" s="1523"/>
      <c r="P28" s="1523"/>
      <c r="Q28" s="1523"/>
      <c r="R28" s="1523"/>
      <c r="S28" s="1523"/>
      <c r="T28" s="1523"/>
      <c r="U28" s="1523"/>
      <c r="V28" s="1523"/>
      <c r="W28" s="1483"/>
      <c r="X28" s="1483"/>
      <c r="Y28" s="1483"/>
      <c r="Z28" s="1483"/>
      <c r="AA28" s="1483"/>
      <c r="AB28" s="1483"/>
      <c r="AC28" s="1483"/>
      <c r="AD28" s="1483"/>
      <c r="AE28" s="1483"/>
      <c r="AF28" s="1483"/>
      <c r="AG28" s="1412"/>
      <c r="AH28" s="1483"/>
      <c r="AI28" s="739"/>
      <c r="AJ28" s="739"/>
      <c r="AK28" s="739"/>
      <c r="AL28" s="739"/>
      <c r="AM28" s="739"/>
      <c r="AN28" s="739"/>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0"/>
      <c r="BK28" s="560"/>
      <c r="BL28" s="560"/>
    </row>
    <row r="29" spans="1:64" s="23" customFormat="1" ht="18" thickBot="1">
      <c r="A29" s="561"/>
      <c r="B29" s="561"/>
      <c r="C29" s="560"/>
      <c r="D29" s="560"/>
      <c r="E29" s="560"/>
      <c r="F29" s="560"/>
      <c r="G29" s="560"/>
      <c r="H29" s="560"/>
      <c r="I29" s="560"/>
      <c r="J29" s="560"/>
      <c r="K29" s="560"/>
      <c r="L29" s="560"/>
      <c r="M29" s="560"/>
      <c r="N29" s="560"/>
      <c r="O29" s="560"/>
      <c r="P29" s="560"/>
      <c r="Q29" s="1483"/>
      <c r="R29" s="1483"/>
      <c r="S29" s="1483"/>
      <c r="T29" s="1483"/>
      <c r="U29" s="1483"/>
      <c r="V29" s="1483"/>
      <c r="W29" s="1483"/>
      <c r="X29" s="1483"/>
      <c r="Y29" s="1483"/>
      <c r="Z29" s="1483"/>
      <c r="AA29" s="1483"/>
      <c r="AB29" s="1483"/>
      <c r="AC29" s="1483"/>
      <c r="AD29" s="1483"/>
      <c r="AE29" s="1483"/>
      <c r="AF29" s="1483"/>
      <c r="AG29" s="1412"/>
      <c r="AH29" s="1483"/>
      <c r="AI29" s="739"/>
      <c r="AJ29" s="739"/>
      <c r="AK29" s="739"/>
      <c r="AL29" s="739"/>
      <c r="AM29" s="739"/>
      <c r="AN29" s="739"/>
      <c r="AO29" s="560"/>
      <c r="AP29" s="560"/>
      <c r="AQ29" s="560"/>
      <c r="AR29" s="560"/>
      <c r="AS29" s="560"/>
      <c r="AT29" s="560"/>
      <c r="AU29" s="560"/>
      <c r="AV29" s="560"/>
      <c r="AW29" s="560"/>
      <c r="AX29" s="560"/>
      <c r="AY29" s="560"/>
      <c r="AZ29" s="560"/>
      <c r="BA29" s="560"/>
      <c r="BB29" s="560"/>
      <c r="BC29" s="560"/>
      <c r="BD29" s="560"/>
      <c r="BE29" s="560"/>
      <c r="BF29" s="560"/>
      <c r="BG29" s="560"/>
      <c r="BH29" s="560"/>
      <c r="BI29" s="560"/>
      <c r="BJ29" s="560"/>
      <c r="BK29" s="560"/>
      <c r="BL29" s="560"/>
    </row>
    <row r="30" spans="1:64" s="1434" customFormat="1" ht="18" thickBot="1">
      <c r="A30" s="1412"/>
      <c r="B30" s="2608" t="s">
        <v>1067</v>
      </c>
      <c r="C30" s="2609"/>
      <c r="D30" s="2609"/>
      <c r="E30" s="2609"/>
      <c r="F30" s="2609"/>
      <c r="G30" s="2609"/>
      <c r="H30" s="2609"/>
      <c r="I30" s="2609"/>
      <c r="J30" s="2609"/>
      <c r="K30" s="2609"/>
      <c r="L30" s="2609"/>
      <c r="M30" s="2609"/>
      <c r="N30" s="2609"/>
      <c r="O30" s="2609"/>
      <c r="P30" s="2609"/>
      <c r="Q30" s="2609"/>
      <c r="R30" s="2609"/>
      <c r="S30" s="2609"/>
      <c r="T30" s="2609"/>
      <c r="U30" s="2609"/>
      <c r="V30" s="2609"/>
      <c r="W30" s="2609"/>
      <c r="X30" s="2602" t="s">
        <v>1067</v>
      </c>
      <c r="Y30" s="2602"/>
      <c r="Z30" s="2602"/>
      <c r="AA30" s="2602"/>
      <c r="AB30" s="2602"/>
      <c r="AC30" s="2602"/>
      <c r="AD30" s="2602"/>
      <c r="AE30" s="2602"/>
      <c r="AF30" s="2602"/>
      <c r="AG30" s="2602"/>
      <c r="AH30" s="2602"/>
      <c r="AI30" s="2602"/>
      <c r="AJ30" s="2602"/>
      <c r="AK30" s="2602"/>
      <c r="AL30" s="2602"/>
      <c r="AM30" s="2602"/>
      <c r="AN30" s="2602"/>
      <c r="AO30" s="2602"/>
      <c r="AP30" s="2613"/>
      <c r="AQ30" s="2613"/>
      <c r="AR30" s="2613"/>
      <c r="AS30" s="2613"/>
      <c r="AT30" s="2602" t="s">
        <v>1067</v>
      </c>
      <c r="AU30" s="2603"/>
      <c r="AV30" s="2603"/>
      <c r="AW30" s="2603"/>
      <c r="AX30" s="2603"/>
      <c r="AY30" s="2603"/>
      <c r="AZ30" s="2603"/>
      <c r="BA30" s="2603"/>
      <c r="BB30" s="2603"/>
      <c r="BC30" s="2603"/>
      <c r="BD30" s="2603"/>
      <c r="BE30" s="2603"/>
      <c r="BF30" s="2603"/>
      <c r="BG30" s="2603"/>
      <c r="BH30" s="2603"/>
      <c r="BI30" s="2603"/>
      <c r="BJ30" s="2603"/>
      <c r="BK30" s="2603"/>
      <c r="BL30" s="2604"/>
    </row>
    <row r="31" spans="1:64" s="1434" customFormat="1" ht="261.60000000000002" thickBot="1">
      <c r="A31" s="1412"/>
      <c r="B31" s="1172" t="s">
        <v>449</v>
      </c>
      <c r="C31" s="1172" t="s">
        <v>479</v>
      </c>
      <c r="D31" s="1172" t="s">
        <v>183</v>
      </c>
      <c r="E31" s="1172" t="s">
        <v>480</v>
      </c>
      <c r="F31" s="1172" t="s">
        <v>481</v>
      </c>
      <c r="G31" s="1172" t="s">
        <v>482</v>
      </c>
      <c r="H31" s="1172" t="s">
        <v>328</v>
      </c>
      <c r="I31" s="1172" t="s">
        <v>531</v>
      </c>
      <c r="J31" s="1172" t="s">
        <v>184</v>
      </c>
      <c r="K31" s="1172" t="s">
        <v>568</v>
      </c>
      <c r="L31" s="1172" t="s">
        <v>77</v>
      </c>
      <c r="M31" s="1172" t="s">
        <v>79</v>
      </c>
      <c r="N31" s="1172" t="s">
        <v>878</v>
      </c>
      <c r="O31" s="1172" t="s">
        <v>972</v>
      </c>
      <c r="P31" s="1172" t="s">
        <v>899</v>
      </c>
      <c r="Q31" s="1172" t="s">
        <v>724</v>
      </c>
      <c r="R31" s="1172" t="s">
        <v>900</v>
      </c>
      <c r="S31" s="1172" t="s">
        <v>902</v>
      </c>
      <c r="T31" s="1172" t="s">
        <v>971</v>
      </c>
      <c r="U31" s="1172" t="s">
        <v>719</v>
      </c>
      <c r="V31" s="1172" t="s">
        <v>875</v>
      </c>
      <c r="W31" s="1172" t="s">
        <v>970</v>
      </c>
      <c r="X31" s="1172" t="s">
        <v>969</v>
      </c>
      <c r="Y31" s="1172" t="s">
        <v>968</v>
      </c>
      <c r="Z31" s="1172" t="s">
        <v>967</v>
      </c>
      <c r="AA31" s="1172" t="s">
        <v>966</v>
      </c>
      <c r="AB31" s="1172" t="s">
        <v>911</v>
      </c>
      <c r="AC31" s="1172" t="s">
        <v>716</v>
      </c>
      <c r="AD31" s="1172" t="s">
        <v>717</v>
      </c>
      <c r="AE31" s="1172" t="s">
        <v>718</v>
      </c>
      <c r="AF31" s="1172" t="s">
        <v>903</v>
      </c>
      <c r="AG31" s="1172" t="s">
        <v>965</v>
      </c>
      <c r="AH31" s="1172" t="s">
        <v>925</v>
      </c>
      <c r="AI31" s="1172" t="s">
        <v>964</v>
      </c>
      <c r="AJ31" s="1172" t="s">
        <v>963</v>
      </c>
      <c r="AK31" s="1172" t="s">
        <v>869</v>
      </c>
      <c r="AL31" s="1172" t="s">
        <v>735</v>
      </c>
      <c r="AM31" s="1172" t="s">
        <v>962</v>
      </c>
      <c r="AN31" s="1172" t="s">
        <v>725</v>
      </c>
      <c r="AO31" s="1172" t="s">
        <v>863</v>
      </c>
      <c r="AP31" s="1172" t="s">
        <v>961</v>
      </c>
      <c r="AQ31" s="1172" t="s">
        <v>906</v>
      </c>
      <c r="AR31" s="1172" t="s">
        <v>960</v>
      </c>
      <c r="AS31" s="1172" t="s">
        <v>959</v>
      </c>
      <c r="AT31" s="1172" t="s">
        <v>958</v>
      </c>
      <c r="AU31" s="1172" t="s">
        <v>957</v>
      </c>
      <c r="AV31" s="1172" t="s">
        <v>956</v>
      </c>
      <c r="AW31" s="1172" t="s">
        <v>955</v>
      </c>
      <c r="AX31" s="1172" t="s">
        <v>954</v>
      </c>
      <c r="AY31" s="1172" t="s">
        <v>953</v>
      </c>
      <c r="AZ31" s="1172" t="s">
        <v>952</v>
      </c>
      <c r="BA31" s="1172" t="s">
        <v>951</v>
      </c>
      <c r="BB31" s="1172" t="s">
        <v>950</v>
      </c>
      <c r="BC31" s="1172" t="s">
        <v>949</v>
      </c>
      <c r="BD31" s="1172" t="s">
        <v>948</v>
      </c>
      <c r="BE31" s="1172" t="s">
        <v>947</v>
      </c>
      <c r="BF31" s="1172" t="s">
        <v>946</v>
      </c>
      <c r="BG31" s="1172" t="s">
        <v>945</v>
      </c>
      <c r="BH31" s="1172" t="s">
        <v>944</v>
      </c>
      <c r="BI31" s="1172" t="s">
        <v>943</v>
      </c>
      <c r="BJ31" s="1172" t="s">
        <v>942</v>
      </c>
      <c r="BK31" s="1172" t="s">
        <v>941</v>
      </c>
      <c r="BL31" s="1172" t="s">
        <v>876</v>
      </c>
    </row>
    <row r="32" spans="1:64" s="2502" customFormat="1" ht="18" thickBot="1">
      <c r="A32" s="1482"/>
      <c r="B32" s="2454">
        <v>336951020.39424217</v>
      </c>
      <c r="C32" s="2455">
        <v>1848352.7939397735</v>
      </c>
      <c r="D32" s="2456">
        <v>752533.69697499834</v>
      </c>
      <c r="E32" s="2457">
        <v>7988025.6698705647</v>
      </c>
      <c r="F32" s="2458">
        <v>2030871.2634176477</v>
      </c>
      <c r="G32" s="2459">
        <v>3802360.259184557</v>
      </c>
      <c r="H32" s="2460">
        <v>2416954.9332669247</v>
      </c>
      <c r="I32" s="2461">
        <v>2971705.9948275592</v>
      </c>
      <c r="J32" s="2462">
        <v>655678.90233880584</v>
      </c>
      <c r="K32" s="2463">
        <v>2344713.4761214526</v>
      </c>
      <c r="L32" s="2464">
        <v>4537.0611162669593</v>
      </c>
      <c r="M32" s="2465">
        <v>1213589.2326616992</v>
      </c>
      <c r="N32" s="2466">
        <v>2090516.130149185</v>
      </c>
      <c r="O32" s="2467">
        <v>2833645.6057480583</v>
      </c>
      <c r="P32" s="2468">
        <v>5138004.186122152</v>
      </c>
      <c r="Q32" s="2469">
        <v>1044528.6184506617</v>
      </c>
      <c r="R32" s="2470">
        <v>98923.946168877184</v>
      </c>
      <c r="S32" s="2471">
        <v>385886.72692446155</v>
      </c>
      <c r="T32" s="2457">
        <v>-1054010.3848210741</v>
      </c>
      <c r="U32" s="2463">
        <v>269444.42866774672</v>
      </c>
      <c r="V32" s="2472">
        <v>2896357.376004667</v>
      </c>
      <c r="W32" s="2473">
        <v>0</v>
      </c>
      <c r="X32" s="2474">
        <v>1706912.658231263</v>
      </c>
      <c r="Y32" s="2472">
        <v>4484968.6705537587</v>
      </c>
      <c r="Z32" s="2473">
        <v>3674840.6181296287</v>
      </c>
      <c r="AA32" s="2475">
        <v>0</v>
      </c>
      <c r="AB32" s="2476">
        <v>1327264.2602978116</v>
      </c>
      <c r="AC32" s="2457">
        <v>4110383.2283165366</v>
      </c>
      <c r="AD32" s="2477">
        <v>44590153.097248264</v>
      </c>
      <c r="AE32" s="2465">
        <v>41976475.272123635</v>
      </c>
      <c r="AF32" s="2478">
        <v>47631361.869519033</v>
      </c>
      <c r="AG32" s="2479">
        <v>32130.188840229293</v>
      </c>
      <c r="AH32" s="2465">
        <v>0</v>
      </c>
      <c r="AI32" s="2480">
        <v>49978702.617567182</v>
      </c>
      <c r="AJ32" s="2481">
        <v>6894897.1877860865</v>
      </c>
      <c r="AK32" s="2462">
        <v>6094407.253410019</v>
      </c>
      <c r="AL32" s="2482">
        <v>22856563.044886284</v>
      </c>
      <c r="AM32" s="2483">
        <v>95162.436281189934</v>
      </c>
      <c r="AN32" s="2465">
        <v>-1889285.2182778968</v>
      </c>
      <c r="AO32" s="2484">
        <v>1076600.3160818769</v>
      </c>
      <c r="AP32" s="2496">
        <v>55665154.067823432</v>
      </c>
      <c r="AQ32" s="2486">
        <v>6911708.9082888206</v>
      </c>
      <c r="AR32" s="2478">
        <v>0</v>
      </c>
      <c r="AS32" s="2487">
        <v>0</v>
      </c>
      <c r="AT32" s="2488">
        <v>0</v>
      </c>
      <c r="AU32" s="2489">
        <v>0</v>
      </c>
      <c r="AV32" s="2475">
        <v>0</v>
      </c>
      <c r="AW32" s="2490">
        <v>0</v>
      </c>
      <c r="AX32" s="2491">
        <v>0</v>
      </c>
      <c r="AY32" s="2492">
        <v>0</v>
      </c>
      <c r="AZ32" s="2483">
        <v>0</v>
      </c>
      <c r="BA32" s="2493">
        <v>0</v>
      </c>
      <c r="BB32" s="2478">
        <v>0</v>
      </c>
      <c r="BC32" s="2486">
        <v>0</v>
      </c>
      <c r="BD32" s="2494">
        <v>0</v>
      </c>
      <c r="BE32" s="2495">
        <v>0</v>
      </c>
      <c r="BF32" s="2496">
        <v>0</v>
      </c>
      <c r="BG32" s="2497">
        <v>0</v>
      </c>
      <c r="BH32" s="2486">
        <v>0</v>
      </c>
      <c r="BI32" s="2487">
        <v>0</v>
      </c>
      <c r="BJ32" s="2494">
        <v>0</v>
      </c>
      <c r="BK32" s="2498">
        <v>0</v>
      </c>
      <c r="BL32" s="2499">
        <v>0</v>
      </c>
    </row>
    <row r="33" spans="1:88" s="459" customFormat="1">
      <c r="B33" s="1438"/>
      <c r="C33" s="1457"/>
      <c r="D33" s="1457"/>
      <c r="E33" s="1457"/>
      <c r="F33" s="1457"/>
      <c r="H33" s="472"/>
      <c r="I33" s="472"/>
      <c r="J33" s="472"/>
      <c r="K33" s="472"/>
      <c r="L33" s="472"/>
      <c r="M33" s="472"/>
      <c r="N33" s="472"/>
      <c r="O33" s="472"/>
      <c r="P33" s="472"/>
      <c r="Q33" s="472"/>
      <c r="R33" s="472"/>
      <c r="S33" s="472"/>
      <c r="T33" s="472"/>
      <c r="U33" s="472"/>
      <c r="V33" s="472"/>
      <c r="AH33" s="756"/>
      <c r="AK33" s="1495"/>
      <c r="AL33" s="1459"/>
      <c r="AM33" s="1459"/>
      <c r="AN33" s="1495"/>
      <c r="AO33" s="1495"/>
      <c r="AT33" s="1498"/>
    </row>
    <row r="34" spans="1:88" s="459" customFormat="1">
      <c r="B34" s="1439"/>
      <c r="C34" s="1457"/>
      <c r="D34" s="1457"/>
      <c r="E34" s="1457"/>
      <c r="F34" s="1457"/>
      <c r="H34" s="472"/>
      <c r="I34" s="472"/>
      <c r="J34" s="472"/>
      <c r="K34" s="472"/>
      <c r="L34" s="472"/>
      <c r="M34" s="472"/>
      <c r="N34" s="472"/>
      <c r="O34" s="472"/>
      <c r="P34" s="472"/>
      <c r="Q34" s="472"/>
      <c r="R34" s="472"/>
      <c r="S34" s="472"/>
      <c r="T34" s="472"/>
      <c r="U34" s="472"/>
      <c r="V34" s="1496"/>
      <c r="X34" s="1494"/>
      <c r="AC34" s="1494"/>
      <c r="AH34" s="756"/>
      <c r="AI34" s="1459"/>
      <c r="AJ34" s="1459"/>
      <c r="AK34" s="1495"/>
      <c r="AM34" s="1495"/>
      <c r="AN34" s="1495"/>
      <c r="AO34" s="1495"/>
      <c r="AR34" s="1499"/>
      <c r="AT34" s="1498"/>
    </row>
    <row r="35" spans="1:88" s="1434" customFormat="1" ht="18" thickBot="1">
      <c r="A35" s="1134"/>
      <c r="B35" s="1462"/>
      <c r="C35" s="1460"/>
      <c r="D35" s="1460"/>
      <c r="E35" s="1460"/>
      <c r="F35" s="1460"/>
      <c r="G35" s="1460"/>
      <c r="H35" s="1460"/>
      <c r="I35" s="1460"/>
      <c r="J35" s="1460"/>
      <c r="K35" s="1460"/>
      <c r="L35" s="1460"/>
      <c r="M35" s="1460"/>
      <c r="N35" s="1460"/>
      <c r="O35" s="1460"/>
      <c r="P35" s="1460"/>
      <c r="Q35" s="1460"/>
      <c r="R35" s="1460"/>
      <c r="S35" s="1460"/>
      <c r="T35" s="1460"/>
      <c r="U35" s="1460"/>
      <c r="V35" s="2435" t="s">
        <v>1103</v>
      </c>
      <c r="AQ35" s="2434" t="s">
        <v>1104</v>
      </c>
      <c r="AR35" s="1460"/>
      <c r="AS35" s="1460"/>
      <c r="AT35" s="1460"/>
      <c r="BL35" s="2434" t="s">
        <v>1106</v>
      </c>
      <c r="CH35" s="2434" t="s">
        <v>1107</v>
      </c>
    </row>
    <row r="36" spans="1:88" s="739" customFormat="1" ht="18" thickBot="1">
      <c r="A36" s="1483"/>
      <c r="B36" s="2605" t="s">
        <v>1114</v>
      </c>
      <c r="C36" s="2606"/>
      <c r="D36" s="2606"/>
      <c r="E36" s="2606"/>
      <c r="F36" s="2606"/>
      <c r="G36" s="2606"/>
      <c r="H36" s="2606"/>
      <c r="I36" s="2606"/>
      <c r="J36" s="2606"/>
      <c r="K36" s="2606"/>
      <c r="L36" s="2606"/>
      <c r="M36" s="2606"/>
      <c r="N36" s="2606"/>
      <c r="O36" s="2606"/>
      <c r="P36" s="2606"/>
      <c r="Q36" s="2606"/>
      <c r="R36" s="2606"/>
      <c r="S36" s="2606"/>
      <c r="T36" s="2606"/>
      <c r="U36" s="2606"/>
      <c r="V36" s="2606"/>
      <c r="W36" s="2606"/>
      <c r="X36" s="2606"/>
      <c r="Y36" s="2606"/>
      <c r="Z36" s="2606"/>
      <c r="AA36" s="2606"/>
      <c r="AB36" s="2606"/>
      <c r="AC36" s="2606"/>
      <c r="AD36" s="2606"/>
      <c r="AE36" s="2606"/>
      <c r="AF36" s="2606"/>
      <c r="AG36" s="2606"/>
      <c r="AH36" s="2606"/>
      <c r="AI36" s="2606"/>
      <c r="AJ36" s="2606"/>
      <c r="AK36" s="2606"/>
      <c r="AL36" s="2606"/>
      <c r="AM36" s="2606"/>
      <c r="AN36" s="2606"/>
      <c r="AO36" s="2606"/>
      <c r="AP36" s="2606"/>
      <c r="AQ36" s="2607"/>
      <c r="AW36" s="740"/>
      <c r="AX36" s="740"/>
    </row>
    <row r="37" spans="1:88" s="740" customFormat="1" ht="18.75" customHeight="1" thickBot="1">
      <c r="A37" s="703"/>
      <c r="B37" s="1175" t="s">
        <v>1</v>
      </c>
      <c r="C37" s="1176" t="s">
        <v>2</v>
      </c>
      <c r="D37" s="1176" t="s">
        <v>3</v>
      </c>
      <c r="E37" s="1177" t="s">
        <v>583</v>
      </c>
      <c r="F37" s="1177" t="s">
        <v>584</v>
      </c>
      <c r="G37" s="1570" t="s">
        <v>585</v>
      </c>
      <c r="H37" s="1177" t="s">
        <v>432</v>
      </c>
      <c r="I37" s="1177" t="s">
        <v>433</v>
      </c>
      <c r="J37" s="1177" t="s">
        <v>434</v>
      </c>
      <c r="K37" s="1177" t="s">
        <v>436</v>
      </c>
      <c r="L37" s="1177" t="s">
        <v>437</v>
      </c>
      <c r="M37" s="1177" t="s">
        <v>882</v>
      </c>
      <c r="N37" s="1176" t="s">
        <v>438</v>
      </c>
      <c r="O37" s="1176" t="s">
        <v>439</v>
      </c>
      <c r="P37" s="1178" t="s">
        <v>440</v>
      </c>
      <c r="Q37" s="736" t="s">
        <v>441</v>
      </c>
      <c r="R37" s="736" t="s">
        <v>442</v>
      </c>
      <c r="S37" s="743" t="s">
        <v>443</v>
      </c>
      <c r="T37" s="743" t="s">
        <v>452</v>
      </c>
      <c r="U37" s="743" t="s">
        <v>453</v>
      </c>
      <c r="V37" s="743" t="s">
        <v>454</v>
      </c>
      <c r="W37" s="743" t="s">
        <v>455</v>
      </c>
      <c r="X37" s="743" t="s">
        <v>456</v>
      </c>
      <c r="Y37" s="743" t="s">
        <v>457</v>
      </c>
      <c r="Z37" s="743" t="s">
        <v>458</v>
      </c>
      <c r="AA37" s="743" t="s">
        <v>460</v>
      </c>
      <c r="AB37" s="743" t="s">
        <v>459</v>
      </c>
      <c r="AC37" s="743" t="s">
        <v>461</v>
      </c>
      <c r="AD37" s="743" t="s">
        <v>462</v>
      </c>
      <c r="AE37" s="743" t="s">
        <v>463</v>
      </c>
      <c r="AF37" s="743" t="s">
        <v>883</v>
      </c>
      <c r="AG37" s="743" t="s">
        <v>884</v>
      </c>
      <c r="AH37" s="743" t="s">
        <v>885</v>
      </c>
      <c r="AI37" s="743" t="s">
        <v>886</v>
      </c>
      <c r="AJ37" s="743" t="s">
        <v>887</v>
      </c>
      <c r="AK37" s="743" t="s">
        <v>888</v>
      </c>
      <c r="AL37" s="743" t="s">
        <v>889</v>
      </c>
      <c r="AM37" s="743" t="s">
        <v>890</v>
      </c>
      <c r="AN37" s="743" t="s">
        <v>891</v>
      </c>
      <c r="AO37" s="1569" t="s">
        <v>892</v>
      </c>
      <c r="AP37" s="743" t="s">
        <v>893</v>
      </c>
      <c r="AQ37" s="743" t="s">
        <v>894</v>
      </c>
      <c r="AU37" s="1181" t="s">
        <v>1066</v>
      </c>
      <c r="AV37" s="1181" t="s">
        <v>1065</v>
      </c>
      <c r="AW37" s="1181" t="s">
        <v>1064</v>
      </c>
      <c r="AX37" s="1181" t="s">
        <v>1063</v>
      </c>
      <c r="AY37" s="1181" t="s">
        <v>1062</v>
      </c>
      <c r="AZ37" s="1181" t="s">
        <v>1061</v>
      </c>
      <c r="BA37" s="1181" t="s">
        <v>1060</v>
      </c>
      <c r="BB37" s="1181" t="s">
        <v>1059</v>
      </c>
      <c r="BC37" s="1181" t="s">
        <v>1058</v>
      </c>
      <c r="BD37" s="1181" t="s">
        <v>1057</v>
      </c>
      <c r="BE37" s="1181" t="s">
        <v>1056</v>
      </c>
      <c r="BF37" s="1181" t="s">
        <v>1055</v>
      </c>
      <c r="BG37" s="1181" t="s">
        <v>1054</v>
      </c>
      <c r="BH37" s="1181" t="s">
        <v>1053</v>
      </c>
      <c r="BI37" s="1181" t="s">
        <v>1052</v>
      </c>
      <c r="BJ37" s="1181" t="s">
        <v>1051</v>
      </c>
      <c r="BK37" s="1181" t="s">
        <v>1050</v>
      </c>
      <c r="BL37" s="1181" t="s">
        <v>1049</v>
      </c>
      <c r="BM37" s="1181" t="s">
        <v>1048</v>
      </c>
      <c r="BN37" s="1181" t="s">
        <v>1047</v>
      </c>
      <c r="BO37" s="1181" t="s">
        <v>1046</v>
      </c>
      <c r="BP37" s="1181" t="s">
        <v>1045</v>
      </c>
      <c r="BQ37" s="1181" t="s">
        <v>1044</v>
      </c>
      <c r="BR37" s="1181" t="s">
        <v>1043</v>
      </c>
      <c r="BS37" s="1181" t="s">
        <v>1042</v>
      </c>
      <c r="BT37" s="1181" t="s">
        <v>1041</v>
      </c>
      <c r="BU37" s="1181" t="s">
        <v>1040</v>
      </c>
      <c r="BV37" s="1181" t="s">
        <v>1039</v>
      </c>
      <c r="BW37" s="1181" t="s">
        <v>1038</v>
      </c>
      <c r="BX37" s="1181" t="s">
        <v>1037</v>
      </c>
      <c r="BY37" s="1181" t="s">
        <v>1036</v>
      </c>
      <c r="BZ37" s="1181" t="s">
        <v>1035</v>
      </c>
      <c r="CA37" s="1181" t="s">
        <v>1034</v>
      </c>
      <c r="CB37" s="1181" t="s">
        <v>1033</v>
      </c>
      <c r="CC37" s="1181" t="s">
        <v>1032</v>
      </c>
      <c r="CD37" s="1181" t="s">
        <v>1031</v>
      </c>
      <c r="CE37" s="1181" t="s">
        <v>1030</v>
      </c>
      <c r="CF37" s="1181" t="s">
        <v>1029</v>
      </c>
      <c r="CG37" s="1181" t="s">
        <v>1028</v>
      </c>
      <c r="CH37" s="1181" t="s">
        <v>1027</v>
      </c>
      <c r="CI37" s="1181" t="s">
        <v>1026</v>
      </c>
      <c r="CJ37" s="1181" t="s">
        <v>1025</v>
      </c>
    </row>
    <row r="38" spans="1:88" s="739" customFormat="1" ht="279" thickBot="1">
      <c r="A38" s="470"/>
      <c r="B38" s="706" t="s">
        <v>586</v>
      </c>
      <c r="C38" s="708" t="s">
        <v>1024</v>
      </c>
      <c r="D38" s="708" t="s">
        <v>1023</v>
      </c>
      <c r="E38" s="708" t="s">
        <v>871</v>
      </c>
      <c r="F38" s="708"/>
      <c r="G38" s="708"/>
      <c r="H38" s="708" t="s">
        <v>1022</v>
      </c>
      <c r="I38" s="708" t="s">
        <v>856</v>
      </c>
      <c r="J38" s="708" t="s">
        <v>720</v>
      </c>
      <c r="K38" s="708" t="s">
        <v>451</v>
      </c>
      <c r="L38" s="708" t="s">
        <v>895</v>
      </c>
      <c r="M38" s="708" t="s">
        <v>868</v>
      </c>
      <c r="N38" s="708" t="s">
        <v>897</v>
      </c>
      <c r="O38" s="708" t="s">
        <v>721</v>
      </c>
      <c r="P38" s="708" t="s">
        <v>720</v>
      </c>
      <c r="Q38" s="708" t="s">
        <v>868</v>
      </c>
      <c r="R38" s="708" t="s">
        <v>895</v>
      </c>
      <c r="S38" s="708" t="s">
        <v>915</v>
      </c>
      <c r="T38" s="708" t="s">
        <v>451</v>
      </c>
      <c r="U38" s="708" t="s">
        <v>896</v>
      </c>
      <c r="V38" s="708" t="s">
        <v>897</v>
      </c>
      <c r="W38" s="1181" t="s">
        <v>898</v>
      </c>
      <c r="X38" s="1181" t="s">
        <v>1021</v>
      </c>
      <c r="Y38" s="1181" t="s">
        <v>1020</v>
      </c>
      <c r="Z38" s="1181" t="s">
        <v>1019</v>
      </c>
      <c r="AA38" s="1181" t="s">
        <v>1018</v>
      </c>
      <c r="AB38" s="1181" t="s">
        <v>1017</v>
      </c>
      <c r="AC38" s="1181" t="s">
        <v>1016</v>
      </c>
      <c r="AD38" s="1181" t="s">
        <v>1015</v>
      </c>
      <c r="AE38" s="1181" t="s">
        <v>1014</v>
      </c>
      <c r="AF38" s="1181" t="s">
        <v>1013</v>
      </c>
      <c r="AG38" s="1181" t="s">
        <v>1012</v>
      </c>
      <c r="AH38" s="1181" t="s">
        <v>1011</v>
      </c>
      <c r="AI38" s="1181" t="s">
        <v>1010</v>
      </c>
      <c r="AJ38" s="1181" t="s">
        <v>1009</v>
      </c>
      <c r="AK38" s="1181" t="s">
        <v>1008</v>
      </c>
      <c r="AL38" s="1181" t="s">
        <v>1007</v>
      </c>
      <c r="AM38" s="1181" t="s">
        <v>1006</v>
      </c>
      <c r="AN38" s="1181" t="s">
        <v>1005</v>
      </c>
      <c r="AO38" s="1181" t="s">
        <v>1004</v>
      </c>
      <c r="AP38" s="1181" t="s">
        <v>1003</v>
      </c>
      <c r="AQ38" s="1181" t="s">
        <v>1002</v>
      </c>
      <c r="AR38" s="560"/>
      <c r="AU38" s="742"/>
      <c r="AV38" s="708" t="s">
        <v>1001</v>
      </c>
      <c r="AW38" s="708" t="s">
        <v>1000</v>
      </c>
      <c r="AX38" s="708" t="s">
        <v>916</v>
      </c>
      <c r="AY38" s="708"/>
      <c r="AZ38" s="708"/>
      <c r="BA38" s="708" t="s">
        <v>999</v>
      </c>
      <c r="BB38" s="708" t="s">
        <v>998</v>
      </c>
      <c r="BC38" s="708" t="s">
        <v>717</v>
      </c>
      <c r="BD38" s="708" t="s">
        <v>722</v>
      </c>
      <c r="BE38" s="708" t="s">
        <v>905</v>
      </c>
      <c r="BF38" s="708" t="s">
        <v>996</v>
      </c>
      <c r="BG38" s="708" t="s">
        <v>880</v>
      </c>
      <c r="BH38" s="708" t="s">
        <v>997</v>
      </c>
      <c r="BI38" s="708" t="s">
        <v>879</v>
      </c>
      <c r="BJ38" s="708" t="s">
        <v>996</v>
      </c>
      <c r="BK38" s="708" t="s">
        <v>921</v>
      </c>
      <c r="BL38" s="708" t="s">
        <v>995</v>
      </c>
      <c r="BM38" s="708" t="s">
        <v>718</v>
      </c>
      <c r="BN38" s="708" t="s">
        <v>907</v>
      </c>
      <c r="BO38" s="708" t="s">
        <v>880</v>
      </c>
      <c r="BP38" s="1181" t="s">
        <v>994</v>
      </c>
      <c r="BQ38" s="1181" t="s">
        <v>993</v>
      </c>
      <c r="BR38" s="1181" t="s">
        <v>992</v>
      </c>
      <c r="BS38" s="1181" t="s">
        <v>991</v>
      </c>
      <c r="BT38" s="1181" t="s">
        <v>990</v>
      </c>
      <c r="BU38" s="1181" t="s">
        <v>989</v>
      </c>
      <c r="BV38" s="1181" t="s">
        <v>988</v>
      </c>
      <c r="BW38" s="1181" t="s">
        <v>987</v>
      </c>
      <c r="BX38" s="1181" t="s">
        <v>986</v>
      </c>
      <c r="BY38" s="1181" t="s">
        <v>985</v>
      </c>
      <c r="BZ38" s="1181" t="s">
        <v>984</v>
      </c>
      <c r="CA38" s="1181" t="s">
        <v>983</v>
      </c>
      <c r="CB38" s="1181" t="s">
        <v>982</v>
      </c>
      <c r="CC38" s="1181" t="s">
        <v>981</v>
      </c>
      <c r="CD38" s="1181" t="s">
        <v>980</v>
      </c>
      <c r="CE38" s="1181" t="s">
        <v>979</v>
      </c>
      <c r="CF38" s="1181" t="s">
        <v>978</v>
      </c>
      <c r="CG38" s="1181" t="s">
        <v>977</v>
      </c>
      <c r="CH38" s="1181" t="s">
        <v>976</v>
      </c>
      <c r="CI38" s="1181" t="s">
        <v>975</v>
      </c>
      <c r="CJ38" s="1181" t="s">
        <v>974</v>
      </c>
    </row>
    <row r="39" spans="1:88" s="739" customFormat="1" ht="18" thickBot="1">
      <c r="A39" s="705"/>
      <c r="B39" s="1568"/>
      <c r="C39" s="708" t="s">
        <v>587</v>
      </c>
      <c r="D39" s="708" t="s">
        <v>587</v>
      </c>
      <c r="E39" s="708" t="s">
        <v>587</v>
      </c>
      <c r="F39" s="708"/>
      <c r="G39" s="708"/>
      <c r="H39" s="708" t="s">
        <v>587</v>
      </c>
      <c r="I39" s="708" t="s">
        <v>587</v>
      </c>
      <c r="J39" s="708" t="s">
        <v>587</v>
      </c>
      <c r="K39" s="708" t="s">
        <v>514</v>
      </c>
      <c r="L39" s="708" t="s">
        <v>514</v>
      </c>
      <c r="M39" s="708" t="s">
        <v>587</v>
      </c>
      <c r="N39" s="708" t="s">
        <v>587</v>
      </c>
      <c r="O39" s="708" t="s">
        <v>588</v>
      </c>
      <c r="P39" s="708" t="s">
        <v>588</v>
      </c>
      <c r="Q39" s="708" t="s">
        <v>588</v>
      </c>
      <c r="R39" s="708" t="s">
        <v>588</v>
      </c>
      <c r="S39" s="708" t="s">
        <v>588</v>
      </c>
      <c r="T39" s="708" t="s">
        <v>588</v>
      </c>
      <c r="U39" s="708" t="s">
        <v>588</v>
      </c>
      <c r="V39" s="708" t="s">
        <v>588</v>
      </c>
      <c r="W39" s="708" t="s">
        <v>588</v>
      </c>
      <c r="X39" s="1181" t="s">
        <v>588</v>
      </c>
      <c r="Y39" s="1181" t="s">
        <v>588</v>
      </c>
      <c r="Z39" s="1181" t="s">
        <v>588</v>
      </c>
      <c r="AA39" s="1181" t="s">
        <v>588</v>
      </c>
      <c r="AB39" s="1181" t="s">
        <v>588</v>
      </c>
      <c r="AC39" s="1181" t="s">
        <v>588</v>
      </c>
      <c r="AD39" s="1181" t="s">
        <v>588</v>
      </c>
      <c r="AE39" s="1181" t="s">
        <v>588</v>
      </c>
      <c r="AF39" s="1181" t="s">
        <v>588</v>
      </c>
      <c r="AG39" s="1181" t="s">
        <v>588</v>
      </c>
      <c r="AH39" s="1181" t="s">
        <v>588</v>
      </c>
      <c r="AI39" s="1181" t="s">
        <v>588</v>
      </c>
      <c r="AJ39" s="1181" t="s">
        <v>588</v>
      </c>
      <c r="AK39" s="1181" t="s">
        <v>588</v>
      </c>
      <c r="AL39" s="1181" t="s">
        <v>588</v>
      </c>
      <c r="AM39" s="1181" t="s">
        <v>588</v>
      </c>
      <c r="AN39" s="1181" t="s">
        <v>588</v>
      </c>
      <c r="AO39" s="1181" t="s">
        <v>588</v>
      </c>
      <c r="AP39" s="1181" t="s">
        <v>588</v>
      </c>
      <c r="AQ39" s="1181" t="s">
        <v>588</v>
      </c>
      <c r="AR39" s="560"/>
      <c r="AU39" s="1180"/>
      <c r="AV39" s="708" t="s">
        <v>587</v>
      </c>
      <c r="AW39" s="708" t="s">
        <v>587</v>
      </c>
      <c r="AX39" s="708" t="s">
        <v>587</v>
      </c>
      <c r="AY39" s="708"/>
      <c r="AZ39" s="708"/>
      <c r="BA39" s="708" t="s">
        <v>587</v>
      </c>
      <c r="BB39" s="708" t="s">
        <v>587</v>
      </c>
      <c r="BC39" s="708" t="s">
        <v>587</v>
      </c>
      <c r="BD39" s="708" t="s">
        <v>514</v>
      </c>
      <c r="BE39" s="708" t="s">
        <v>514</v>
      </c>
      <c r="BF39" s="708" t="s">
        <v>587</v>
      </c>
      <c r="BG39" s="708" t="s">
        <v>587</v>
      </c>
      <c r="BH39" s="708" t="s">
        <v>588</v>
      </c>
      <c r="BI39" s="708" t="s">
        <v>588</v>
      </c>
      <c r="BJ39" s="708" t="s">
        <v>588</v>
      </c>
      <c r="BK39" s="708" t="s">
        <v>588</v>
      </c>
      <c r="BL39" s="708" t="s">
        <v>588</v>
      </c>
      <c r="BM39" s="708" t="s">
        <v>588</v>
      </c>
      <c r="BN39" s="708" t="s">
        <v>588</v>
      </c>
      <c r="BO39" s="708" t="s">
        <v>588</v>
      </c>
      <c r="BP39" s="708" t="s">
        <v>588</v>
      </c>
      <c r="BQ39" s="708" t="s">
        <v>588</v>
      </c>
      <c r="BR39" s="708" t="s">
        <v>588</v>
      </c>
      <c r="BS39" s="708" t="s">
        <v>588</v>
      </c>
      <c r="BT39" s="708" t="s">
        <v>588</v>
      </c>
      <c r="BU39" s="708" t="s">
        <v>588</v>
      </c>
      <c r="BV39" s="708" t="s">
        <v>588</v>
      </c>
      <c r="BW39" s="708" t="s">
        <v>588</v>
      </c>
      <c r="BX39" s="708" t="s">
        <v>588</v>
      </c>
      <c r="BY39" s="708" t="s">
        <v>588</v>
      </c>
      <c r="BZ39" s="708" t="s">
        <v>588</v>
      </c>
      <c r="CA39" s="708" t="s">
        <v>588</v>
      </c>
      <c r="CB39" s="708" t="s">
        <v>588</v>
      </c>
      <c r="CC39" s="708" t="s">
        <v>588</v>
      </c>
      <c r="CD39" s="708" t="s">
        <v>588</v>
      </c>
      <c r="CE39" s="708" t="s">
        <v>588</v>
      </c>
      <c r="CF39" s="708" t="s">
        <v>588</v>
      </c>
      <c r="CG39" s="708" t="s">
        <v>588</v>
      </c>
      <c r="CH39" s="708" t="s">
        <v>588</v>
      </c>
      <c r="CI39" s="708" t="s">
        <v>588</v>
      </c>
      <c r="CJ39" s="708" t="s">
        <v>588</v>
      </c>
    </row>
    <row r="40" spans="1:88" s="739" customFormat="1" ht="40.5" customHeight="1">
      <c r="A40" s="1193"/>
      <c r="B40" s="1443"/>
      <c r="C40" s="1567"/>
      <c r="D40" s="1566"/>
      <c r="E40" s="1444">
        <v>10044499.453426395</v>
      </c>
      <c r="F40" s="1565"/>
      <c r="G40" s="1492"/>
      <c r="H40" s="1445">
        <v>5857687</v>
      </c>
      <c r="I40" s="1446">
        <v>6688164.6500000004</v>
      </c>
      <c r="J40" s="1564">
        <v>25435467.77</v>
      </c>
      <c r="K40" s="1559">
        <v>118738446.43000001</v>
      </c>
      <c r="L40" s="1448">
        <v>777713.85</v>
      </c>
      <c r="M40" s="1563">
        <v>257670377.29000005</v>
      </c>
      <c r="N40" s="1562">
        <v>23466021.930000011</v>
      </c>
      <c r="O40" s="2389">
        <v>40538247.99000001</v>
      </c>
      <c r="P40" s="1447">
        <v>567928476.70000005</v>
      </c>
      <c r="Q40" s="1448">
        <v>79292223.319999859</v>
      </c>
      <c r="R40" s="1561">
        <v>117558985.90000004</v>
      </c>
      <c r="S40" s="1551">
        <v>532375</v>
      </c>
      <c r="T40" s="1559">
        <v>155344759.90562543</v>
      </c>
      <c r="U40" s="1560">
        <v>8854018</v>
      </c>
      <c r="V40" s="1559">
        <v>184611449.07000002</v>
      </c>
      <c r="W40" s="1558">
        <v>18052410.339999996</v>
      </c>
      <c r="X40" s="1549"/>
      <c r="Y40" s="1544"/>
      <c r="Z40" s="1557"/>
      <c r="AA40" s="1556"/>
      <c r="AB40" s="1555"/>
      <c r="AC40" s="1554"/>
      <c r="AD40" s="1553"/>
      <c r="AE40" s="1552"/>
      <c r="AF40" s="1551"/>
      <c r="AG40" s="1550"/>
      <c r="AH40" s="1549"/>
      <c r="AI40" s="1545"/>
      <c r="AJ40" s="1543"/>
      <c r="AK40" s="1548"/>
      <c r="AL40" s="1547"/>
      <c r="AM40" s="1546"/>
      <c r="AN40" s="1545"/>
      <c r="AO40" s="1544"/>
      <c r="AP40" s="1543"/>
      <c r="AQ40" s="1542"/>
      <c r="AR40" s="1537"/>
      <c r="AT40" s="1442" t="s">
        <v>788</v>
      </c>
      <c r="AU40" s="711"/>
      <c r="AV40" s="1541"/>
      <c r="AW40" s="1184"/>
      <c r="AX40" s="1185">
        <f>+E40</f>
        <v>10044499.453426395</v>
      </c>
      <c r="AY40" s="1186"/>
      <c r="AZ40" s="1540"/>
      <c r="BA40" s="712">
        <f t="shared" ref="BA40:BP40" si="17">+H40</f>
        <v>5857687</v>
      </c>
      <c r="BB40" s="713">
        <f t="shared" si="17"/>
        <v>6688164.6500000004</v>
      </c>
      <c r="BC40" s="1187">
        <f t="shared" si="17"/>
        <v>25435467.77</v>
      </c>
      <c r="BD40" s="714">
        <f t="shared" si="17"/>
        <v>118738446.43000001</v>
      </c>
      <c r="BE40" s="716">
        <f t="shared" si="17"/>
        <v>777713.85</v>
      </c>
      <c r="BF40" s="1539">
        <f t="shared" si="17"/>
        <v>257670377.29000005</v>
      </c>
      <c r="BG40" s="1206">
        <f t="shared" si="17"/>
        <v>23466021.930000011</v>
      </c>
      <c r="BH40" s="1506">
        <f t="shared" si="17"/>
        <v>40538247.99000001</v>
      </c>
      <c r="BI40" s="723">
        <f t="shared" si="17"/>
        <v>567928476.70000005</v>
      </c>
      <c r="BJ40" s="1188">
        <f t="shared" si="17"/>
        <v>79292223.319999859</v>
      </c>
      <c r="BK40" s="1219">
        <f t="shared" si="17"/>
        <v>117558985.90000004</v>
      </c>
      <c r="BL40" s="722">
        <f t="shared" si="17"/>
        <v>532375</v>
      </c>
      <c r="BM40" s="1192">
        <f t="shared" si="17"/>
        <v>155344759.90562543</v>
      </c>
      <c r="BN40" s="1510">
        <f t="shared" si="17"/>
        <v>8854018</v>
      </c>
      <c r="BO40" s="1505">
        <f t="shared" si="17"/>
        <v>184611449.07000002</v>
      </c>
      <c r="BP40" s="1518">
        <f t="shared" si="17"/>
        <v>18052410.339999996</v>
      </c>
      <c r="BQ40" s="1517"/>
      <c r="BR40" s="1516"/>
      <c r="BS40" s="1515"/>
      <c r="BT40" s="1514"/>
      <c r="BU40" s="1513"/>
      <c r="BV40" s="1512"/>
      <c r="BW40" s="1511"/>
      <c r="BX40" s="1510"/>
      <c r="BY40" s="1506"/>
      <c r="BZ40" s="1504"/>
      <c r="CA40" s="1509"/>
      <c r="CB40" s="1508"/>
      <c r="CC40" s="1507"/>
      <c r="CD40" s="1506"/>
      <c r="CE40" s="1505"/>
      <c r="CF40" s="1504"/>
      <c r="CG40" s="1503"/>
      <c r="CH40" s="1505"/>
      <c r="CI40" s="1504"/>
      <c r="CJ40" s="1503"/>
    </row>
    <row r="41" spans="1:88" s="739" customFormat="1">
      <c r="A41" s="717" t="s">
        <v>296</v>
      </c>
      <c r="B41" s="718">
        <v>11807203</v>
      </c>
      <c r="C41" s="1533"/>
      <c r="D41" s="719"/>
      <c r="E41" s="1538">
        <v>5004.3900000000003</v>
      </c>
      <c r="F41" s="1491"/>
      <c r="G41" s="1535"/>
      <c r="H41" s="721"/>
      <c r="I41" s="719"/>
      <c r="J41" s="1189"/>
      <c r="K41" s="722">
        <v>31254883.140000001</v>
      </c>
      <c r="L41" s="725">
        <v>2882462.5300000003</v>
      </c>
      <c r="M41" s="1510">
        <v>1608740.77</v>
      </c>
      <c r="N41" s="1206">
        <v>41503.339999999997</v>
      </c>
      <c r="O41" s="2390"/>
      <c r="P41" s="723">
        <v>7787245.2800000031</v>
      </c>
      <c r="Q41" s="725">
        <v>1671280.8600000003</v>
      </c>
      <c r="R41" s="1190">
        <v>2198452.0600000015</v>
      </c>
      <c r="S41" s="1191"/>
      <c r="T41" s="722">
        <v>-23921103.780000005</v>
      </c>
      <c r="U41" s="1192"/>
      <c r="V41" s="722">
        <v>14619398.560000001</v>
      </c>
      <c r="W41" s="1192">
        <v>2908074.3599999961</v>
      </c>
      <c r="X41" s="1510"/>
      <c r="Y41" s="1505"/>
      <c r="Z41" s="1518"/>
      <c r="AA41" s="1517"/>
      <c r="AB41" s="1516"/>
      <c r="AC41" s="1515"/>
      <c r="AD41" s="1514"/>
      <c r="AE41" s="1513"/>
      <c r="AF41" s="1512"/>
      <c r="AG41" s="1511"/>
      <c r="AH41" s="1510"/>
      <c r="AI41" s="1506"/>
      <c r="AJ41" s="1504"/>
      <c r="AK41" s="1509"/>
      <c r="AL41" s="1508"/>
      <c r="AM41" s="1507"/>
      <c r="AN41" s="1506"/>
      <c r="AO41" s="1505"/>
      <c r="AP41" s="1504"/>
      <c r="AQ41" s="1503"/>
      <c r="AR41" s="1537"/>
      <c r="AT41" s="717" t="s">
        <v>296</v>
      </c>
      <c r="AU41" s="718">
        <f t="shared" ref="AU41:AU52" si="18">+B41</f>
        <v>11807203</v>
      </c>
      <c r="AV41" s="1533"/>
      <c r="AW41" s="729"/>
      <c r="AX41" s="719">
        <f t="shared" ref="AX41:AX52" si="19">+AX40+E41</f>
        <v>10049503.843426395</v>
      </c>
      <c r="AY41" s="720"/>
      <c r="AZ41" s="730"/>
      <c r="BA41" s="721">
        <f t="shared" ref="BA41:BA52" si="20">+BA40+H41</f>
        <v>5857687</v>
      </c>
      <c r="BB41" s="719">
        <f t="shared" ref="BB41:BB52" si="21">+BB40+I41</f>
        <v>6688164.6500000004</v>
      </c>
      <c r="BC41" s="1189">
        <f t="shared" ref="BC41:BC52" si="22">+BC40+J41</f>
        <v>25435467.77</v>
      </c>
      <c r="BD41" s="722">
        <f t="shared" ref="BD41:BD52" si="23">+BD40+K41</f>
        <v>149993329.56999999</v>
      </c>
      <c r="BE41" s="725">
        <f t="shared" ref="BE41:BE52" si="24">+BE40+L41</f>
        <v>3660176.3800000004</v>
      </c>
      <c r="BF41" s="1510">
        <f t="shared" ref="BF41:BF52" si="25">+BF40+M41</f>
        <v>259279118.06000006</v>
      </c>
      <c r="BG41" s="1206">
        <f t="shared" ref="BG41:BG52" si="26">+BG40+N41</f>
        <v>23507525.270000011</v>
      </c>
      <c r="BH41" s="1506">
        <f t="shared" ref="BH41:BH43" si="27">+BH40+O41</f>
        <v>40538247.99000001</v>
      </c>
      <c r="BI41" s="723">
        <f t="shared" ref="BI41:BI52" si="28">+BI40+P41</f>
        <v>575715721.98000002</v>
      </c>
      <c r="BJ41" s="1190">
        <f t="shared" ref="BJ41:BJ46" si="29">+BJ40+Q41</f>
        <v>80963504.179999858</v>
      </c>
      <c r="BK41" s="1191">
        <f t="shared" ref="BK41:BK52" si="30">+BK40+R41</f>
        <v>119757437.96000004</v>
      </c>
      <c r="BL41" s="722">
        <f t="shared" ref="BL41:BL52" si="31">+BL40+S41</f>
        <v>532375</v>
      </c>
      <c r="BM41" s="1192">
        <f t="shared" ref="BM41:BM51" si="32">+BM40+T41</f>
        <v>131423656.12562543</v>
      </c>
      <c r="BN41" s="1510">
        <f t="shared" ref="BN41:BN47" si="33">+BN40+U41</f>
        <v>8854018</v>
      </c>
      <c r="BO41" s="1505">
        <f t="shared" ref="BO41:BO52" si="34">+BO40+V41</f>
        <v>199230847.63000003</v>
      </c>
      <c r="BP41" s="1518">
        <f t="shared" ref="BP41:BP52" si="35">+BP40+W41</f>
        <v>20960484.699999992</v>
      </c>
      <c r="BQ41" s="1517"/>
      <c r="BR41" s="1516"/>
      <c r="BS41" s="1515"/>
      <c r="BT41" s="1514"/>
      <c r="BU41" s="1513"/>
      <c r="BV41" s="1512"/>
      <c r="BW41" s="1511"/>
      <c r="BX41" s="1510"/>
      <c r="BY41" s="1506"/>
      <c r="BZ41" s="1504"/>
      <c r="CA41" s="1509"/>
      <c r="CB41" s="1508"/>
      <c r="CC41" s="1507"/>
      <c r="CD41" s="1506"/>
      <c r="CE41" s="1505"/>
      <c r="CF41" s="1504"/>
      <c r="CG41" s="1503"/>
      <c r="CH41" s="1505"/>
      <c r="CI41" s="1504"/>
      <c r="CJ41" s="1503"/>
    </row>
    <row r="42" spans="1:88" s="739" customFormat="1">
      <c r="A42" s="726" t="s">
        <v>779</v>
      </c>
      <c r="B42" s="718">
        <v>23960696</v>
      </c>
      <c r="C42" s="1533"/>
      <c r="D42" s="719"/>
      <c r="E42" s="729">
        <v>18902.36</v>
      </c>
      <c r="F42" s="1491"/>
      <c r="G42" s="1535"/>
      <c r="H42" s="721"/>
      <c r="I42" s="719"/>
      <c r="J42" s="1189">
        <v>70337197.719999999</v>
      </c>
      <c r="K42" s="722">
        <v>264308.06</v>
      </c>
      <c r="L42" s="725">
        <v>340885.14</v>
      </c>
      <c r="M42" s="1510">
        <v>3883578.3899999997</v>
      </c>
      <c r="N42" s="1206">
        <v>403181.54000000004</v>
      </c>
      <c r="O42" s="2390">
        <v>11488.839999999997</v>
      </c>
      <c r="P42" s="723">
        <v>-60408253.377685621</v>
      </c>
      <c r="Q42" s="725">
        <v>794872.41999999934</v>
      </c>
      <c r="R42" s="1190">
        <v>7075186.0199999986</v>
      </c>
      <c r="S42" s="1191"/>
      <c r="T42" s="722">
        <v>6488800.029999949</v>
      </c>
      <c r="U42" s="1192"/>
      <c r="V42" s="722">
        <v>24507953.039999999</v>
      </c>
      <c r="W42" s="1192">
        <v>1031566.6199999989</v>
      </c>
      <c r="X42" s="1510"/>
      <c r="Y42" s="1505"/>
      <c r="Z42" s="1518"/>
      <c r="AA42" s="1517"/>
      <c r="AB42" s="1516"/>
      <c r="AC42" s="1515"/>
      <c r="AD42" s="1514"/>
      <c r="AE42" s="1513"/>
      <c r="AF42" s="1512"/>
      <c r="AG42" s="1511"/>
      <c r="AH42" s="1510"/>
      <c r="AI42" s="1506"/>
      <c r="AJ42" s="1504"/>
      <c r="AK42" s="1509"/>
      <c r="AL42" s="1508"/>
      <c r="AM42" s="1507"/>
      <c r="AN42" s="1506"/>
      <c r="AO42" s="1505"/>
      <c r="AP42" s="1504"/>
      <c r="AQ42" s="1503"/>
      <c r="AR42" s="1537"/>
      <c r="AT42" s="726" t="s">
        <v>779</v>
      </c>
      <c r="AU42" s="718">
        <f t="shared" si="18"/>
        <v>23960696</v>
      </c>
      <c r="AV42" s="1533"/>
      <c r="AW42" s="729"/>
      <c r="AX42" s="719">
        <f t="shared" si="19"/>
        <v>10068406.203426395</v>
      </c>
      <c r="AY42" s="720"/>
      <c r="AZ42" s="730"/>
      <c r="BA42" s="721">
        <f t="shared" si="20"/>
        <v>5857687</v>
      </c>
      <c r="BB42" s="719">
        <f t="shared" si="21"/>
        <v>6688164.6500000004</v>
      </c>
      <c r="BC42" s="1189">
        <f t="shared" si="22"/>
        <v>95772665.489999995</v>
      </c>
      <c r="BD42" s="722">
        <f t="shared" si="23"/>
        <v>150257637.63</v>
      </c>
      <c r="BE42" s="725">
        <f t="shared" si="24"/>
        <v>4001061.5200000005</v>
      </c>
      <c r="BF42" s="1510">
        <f t="shared" si="25"/>
        <v>263162696.45000005</v>
      </c>
      <c r="BG42" s="1206">
        <f t="shared" si="26"/>
        <v>23910706.81000001</v>
      </c>
      <c r="BH42" s="1506">
        <f t="shared" si="27"/>
        <v>40549736.830000013</v>
      </c>
      <c r="BI42" s="723">
        <f t="shared" si="28"/>
        <v>515307468.60231441</v>
      </c>
      <c r="BJ42" s="1190">
        <f t="shared" si="29"/>
        <v>81758376.59999986</v>
      </c>
      <c r="BK42" s="1191">
        <f t="shared" si="30"/>
        <v>126832623.98000003</v>
      </c>
      <c r="BL42" s="722">
        <f t="shared" si="31"/>
        <v>532375</v>
      </c>
      <c r="BM42" s="1192">
        <f t="shared" si="32"/>
        <v>137912456.15562537</v>
      </c>
      <c r="BN42" s="1510">
        <f t="shared" si="33"/>
        <v>8854018</v>
      </c>
      <c r="BO42" s="1505">
        <f t="shared" si="34"/>
        <v>223738800.67000002</v>
      </c>
      <c r="BP42" s="1518">
        <f t="shared" si="35"/>
        <v>21992051.319999989</v>
      </c>
      <c r="BQ42" s="1517"/>
      <c r="BR42" s="1516"/>
      <c r="BS42" s="1515"/>
      <c r="BT42" s="1514"/>
      <c r="BU42" s="1513"/>
      <c r="BV42" s="1512"/>
      <c r="BW42" s="1511"/>
      <c r="BX42" s="1510"/>
      <c r="BY42" s="1506"/>
      <c r="BZ42" s="1504"/>
      <c r="CA42" s="1509"/>
      <c r="CB42" s="1508"/>
      <c r="CC42" s="1507"/>
      <c r="CD42" s="1506"/>
      <c r="CE42" s="1505"/>
      <c r="CF42" s="1504"/>
      <c r="CG42" s="1503"/>
      <c r="CH42" s="1505"/>
      <c r="CI42" s="1504"/>
      <c r="CJ42" s="1503"/>
    </row>
    <row r="43" spans="1:88" s="739" customFormat="1">
      <c r="A43" s="726" t="s">
        <v>780</v>
      </c>
      <c r="B43" s="718">
        <v>24811985</v>
      </c>
      <c r="C43" s="1533"/>
      <c r="D43" s="719"/>
      <c r="E43" s="729">
        <v>2641.2</v>
      </c>
      <c r="F43" s="1491"/>
      <c r="G43" s="1535"/>
      <c r="H43" s="721"/>
      <c r="I43" s="719"/>
      <c r="J43" s="1189">
        <v>5364859.57</v>
      </c>
      <c r="K43" s="722">
        <v>22831152.91</v>
      </c>
      <c r="L43" s="725">
        <v>148788.09</v>
      </c>
      <c r="M43" s="1510">
        <v>1699334.41</v>
      </c>
      <c r="N43" s="1206">
        <v>138211.14000000001</v>
      </c>
      <c r="O43" s="2390">
        <v>21617.200000000001</v>
      </c>
      <c r="P43" s="723">
        <v>9732949.4299999997</v>
      </c>
      <c r="Q43" s="725">
        <v>3885922.9200000009</v>
      </c>
      <c r="R43" s="1190">
        <v>6573101.1300000027</v>
      </c>
      <c r="S43" s="1191"/>
      <c r="T43" s="722">
        <v>-17429236.41</v>
      </c>
      <c r="U43" s="1192">
        <v>-885402</v>
      </c>
      <c r="V43" s="722">
        <v>23148976.530000001</v>
      </c>
      <c r="W43" s="1192">
        <v>2781917.25</v>
      </c>
      <c r="X43" s="1510"/>
      <c r="Y43" s="1505"/>
      <c r="Z43" s="1518"/>
      <c r="AA43" s="1517"/>
      <c r="AB43" s="1516"/>
      <c r="AC43" s="1515"/>
      <c r="AD43" s="1514"/>
      <c r="AE43" s="1513"/>
      <c r="AF43" s="1512"/>
      <c r="AG43" s="1511"/>
      <c r="AH43" s="1510"/>
      <c r="AI43" s="1506"/>
      <c r="AJ43" s="1504"/>
      <c r="AK43" s="1509"/>
      <c r="AL43" s="1508"/>
      <c r="AM43" s="1507"/>
      <c r="AN43" s="1506"/>
      <c r="AO43" s="1505"/>
      <c r="AP43" s="1504"/>
      <c r="AQ43" s="1503"/>
      <c r="AR43" s="1537"/>
      <c r="AT43" s="726" t="s">
        <v>780</v>
      </c>
      <c r="AU43" s="718">
        <f t="shared" si="18"/>
        <v>24811985</v>
      </c>
      <c r="AV43" s="1533"/>
      <c r="AW43" s="729"/>
      <c r="AX43" s="719">
        <f t="shared" si="19"/>
        <v>10071047.403426394</v>
      </c>
      <c r="AY43" s="720"/>
      <c r="AZ43" s="730"/>
      <c r="BA43" s="721">
        <f t="shared" si="20"/>
        <v>5857687</v>
      </c>
      <c r="BB43" s="719">
        <f t="shared" si="21"/>
        <v>6688164.6500000004</v>
      </c>
      <c r="BC43" s="1189">
        <f t="shared" si="22"/>
        <v>101137525.06</v>
      </c>
      <c r="BD43" s="722">
        <f t="shared" si="23"/>
        <v>173088790.53999999</v>
      </c>
      <c r="BE43" s="725">
        <f t="shared" si="24"/>
        <v>4149849.6100000003</v>
      </c>
      <c r="BF43" s="1510">
        <f t="shared" si="25"/>
        <v>264862030.86000004</v>
      </c>
      <c r="BG43" s="1206">
        <f t="shared" si="26"/>
        <v>24048917.95000001</v>
      </c>
      <c r="BH43" s="1506">
        <f t="shared" si="27"/>
        <v>40571354.030000016</v>
      </c>
      <c r="BI43" s="723">
        <f t="shared" si="28"/>
        <v>525040418.03231442</v>
      </c>
      <c r="BJ43" s="1190">
        <f t="shared" si="29"/>
        <v>85644299.519999862</v>
      </c>
      <c r="BK43" s="1191">
        <f t="shared" si="30"/>
        <v>133405725.11000004</v>
      </c>
      <c r="BL43" s="722">
        <f t="shared" si="31"/>
        <v>532375</v>
      </c>
      <c r="BM43" s="1192">
        <f t="shared" si="32"/>
        <v>120483219.74562538</v>
      </c>
      <c r="BN43" s="1510">
        <f t="shared" si="33"/>
        <v>7968616</v>
      </c>
      <c r="BO43" s="1505">
        <f t="shared" si="34"/>
        <v>246887777.20000002</v>
      </c>
      <c r="BP43" s="1518">
        <f t="shared" si="35"/>
        <v>24773968.569999989</v>
      </c>
      <c r="BQ43" s="1517"/>
      <c r="BR43" s="1516"/>
      <c r="BS43" s="1515"/>
      <c r="BT43" s="1514"/>
      <c r="BU43" s="1513"/>
      <c r="BV43" s="1512"/>
      <c r="BW43" s="1511"/>
      <c r="BX43" s="1510"/>
      <c r="BY43" s="1506"/>
      <c r="BZ43" s="1504"/>
      <c r="CA43" s="1509"/>
      <c r="CB43" s="1508"/>
      <c r="CC43" s="1507"/>
      <c r="CD43" s="1506"/>
      <c r="CE43" s="1505"/>
      <c r="CF43" s="1504"/>
      <c r="CG43" s="1503"/>
      <c r="CH43" s="1505"/>
      <c r="CI43" s="1504"/>
      <c r="CJ43" s="1503"/>
    </row>
    <row r="44" spans="1:88" s="739" customFormat="1">
      <c r="A44" s="726" t="s">
        <v>781</v>
      </c>
      <c r="B44" s="718">
        <v>42748437</v>
      </c>
      <c r="C44" s="1533"/>
      <c r="D44" s="719"/>
      <c r="E44" s="729">
        <v>1377.78</v>
      </c>
      <c r="F44" s="1491"/>
      <c r="G44" s="1535"/>
      <c r="H44" s="721"/>
      <c r="I44" s="719">
        <v>33850083.350000001</v>
      </c>
      <c r="J44" s="1189">
        <v>334938665.10999995</v>
      </c>
      <c r="K44" s="722">
        <v>92319092.340000004</v>
      </c>
      <c r="L44" s="725">
        <v>4951577.43</v>
      </c>
      <c r="M44" s="1510">
        <v>7421178.2400000002</v>
      </c>
      <c r="N44" s="1206">
        <v>552792.29999999993</v>
      </c>
      <c r="O44" s="2390">
        <v>-40571354.030000009</v>
      </c>
      <c r="P44" s="723">
        <v>-314973781.12999964</v>
      </c>
      <c r="Q44" s="725">
        <v>-2306957.1499999994</v>
      </c>
      <c r="R44" s="1190">
        <v>6799134.040000001</v>
      </c>
      <c r="S44" s="1191"/>
      <c r="T44" s="722">
        <v>-84278161.519999996</v>
      </c>
      <c r="U44" s="1192">
        <v>-4427004</v>
      </c>
      <c r="V44" s="722">
        <v>25675747.66</v>
      </c>
      <c r="W44" s="1192">
        <v>2131033.5200000028</v>
      </c>
      <c r="X44" s="1510"/>
      <c r="Y44" s="1505"/>
      <c r="Z44" s="1518"/>
      <c r="AA44" s="1517"/>
      <c r="AB44" s="1516"/>
      <c r="AC44" s="1515"/>
      <c r="AD44" s="1514"/>
      <c r="AE44" s="1513"/>
      <c r="AF44" s="1512"/>
      <c r="AG44" s="1511"/>
      <c r="AH44" s="1510"/>
      <c r="AI44" s="1506"/>
      <c r="AJ44" s="1504"/>
      <c r="AK44" s="1509"/>
      <c r="AL44" s="1508"/>
      <c r="AM44" s="1507"/>
      <c r="AN44" s="1506"/>
      <c r="AO44" s="1505"/>
      <c r="AP44" s="1504"/>
      <c r="AQ44" s="1503"/>
      <c r="AR44" s="1537"/>
      <c r="AT44" s="726" t="s">
        <v>781</v>
      </c>
      <c r="AU44" s="718">
        <f t="shared" si="18"/>
        <v>42748437</v>
      </c>
      <c r="AV44" s="1533"/>
      <c r="AW44" s="729"/>
      <c r="AX44" s="719">
        <f t="shared" si="19"/>
        <v>10072425.183426393</v>
      </c>
      <c r="AY44" s="720"/>
      <c r="AZ44" s="730"/>
      <c r="BA44" s="721">
        <f t="shared" si="20"/>
        <v>5857687</v>
      </c>
      <c r="BB44" s="719">
        <f t="shared" si="21"/>
        <v>40538248</v>
      </c>
      <c r="BC44" s="1189">
        <f t="shared" si="22"/>
        <v>436076190.16999996</v>
      </c>
      <c r="BD44" s="722">
        <f t="shared" si="23"/>
        <v>265407882.88</v>
      </c>
      <c r="BE44" s="725">
        <f t="shared" si="24"/>
        <v>9101427.0399999991</v>
      </c>
      <c r="BF44" s="1510">
        <f t="shared" si="25"/>
        <v>272283209.10000002</v>
      </c>
      <c r="BG44" s="1206">
        <f t="shared" si="26"/>
        <v>24601710.250000011</v>
      </c>
      <c r="BH44" s="1506"/>
      <c r="BI44" s="723">
        <f t="shared" si="28"/>
        <v>210066636.90231478</v>
      </c>
      <c r="BJ44" s="1190">
        <f t="shared" si="29"/>
        <v>83337342.369999856</v>
      </c>
      <c r="BK44" s="1191">
        <f t="shared" si="30"/>
        <v>140204859.15000004</v>
      </c>
      <c r="BL44" s="722">
        <f t="shared" si="31"/>
        <v>532375</v>
      </c>
      <c r="BM44" s="1192">
        <f t="shared" si="32"/>
        <v>36205058.225625381</v>
      </c>
      <c r="BN44" s="1510">
        <f t="shared" si="33"/>
        <v>3541612</v>
      </c>
      <c r="BO44" s="1505">
        <f t="shared" si="34"/>
        <v>272563524.86000001</v>
      </c>
      <c r="BP44" s="1518">
        <f t="shared" si="35"/>
        <v>26905002.089999992</v>
      </c>
      <c r="BQ44" s="1517"/>
      <c r="BR44" s="1516"/>
      <c r="BS44" s="1515"/>
      <c r="BT44" s="1514"/>
      <c r="BU44" s="1513"/>
      <c r="BV44" s="1512"/>
      <c r="BW44" s="1511"/>
      <c r="BX44" s="1510"/>
      <c r="BY44" s="1506"/>
      <c r="BZ44" s="1504"/>
      <c r="CA44" s="1509"/>
      <c r="CB44" s="1508"/>
      <c r="CC44" s="1507"/>
      <c r="CD44" s="1506"/>
      <c r="CE44" s="1505"/>
      <c r="CF44" s="1504"/>
      <c r="CG44" s="1503"/>
      <c r="CH44" s="1505"/>
      <c r="CI44" s="1504"/>
      <c r="CJ44" s="1503"/>
    </row>
    <row r="45" spans="1:88" s="739" customFormat="1">
      <c r="A45" s="727" t="s">
        <v>777</v>
      </c>
      <c r="B45" s="718">
        <v>47088139</v>
      </c>
      <c r="C45" s="1533"/>
      <c r="D45" s="719"/>
      <c r="E45" s="729">
        <v>2169486.4099999997</v>
      </c>
      <c r="F45" s="1491"/>
      <c r="G45" s="1535"/>
      <c r="H45" s="721"/>
      <c r="I45" s="719"/>
      <c r="J45" s="1189">
        <v>5274798.7400000012</v>
      </c>
      <c r="K45" s="722">
        <v>4821148.8599999994</v>
      </c>
      <c r="L45" s="725">
        <v>327537.94</v>
      </c>
      <c r="M45" s="1510">
        <v>86960191.159999982</v>
      </c>
      <c r="N45" s="1206">
        <v>2698591.8699999996</v>
      </c>
      <c r="O45" s="2390"/>
      <c r="P45" s="723">
        <v>21242048.700000003</v>
      </c>
      <c r="Q45" s="725">
        <v>-83337342.360000029</v>
      </c>
      <c r="R45" s="1190">
        <v>12617205.680000005</v>
      </c>
      <c r="S45" s="1191"/>
      <c r="T45" s="722">
        <v>5193712.3999999994</v>
      </c>
      <c r="U45" s="1192"/>
      <c r="V45" s="722">
        <v>23523299.779999997</v>
      </c>
      <c r="W45" s="1192">
        <v>2175374.870000002</v>
      </c>
      <c r="X45" s="1510">
        <v>400643.33176626964</v>
      </c>
      <c r="Y45" s="1505">
        <v>203098.48316413115</v>
      </c>
      <c r="Z45" s="1518">
        <v>186472.33929810894</v>
      </c>
      <c r="AA45" s="1517">
        <v>299715.95668213139</v>
      </c>
      <c r="AB45" s="1516">
        <v>266311.130363381</v>
      </c>
      <c r="AC45" s="1515">
        <v>415708.5334653639</v>
      </c>
      <c r="AD45" s="1514">
        <v>166846.1351629553</v>
      </c>
      <c r="AE45" s="1513">
        <v>264583.49457751005</v>
      </c>
      <c r="AF45" s="1512">
        <v>107989.39310675749</v>
      </c>
      <c r="AG45" s="1511">
        <v>107989.39310675749</v>
      </c>
      <c r="AH45" s="1510">
        <v>119433.89633762534</v>
      </c>
      <c r="AI45" s="1506">
        <v>119433.89633762534</v>
      </c>
      <c r="AJ45" s="1504">
        <v>259220.92905949647</v>
      </c>
      <c r="AK45" s="1509">
        <v>132527.91166542692</v>
      </c>
      <c r="AL45" s="1508">
        <v>65167.415381819679</v>
      </c>
      <c r="AM45" s="1507">
        <v>65167.415381819679</v>
      </c>
      <c r="AN45" s="1506">
        <v>27883.918197306433</v>
      </c>
      <c r="AO45" s="1505">
        <v>27883.918197306433</v>
      </c>
      <c r="AP45" s="1504">
        <v>84113.095070206502</v>
      </c>
      <c r="AQ45" s="1503">
        <v>30284.853678000942</v>
      </c>
      <c r="AR45" s="1537"/>
      <c r="AT45" s="727" t="s">
        <v>777</v>
      </c>
      <c r="AU45" s="718">
        <f t="shared" si="18"/>
        <v>47088139</v>
      </c>
      <c r="AV45" s="1533"/>
      <c r="AW45" s="729"/>
      <c r="AX45" s="719">
        <f t="shared" si="19"/>
        <v>12241911.593426393</v>
      </c>
      <c r="AY45" s="720"/>
      <c r="AZ45" s="730"/>
      <c r="BA45" s="721">
        <f t="shared" si="20"/>
        <v>5857687</v>
      </c>
      <c r="BB45" s="719">
        <f t="shared" si="21"/>
        <v>40538248</v>
      </c>
      <c r="BC45" s="1189">
        <f t="shared" si="22"/>
        <v>441350988.90999997</v>
      </c>
      <c r="BD45" s="722">
        <f t="shared" si="23"/>
        <v>270229031.74000001</v>
      </c>
      <c r="BE45" s="725">
        <f t="shared" si="24"/>
        <v>9428964.9799999986</v>
      </c>
      <c r="BF45" s="1510">
        <f t="shared" si="25"/>
        <v>359243400.25999999</v>
      </c>
      <c r="BG45" s="1206">
        <f t="shared" si="26"/>
        <v>27300302.120000012</v>
      </c>
      <c r="BH45" s="1506"/>
      <c r="BI45" s="723">
        <f t="shared" si="28"/>
        <v>231308685.60231477</v>
      </c>
      <c r="BJ45" s="1190"/>
      <c r="BK45" s="1191">
        <f t="shared" si="30"/>
        <v>152822064.83000004</v>
      </c>
      <c r="BL45" s="722">
        <f t="shared" si="31"/>
        <v>532375</v>
      </c>
      <c r="BM45" s="1192">
        <f t="shared" si="32"/>
        <v>41398770.625625379</v>
      </c>
      <c r="BN45" s="1510">
        <f t="shared" si="33"/>
        <v>3541612</v>
      </c>
      <c r="BO45" s="1505">
        <f t="shared" si="34"/>
        <v>296086824.63999999</v>
      </c>
      <c r="BP45" s="1518">
        <f t="shared" si="35"/>
        <v>29080376.959999993</v>
      </c>
      <c r="BQ45" s="1517">
        <f t="shared" ref="BQ45:BQ52" si="36">+BQ44+X45</f>
        <v>400643.33176626964</v>
      </c>
      <c r="BR45" s="1516">
        <f t="shared" ref="BR45:BR52" si="37">+BR44+Y45</f>
        <v>203098.48316413115</v>
      </c>
      <c r="BS45" s="1515">
        <f t="shared" ref="BS45:BS52" si="38">+BS44+Z45</f>
        <v>186472.33929810894</v>
      </c>
      <c r="BT45" s="1514">
        <f t="shared" ref="BT45:BT52" si="39">+BT44+AA45</f>
        <v>299715.95668213139</v>
      </c>
      <c r="BU45" s="1513">
        <f t="shared" ref="BU45:BU52" si="40">+BU44+AB45</f>
        <v>266311.130363381</v>
      </c>
      <c r="BV45" s="1512">
        <f t="shared" ref="BV45:BV52" si="41">+BV44+AC45</f>
        <v>415708.5334653639</v>
      </c>
      <c r="BW45" s="1511">
        <f t="shared" ref="BW45:BW52" si="42">+BW44+AD45</f>
        <v>166846.1351629553</v>
      </c>
      <c r="BX45" s="1510">
        <f t="shared" ref="BX45:BX52" si="43">+BX44+AE45</f>
        <v>264583.49457751005</v>
      </c>
      <c r="BY45" s="1506">
        <f t="shared" ref="BY45:BY52" si="44">+BY44+AF45</f>
        <v>107989.39310675749</v>
      </c>
      <c r="BZ45" s="1504">
        <f t="shared" ref="BZ45:BZ52" si="45">+BZ44+AG45</f>
        <v>107989.39310675749</v>
      </c>
      <c r="CA45" s="1509">
        <f t="shared" ref="CA45:CA52" si="46">+CA44+AH45</f>
        <v>119433.89633762534</v>
      </c>
      <c r="CB45" s="1508">
        <f t="shared" ref="CB45:CB52" si="47">+CB44+AI45</f>
        <v>119433.89633762534</v>
      </c>
      <c r="CC45" s="1507">
        <f t="shared" ref="CC45:CC52" si="48">+CC44+AJ45</f>
        <v>259220.92905949647</v>
      </c>
      <c r="CD45" s="1506">
        <f t="shared" ref="CD45:CD52" si="49">+CD44+AK45</f>
        <v>132527.91166542692</v>
      </c>
      <c r="CE45" s="1505">
        <f t="shared" ref="CE45:CE52" si="50">+CE44+AL45</f>
        <v>65167.415381819679</v>
      </c>
      <c r="CF45" s="1504">
        <f t="shared" ref="CF45:CF52" si="51">+CF44+AM45</f>
        <v>65167.415381819679</v>
      </c>
      <c r="CG45" s="1503">
        <f t="shared" ref="CG45:CG52" si="52">+CG44+AN45</f>
        <v>27883.918197306433</v>
      </c>
      <c r="CH45" s="1505">
        <f t="shared" ref="CH45:CH52" si="53">+CH44+AO45</f>
        <v>27883.918197306433</v>
      </c>
      <c r="CI45" s="1504">
        <f t="shared" ref="CI45:CI52" si="54">+CI44+AP45</f>
        <v>84113.095070206502</v>
      </c>
      <c r="CJ45" s="1503">
        <f t="shared" ref="CJ45:CJ52" si="55">+CJ44+AQ45</f>
        <v>30284.853678000942</v>
      </c>
    </row>
    <row r="46" spans="1:88" s="739" customFormat="1">
      <c r="A46" s="727" t="s">
        <v>782</v>
      </c>
      <c r="B46" s="718">
        <v>40815129</v>
      </c>
      <c r="C46" s="1533">
        <v>33670639.940000005</v>
      </c>
      <c r="D46" s="719"/>
      <c r="E46" s="729">
        <v>403105.45</v>
      </c>
      <c r="F46" s="1491"/>
      <c r="G46" s="1535"/>
      <c r="H46" s="721"/>
      <c r="I46" s="719"/>
      <c r="J46" s="1189">
        <v>13349774.98</v>
      </c>
      <c r="K46" s="722">
        <v>11854498.49</v>
      </c>
      <c r="L46" s="725">
        <v>12585972.790000001</v>
      </c>
      <c r="M46" s="1510">
        <v>1892452.2600000002</v>
      </c>
      <c r="N46" s="1206">
        <v>60173589.060000002</v>
      </c>
      <c r="O46" s="2390"/>
      <c r="P46" s="723">
        <v>-7564792.040000001</v>
      </c>
      <c r="Q46" s="725">
        <v>31968.609999999993</v>
      </c>
      <c r="R46" s="1190">
        <v>-29414758.204200007</v>
      </c>
      <c r="S46" s="1191"/>
      <c r="T46" s="722">
        <v>445229.23169995099</v>
      </c>
      <c r="U46" s="1192"/>
      <c r="V46" s="722">
        <v>-78836770.477349207</v>
      </c>
      <c r="W46" s="1192">
        <v>7299040.0940491864</v>
      </c>
      <c r="X46" s="1510">
        <v>132168.69443023935</v>
      </c>
      <c r="Y46" s="1505">
        <v>27586.738253194228</v>
      </c>
      <c r="Z46" s="1518">
        <v>26119.774710235826</v>
      </c>
      <c r="AA46" s="1517">
        <v>32367.292382727217</v>
      </c>
      <c r="AB46" s="1516">
        <v>30220.192550845226</v>
      </c>
      <c r="AC46" s="1515">
        <v>12513.578800452826</v>
      </c>
      <c r="AD46" s="1514">
        <v>7923.0649172437443</v>
      </c>
      <c r="AE46" s="1513">
        <v>16285.341943845167</v>
      </c>
      <c r="AF46" s="1512">
        <v>11484.243800054111</v>
      </c>
      <c r="AG46" s="1511">
        <v>11484.243800054111</v>
      </c>
      <c r="AH46" s="1510">
        <v>13963.431908518764</v>
      </c>
      <c r="AI46" s="1506">
        <v>13963.431908518764</v>
      </c>
      <c r="AJ46" s="1504">
        <v>35417.658415802463</v>
      </c>
      <c r="AK46" s="1509">
        <v>19349.783763992476</v>
      </c>
      <c r="AL46" s="1508">
        <v>38775.045281071492</v>
      </c>
      <c r="AM46" s="1507">
        <v>38775.045281071492</v>
      </c>
      <c r="AN46" s="1506">
        <v>1828.8516566540229</v>
      </c>
      <c r="AO46" s="1505">
        <v>1828.8516566540229</v>
      </c>
      <c r="AP46" s="1504">
        <v>3993.3932037803315</v>
      </c>
      <c r="AQ46" s="1503">
        <v>2734.991335043941</v>
      </c>
      <c r="AR46" s="1537"/>
      <c r="AT46" s="727" t="s">
        <v>782</v>
      </c>
      <c r="AU46" s="718">
        <f t="shared" si="18"/>
        <v>40815129</v>
      </c>
      <c r="AV46" s="1533">
        <f t="shared" ref="AV46:AV52" si="56">+AV45+C46</f>
        <v>33670639.940000005</v>
      </c>
      <c r="AW46" s="729"/>
      <c r="AX46" s="719">
        <f t="shared" si="19"/>
        <v>12645017.043426393</v>
      </c>
      <c r="AY46" s="720"/>
      <c r="AZ46" s="730"/>
      <c r="BA46" s="721">
        <f t="shared" si="20"/>
        <v>5857687</v>
      </c>
      <c r="BB46" s="719">
        <f t="shared" si="21"/>
        <v>40538248</v>
      </c>
      <c r="BC46" s="1189">
        <f t="shared" si="22"/>
        <v>454700763.88999999</v>
      </c>
      <c r="BD46" s="722">
        <f t="shared" si="23"/>
        <v>282083530.23000002</v>
      </c>
      <c r="BE46" s="725">
        <f t="shared" si="24"/>
        <v>22014937.77</v>
      </c>
      <c r="BF46" s="1510">
        <f t="shared" si="25"/>
        <v>361135852.51999998</v>
      </c>
      <c r="BG46" s="1206">
        <f t="shared" si="26"/>
        <v>87473891.180000007</v>
      </c>
      <c r="BH46" s="1506"/>
      <c r="BI46" s="723">
        <f t="shared" si="28"/>
        <v>223743893.56231478</v>
      </c>
      <c r="BJ46" s="1190">
        <f t="shared" si="29"/>
        <v>31968.609999999993</v>
      </c>
      <c r="BK46" s="1191">
        <f t="shared" si="30"/>
        <v>123407306.62580004</v>
      </c>
      <c r="BL46" s="722">
        <f t="shared" si="31"/>
        <v>532375</v>
      </c>
      <c r="BM46" s="1192">
        <f t="shared" si="32"/>
        <v>41843999.85732533</v>
      </c>
      <c r="BN46" s="1510">
        <f t="shared" si="33"/>
        <v>3541612</v>
      </c>
      <c r="BO46" s="1505">
        <f t="shared" si="34"/>
        <v>217250054.16265076</v>
      </c>
      <c r="BP46" s="1518">
        <f t="shared" si="35"/>
        <v>36379417.054049179</v>
      </c>
      <c r="BQ46" s="1517">
        <f t="shared" si="36"/>
        <v>532812.02619650902</v>
      </c>
      <c r="BR46" s="1516">
        <f t="shared" si="37"/>
        <v>230685.22141732537</v>
      </c>
      <c r="BS46" s="1515">
        <f t="shared" si="38"/>
        <v>212592.11400834477</v>
      </c>
      <c r="BT46" s="1514">
        <f t="shared" si="39"/>
        <v>332083.2490648586</v>
      </c>
      <c r="BU46" s="1513">
        <f t="shared" si="40"/>
        <v>296531.32291422621</v>
      </c>
      <c r="BV46" s="1512">
        <f t="shared" si="41"/>
        <v>428222.11226581672</v>
      </c>
      <c r="BW46" s="1511">
        <f t="shared" si="42"/>
        <v>174769.20008019905</v>
      </c>
      <c r="BX46" s="1510">
        <f t="shared" si="43"/>
        <v>280868.8365213552</v>
      </c>
      <c r="BY46" s="1506">
        <f t="shared" si="44"/>
        <v>119473.6369068116</v>
      </c>
      <c r="BZ46" s="1504">
        <f t="shared" si="45"/>
        <v>119473.6369068116</v>
      </c>
      <c r="CA46" s="1509">
        <f t="shared" si="46"/>
        <v>133397.32824614411</v>
      </c>
      <c r="CB46" s="1508">
        <f t="shared" si="47"/>
        <v>133397.32824614411</v>
      </c>
      <c r="CC46" s="1507">
        <f t="shared" si="48"/>
        <v>294638.5874752989</v>
      </c>
      <c r="CD46" s="1506">
        <f t="shared" si="49"/>
        <v>151877.6954294194</v>
      </c>
      <c r="CE46" s="1505">
        <f t="shared" si="50"/>
        <v>103942.46066289117</v>
      </c>
      <c r="CF46" s="1504">
        <f t="shared" si="51"/>
        <v>103942.46066289117</v>
      </c>
      <c r="CG46" s="1503">
        <f t="shared" si="52"/>
        <v>29712.769853960457</v>
      </c>
      <c r="CH46" s="1505">
        <f t="shared" si="53"/>
        <v>29712.769853960457</v>
      </c>
      <c r="CI46" s="1504">
        <f t="shared" si="54"/>
        <v>88106.488273986834</v>
      </c>
      <c r="CJ46" s="1503">
        <f t="shared" si="55"/>
        <v>33019.845013044884</v>
      </c>
    </row>
    <row r="47" spans="1:88" s="739" customFormat="1">
      <c r="A47" s="727" t="s">
        <v>783</v>
      </c>
      <c r="B47" s="718">
        <v>21463071</v>
      </c>
      <c r="C47" s="1533">
        <v>-414415.17</v>
      </c>
      <c r="D47" s="719"/>
      <c r="E47" s="729">
        <v>163578.32</v>
      </c>
      <c r="F47" s="1491"/>
      <c r="G47" s="1535"/>
      <c r="H47" s="721"/>
      <c r="I47" s="719"/>
      <c r="J47" s="1189">
        <v>197415283.02000001</v>
      </c>
      <c r="K47" s="722">
        <v>2397070.0300000003</v>
      </c>
      <c r="L47" s="725">
        <v>-199252.63000000003</v>
      </c>
      <c r="M47" s="1510">
        <v>2574004.1100000506</v>
      </c>
      <c r="N47" s="1206">
        <v>210524.32999999917</v>
      </c>
      <c r="O47" s="2390"/>
      <c r="P47" s="723">
        <v>-190610522.57999998</v>
      </c>
      <c r="Q47" s="725">
        <v>-31968.609999999997</v>
      </c>
      <c r="R47" s="1190">
        <v>16518187.469799992</v>
      </c>
      <c r="S47" s="1191"/>
      <c r="T47" s="722">
        <v>1166652.1830999998</v>
      </c>
      <c r="U47" s="1192"/>
      <c r="V47" s="722">
        <v>14858302.536453033</v>
      </c>
      <c r="W47" s="1192">
        <v>787635.20424696582</v>
      </c>
      <c r="X47" s="1510">
        <v>3216115.6114688315</v>
      </c>
      <c r="Y47" s="1505">
        <v>133155.631551267</v>
      </c>
      <c r="Z47" s="1518">
        <v>126253.40735015552</v>
      </c>
      <c r="AA47" s="1517">
        <v>182776.72367527505</v>
      </c>
      <c r="AB47" s="1516">
        <v>162801.6453144266</v>
      </c>
      <c r="AC47" s="1515">
        <v>-64532.49163474606</v>
      </c>
      <c r="AD47" s="1514">
        <v>35621.186137066143</v>
      </c>
      <c r="AE47" s="1513">
        <v>136944.91202726515</v>
      </c>
      <c r="AF47" s="1512">
        <v>43521.970875943734</v>
      </c>
      <c r="AG47" s="1511">
        <v>43521.970875943734</v>
      </c>
      <c r="AH47" s="1510">
        <v>39574.698924285767</v>
      </c>
      <c r="AI47" s="1506">
        <v>39574.698924285767</v>
      </c>
      <c r="AJ47" s="1504">
        <v>120070.96392939398</v>
      </c>
      <c r="AK47" s="1509">
        <v>103160.20348989088</v>
      </c>
      <c r="AL47" s="1508">
        <v>2841477.3143521524</v>
      </c>
      <c r="AM47" s="1507">
        <v>2841477.3143521524</v>
      </c>
      <c r="AN47" s="1506">
        <v>8541.2709356983069</v>
      </c>
      <c r="AO47" s="1505">
        <v>8541.2709356983069</v>
      </c>
      <c r="AP47" s="1504">
        <v>17476.952563534069</v>
      </c>
      <c r="AQ47" s="1503">
        <v>12931.793951461397</v>
      </c>
      <c r="AR47" s="1537"/>
      <c r="AT47" s="727" t="s">
        <v>783</v>
      </c>
      <c r="AU47" s="718">
        <f t="shared" si="18"/>
        <v>21463071</v>
      </c>
      <c r="AV47" s="1533">
        <f t="shared" si="56"/>
        <v>33256224.770000003</v>
      </c>
      <c r="AW47" s="729"/>
      <c r="AX47" s="719">
        <f t="shared" si="19"/>
        <v>12808595.363426393</v>
      </c>
      <c r="AY47" s="720"/>
      <c r="AZ47" s="730"/>
      <c r="BA47" s="721">
        <f t="shared" si="20"/>
        <v>5857687</v>
      </c>
      <c r="BB47" s="719">
        <f t="shared" si="21"/>
        <v>40538248</v>
      </c>
      <c r="BC47" s="1189">
        <f t="shared" si="22"/>
        <v>652116046.90999997</v>
      </c>
      <c r="BD47" s="722">
        <f t="shared" si="23"/>
        <v>284480600.25999999</v>
      </c>
      <c r="BE47" s="725">
        <f t="shared" si="24"/>
        <v>21815685.140000001</v>
      </c>
      <c r="BF47" s="1510">
        <f t="shared" si="25"/>
        <v>363709856.63000005</v>
      </c>
      <c r="BG47" s="1206">
        <f t="shared" si="26"/>
        <v>87684415.510000005</v>
      </c>
      <c r="BH47" s="1506"/>
      <c r="BI47" s="723">
        <f t="shared" si="28"/>
        <v>33133370.982314795</v>
      </c>
      <c r="BJ47" s="1190"/>
      <c r="BK47" s="1191">
        <f t="shared" si="30"/>
        <v>139925494.09560004</v>
      </c>
      <c r="BL47" s="722">
        <f t="shared" si="31"/>
        <v>532375</v>
      </c>
      <c r="BM47" s="1192">
        <f t="shared" si="32"/>
        <v>43010652.04042533</v>
      </c>
      <c r="BN47" s="1510">
        <f t="shared" si="33"/>
        <v>3541612</v>
      </c>
      <c r="BO47" s="1505">
        <f t="shared" si="34"/>
        <v>232108356.6991038</v>
      </c>
      <c r="BP47" s="1518">
        <f t="shared" si="35"/>
        <v>37167052.258296147</v>
      </c>
      <c r="BQ47" s="1517">
        <f t="shared" si="36"/>
        <v>3748927.6376653407</v>
      </c>
      <c r="BR47" s="1516">
        <f t="shared" si="37"/>
        <v>363840.85296859237</v>
      </c>
      <c r="BS47" s="1515">
        <f t="shared" si="38"/>
        <v>338845.52135850029</v>
      </c>
      <c r="BT47" s="1514">
        <f t="shared" si="39"/>
        <v>514859.97274013364</v>
      </c>
      <c r="BU47" s="1513">
        <f t="shared" si="40"/>
        <v>459332.96822865284</v>
      </c>
      <c r="BV47" s="1512">
        <f t="shared" si="41"/>
        <v>363689.62063107063</v>
      </c>
      <c r="BW47" s="1511">
        <f t="shared" si="42"/>
        <v>210390.38621726519</v>
      </c>
      <c r="BX47" s="1510">
        <f t="shared" si="43"/>
        <v>417813.74854862038</v>
      </c>
      <c r="BY47" s="1506">
        <f t="shared" si="44"/>
        <v>162995.60778275534</v>
      </c>
      <c r="BZ47" s="1504">
        <f t="shared" si="45"/>
        <v>162995.60778275534</v>
      </c>
      <c r="CA47" s="1509">
        <f t="shared" si="46"/>
        <v>172972.02717042988</v>
      </c>
      <c r="CB47" s="1508">
        <f t="shared" si="47"/>
        <v>172972.02717042988</v>
      </c>
      <c r="CC47" s="1507">
        <f t="shared" si="48"/>
        <v>414709.55140469287</v>
      </c>
      <c r="CD47" s="1506">
        <f t="shared" si="49"/>
        <v>255037.89891931028</v>
      </c>
      <c r="CE47" s="1505">
        <f t="shared" si="50"/>
        <v>2945419.7750150436</v>
      </c>
      <c r="CF47" s="1504">
        <f t="shared" si="51"/>
        <v>2945419.7750150436</v>
      </c>
      <c r="CG47" s="1503">
        <f t="shared" si="52"/>
        <v>38254.040789658764</v>
      </c>
      <c r="CH47" s="1505">
        <f t="shared" si="53"/>
        <v>38254.040789658764</v>
      </c>
      <c r="CI47" s="1504">
        <f t="shared" si="54"/>
        <v>105583.4408375209</v>
      </c>
      <c r="CJ47" s="1503">
        <f t="shared" si="55"/>
        <v>45951.638964506281</v>
      </c>
    </row>
    <row r="48" spans="1:88" s="739" customFormat="1">
      <c r="A48" s="727" t="s">
        <v>784</v>
      </c>
      <c r="B48" s="718">
        <v>-31541835</v>
      </c>
      <c r="C48" s="1533">
        <v>340721.35</v>
      </c>
      <c r="D48" s="719"/>
      <c r="E48" s="729">
        <v>26280.74</v>
      </c>
      <c r="F48" s="1491"/>
      <c r="G48" s="1535"/>
      <c r="H48" s="721"/>
      <c r="I48" s="719"/>
      <c r="J48" s="1189">
        <v>5070398.9799999995</v>
      </c>
      <c r="K48" s="722">
        <v>35858012.170000002</v>
      </c>
      <c r="L48" s="725">
        <v>51554743.640000001</v>
      </c>
      <c r="M48" s="1510">
        <v>270307.64999993413</v>
      </c>
      <c r="N48" s="1206">
        <v>69237.33</v>
      </c>
      <c r="O48" s="2390"/>
      <c r="P48" s="723">
        <v>1170984.0299999998</v>
      </c>
      <c r="Q48" s="725"/>
      <c r="R48" s="1190">
        <v>-37428000.575600006</v>
      </c>
      <c r="S48" s="1191"/>
      <c r="T48" s="722">
        <v>-31841896.634799995</v>
      </c>
      <c r="U48" s="1192">
        <v>-3541612</v>
      </c>
      <c r="V48" s="722">
        <v>29684466.859954342</v>
      </c>
      <c r="W48" s="1192">
        <v>2134385.0842456613</v>
      </c>
      <c r="X48" s="1510">
        <v>560392.22332551423</v>
      </c>
      <c r="Y48" s="1505">
        <v>254384.696190177</v>
      </c>
      <c r="Z48" s="1518">
        <v>252449.03960336198</v>
      </c>
      <c r="AA48" s="1517">
        <v>79934.339772172185</v>
      </c>
      <c r="AB48" s="1516">
        <v>31190.989039115069</v>
      </c>
      <c r="AC48" s="1515">
        <v>28358.845879347267</v>
      </c>
      <c r="AD48" s="1514">
        <v>7736.3616798157818</v>
      </c>
      <c r="AE48" s="1513">
        <v>33654.766849056759</v>
      </c>
      <c r="AF48" s="1512">
        <v>12316.8803838901</v>
      </c>
      <c r="AG48" s="1511">
        <v>12316.8803838901</v>
      </c>
      <c r="AH48" s="1510">
        <v>11890.371607583307</v>
      </c>
      <c r="AI48" s="1506">
        <v>11890.371607583307</v>
      </c>
      <c r="AJ48" s="1504">
        <v>253158.59709592001</v>
      </c>
      <c r="AK48" s="1509">
        <v>246213.18058466178</v>
      </c>
      <c r="AL48" s="1508">
        <v>207747.70109259279</v>
      </c>
      <c r="AM48" s="1507">
        <v>207747.70109259279</v>
      </c>
      <c r="AN48" s="1506">
        <v>2225.235750550306</v>
      </c>
      <c r="AO48" s="1505">
        <v>2225.235750550306</v>
      </c>
      <c r="AP48" s="1504">
        <v>4654.7192542775374</v>
      </c>
      <c r="AQ48" s="1503">
        <v>3431.5630573472226</v>
      </c>
      <c r="AR48" s="1537"/>
      <c r="AT48" s="727" t="s">
        <v>784</v>
      </c>
      <c r="AU48" s="718">
        <f t="shared" si="18"/>
        <v>-31541835</v>
      </c>
      <c r="AV48" s="1533">
        <f t="shared" si="56"/>
        <v>33596946.120000005</v>
      </c>
      <c r="AW48" s="729"/>
      <c r="AX48" s="719">
        <f t="shared" si="19"/>
        <v>12834876.103426393</v>
      </c>
      <c r="AY48" s="720"/>
      <c r="AZ48" s="730"/>
      <c r="BA48" s="721">
        <f t="shared" si="20"/>
        <v>5857687</v>
      </c>
      <c r="BB48" s="719">
        <f t="shared" si="21"/>
        <v>40538248</v>
      </c>
      <c r="BC48" s="1189">
        <f t="shared" si="22"/>
        <v>657186445.88999999</v>
      </c>
      <c r="BD48" s="722">
        <f t="shared" si="23"/>
        <v>320338612.43000001</v>
      </c>
      <c r="BE48" s="725">
        <f t="shared" si="24"/>
        <v>73370428.780000001</v>
      </c>
      <c r="BF48" s="1510">
        <f t="shared" si="25"/>
        <v>363980164.27999997</v>
      </c>
      <c r="BG48" s="1206">
        <f t="shared" si="26"/>
        <v>87753652.840000004</v>
      </c>
      <c r="BH48" s="1506"/>
      <c r="BI48" s="723">
        <f t="shared" si="28"/>
        <v>34304355.012314796</v>
      </c>
      <c r="BJ48" s="1190"/>
      <c r="BK48" s="1191">
        <f t="shared" si="30"/>
        <v>102497493.52000004</v>
      </c>
      <c r="BL48" s="722">
        <f t="shared" si="31"/>
        <v>532375</v>
      </c>
      <c r="BM48" s="1192">
        <f t="shared" si="32"/>
        <v>11168755.405625336</v>
      </c>
      <c r="BN48" s="1510"/>
      <c r="BO48" s="1505">
        <f t="shared" si="34"/>
        <v>261792823.55905813</v>
      </c>
      <c r="BP48" s="1518">
        <f t="shared" si="35"/>
        <v>39301437.342541806</v>
      </c>
      <c r="BQ48" s="1517">
        <f t="shared" si="36"/>
        <v>4309319.8609908549</v>
      </c>
      <c r="BR48" s="1516">
        <f t="shared" si="37"/>
        <v>618225.54915876943</v>
      </c>
      <c r="BS48" s="1515">
        <f t="shared" si="38"/>
        <v>591294.56096186233</v>
      </c>
      <c r="BT48" s="1514">
        <f t="shared" si="39"/>
        <v>594794.3125123058</v>
      </c>
      <c r="BU48" s="1513">
        <f t="shared" si="40"/>
        <v>490523.95726776792</v>
      </c>
      <c r="BV48" s="1512">
        <f t="shared" si="41"/>
        <v>392048.46651041787</v>
      </c>
      <c r="BW48" s="1511">
        <f t="shared" si="42"/>
        <v>218126.74789708096</v>
      </c>
      <c r="BX48" s="1510">
        <f t="shared" si="43"/>
        <v>451468.51539767714</v>
      </c>
      <c r="BY48" s="1506">
        <f t="shared" si="44"/>
        <v>175312.48816664543</v>
      </c>
      <c r="BZ48" s="1504">
        <f t="shared" si="45"/>
        <v>175312.48816664543</v>
      </c>
      <c r="CA48" s="1509">
        <f t="shared" si="46"/>
        <v>184862.39877801319</v>
      </c>
      <c r="CB48" s="1508">
        <f t="shared" si="47"/>
        <v>184862.39877801319</v>
      </c>
      <c r="CC48" s="1507">
        <f t="shared" si="48"/>
        <v>667868.14850061294</v>
      </c>
      <c r="CD48" s="1506">
        <f t="shared" si="49"/>
        <v>501251.07950397208</v>
      </c>
      <c r="CE48" s="1505">
        <f t="shared" si="50"/>
        <v>3153167.4761076365</v>
      </c>
      <c r="CF48" s="1504">
        <f t="shared" si="51"/>
        <v>3153167.4761076365</v>
      </c>
      <c r="CG48" s="1503">
        <f t="shared" si="52"/>
        <v>40479.276540209074</v>
      </c>
      <c r="CH48" s="1505">
        <f t="shared" si="53"/>
        <v>40479.276540209074</v>
      </c>
      <c r="CI48" s="1504">
        <f t="shared" si="54"/>
        <v>110238.16009179843</v>
      </c>
      <c r="CJ48" s="1503">
        <f t="shared" si="55"/>
        <v>49383.202021853504</v>
      </c>
    </row>
    <row r="49" spans="1:88" s="739" customFormat="1">
      <c r="A49" s="727" t="s">
        <v>785</v>
      </c>
      <c r="B49" s="718">
        <v>9062130</v>
      </c>
      <c r="C49" s="1533">
        <v>364184.86000000447</v>
      </c>
      <c r="D49" s="719"/>
      <c r="E49" s="729">
        <v>4636.49</v>
      </c>
      <c r="F49" s="1491"/>
      <c r="G49" s="1535"/>
      <c r="H49" s="721"/>
      <c r="I49" s="719"/>
      <c r="J49" s="1189">
        <v>3333905.8399999989</v>
      </c>
      <c r="K49" s="722">
        <v>1102297.9099999999</v>
      </c>
      <c r="L49" s="725">
        <v>1655642.2899999991</v>
      </c>
      <c r="M49" s="1510">
        <v>339861.08000000857</v>
      </c>
      <c r="N49" s="1206">
        <v>86702702.679999977</v>
      </c>
      <c r="O49" s="2390"/>
      <c r="P49" s="723">
        <v>229798.71000000089</v>
      </c>
      <c r="Q49" s="725"/>
      <c r="R49" s="1190">
        <v>11266678.078499997</v>
      </c>
      <c r="S49" s="1191"/>
      <c r="T49" s="722">
        <v>-645962.12430000235</v>
      </c>
      <c r="U49" s="1192"/>
      <c r="V49" s="722">
        <v>-42210253.634352781</v>
      </c>
      <c r="W49" s="1192">
        <v>2156117.4967528023</v>
      </c>
      <c r="X49" s="1510">
        <v>2143138.1044241376</v>
      </c>
      <c r="Y49" s="1505">
        <v>260029.95967673662</v>
      </c>
      <c r="Z49" s="1518">
        <v>243359.63195056262</v>
      </c>
      <c r="AA49" s="1517">
        <v>327962.01674297551</v>
      </c>
      <c r="AB49" s="1516">
        <v>340198.64319854515</v>
      </c>
      <c r="AC49" s="1515">
        <v>175045.37487116913</v>
      </c>
      <c r="AD49" s="1514">
        <v>72319.581959215167</v>
      </c>
      <c r="AE49" s="1513">
        <v>435066.01863970316</v>
      </c>
      <c r="AF49" s="1512">
        <v>204482.49078572687</v>
      </c>
      <c r="AG49" s="1511">
        <v>204482.49078572687</v>
      </c>
      <c r="AH49" s="1510">
        <v>199309.96695952798</v>
      </c>
      <c r="AI49" s="1506">
        <v>199309.96695952798</v>
      </c>
      <c r="AJ49" s="1504">
        <v>232009.28675908485</v>
      </c>
      <c r="AK49" s="1509">
        <v>189428.63473875093</v>
      </c>
      <c r="AL49" s="1508">
        <v>548907.49898287514</v>
      </c>
      <c r="AM49" s="1507">
        <v>549380.63380524248</v>
      </c>
      <c r="AN49" s="1506">
        <v>28600.88694713173</v>
      </c>
      <c r="AO49" s="1505">
        <v>28600.88694713173</v>
      </c>
      <c r="AP49" s="1504">
        <v>78761.613982780429</v>
      </c>
      <c r="AQ49" s="1503">
        <v>31245.750883447305</v>
      </c>
      <c r="AR49" s="1537"/>
      <c r="AT49" s="727" t="s">
        <v>785</v>
      </c>
      <c r="AU49" s="718">
        <f t="shared" si="18"/>
        <v>9062130</v>
      </c>
      <c r="AV49" s="1533">
        <f t="shared" si="56"/>
        <v>33961130.980000012</v>
      </c>
      <c r="AW49" s="729"/>
      <c r="AX49" s="719">
        <f t="shared" si="19"/>
        <v>12839512.593426393</v>
      </c>
      <c r="AY49" s="720"/>
      <c r="AZ49" s="730"/>
      <c r="BA49" s="721">
        <f t="shared" si="20"/>
        <v>5857687</v>
      </c>
      <c r="BB49" s="719">
        <f t="shared" si="21"/>
        <v>40538248</v>
      </c>
      <c r="BC49" s="1189">
        <f t="shared" si="22"/>
        <v>660520351.73000002</v>
      </c>
      <c r="BD49" s="722">
        <f t="shared" si="23"/>
        <v>321440910.34000003</v>
      </c>
      <c r="BE49" s="725">
        <f t="shared" si="24"/>
        <v>75026071.069999993</v>
      </c>
      <c r="BF49" s="1510">
        <f t="shared" si="25"/>
        <v>364320025.35999995</v>
      </c>
      <c r="BG49" s="1206">
        <f t="shared" si="26"/>
        <v>174456355.51999998</v>
      </c>
      <c r="BH49" s="1506"/>
      <c r="BI49" s="723">
        <f t="shared" si="28"/>
        <v>34534153.722314797</v>
      </c>
      <c r="BJ49" s="1190"/>
      <c r="BK49" s="1191">
        <f t="shared" si="30"/>
        <v>113764171.59850004</v>
      </c>
      <c r="BL49" s="722">
        <f t="shared" si="31"/>
        <v>532375</v>
      </c>
      <c r="BM49" s="1192">
        <f t="shared" si="32"/>
        <v>10522793.281325333</v>
      </c>
      <c r="BN49" s="1510"/>
      <c r="BO49" s="1505">
        <f t="shared" si="34"/>
        <v>219582569.92470536</v>
      </c>
      <c r="BP49" s="1518">
        <f t="shared" si="35"/>
        <v>41457554.839294612</v>
      </c>
      <c r="BQ49" s="1517">
        <f t="shared" si="36"/>
        <v>6452457.9654149925</v>
      </c>
      <c r="BR49" s="1516">
        <f t="shared" si="37"/>
        <v>878255.50883550604</v>
      </c>
      <c r="BS49" s="1515">
        <f t="shared" si="38"/>
        <v>834654.19291242491</v>
      </c>
      <c r="BT49" s="1514">
        <f t="shared" si="39"/>
        <v>922756.32925528125</v>
      </c>
      <c r="BU49" s="1513">
        <f t="shared" si="40"/>
        <v>830722.60046631307</v>
      </c>
      <c r="BV49" s="1512">
        <f t="shared" si="41"/>
        <v>567093.84138158697</v>
      </c>
      <c r="BW49" s="1511">
        <f t="shared" si="42"/>
        <v>290446.32985629613</v>
      </c>
      <c r="BX49" s="1510">
        <f t="shared" si="43"/>
        <v>886534.53403738025</v>
      </c>
      <c r="BY49" s="1506">
        <f t="shared" si="44"/>
        <v>379794.97895237233</v>
      </c>
      <c r="BZ49" s="1504">
        <f t="shared" si="45"/>
        <v>379794.97895237233</v>
      </c>
      <c r="CA49" s="1509">
        <f t="shared" si="46"/>
        <v>384172.36573754117</v>
      </c>
      <c r="CB49" s="1508">
        <f t="shared" si="47"/>
        <v>384172.36573754117</v>
      </c>
      <c r="CC49" s="1507">
        <f t="shared" si="48"/>
        <v>899877.43525969773</v>
      </c>
      <c r="CD49" s="1506">
        <f t="shared" si="49"/>
        <v>690679.71424272307</v>
      </c>
      <c r="CE49" s="1505">
        <f t="shared" si="50"/>
        <v>3702074.9750905116</v>
      </c>
      <c r="CF49" s="1504">
        <f t="shared" si="51"/>
        <v>3702548.1099128788</v>
      </c>
      <c r="CG49" s="1503">
        <f t="shared" si="52"/>
        <v>69080.163487340804</v>
      </c>
      <c r="CH49" s="1505">
        <f t="shared" si="53"/>
        <v>69080.163487340804</v>
      </c>
      <c r="CI49" s="1504">
        <f t="shared" si="54"/>
        <v>188999.77407457886</v>
      </c>
      <c r="CJ49" s="1503">
        <f t="shared" si="55"/>
        <v>80628.952905300801</v>
      </c>
    </row>
    <row r="50" spans="1:88" s="739" customFormat="1">
      <c r="A50" s="727" t="s">
        <v>786</v>
      </c>
      <c r="B50" s="718">
        <v>10496153</v>
      </c>
      <c r="C50" s="1533">
        <v>247020.51</v>
      </c>
      <c r="D50" s="719">
        <v>6184093.5499999998</v>
      </c>
      <c r="E50" s="729">
        <v>4136.1400000000003</v>
      </c>
      <c r="F50" s="1491"/>
      <c r="G50" s="1535"/>
      <c r="H50" s="721"/>
      <c r="I50" s="719"/>
      <c r="J50" s="1189">
        <v>3244203.92</v>
      </c>
      <c r="K50" s="722">
        <v>4420191.4799999995</v>
      </c>
      <c r="L50" s="725">
        <v>1294819.4300000002</v>
      </c>
      <c r="M50" s="1510">
        <v>591817.17999999737</v>
      </c>
      <c r="N50" s="1206">
        <v>34257719</v>
      </c>
      <c r="O50" s="2390"/>
      <c r="P50" s="723">
        <v>-1005340.36</v>
      </c>
      <c r="Q50" s="725"/>
      <c r="R50" s="1190">
        <v>19335578.479400009</v>
      </c>
      <c r="S50" s="1191"/>
      <c r="T50" s="722">
        <v>726483.45180000179</v>
      </c>
      <c r="U50" s="1192"/>
      <c r="V50" s="722">
        <v>14208948.339993764</v>
      </c>
      <c r="W50" s="1192">
        <v>-9408245.6111937594</v>
      </c>
      <c r="X50" s="1510">
        <v>1356624.6113099866</v>
      </c>
      <c r="Y50" s="1505">
        <v>318721.56334461807</v>
      </c>
      <c r="Z50" s="1518">
        <v>308867.99570759799</v>
      </c>
      <c r="AA50" s="1517">
        <v>489858.1483590306</v>
      </c>
      <c r="AB50" s="1516">
        <v>271288.844516001</v>
      </c>
      <c r="AC50" s="1515">
        <v>107769.02806939401</v>
      </c>
      <c r="AD50" s="1514">
        <v>61074.471296644013</v>
      </c>
      <c r="AE50" s="1513">
        <v>178799.2670169058</v>
      </c>
      <c r="AF50" s="1512">
        <v>91590.259445380492</v>
      </c>
      <c r="AG50" s="1511">
        <v>91590.259445380492</v>
      </c>
      <c r="AH50" s="1510">
        <v>76032.727445772631</v>
      </c>
      <c r="AI50" s="1506">
        <v>76032.727445772631</v>
      </c>
      <c r="AJ50" s="1504">
        <v>313090.07250505424</v>
      </c>
      <c r="AK50" s="1509">
        <v>267434.12893806375</v>
      </c>
      <c r="AL50" s="1508">
        <v>399421.83785427344</v>
      </c>
      <c r="AM50" s="1507">
        <v>418617.82892269571</v>
      </c>
      <c r="AN50" s="1506">
        <v>19541.885206063285</v>
      </c>
      <c r="AO50" s="1505">
        <v>19473.832501228986</v>
      </c>
      <c r="AP50" s="1504">
        <v>49535.351915050604</v>
      </c>
      <c r="AQ50" s="1503">
        <v>24314.798755086627</v>
      </c>
      <c r="AR50" s="1532"/>
      <c r="AT50" s="727" t="s">
        <v>786</v>
      </c>
      <c r="AU50" s="718">
        <f t="shared" si="18"/>
        <v>10496153</v>
      </c>
      <c r="AV50" s="1533">
        <f t="shared" si="56"/>
        <v>34208151.49000001</v>
      </c>
      <c r="AW50" s="729">
        <f>+AW49+D50</f>
        <v>6184093.5499999998</v>
      </c>
      <c r="AX50" s="719">
        <f t="shared" si="19"/>
        <v>12843648.733426394</v>
      </c>
      <c r="AY50" s="720"/>
      <c r="AZ50" s="730"/>
      <c r="BA50" s="721">
        <f t="shared" si="20"/>
        <v>5857687</v>
      </c>
      <c r="BB50" s="719">
        <f t="shared" si="21"/>
        <v>40538248</v>
      </c>
      <c r="BC50" s="1189">
        <f t="shared" si="22"/>
        <v>663764555.64999998</v>
      </c>
      <c r="BD50" s="722">
        <f t="shared" si="23"/>
        <v>325861101.82000005</v>
      </c>
      <c r="BE50" s="725">
        <f t="shared" si="24"/>
        <v>76320890.5</v>
      </c>
      <c r="BF50" s="1510">
        <f t="shared" si="25"/>
        <v>364911842.53999996</v>
      </c>
      <c r="BG50" s="1206">
        <f t="shared" si="26"/>
        <v>208714074.51999998</v>
      </c>
      <c r="BH50" s="1506"/>
      <c r="BI50" s="723">
        <f t="shared" si="28"/>
        <v>33528813.362314798</v>
      </c>
      <c r="BJ50" s="1190"/>
      <c r="BK50" s="1191">
        <f t="shared" si="30"/>
        <v>133099750.07790005</v>
      </c>
      <c r="BL50" s="722">
        <f t="shared" si="31"/>
        <v>532375</v>
      </c>
      <c r="BM50" s="1192">
        <f t="shared" si="32"/>
        <v>11249276.733125335</v>
      </c>
      <c r="BN50" s="1510"/>
      <c r="BO50" s="1505">
        <f t="shared" si="34"/>
        <v>233791518.26469913</v>
      </c>
      <c r="BP50" s="1518">
        <f t="shared" si="35"/>
        <v>32049309.228100851</v>
      </c>
      <c r="BQ50" s="1517">
        <f t="shared" si="36"/>
        <v>7809082.5767249791</v>
      </c>
      <c r="BR50" s="1516">
        <f t="shared" si="37"/>
        <v>1196977.072180124</v>
      </c>
      <c r="BS50" s="1515">
        <f t="shared" si="38"/>
        <v>1143522.188620023</v>
      </c>
      <c r="BT50" s="1514">
        <f t="shared" si="39"/>
        <v>1412614.477614312</v>
      </c>
      <c r="BU50" s="1513">
        <f t="shared" si="40"/>
        <v>1102011.444982314</v>
      </c>
      <c r="BV50" s="1512">
        <f t="shared" si="41"/>
        <v>674862.86945098103</v>
      </c>
      <c r="BW50" s="1511">
        <f t="shared" si="42"/>
        <v>351520.80115294014</v>
      </c>
      <c r="BX50" s="1510">
        <f t="shared" si="43"/>
        <v>1065333.8010542861</v>
      </c>
      <c r="BY50" s="1506">
        <f t="shared" si="44"/>
        <v>471385.23839775281</v>
      </c>
      <c r="BZ50" s="1504">
        <f t="shared" si="45"/>
        <v>471385.23839775281</v>
      </c>
      <c r="CA50" s="1509">
        <f t="shared" si="46"/>
        <v>460205.09318331379</v>
      </c>
      <c r="CB50" s="1508">
        <f t="shared" si="47"/>
        <v>460205.09318331379</v>
      </c>
      <c r="CC50" s="1507">
        <f t="shared" si="48"/>
        <v>1212967.507764752</v>
      </c>
      <c r="CD50" s="1506">
        <f t="shared" si="49"/>
        <v>958113.84318078682</v>
      </c>
      <c r="CE50" s="1505">
        <f t="shared" si="50"/>
        <v>4101496.8129447852</v>
      </c>
      <c r="CF50" s="1504">
        <f t="shared" si="51"/>
        <v>4121165.9388355743</v>
      </c>
      <c r="CG50" s="1503">
        <f t="shared" si="52"/>
        <v>88622.048693404096</v>
      </c>
      <c r="CH50" s="1505">
        <f t="shared" si="53"/>
        <v>88553.99598856979</v>
      </c>
      <c r="CI50" s="1504">
        <f t="shared" si="54"/>
        <v>238535.12598962948</v>
      </c>
      <c r="CJ50" s="1503">
        <f t="shared" si="55"/>
        <v>104943.75166038742</v>
      </c>
    </row>
    <row r="51" spans="1:88" s="739" customFormat="1">
      <c r="A51" s="727" t="s">
        <v>787</v>
      </c>
      <c r="B51" s="718">
        <v>22421927</v>
      </c>
      <c r="C51" s="1536">
        <v>32765523.240000002</v>
      </c>
      <c r="D51" s="719">
        <v>985585.72</v>
      </c>
      <c r="E51" s="729">
        <v>2725116.84</v>
      </c>
      <c r="F51" s="1491"/>
      <c r="G51" s="1535"/>
      <c r="H51" s="721"/>
      <c r="I51" s="719"/>
      <c r="J51" s="1189">
        <v>2821006.4100000244</v>
      </c>
      <c r="K51" s="722">
        <v>10406399.772594042</v>
      </c>
      <c r="L51" s="725">
        <v>7113356.4100000001</v>
      </c>
      <c r="M51" s="1510">
        <v>1016307.709999986</v>
      </c>
      <c r="N51" s="1206">
        <v>25082772.510000002</v>
      </c>
      <c r="O51" s="2390"/>
      <c r="P51" s="723">
        <v>1313780.25</v>
      </c>
      <c r="Q51" s="725"/>
      <c r="R51" s="1190">
        <v>2030427.7100000046</v>
      </c>
      <c r="S51" s="1191"/>
      <c r="T51" s="722">
        <v>-11118983.490094054</v>
      </c>
      <c r="U51" s="1192"/>
      <c r="V51" s="722">
        <v>-332321.51147144067</v>
      </c>
      <c r="W51" s="1192">
        <v>-3131108.6585285552</v>
      </c>
      <c r="X51" s="1510">
        <v>734935.56655803858</v>
      </c>
      <c r="Y51" s="1505">
        <v>213901.72330399576</v>
      </c>
      <c r="Z51" s="1518">
        <v>206432.93664075277</v>
      </c>
      <c r="AA51" s="1517">
        <v>224542.08558842837</v>
      </c>
      <c r="AB51" s="1516">
        <v>191768.79349587081</v>
      </c>
      <c r="AC51" s="1515">
        <v>74968.368264530669</v>
      </c>
      <c r="AD51" s="1514">
        <v>45477.316790498444</v>
      </c>
      <c r="AE51" s="1513">
        <v>116341.1835354603</v>
      </c>
      <c r="AF51" s="1512">
        <v>61877.91383262923</v>
      </c>
      <c r="AG51" s="1511">
        <v>61877.91383262923</v>
      </c>
      <c r="AH51" s="1510">
        <v>59695.791952740423</v>
      </c>
      <c r="AI51" s="1506">
        <v>59695.791952740423</v>
      </c>
      <c r="AJ51" s="1504">
        <v>197851.10743882722</v>
      </c>
      <c r="AK51" s="1509">
        <v>175668.9604452776</v>
      </c>
      <c r="AL51" s="1508">
        <v>256473.63588364498</v>
      </c>
      <c r="AM51" s="1507">
        <v>331520.81962381722</v>
      </c>
      <c r="AN51" s="1506">
        <v>15647.022054835827</v>
      </c>
      <c r="AO51" s="1505">
        <v>15883.600045048948</v>
      </c>
      <c r="AP51" s="1504">
        <v>70141.758782392513</v>
      </c>
      <c r="AQ51" s="1503">
        <v>16386.459977841943</v>
      </c>
      <c r="AR51" s="560"/>
      <c r="AT51" s="727" t="s">
        <v>787</v>
      </c>
      <c r="AU51" s="718">
        <f t="shared" si="18"/>
        <v>22421927</v>
      </c>
      <c r="AV51" s="1533">
        <f t="shared" si="56"/>
        <v>66973674.730000012</v>
      </c>
      <c r="AW51" s="729">
        <f>+AW50+D51</f>
        <v>7169679.2699999996</v>
      </c>
      <c r="AX51" s="719">
        <f t="shared" si="19"/>
        <v>15568765.573426394</v>
      </c>
      <c r="AY51" s="720"/>
      <c r="AZ51" s="730"/>
      <c r="BA51" s="721">
        <f t="shared" si="20"/>
        <v>5857687</v>
      </c>
      <c r="BB51" s="719">
        <f t="shared" si="21"/>
        <v>40538248</v>
      </c>
      <c r="BC51" s="1189">
        <f t="shared" si="22"/>
        <v>666585562.05999994</v>
      </c>
      <c r="BD51" s="722">
        <f t="shared" si="23"/>
        <v>336267501.59259409</v>
      </c>
      <c r="BE51" s="725">
        <f t="shared" si="24"/>
        <v>83434246.909999996</v>
      </c>
      <c r="BF51" s="1510">
        <f t="shared" si="25"/>
        <v>365928150.24999994</v>
      </c>
      <c r="BG51" s="1206">
        <f t="shared" si="26"/>
        <v>233796847.02999997</v>
      </c>
      <c r="BH51" s="1506"/>
      <c r="BI51" s="723">
        <f t="shared" si="28"/>
        <v>34842593.612314798</v>
      </c>
      <c r="BJ51" s="1190"/>
      <c r="BK51" s="1191">
        <f t="shared" si="30"/>
        <v>135130177.78790006</v>
      </c>
      <c r="BL51" s="722">
        <f t="shared" si="31"/>
        <v>532375</v>
      </c>
      <c r="BM51" s="1192">
        <f t="shared" si="32"/>
        <v>130293.24303128012</v>
      </c>
      <c r="BN51" s="1510"/>
      <c r="BO51" s="1505">
        <f t="shared" si="34"/>
        <v>233459196.75322768</v>
      </c>
      <c r="BP51" s="1518">
        <f t="shared" si="35"/>
        <v>28918200.569572296</v>
      </c>
      <c r="BQ51" s="1517">
        <f t="shared" si="36"/>
        <v>8544018.143283017</v>
      </c>
      <c r="BR51" s="1516">
        <f t="shared" si="37"/>
        <v>1410878.7954841198</v>
      </c>
      <c r="BS51" s="1515">
        <f t="shared" si="38"/>
        <v>1349955.1252607757</v>
      </c>
      <c r="BT51" s="1514">
        <f t="shared" si="39"/>
        <v>1637156.5632027404</v>
      </c>
      <c r="BU51" s="1513">
        <f t="shared" si="40"/>
        <v>1293780.2384781849</v>
      </c>
      <c r="BV51" s="1512">
        <f t="shared" si="41"/>
        <v>749831.2377155117</v>
      </c>
      <c r="BW51" s="1511">
        <f t="shared" si="42"/>
        <v>396998.11794343858</v>
      </c>
      <c r="BX51" s="1510">
        <f t="shared" si="43"/>
        <v>1181674.9845897465</v>
      </c>
      <c r="BY51" s="1506">
        <f t="shared" si="44"/>
        <v>533263.15223038208</v>
      </c>
      <c r="BZ51" s="1504">
        <f t="shared" si="45"/>
        <v>533263.15223038208</v>
      </c>
      <c r="CA51" s="1509">
        <f t="shared" si="46"/>
        <v>519900.88513605419</v>
      </c>
      <c r="CB51" s="1508">
        <f t="shared" si="47"/>
        <v>519900.88513605419</v>
      </c>
      <c r="CC51" s="1507">
        <f t="shared" si="48"/>
        <v>1410818.6152035792</v>
      </c>
      <c r="CD51" s="1506">
        <f t="shared" si="49"/>
        <v>1133782.8036260644</v>
      </c>
      <c r="CE51" s="1505">
        <f t="shared" si="50"/>
        <v>4357970.4488284299</v>
      </c>
      <c r="CF51" s="1504">
        <f t="shared" si="51"/>
        <v>4452686.7584593911</v>
      </c>
      <c r="CG51" s="1503">
        <f t="shared" si="52"/>
        <v>104269.07074823993</v>
      </c>
      <c r="CH51" s="1505">
        <f t="shared" si="53"/>
        <v>104437.59603361874</v>
      </c>
      <c r="CI51" s="1504">
        <f t="shared" si="54"/>
        <v>308676.88477202202</v>
      </c>
      <c r="CJ51" s="1503">
        <f t="shared" si="55"/>
        <v>121330.21163822938</v>
      </c>
    </row>
    <row r="52" spans="1:88" s="739" customFormat="1" ht="18" thickBot="1">
      <c r="A52" s="2369" t="s">
        <v>788</v>
      </c>
      <c r="B52" s="1338">
        <v>166560042.2400001</v>
      </c>
      <c r="C52" s="1536">
        <v>1431936.54</v>
      </c>
      <c r="D52" s="747">
        <v>220102.95</v>
      </c>
      <c r="E52" s="746">
        <v>187894.83000000002</v>
      </c>
      <c r="F52" s="1493"/>
      <c r="G52" s="2370"/>
      <c r="H52" s="749"/>
      <c r="I52" s="747"/>
      <c r="J52" s="1237">
        <v>991642.25</v>
      </c>
      <c r="K52" s="750">
        <v>507685.71999991738</v>
      </c>
      <c r="L52" s="752">
        <v>263973.76999999996</v>
      </c>
      <c r="M52" s="2371">
        <v>910455.44999999076</v>
      </c>
      <c r="N52" s="2372">
        <v>40403125.25</v>
      </c>
      <c r="O52" s="2391"/>
      <c r="P52" s="751">
        <v>-361526.32999999548</v>
      </c>
      <c r="Q52" s="752"/>
      <c r="R52" s="2373">
        <v>25130747.441799983</v>
      </c>
      <c r="S52" s="1238"/>
      <c r="T52" s="750">
        <v>-130293.03259402141</v>
      </c>
      <c r="U52" s="1239"/>
      <c r="V52" s="750">
        <v>-21905208.617280871</v>
      </c>
      <c r="W52" s="1239">
        <v>4375420.5698808748</v>
      </c>
      <c r="X52" s="2371">
        <v>952594.25802100298</v>
      </c>
      <c r="Y52" s="2374">
        <v>178662.42988598283</v>
      </c>
      <c r="Z52" s="2375">
        <v>181077.12099861953</v>
      </c>
      <c r="AA52" s="2376">
        <v>477185.36296822282</v>
      </c>
      <c r="AB52" s="2377">
        <v>182680.05655390254</v>
      </c>
      <c r="AC52" s="2378">
        <v>89074.379477319409</v>
      </c>
      <c r="AD52" s="2379">
        <v>36920.05101026209</v>
      </c>
      <c r="AE52" s="2380">
        <v>188328.08778704144</v>
      </c>
      <c r="AF52" s="2381">
        <v>64054.001256408104</v>
      </c>
      <c r="AG52" s="2382">
        <v>64054.001256408104</v>
      </c>
      <c r="AH52" s="2371">
        <v>49396.127163183104</v>
      </c>
      <c r="AI52" s="2383">
        <v>49396.127163183104</v>
      </c>
      <c r="AJ52" s="2384">
        <v>170777.90433061458</v>
      </c>
      <c r="AK52" s="2385">
        <v>153120.16022973286</v>
      </c>
      <c r="AL52" s="2386">
        <v>441363.19304956577</v>
      </c>
      <c r="AM52" s="2387">
        <v>549418.63688115007</v>
      </c>
      <c r="AN52" s="2383">
        <v>19239.917816693687</v>
      </c>
      <c r="AO52" s="2374">
        <v>19613.480337744215</v>
      </c>
      <c r="AP52" s="2384">
        <v>28804.372465118882</v>
      </c>
      <c r="AQ52" s="2388">
        <v>12129.761247846402</v>
      </c>
      <c r="AR52" s="560"/>
      <c r="AT52" s="1534" t="s">
        <v>788</v>
      </c>
      <c r="AU52" s="1338">
        <f t="shared" si="18"/>
        <v>166560042.2400001</v>
      </c>
      <c r="AV52" s="1533">
        <f t="shared" si="56"/>
        <v>68405611.270000011</v>
      </c>
      <c r="AW52" s="729">
        <f>+AW51+D52</f>
        <v>7389782.2199999997</v>
      </c>
      <c r="AX52" s="719">
        <f t="shared" si="19"/>
        <v>15756660.403426394</v>
      </c>
      <c r="AY52" s="737"/>
      <c r="AZ52" s="748"/>
      <c r="BA52" s="749">
        <f t="shared" si="20"/>
        <v>5857687</v>
      </c>
      <c r="BB52" s="747">
        <f t="shared" si="21"/>
        <v>40538248</v>
      </c>
      <c r="BC52" s="1237">
        <f t="shared" si="22"/>
        <v>667577204.30999994</v>
      </c>
      <c r="BD52" s="722">
        <f t="shared" si="23"/>
        <v>336775187.312594</v>
      </c>
      <c r="BE52" s="752">
        <f t="shared" si="24"/>
        <v>83698220.679999992</v>
      </c>
      <c r="BF52" s="1510">
        <f t="shared" si="25"/>
        <v>366838605.69999993</v>
      </c>
      <c r="BG52" s="1206">
        <f t="shared" si="26"/>
        <v>274199972.27999997</v>
      </c>
      <c r="BH52" s="1506"/>
      <c r="BI52" s="723">
        <f t="shared" si="28"/>
        <v>34481067.2823148</v>
      </c>
      <c r="BJ52" s="1190"/>
      <c r="BK52" s="1191">
        <f t="shared" si="30"/>
        <v>160260925.22970003</v>
      </c>
      <c r="BL52" s="722">
        <f t="shared" si="31"/>
        <v>532375</v>
      </c>
      <c r="BM52" s="1192"/>
      <c r="BN52" s="1510"/>
      <c r="BO52" s="1505">
        <f t="shared" si="34"/>
        <v>211553988.13594681</v>
      </c>
      <c r="BP52" s="1518">
        <f t="shared" si="35"/>
        <v>33293621.139453173</v>
      </c>
      <c r="BQ52" s="1517">
        <f t="shared" si="36"/>
        <v>9496612.4013040196</v>
      </c>
      <c r="BR52" s="1516">
        <f t="shared" si="37"/>
        <v>1589541.2253701026</v>
      </c>
      <c r="BS52" s="1515">
        <f t="shared" si="38"/>
        <v>1531032.2462593953</v>
      </c>
      <c r="BT52" s="1514">
        <f t="shared" si="39"/>
        <v>2114341.9261709633</v>
      </c>
      <c r="BU52" s="1513">
        <f t="shared" si="40"/>
        <v>1476460.2950320875</v>
      </c>
      <c r="BV52" s="1512">
        <f t="shared" si="41"/>
        <v>838905.61719283112</v>
      </c>
      <c r="BW52" s="1511">
        <f t="shared" si="42"/>
        <v>433918.16895370069</v>
      </c>
      <c r="BX52" s="1510">
        <f t="shared" si="43"/>
        <v>1370003.0723767879</v>
      </c>
      <c r="BY52" s="1506">
        <f t="shared" si="44"/>
        <v>597317.15348679014</v>
      </c>
      <c r="BZ52" s="1504">
        <f t="shared" si="45"/>
        <v>597317.15348679014</v>
      </c>
      <c r="CA52" s="1509">
        <f t="shared" si="46"/>
        <v>569297.01229923731</v>
      </c>
      <c r="CB52" s="1508">
        <f t="shared" si="47"/>
        <v>569297.01229923731</v>
      </c>
      <c r="CC52" s="1507">
        <f t="shared" si="48"/>
        <v>1581596.5195341937</v>
      </c>
      <c r="CD52" s="1506">
        <f t="shared" si="49"/>
        <v>1286902.9638557974</v>
      </c>
      <c r="CE52" s="1505">
        <f t="shared" si="50"/>
        <v>4799333.6418779958</v>
      </c>
      <c r="CF52" s="1504">
        <f t="shared" si="51"/>
        <v>5002105.3953405414</v>
      </c>
      <c r="CG52" s="1503">
        <f t="shared" si="52"/>
        <v>123508.98856493362</v>
      </c>
      <c r="CH52" s="1505">
        <f t="shared" si="53"/>
        <v>124051.07637136296</v>
      </c>
      <c r="CI52" s="1504">
        <f t="shared" si="54"/>
        <v>337481.2572371409</v>
      </c>
      <c r="CJ52" s="1503">
        <f t="shared" si="55"/>
        <v>133459.97288607579</v>
      </c>
    </row>
    <row r="53" spans="1:88" s="739" customFormat="1" ht="18" thickBot="1">
      <c r="A53" s="732" t="s">
        <v>330</v>
      </c>
      <c r="B53" s="732">
        <v>389693079.19740617</v>
      </c>
      <c r="C53" s="733">
        <v>68405611.270000011</v>
      </c>
      <c r="D53" s="733">
        <v>7389782.2199999997</v>
      </c>
      <c r="E53" s="733">
        <v>15756660.403426394</v>
      </c>
      <c r="F53" s="733"/>
      <c r="G53" s="733"/>
      <c r="H53" s="733">
        <v>5857687</v>
      </c>
      <c r="I53" s="733">
        <v>40538248</v>
      </c>
      <c r="J53" s="733">
        <v>667577204.30999994</v>
      </c>
      <c r="K53" s="733">
        <v>336775187.312594</v>
      </c>
      <c r="L53" s="733">
        <v>83698220.679999992</v>
      </c>
      <c r="M53" s="733">
        <v>366838605.69999993</v>
      </c>
      <c r="N53" s="733">
        <v>274199972.27999997</v>
      </c>
      <c r="O53" s="2392">
        <v>7.4505805969238281E-9</v>
      </c>
      <c r="P53" s="733">
        <v>34481067.2823148</v>
      </c>
      <c r="Q53" s="733">
        <v>9.9998265468457248E-3</v>
      </c>
      <c r="R53" s="733">
        <v>160260925.22970003</v>
      </c>
      <c r="S53" s="733">
        <v>532375</v>
      </c>
      <c r="T53" s="733">
        <v>0.21043725870549679</v>
      </c>
      <c r="U53" s="2392">
        <v>0</v>
      </c>
      <c r="V53" s="733">
        <v>211553988.13594681</v>
      </c>
      <c r="W53" s="733">
        <v>33293621.139453173</v>
      </c>
      <c r="X53" s="733">
        <v>9496612.4013040196</v>
      </c>
      <c r="Y53" s="733">
        <v>1589541.2253701026</v>
      </c>
      <c r="Z53" s="733">
        <v>1531032.2462593953</v>
      </c>
      <c r="AA53" s="733">
        <v>2114341.9261709633</v>
      </c>
      <c r="AB53" s="733">
        <v>1476460.2950320875</v>
      </c>
      <c r="AC53" s="733">
        <v>838905.61719283112</v>
      </c>
      <c r="AD53" s="733">
        <v>433918.16895370069</v>
      </c>
      <c r="AE53" s="733">
        <v>1370003.0723767879</v>
      </c>
      <c r="AF53" s="733">
        <v>597317.15348679014</v>
      </c>
      <c r="AG53" s="733">
        <v>597317.15348679014</v>
      </c>
      <c r="AH53" s="733">
        <v>569297.01229923731</v>
      </c>
      <c r="AI53" s="733">
        <v>569297.01229923731</v>
      </c>
      <c r="AJ53" s="733">
        <v>1581596.5195341937</v>
      </c>
      <c r="AK53" s="733">
        <v>1286902.9638557974</v>
      </c>
      <c r="AL53" s="733">
        <v>4799333.6418779958</v>
      </c>
      <c r="AM53" s="733">
        <v>5002105.3953405414</v>
      </c>
      <c r="AN53" s="733">
        <v>123508.98856493362</v>
      </c>
      <c r="AO53" s="733">
        <v>124051.07637136296</v>
      </c>
      <c r="AP53" s="733">
        <v>337481.2572371409</v>
      </c>
      <c r="AQ53" s="735">
        <v>133459.97288607579</v>
      </c>
      <c r="AR53" s="1532"/>
      <c r="AT53" s="731" t="s">
        <v>330</v>
      </c>
      <c r="AU53" s="753">
        <f>SUM(AU40:AU52)</f>
        <v>389693077.24000013</v>
      </c>
      <c r="AV53" s="754">
        <f>SUM(AV40:AV52)</f>
        <v>304072379.30000007</v>
      </c>
      <c r="AW53" s="754">
        <f>SUM(AW40:AW52)</f>
        <v>20743555.039999999</v>
      </c>
      <c r="AX53" s="754">
        <f>SUM(AX40:AX52)</f>
        <v>157844869.49454314</v>
      </c>
      <c r="AY53" s="754"/>
      <c r="AZ53" s="754"/>
      <c r="BA53" s="754">
        <f t="shared" ref="BA53:CJ53" si="57">SUM(BA40:BA52)</f>
        <v>76149931</v>
      </c>
      <c r="BB53" s="754">
        <f t="shared" si="57"/>
        <v>391596890.60000002</v>
      </c>
      <c r="BC53" s="754">
        <f t="shared" si="57"/>
        <v>5547659235.6099987</v>
      </c>
      <c r="BD53" s="754">
        <f t="shared" si="57"/>
        <v>3334962562.7751884</v>
      </c>
      <c r="BE53" s="754">
        <f t="shared" si="57"/>
        <v>466799674.22999996</v>
      </c>
      <c r="BF53" s="754">
        <f t="shared" si="57"/>
        <v>4227325329.2999997</v>
      </c>
      <c r="BG53" s="754">
        <f t="shared" si="57"/>
        <v>1300914393.21</v>
      </c>
      <c r="BH53" s="754">
        <f t="shared" si="57"/>
        <v>162197586.84000003</v>
      </c>
      <c r="BI53" s="754">
        <f t="shared" si="57"/>
        <v>3053935655.3554621</v>
      </c>
      <c r="BJ53" s="754">
        <f t="shared" si="57"/>
        <v>411027714.59999931</v>
      </c>
      <c r="BK53" s="754">
        <f t="shared" si="57"/>
        <v>1698667015.8654003</v>
      </c>
      <c r="BL53" s="754">
        <f t="shared" si="57"/>
        <v>6920875</v>
      </c>
      <c r="BM53" s="754">
        <f t="shared" si="57"/>
        <v>740693691.34461021</v>
      </c>
      <c r="BN53" s="754">
        <f t="shared" si="57"/>
        <v>48697118</v>
      </c>
      <c r="BO53" s="754">
        <f t="shared" si="57"/>
        <v>3032657731.5693917</v>
      </c>
      <c r="BP53" s="754">
        <f t="shared" si="57"/>
        <v>390330886.41130799</v>
      </c>
      <c r="BQ53" s="754">
        <f t="shared" si="57"/>
        <v>41293873.943345986</v>
      </c>
      <c r="BR53" s="754">
        <f t="shared" si="57"/>
        <v>6491502.7085786704</v>
      </c>
      <c r="BS53" s="754">
        <f t="shared" si="57"/>
        <v>6188368.2886794349</v>
      </c>
      <c r="BT53" s="754">
        <f t="shared" si="57"/>
        <v>7828322.7872427255</v>
      </c>
      <c r="BU53" s="754">
        <f t="shared" si="57"/>
        <v>6215673.957732928</v>
      </c>
      <c r="BV53" s="754">
        <f t="shared" si="57"/>
        <v>4430362.2986135799</v>
      </c>
      <c r="BW53" s="754">
        <f t="shared" si="57"/>
        <v>2243015.8872638764</v>
      </c>
      <c r="BX53" s="754">
        <f t="shared" si="57"/>
        <v>5918280.9871033626</v>
      </c>
      <c r="BY53" s="754">
        <f t="shared" si="57"/>
        <v>2547531.6490302673</v>
      </c>
      <c r="BZ53" s="754">
        <f t="shared" si="57"/>
        <v>2547531.6490302673</v>
      </c>
      <c r="CA53" s="754">
        <f t="shared" si="57"/>
        <v>2544241.0068883589</v>
      </c>
      <c r="CB53" s="754">
        <f t="shared" si="57"/>
        <v>2544241.0068883589</v>
      </c>
      <c r="CC53" s="754">
        <f t="shared" si="57"/>
        <v>6741697.294202324</v>
      </c>
      <c r="CD53" s="754">
        <f t="shared" si="57"/>
        <v>5110173.9104235005</v>
      </c>
      <c r="CE53" s="754">
        <f t="shared" si="57"/>
        <v>23228573.005909115</v>
      </c>
      <c r="CF53" s="754">
        <f t="shared" si="57"/>
        <v>23546203.329715773</v>
      </c>
      <c r="CG53" s="754">
        <f t="shared" si="57"/>
        <v>521810.27687505318</v>
      </c>
      <c r="CH53" s="754">
        <f t="shared" si="57"/>
        <v>522452.83726202702</v>
      </c>
      <c r="CI53" s="754">
        <f t="shared" si="57"/>
        <v>1461734.2263468839</v>
      </c>
      <c r="CJ53" s="754">
        <f t="shared" si="57"/>
        <v>599002.42876739893</v>
      </c>
    </row>
    <row r="54" spans="1:88" s="739" customFormat="1" ht="52.2">
      <c r="A54" s="1571"/>
      <c r="B54" s="2549"/>
      <c r="C54" s="756"/>
      <c r="D54" s="756"/>
      <c r="E54" s="756"/>
      <c r="F54" s="756"/>
      <c r="G54" s="756"/>
      <c r="H54" s="756"/>
      <c r="I54" s="756"/>
      <c r="J54" s="756"/>
      <c r="K54" s="756"/>
      <c r="L54" s="756"/>
      <c r="M54" s="756"/>
      <c r="N54" s="756"/>
      <c r="O54" s="756"/>
      <c r="P54" s="756"/>
      <c r="Q54" s="756"/>
      <c r="R54" s="756"/>
      <c r="S54" s="756"/>
      <c r="T54" s="756"/>
      <c r="U54" s="756"/>
      <c r="V54" s="756"/>
      <c r="W54" s="756"/>
      <c r="X54" s="1497"/>
      <c r="Y54" s="1497"/>
      <c r="Z54" s="1497"/>
      <c r="AA54" s="1497"/>
      <c r="AB54" s="1497"/>
      <c r="AC54" s="1497"/>
      <c r="AD54" s="1497"/>
      <c r="AE54" s="1497"/>
      <c r="AF54" s="1497"/>
      <c r="AG54" s="1497"/>
      <c r="AH54" s="1497"/>
      <c r="AI54" s="1497"/>
      <c r="AJ54" s="1497"/>
      <c r="AK54" s="1497"/>
      <c r="AL54" s="1497"/>
      <c r="AM54" s="1497"/>
      <c r="AN54" s="1497"/>
      <c r="AO54" s="1497"/>
      <c r="AP54" s="1497"/>
      <c r="AQ54" s="1497"/>
      <c r="AT54" s="1531" t="s">
        <v>589</v>
      </c>
      <c r="AU54" s="755"/>
      <c r="AV54" s="755">
        <f>AV53/13</f>
        <v>23390183.023076929</v>
      </c>
      <c r="AW54" s="755">
        <f>AW53/13</f>
        <v>1595658.0799999998</v>
      </c>
      <c r="AX54" s="755">
        <f>AX53/13</f>
        <v>12141913.03804178</v>
      </c>
      <c r="AY54" s="755"/>
      <c r="AZ54" s="755"/>
      <c r="BA54" s="755">
        <f t="shared" ref="BA54:BG54" si="58">BA53/13</f>
        <v>5857687</v>
      </c>
      <c r="BB54" s="755">
        <f t="shared" si="58"/>
        <v>30122837.738461539</v>
      </c>
      <c r="BC54" s="755">
        <f t="shared" si="58"/>
        <v>426743018.12384605</v>
      </c>
      <c r="BD54" s="755">
        <f t="shared" si="58"/>
        <v>256535581.75193757</v>
      </c>
      <c r="BE54" s="755">
        <f>BE53/13</f>
        <v>35907667.248461537</v>
      </c>
      <c r="BF54" s="755">
        <f t="shared" si="58"/>
        <v>325178871.48461539</v>
      </c>
      <c r="BG54" s="755">
        <f t="shared" si="58"/>
        <v>100070337.93923077</v>
      </c>
      <c r="BH54" s="1199"/>
      <c r="BI54" s="1199"/>
      <c r="BJ54" s="1199"/>
      <c r="BK54" s="1199"/>
      <c r="BL54" s="1199"/>
      <c r="BM54" s="1199"/>
      <c r="BN54" s="1199"/>
      <c r="BO54" s="1199"/>
      <c r="BP54" s="1199"/>
      <c r="BQ54" s="1199"/>
      <c r="BR54" s="1199"/>
      <c r="BS54" s="1199"/>
      <c r="BT54" s="1199"/>
      <c r="BU54" s="1199"/>
      <c r="BV54" s="1199"/>
      <c r="BW54" s="1199"/>
      <c r="BX54" s="1199"/>
      <c r="BY54" s="1199"/>
      <c r="BZ54" s="1199"/>
      <c r="CA54" s="1199"/>
      <c r="CB54" s="1199"/>
      <c r="CC54" s="1199"/>
      <c r="CD54" s="1199"/>
      <c r="CE54" s="1199"/>
      <c r="CF54" s="1199"/>
      <c r="CG54" s="1199"/>
      <c r="CH54" s="1199"/>
      <c r="CI54" s="1199"/>
      <c r="CJ54" s="1199"/>
    </row>
    <row r="55" spans="1:88" s="1524" customFormat="1" ht="52.8">
      <c r="A55" s="1530"/>
      <c r="B55" s="2550"/>
      <c r="C55" s="1529"/>
      <c r="D55" s="1529"/>
      <c r="E55" s="1529"/>
      <c r="H55" s="1528"/>
      <c r="I55" s="1528"/>
      <c r="J55" s="1528"/>
      <c r="K55" s="1528"/>
      <c r="L55" s="1528"/>
      <c r="M55" s="1528"/>
      <c r="N55" s="1528"/>
      <c r="O55" s="1528"/>
      <c r="P55" s="1528"/>
      <c r="Q55" s="1528"/>
      <c r="R55" s="1528"/>
      <c r="S55" s="1528"/>
      <c r="T55" s="1528"/>
      <c r="U55" s="1528"/>
      <c r="V55" s="1528"/>
      <c r="W55" s="1528"/>
      <c r="X55" s="1528"/>
      <c r="Y55" s="1528"/>
      <c r="Z55" s="1528"/>
      <c r="AA55" s="1528"/>
      <c r="AB55" s="1528"/>
      <c r="AC55" s="1528"/>
      <c r="AD55" s="1528"/>
      <c r="AE55" s="1528"/>
      <c r="AF55" s="1528"/>
      <c r="AG55" s="1528"/>
      <c r="AH55" s="1528"/>
      <c r="AI55" s="1528"/>
      <c r="AJ55" s="1528"/>
      <c r="AK55" s="1528"/>
      <c r="AL55" s="1528"/>
      <c r="AM55" s="1528"/>
      <c r="AN55" s="1528"/>
      <c r="AO55" s="1528"/>
      <c r="AP55" s="1528"/>
      <c r="AQ55" s="1528"/>
      <c r="AT55" s="1527" t="s">
        <v>252</v>
      </c>
      <c r="AU55" s="2412"/>
      <c r="AV55" s="1526">
        <f>+AV54/AV52*13</f>
        <v>4.4451379595134792</v>
      </c>
      <c r="AW55" s="1526">
        <f>+AW54/AW52*13</f>
        <v>2.807059047539834</v>
      </c>
      <c r="AX55" s="1526">
        <f>+AX54/AX52*13</f>
        <v>10.017660180086047</v>
      </c>
      <c r="AY55" s="1526"/>
      <c r="AZ55" s="1526"/>
      <c r="BA55" s="1526">
        <f t="shared" ref="BA55:BG55" si="59">+BA54/BA52*13</f>
        <v>13</v>
      </c>
      <c r="BB55" s="1526">
        <f t="shared" si="59"/>
        <v>9.6599362310872454</v>
      </c>
      <c r="BC55" s="1526">
        <f t="shared" si="59"/>
        <v>8.3101388121003836</v>
      </c>
      <c r="BD55" s="1526">
        <f t="shared" si="59"/>
        <v>9.902637392581072</v>
      </c>
      <c r="BE55" s="1526">
        <f t="shared" si="59"/>
        <v>5.5771756010763509</v>
      </c>
      <c r="BF55" s="1526">
        <f t="shared" si="59"/>
        <v>11.523665349325583</v>
      </c>
      <c r="BG55" s="1526">
        <f t="shared" si="59"/>
        <v>4.744400163110039</v>
      </c>
      <c r="BH55" s="1526">
        <v>13</v>
      </c>
      <c r="BI55" s="1526">
        <f>+BI56/BI52*13</f>
        <v>88.568478184021089</v>
      </c>
      <c r="BJ55" s="1526">
        <v>13</v>
      </c>
      <c r="BK55" s="1526">
        <f>+BK56/BK52*13</f>
        <v>10.599383557974107</v>
      </c>
      <c r="BL55" s="1526">
        <f>+BL56/BL52*13</f>
        <v>13</v>
      </c>
      <c r="BM55" s="1526">
        <v>13</v>
      </c>
      <c r="BN55" s="1526">
        <v>13</v>
      </c>
      <c r="BO55" s="1526">
        <f t="shared" ref="BO55:CJ55" si="60">+BO56/BO52*13</f>
        <v>14.335148007801083</v>
      </c>
      <c r="BP55" s="1525">
        <f t="shared" si="60"/>
        <v>11.723894038932375</v>
      </c>
      <c r="BQ55" s="1525">
        <f t="shared" si="60"/>
        <v>4.3482741211672229</v>
      </c>
      <c r="BR55" s="1525">
        <f t="shared" si="60"/>
        <v>4.0838844598492337</v>
      </c>
      <c r="BS55" s="1525">
        <f t="shared" si="60"/>
        <v>4.0419581650215424</v>
      </c>
      <c r="BT55" s="1525">
        <f t="shared" si="60"/>
        <v>3.7024866651628492</v>
      </c>
      <c r="BU55" s="1525">
        <f t="shared" si="60"/>
        <v>4.2098483641226832</v>
      </c>
      <c r="BV55" s="1525">
        <f t="shared" si="60"/>
        <v>5.2811212701597823</v>
      </c>
      <c r="BW55" s="1525">
        <f t="shared" si="60"/>
        <v>5.169214031005942</v>
      </c>
      <c r="BX55" s="1525">
        <f t="shared" si="60"/>
        <v>4.3199034414104407</v>
      </c>
      <c r="BY55" s="1525">
        <f t="shared" si="60"/>
        <v>4.2649564543044836</v>
      </c>
      <c r="BZ55" s="1525">
        <f t="shared" si="60"/>
        <v>4.2649564543044836</v>
      </c>
      <c r="CA55" s="1525">
        <f t="shared" si="60"/>
        <v>4.4690924981546187</v>
      </c>
      <c r="CB55" s="1525">
        <f t="shared" si="60"/>
        <v>4.4690924981546187</v>
      </c>
      <c r="CC55" s="1525">
        <f t="shared" si="60"/>
        <v>4.2625898646943563</v>
      </c>
      <c r="CD55" s="1525">
        <f t="shared" si="60"/>
        <v>3.9709084942290298</v>
      </c>
      <c r="CE55" s="1525">
        <f t="shared" si="60"/>
        <v>4.8399579481662576</v>
      </c>
      <c r="CF55" s="1525">
        <f t="shared" si="60"/>
        <v>4.7072585379046696</v>
      </c>
      <c r="CG55" s="1525">
        <f t="shared" si="60"/>
        <v>4.2248769335578897</v>
      </c>
      <c r="CH55" s="1525">
        <f t="shared" si="60"/>
        <v>4.2115945507638877</v>
      </c>
      <c r="CI55" s="1525">
        <f t="shared" si="60"/>
        <v>4.3313049095338485</v>
      </c>
      <c r="CJ55" s="1525">
        <f t="shared" si="60"/>
        <v>4.4882552859404505</v>
      </c>
    </row>
    <row r="56" spans="1:88" s="739" customFormat="1" ht="70.2" thickBot="1">
      <c r="A56" s="705"/>
      <c r="B56" s="1461"/>
      <c r="C56" s="1459"/>
      <c r="D56" s="1459"/>
      <c r="E56" s="1459"/>
      <c r="F56" s="1459"/>
      <c r="H56" s="1523"/>
      <c r="I56" s="1523"/>
      <c r="J56" s="1523"/>
      <c r="K56" s="1523"/>
      <c r="L56" s="1523"/>
      <c r="M56" s="1523"/>
      <c r="N56" s="1523"/>
      <c r="O56" s="702"/>
      <c r="P56" s="702"/>
      <c r="Q56" s="1523"/>
      <c r="R56" s="1523"/>
      <c r="S56" s="1523"/>
      <c r="T56" s="1523"/>
      <c r="U56" s="1523"/>
      <c r="V56" s="1523"/>
      <c r="W56" s="1179"/>
      <c r="X56" s="1179"/>
      <c r="Y56" s="1179"/>
      <c r="Z56" s="1179"/>
      <c r="AA56" s="702"/>
      <c r="AB56" s="702"/>
      <c r="AC56" s="702"/>
      <c r="AD56" s="702"/>
      <c r="AE56" s="702"/>
      <c r="AF56" s="702"/>
      <c r="AG56" s="702"/>
      <c r="AH56" s="702"/>
      <c r="AI56" s="702"/>
      <c r="AJ56" s="702"/>
      <c r="AK56" s="702"/>
      <c r="AL56" s="702"/>
      <c r="AM56" s="702"/>
      <c r="AN56" s="702"/>
      <c r="AO56" s="695"/>
      <c r="AT56" s="1522" t="s">
        <v>403</v>
      </c>
      <c r="AU56" s="1171"/>
      <c r="AV56" s="2413"/>
      <c r="AW56" s="2413"/>
      <c r="AX56" s="2414"/>
      <c r="AY56" s="1171"/>
      <c r="AZ56" s="1171"/>
      <c r="BA56" s="2413"/>
      <c r="BB56" s="2414"/>
      <c r="BC56" s="2413"/>
      <c r="BD56" s="2413"/>
      <c r="BE56" s="2413"/>
      <c r="BF56" s="2415"/>
      <c r="BG56" s="2416"/>
      <c r="BH56" s="1198">
        <f t="shared" ref="BH56:CJ56" si="61">+BH53/13</f>
        <v>12476737.449230772</v>
      </c>
      <c r="BI56" s="1198">
        <f>+BI53/13</f>
        <v>234918127.33503553</v>
      </c>
      <c r="BJ56" s="1198">
        <f t="shared" si="61"/>
        <v>31617516.507692255</v>
      </c>
      <c r="BK56" s="1198">
        <f>+BK53/13</f>
        <v>130666693.52810772</v>
      </c>
      <c r="BL56" s="1198">
        <f t="shared" si="61"/>
        <v>532375</v>
      </c>
      <c r="BM56" s="1198">
        <f t="shared" si="61"/>
        <v>56976437.795739248</v>
      </c>
      <c r="BN56" s="1198">
        <f t="shared" si="61"/>
        <v>3745932.153846154</v>
      </c>
      <c r="BO56" s="1198">
        <f t="shared" si="61"/>
        <v>233281363.9668763</v>
      </c>
      <c r="BP56" s="1198">
        <f t="shared" si="61"/>
        <v>30025452.800869845</v>
      </c>
      <c r="BQ56" s="1198">
        <f t="shared" si="61"/>
        <v>3176451.841795845</v>
      </c>
      <c r="BR56" s="1198">
        <f t="shared" si="61"/>
        <v>499346.36219835927</v>
      </c>
      <c r="BS56" s="1198">
        <f t="shared" si="61"/>
        <v>476028.32989841804</v>
      </c>
      <c r="BT56" s="1198">
        <f t="shared" si="61"/>
        <v>602178.67594174808</v>
      </c>
      <c r="BU56" s="1198">
        <f t="shared" si="61"/>
        <v>478128.76597945602</v>
      </c>
      <c r="BV56" s="1198">
        <f t="shared" si="61"/>
        <v>340797.09989335231</v>
      </c>
      <c r="BW56" s="1198">
        <f t="shared" si="61"/>
        <v>172539.6836356828</v>
      </c>
      <c r="BX56" s="1198">
        <f t="shared" si="61"/>
        <v>455252.38362333557</v>
      </c>
      <c r="BY56" s="1198">
        <f t="shared" si="61"/>
        <v>195963.97300232825</v>
      </c>
      <c r="BZ56" s="1198">
        <f t="shared" si="61"/>
        <v>195963.97300232825</v>
      </c>
      <c r="CA56" s="1198">
        <f t="shared" si="61"/>
        <v>195710.84668371992</v>
      </c>
      <c r="CB56" s="1198">
        <f t="shared" si="61"/>
        <v>195710.84668371992</v>
      </c>
      <c r="CC56" s="1198">
        <f t="shared" si="61"/>
        <v>518592.09955402493</v>
      </c>
      <c r="CD56" s="1198">
        <f t="shared" si="61"/>
        <v>393090.30080180772</v>
      </c>
      <c r="CE56" s="1198">
        <f t="shared" si="61"/>
        <v>1786813.3081468551</v>
      </c>
      <c r="CF56" s="1198">
        <f t="shared" si="61"/>
        <v>1811246.4099781364</v>
      </c>
      <c r="CG56" s="1198">
        <f t="shared" si="61"/>
        <v>40139.252067311783</v>
      </c>
      <c r="CH56" s="1198">
        <f t="shared" si="61"/>
        <v>40188.679789386697</v>
      </c>
      <c r="CI56" s="1198">
        <f t="shared" si="61"/>
        <v>112441.09433437568</v>
      </c>
      <c r="CJ56" s="1198">
        <f t="shared" si="61"/>
        <v>46077.10990518453</v>
      </c>
    </row>
    <row r="57" spans="1:88" s="1434" customFormat="1">
      <c r="A57" s="739"/>
      <c r="B57" s="739"/>
      <c r="C57" s="1459"/>
      <c r="D57" s="1459"/>
      <c r="E57" s="1459"/>
      <c r="F57" s="1459"/>
      <c r="G57" s="1459"/>
      <c r="H57" s="1459"/>
      <c r="I57" s="1459"/>
      <c r="J57" s="1459"/>
      <c r="K57" s="1459"/>
      <c r="L57" s="1459"/>
      <c r="M57" s="1459"/>
      <c r="N57" s="1459"/>
      <c r="O57" s="1459"/>
      <c r="P57" s="1459"/>
      <c r="Q57" s="1459"/>
      <c r="R57" s="1459"/>
      <c r="S57" s="1459"/>
      <c r="T57" s="1459"/>
      <c r="U57" s="1459"/>
      <c r="V57" s="1459"/>
      <c r="W57" s="1459"/>
      <c r="X57" s="1459"/>
      <c r="Y57" s="1459"/>
      <c r="Z57" s="1459"/>
      <c r="AA57" s="1459"/>
      <c r="AB57" s="1459"/>
      <c r="AC57" s="1459"/>
      <c r="AD57" s="1459"/>
      <c r="AE57" s="1459"/>
      <c r="AF57" s="1459"/>
      <c r="AG57" s="1459"/>
      <c r="AH57" s="1459"/>
      <c r="AI57" s="1459"/>
      <c r="AJ57" s="1459"/>
      <c r="AK57" s="1459"/>
      <c r="AL57" s="1459"/>
      <c r="AM57" s="1459"/>
      <c r="AN57" s="1459"/>
      <c r="AO57" s="1459"/>
      <c r="AP57" s="1459"/>
      <c r="AQ57" s="1459"/>
      <c r="AR57" s="1460"/>
      <c r="AS57" s="1460"/>
      <c r="AT57" s="1460"/>
    </row>
    <row r="58" spans="1:88" s="1434" customFormat="1">
      <c r="A58" s="739"/>
      <c r="B58" s="739"/>
      <c r="C58" s="1459"/>
      <c r="D58" s="1459"/>
      <c r="E58" s="1459"/>
      <c r="F58" s="1460"/>
      <c r="G58" s="1460"/>
      <c r="H58" s="1460"/>
      <c r="I58" s="1460"/>
      <c r="J58" s="1460"/>
      <c r="K58" s="1460"/>
      <c r="L58" s="1460"/>
      <c r="M58" s="1460"/>
      <c r="N58" s="1460"/>
      <c r="O58" s="1460"/>
      <c r="P58" s="1460"/>
      <c r="Q58" s="1460"/>
      <c r="R58" s="1460"/>
      <c r="S58" s="1460"/>
      <c r="T58" s="1460"/>
      <c r="U58" s="1460"/>
      <c r="V58" s="1460"/>
      <c r="W58" s="1460"/>
      <c r="X58" s="1460"/>
      <c r="Y58" s="1460"/>
      <c r="Z58" s="1460"/>
      <c r="AA58" s="1460"/>
      <c r="AB58" s="1460"/>
      <c r="AC58" s="1460"/>
      <c r="AD58" s="1460"/>
      <c r="AE58" s="1460"/>
      <c r="AF58" s="1460"/>
      <c r="AG58" s="1460"/>
      <c r="AH58" s="1460"/>
      <c r="AI58" s="1460"/>
      <c r="AJ58" s="1460"/>
      <c r="AK58" s="1460"/>
      <c r="AL58" s="1460"/>
      <c r="AM58" s="1460"/>
      <c r="AN58" s="1460"/>
      <c r="AO58" s="1460"/>
      <c r="AP58" s="1460"/>
      <c r="AQ58" s="1460"/>
      <c r="AR58" s="1460"/>
      <c r="AS58" s="1460"/>
      <c r="AT58" s="1460"/>
    </row>
    <row r="59" spans="1:88" s="1434" customFormat="1">
      <c r="A59" s="739"/>
      <c r="B59" s="1521"/>
      <c r="C59" s="1459"/>
      <c r="D59" s="1459"/>
      <c r="E59" s="1459"/>
      <c r="F59" s="1459"/>
      <c r="G59" s="1459"/>
      <c r="H59" s="1459"/>
      <c r="I59" s="1459"/>
      <c r="J59" s="1459"/>
      <c r="K59" s="1459"/>
      <c r="L59" s="1459"/>
      <c r="M59" s="1459"/>
      <c r="N59" s="1459"/>
      <c r="O59" s="1459"/>
      <c r="P59" s="1459"/>
      <c r="Q59" s="1459"/>
      <c r="R59" s="1459"/>
      <c r="S59" s="1459"/>
      <c r="T59" s="1459"/>
      <c r="U59" s="1459"/>
      <c r="V59" s="1459"/>
      <c r="W59" s="1459"/>
      <c r="X59" s="1459"/>
      <c r="Y59" s="1459"/>
      <c r="Z59" s="1459"/>
      <c r="AA59" s="1459"/>
      <c r="AB59" s="1459"/>
      <c r="AC59" s="1459"/>
      <c r="AD59" s="1459"/>
      <c r="AE59" s="1459"/>
      <c r="AF59" s="1459"/>
      <c r="AG59" s="1459"/>
      <c r="AH59" s="1459"/>
      <c r="AI59" s="1459"/>
      <c r="AJ59" s="1459"/>
      <c r="AK59" s="1459"/>
      <c r="AL59" s="1459"/>
      <c r="AM59" s="1459"/>
      <c r="AN59" s="1459"/>
      <c r="AO59" s="1459"/>
      <c r="AP59" s="1459"/>
      <c r="AQ59" s="1459"/>
    </row>
    <row r="60" spans="1:88" s="1434" customFormat="1" ht="18" thickBot="1">
      <c r="A60" s="740"/>
      <c r="B60" s="740"/>
      <c r="C60" s="1463"/>
      <c r="D60" s="1463"/>
      <c r="E60" s="1463"/>
      <c r="F60" s="1520"/>
      <c r="G60" s="1463"/>
      <c r="H60" s="1463"/>
      <c r="I60" s="1463"/>
      <c r="J60" s="1463"/>
      <c r="K60" s="1463"/>
      <c r="L60" s="1460"/>
      <c r="M60" s="1460"/>
      <c r="N60" s="1460"/>
      <c r="O60" s="1459"/>
      <c r="P60" s="1459"/>
      <c r="R60" s="1460"/>
      <c r="S60" s="1460"/>
      <c r="T60" s="1460"/>
      <c r="U60" s="1460"/>
      <c r="V60" s="1460"/>
      <c r="W60" s="1460"/>
      <c r="X60" s="1460"/>
      <c r="Y60" s="1460"/>
      <c r="Z60" s="1460"/>
      <c r="AA60" s="1460"/>
      <c r="AB60" s="1460"/>
      <c r="AC60" s="1460"/>
      <c r="AD60" s="1460"/>
      <c r="AE60" s="1460"/>
      <c r="AF60" s="1460"/>
      <c r="AG60" s="1460"/>
      <c r="AH60" s="1460"/>
      <c r="AI60" s="1460"/>
      <c r="AJ60" s="1460"/>
      <c r="AK60" s="1460"/>
      <c r="AL60" s="1460"/>
      <c r="AM60" s="1460"/>
      <c r="AN60" s="1460"/>
      <c r="AO60" s="1460"/>
      <c r="AP60" s="1460"/>
      <c r="AQ60" s="1460"/>
    </row>
    <row r="61" spans="1:88" s="694" customFormat="1" ht="26.25" customHeight="1" thickBot="1">
      <c r="A61" s="1519"/>
      <c r="B61" s="2599" t="s">
        <v>1116</v>
      </c>
      <c r="C61" s="2600"/>
      <c r="D61" s="2600"/>
      <c r="E61" s="2600"/>
      <c r="F61" s="2600"/>
      <c r="G61" s="2600"/>
      <c r="H61" s="2600"/>
      <c r="I61" s="2600"/>
      <c r="J61" s="2600"/>
      <c r="K61" s="2600"/>
      <c r="L61" s="2600"/>
      <c r="M61" s="2600"/>
      <c r="N61" s="2600"/>
      <c r="O61" s="2600"/>
      <c r="P61" s="2600"/>
      <c r="Q61" s="2600"/>
      <c r="R61" s="2600"/>
      <c r="S61" s="2600"/>
      <c r="T61" s="2600"/>
      <c r="U61" s="2600"/>
      <c r="V61" s="2600"/>
      <c r="W61" s="2600"/>
      <c r="X61" s="2599" t="s">
        <v>1116</v>
      </c>
      <c r="Y61" s="2600"/>
      <c r="Z61" s="2600"/>
      <c r="AA61" s="2600"/>
      <c r="AB61" s="2600"/>
      <c r="AC61" s="2600"/>
      <c r="AD61" s="2600"/>
      <c r="AE61" s="2600"/>
      <c r="AF61" s="2600"/>
      <c r="AG61" s="2600"/>
      <c r="AH61" s="2600"/>
      <c r="AI61" s="2600"/>
      <c r="AJ61" s="2600"/>
      <c r="AK61" s="2600"/>
      <c r="AL61" s="2600"/>
      <c r="AM61" s="2600"/>
      <c r="AN61" s="2600"/>
      <c r="AO61" s="2600"/>
      <c r="AP61" s="2600"/>
      <c r="AQ61" s="2600"/>
      <c r="AR61" s="2600"/>
      <c r="AS61" s="2600"/>
      <c r="AT61" s="2601" t="s">
        <v>1116</v>
      </c>
      <c r="AU61" s="2600"/>
      <c r="AV61" s="2600"/>
      <c r="AW61" s="2600"/>
      <c r="AX61" s="2600"/>
      <c r="AY61" s="2600"/>
      <c r="AZ61" s="2600"/>
      <c r="BA61" s="2600"/>
      <c r="BB61" s="2600"/>
      <c r="BC61" s="2600"/>
      <c r="BD61" s="2600"/>
      <c r="BE61" s="2600"/>
      <c r="BF61" s="2600"/>
      <c r="BG61" s="2600"/>
      <c r="BH61" s="2600"/>
      <c r="BI61" s="2600"/>
      <c r="BJ61" s="2600"/>
      <c r="BK61" s="2600"/>
      <c r="BL61" s="2600"/>
      <c r="BM61" s="2451"/>
    </row>
    <row r="62" spans="1:88" s="1500" customFormat="1" ht="261.60000000000002" thickBot="1">
      <c r="B62" s="1172" t="s">
        <v>449</v>
      </c>
      <c r="C62" s="1172" t="s">
        <v>479</v>
      </c>
      <c r="D62" s="1172" t="s">
        <v>183</v>
      </c>
      <c r="E62" s="1172" t="s">
        <v>480</v>
      </c>
      <c r="F62" s="1172" t="s">
        <v>481</v>
      </c>
      <c r="G62" s="1172" t="s">
        <v>482</v>
      </c>
      <c r="H62" s="1172" t="s">
        <v>328</v>
      </c>
      <c r="I62" s="1172" t="s">
        <v>531</v>
      </c>
      <c r="J62" s="1172" t="s">
        <v>184</v>
      </c>
      <c r="K62" s="1172" t="s">
        <v>568</v>
      </c>
      <c r="L62" s="1172" t="s">
        <v>77</v>
      </c>
      <c r="M62" s="1172" t="s">
        <v>79</v>
      </c>
      <c r="N62" s="1173" t="s">
        <v>973</v>
      </c>
      <c r="O62" s="1173" t="s">
        <v>972</v>
      </c>
      <c r="P62" s="1172" t="s">
        <v>899</v>
      </c>
      <c r="Q62" s="1172" t="s">
        <v>724</v>
      </c>
      <c r="R62" s="1172" t="s">
        <v>900</v>
      </c>
      <c r="S62" s="1172" t="s">
        <v>902</v>
      </c>
      <c r="T62" s="1172" t="s">
        <v>971</v>
      </c>
      <c r="U62" s="1172" t="s">
        <v>719</v>
      </c>
      <c r="V62" s="1172" t="s">
        <v>875</v>
      </c>
      <c r="W62" s="1172" t="s">
        <v>970</v>
      </c>
      <c r="X62" s="1172" t="s">
        <v>969</v>
      </c>
      <c r="Y62" s="1172" t="s">
        <v>968</v>
      </c>
      <c r="Z62" s="1172" t="s">
        <v>967</v>
      </c>
      <c r="AA62" s="1172" t="s">
        <v>966</v>
      </c>
      <c r="AB62" s="1172" t="s">
        <v>911</v>
      </c>
      <c r="AC62" s="1172" t="s">
        <v>716</v>
      </c>
      <c r="AD62" s="1172" t="s">
        <v>717</v>
      </c>
      <c r="AE62" s="1172" t="s">
        <v>718</v>
      </c>
      <c r="AF62" s="1172" t="s">
        <v>903</v>
      </c>
      <c r="AG62" s="1172" t="s">
        <v>965</v>
      </c>
      <c r="AH62" s="1172" t="s">
        <v>925</v>
      </c>
      <c r="AI62" s="1172" t="s">
        <v>964</v>
      </c>
      <c r="AJ62" s="1172" t="s">
        <v>963</v>
      </c>
      <c r="AK62" s="1172" t="s">
        <v>869</v>
      </c>
      <c r="AL62" s="1172" t="s">
        <v>735</v>
      </c>
      <c r="AM62" s="1172" t="s">
        <v>962</v>
      </c>
      <c r="AN62" s="1172" t="s">
        <v>725</v>
      </c>
      <c r="AO62" s="1172" t="s">
        <v>863</v>
      </c>
      <c r="AP62" s="1502" t="s">
        <v>961</v>
      </c>
      <c r="AQ62" s="1172" t="s">
        <v>906</v>
      </c>
      <c r="AR62" s="2452" t="s">
        <v>960</v>
      </c>
      <c r="AS62" s="2452" t="s">
        <v>959</v>
      </c>
      <c r="AT62" s="2452" t="s">
        <v>958</v>
      </c>
      <c r="AU62" s="2452" t="s">
        <v>957</v>
      </c>
      <c r="AV62" s="2452" t="s">
        <v>956</v>
      </c>
      <c r="AW62" s="2452" t="s">
        <v>955</v>
      </c>
      <c r="AX62" s="2452" t="s">
        <v>954</v>
      </c>
      <c r="AY62" s="2452" t="s">
        <v>953</v>
      </c>
      <c r="AZ62" s="2452" t="s">
        <v>952</v>
      </c>
      <c r="BA62" s="2452" t="s">
        <v>951</v>
      </c>
      <c r="BB62" s="2452" t="s">
        <v>950</v>
      </c>
      <c r="BC62" s="2452" t="s">
        <v>949</v>
      </c>
      <c r="BD62" s="2452" t="s">
        <v>948</v>
      </c>
      <c r="BE62" s="2452" t="s">
        <v>947</v>
      </c>
      <c r="BF62" s="2452" t="s">
        <v>946</v>
      </c>
      <c r="BG62" s="2452" t="s">
        <v>945</v>
      </c>
      <c r="BH62" s="2452" t="s">
        <v>944</v>
      </c>
      <c r="BI62" s="2452" t="s">
        <v>943</v>
      </c>
      <c r="BJ62" s="2452" t="s">
        <v>942</v>
      </c>
      <c r="BK62" s="2452" t="s">
        <v>941</v>
      </c>
      <c r="BL62" s="2452" t="s">
        <v>876</v>
      </c>
    </row>
    <row r="63" spans="1:88" s="2500" customFormat="1" ht="18" thickBot="1">
      <c r="A63" s="2453"/>
      <c r="B63" s="2454">
        <f>SUM(C63:BL63)</f>
        <v>349823024.29961312</v>
      </c>
      <c r="C63" s="2455">
        <f>+'7 -TEC'!G57</f>
        <v>2555171.6555022607</v>
      </c>
      <c r="D63" s="2456">
        <f>+'7 -TEC'!J57</f>
        <v>1034440.7297169324</v>
      </c>
      <c r="E63" s="2457">
        <f>+'7 -TEC'!M57</f>
        <v>11097628.941027995</v>
      </c>
      <c r="F63" s="2458">
        <f>+'7 -TEC'!P57</f>
        <v>2812043.2231571111</v>
      </c>
      <c r="G63" s="2459">
        <f>+'7 -TEC'!S57</f>
        <v>3563357.8576673842</v>
      </c>
      <c r="H63" s="2460">
        <f>+'7 -TEC'!V57</f>
        <v>3454840.9909653161</v>
      </c>
      <c r="I63" s="2461">
        <f>+'7 -TEC'!Y57</f>
        <v>2099276.3432224849</v>
      </c>
      <c r="J63" s="2462">
        <f>+'7 -TEC'!AB57</f>
        <v>918262.76351209683</v>
      </c>
      <c r="K63" s="2463">
        <f>+'7 -TEC'!AE57</f>
        <v>2817995.7530592056</v>
      </c>
      <c r="L63" s="2464">
        <f>+'7 -TEC'!AH57</f>
        <v>3608.6857606949225</v>
      </c>
      <c r="M63" s="2465">
        <f>+'7 -TEC'!AK57</f>
        <v>1263663.2655233743</v>
      </c>
      <c r="N63" s="2466">
        <f>+'7 -TEC'!AN57</f>
        <v>2874635.6550989319</v>
      </c>
      <c r="O63" s="2467">
        <f>+'7 -TEC'!AQ57</f>
        <v>2983682.9833278074</v>
      </c>
      <c r="P63" s="2468">
        <f>+'7 -TEC'!AT57</f>
        <v>11437086.10375203</v>
      </c>
      <c r="Q63" s="2469">
        <f>+'7 -TEC'!AW57</f>
        <v>2049663.5277240679</v>
      </c>
      <c r="R63" s="2470">
        <f>+'7 -TEC'!AZ57</f>
        <v>2650352.7605969938</v>
      </c>
      <c r="S63" s="2471">
        <f>+'7 -TEC'!BC57</f>
        <v>913777.13513302652</v>
      </c>
      <c r="T63" s="2457">
        <f>+'7 -TEC'!BF57</f>
        <v>6607678.634690633</v>
      </c>
      <c r="U63" s="2463">
        <f>+'7 -TEC'!BI57</f>
        <v>1755636.3368108408</v>
      </c>
      <c r="V63" s="2472">
        <f>+'7 -TEC'!BL57</f>
        <v>3209865.9795117257</v>
      </c>
      <c r="W63" s="2473">
        <f>+'7 -TEC'!BO57</f>
        <v>0</v>
      </c>
      <c r="X63" s="2474">
        <f>+'7 -TEC'!BR57</f>
        <v>0</v>
      </c>
      <c r="Y63" s="2472">
        <f>+'7 -TEC'!BU57</f>
        <v>8878851.7682099827</v>
      </c>
      <c r="Z63" s="2473">
        <f>+'7 -TEC'!BX57</f>
        <v>3438903.2393366266</v>
      </c>
      <c r="AA63" s="2475">
        <f>+'7 -TEC'!CA57</f>
        <v>234599.00825794463</v>
      </c>
      <c r="AB63" s="2476">
        <f>+'7 -TEC'!CD57</f>
        <v>859361.12225169642</v>
      </c>
      <c r="AC63" s="2457">
        <f>+'7 -TEC'!CG57</f>
        <v>4647913.14120105</v>
      </c>
      <c r="AD63" s="2477">
        <f>+'7 -TEC'!CJ57</f>
        <v>66426878.657638691</v>
      </c>
      <c r="AE63" s="2465">
        <f>+'7 -TEC'!CM57</f>
        <v>37392933.364198133</v>
      </c>
      <c r="AF63" s="2478">
        <f>+'7 -TEC'!CS57</f>
        <v>47135527.716749653</v>
      </c>
      <c r="AG63" s="2479">
        <f>+'7 -TEC'!CV57</f>
        <v>14884012.682512447</v>
      </c>
      <c r="AH63" s="2465">
        <f>+'7 -TEC'!CP57</f>
        <v>5279190.5034094471</v>
      </c>
      <c r="AI63" s="2480">
        <f>+'7 -TEC'!DB57</f>
        <v>31002624.1988426</v>
      </c>
      <c r="AJ63" s="2481">
        <f>+'7 -TEC'!CY57</f>
        <v>1646580.4778635267</v>
      </c>
      <c r="AK63" s="2462">
        <f>+'7 -TEC'!DE57</f>
        <v>3895715.418987371</v>
      </c>
      <c r="AL63" s="2482">
        <f>+'7 -TEC'!DH57</f>
        <v>16099944.238242168</v>
      </c>
      <c r="AM63" s="2483">
        <f>+'7 -TEC'!DK57</f>
        <v>65595.964682388032</v>
      </c>
      <c r="AN63" s="2465">
        <f>+'7 -TEC'!DN57</f>
        <v>7020285.3277813382</v>
      </c>
      <c r="AO63" s="2484">
        <f>+'7 -TEC'!DQ57</f>
        <v>461550.66121871618</v>
      </c>
      <c r="AP63" s="2485">
        <f>+'7 -TEC'!DT57</f>
        <v>29152116.376349088</v>
      </c>
      <c r="AQ63" s="2486">
        <f>+'7 -TEC'!DW57</f>
        <v>3752144.9610000532</v>
      </c>
      <c r="AR63" s="2478">
        <f>+'7 -TEC'!DZ57</f>
        <v>391382.80879032012</v>
      </c>
      <c r="AS63" s="2487">
        <f>+'7 -TEC'!EC57</f>
        <v>61526.379599046748</v>
      </c>
      <c r="AT63" s="2488">
        <f>+'7 -TEC'!EF57</f>
        <v>58653.275446504427</v>
      </c>
      <c r="AU63" s="2489">
        <f>+'7 -TEC'!EI57</f>
        <v>74196.743197111238</v>
      </c>
      <c r="AV63" s="2475">
        <f>+'7 -TEC'!EL57</f>
        <v>58912.078228358143</v>
      </c>
      <c r="AW63" s="2490">
        <f>+'7 -TEC'!EO57</f>
        <v>41990.917170161265</v>
      </c>
      <c r="AX63" s="2491">
        <f>+'7 -TEC'!ER57</f>
        <v>21259.275875232033</v>
      </c>
      <c r="AY63" s="2492">
        <f>+'7 -TEC'!EU57</f>
        <v>56093.391458519436</v>
      </c>
      <c r="AZ63" s="2483">
        <f>+'7 -TEC'!EX57</f>
        <v>24145.472368313996</v>
      </c>
      <c r="BA63" s="2493">
        <f>+'7 -TEC'!FA57</f>
        <v>24145.472368313996</v>
      </c>
      <c r="BB63" s="2478">
        <f>+'7 -TEC'!FD57</f>
        <v>24114.283704203899</v>
      </c>
      <c r="BC63" s="2486">
        <f>+'7 -TEC'!FG57</f>
        <v>24114.283704203899</v>
      </c>
      <c r="BD63" s="2494">
        <f>+'7 -TEC'!FJ57</f>
        <v>63897.720679805156</v>
      </c>
      <c r="BE63" s="2495">
        <f>+'7 -TEC'!FM57</f>
        <v>48434.162927231118</v>
      </c>
      <c r="BF63" s="2496">
        <f>+'7 -TEC'!FP57</f>
        <v>220160.11769001556</v>
      </c>
      <c r="BG63" s="2497">
        <f>+'7 -TEC'!FS57</f>
        <v>223170.6138342859</v>
      </c>
      <c r="BH63" s="2486">
        <f>+'7 -TEC'!FV57</f>
        <v>4945.7111265270805</v>
      </c>
      <c r="BI63" s="2487">
        <f>+'7 -TEC'!FY57</f>
        <v>4951.8013056518648</v>
      </c>
      <c r="BJ63" s="2494">
        <f>+'7 -TEC'!GB57</f>
        <v>13854.298291254789</v>
      </c>
      <c r="BK63" s="2498">
        <f>+'7 -TEC'!GE57</f>
        <v>5677.337354321664</v>
      </c>
      <c r="BL63" s="2499">
        <f>+'7 -TEC'!GH57</f>
        <v>0</v>
      </c>
    </row>
    <row r="64" spans="1:88" s="739" customFormat="1">
      <c r="A64" s="1474"/>
      <c r="B64" s="1174"/>
      <c r="C64" s="1463"/>
      <c r="D64" s="1463"/>
      <c r="E64" s="1460"/>
      <c r="F64" s="1460"/>
      <c r="G64" s="1460"/>
      <c r="H64" s="1460"/>
      <c r="I64" s="1460"/>
      <c r="J64" s="1460"/>
      <c r="K64" s="1460"/>
      <c r="L64" s="1460"/>
      <c r="M64" s="1463"/>
      <c r="N64" s="1463"/>
      <c r="O64" s="1463"/>
      <c r="P64" s="1460"/>
      <c r="Q64" s="1460"/>
      <c r="R64" s="1460"/>
      <c r="S64" s="1459"/>
      <c r="T64" s="1459"/>
      <c r="U64" s="1459"/>
      <c r="V64" s="1434"/>
      <c r="W64" s="1434"/>
      <c r="X64" s="1434"/>
      <c r="Y64" s="1434"/>
      <c r="Z64" s="1434"/>
      <c r="AA64" s="1459"/>
      <c r="AB64" s="1459"/>
      <c r="AC64" s="1459"/>
      <c r="AG64" s="1459"/>
      <c r="AH64" s="1459"/>
      <c r="AI64" s="1459"/>
      <c r="AJ64" s="1459"/>
      <c r="AK64" s="1459"/>
      <c r="AL64" s="1459"/>
      <c r="AN64" s="1459"/>
      <c r="AO64" s="1434"/>
      <c r="AP64" s="1434"/>
      <c r="AQ64" s="1434"/>
      <c r="AR64" s="1434"/>
      <c r="AS64" s="1434"/>
    </row>
    <row r="65" spans="1:64" s="739" customFormat="1">
      <c r="A65" s="1474"/>
      <c r="B65" s="1174"/>
      <c r="C65" s="1463"/>
      <c r="D65" s="1463"/>
      <c r="E65" s="1460"/>
      <c r="F65" s="1460"/>
      <c r="G65" s="1460"/>
      <c r="H65" s="1460"/>
      <c r="I65" s="1460"/>
      <c r="J65" s="1460"/>
      <c r="K65" s="1460"/>
      <c r="L65" s="1460"/>
      <c r="M65" s="1463"/>
      <c r="N65" s="1463"/>
      <c r="O65" s="1463"/>
      <c r="P65" s="1460"/>
      <c r="Q65" s="1460"/>
      <c r="R65" s="1460"/>
      <c r="S65" s="1459"/>
      <c r="T65" s="1459"/>
      <c r="U65" s="1459"/>
      <c r="V65" s="1434"/>
      <c r="W65" s="1459"/>
      <c r="X65" s="1459"/>
      <c r="Y65" s="1459"/>
      <c r="Z65" s="1459"/>
      <c r="AA65" s="1459"/>
      <c r="AB65" s="1459"/>
      <c r="AC65" s="1459"/>
      <c r="AD65" s="1459"/>
      <c r="AE65" s="1459"/>
      <c r="AF65" s="1434"/>
      <c r="AG65" s="1459"/>
      <c r="AH65" s="1459"/>
      <c r="AI65" s="1459"/>
      <c r="AJ65" s="1459"/>
      <c r="AK65" s="1459"/>
      <c r="AL65" s="1459"/>
      <c r="AN65" s="1459"/>
      <c r="AO65" s="1434"/>
      <c r="AP65" s="1434"/>
      <c r="AQ65" s="1434"/>
      <c r="AR65" s="1434"/>
      <c r="AS65" s="1434"/>
    </row>
    <row r="66" spans="1:64" s="739" customFormat="1" ht="18" thickBot="1">
      <c r="A66" s="1412"/>
      <c r="B66" s="738"/>
      <c r="C66" s="1463"/>
      <c r="D66" s="1463"/>
      <c r="E66" s="1463"/>
      <c r="F66" s="1463"/>
      <c r="G66" s="1463"/>
      <c r="H66" s="1463"/>
      <c r="I66" s="1463"/>
      <c r="J66" s="1463"/>
      <c r="K66" s="1463"/>
      <c r="L66" s="1463"/>
      <c r="M66" s="1463"/>
      <c r="N66" s="1463"/>
      <c r="O66" s="1463"/>
      <c r="P66" s="1463"/>
      <c r="Q66" s="1463"/>
      <c r="R66" s="1463"/>
      <c r="S66" s="1463"/>
      <c r="T66" s="1463"/>
      <c r="U66" s="1463"/>
      <c r="V66" s="1463"/>
      <c r="W66" s="1463"/>
      <c r="X66" s="1463"/>
      <c r="Y66" s="1463"/>
      <c r="Z66" s="1463"/>
      <c r="AA66" s="1463"/>
      <c r="AB66" s="1463"/>
      <c r="AC66" s="1463"/>
      <c r="AD66" s="1463"/>
      <c r="AE66" s="1463"/>
      <c r="AF66" s="1463"/>
      <c r="AG66" s="1463"/>
      <c r="AH66" s="1463"/>
      <c r="AI66" s="1463"/>
      <c r="AJ66" s="1463"/>
      <c r="AK66" s="1463"/>
      <c r="AL66" s="1463"/>
      <c r="AM66" s="1463"/>
      <c r="AN66" s="1463"/>
      <c r="AO66" s="1463"/>
      <c r="AP66" s="1463"/>
      <c r="AQ66" s="1434"/>
      <c r="AR66" s="1434"/>
      <c r="AS66" s="1434"/>
    </row>
    <row r="67" spans="1:64" s="739" customFormat="1" ht="18" thickBot="1">
      <c r="A67" s="1412"/>
      <c r="B67" s="2599" t="s">
        <v>1121</v>
      </c>
      <c r="C67" s="2600"/>
      <c r="D67" s="2600"/>
      <c r="E67" s="2600"/>
      <c r="F67" s="2600"/>
      <c r="G67" s="2600"/>
      <c r="H67" s="2600"/>
      <c r="I67" s="2600"/>
      <c r="J67" s="2600"/>
      <c r="K67" s="2600"/>
      <c r="L67" s="2600"/>
      <c r="M67" s="2600"/>
      <c r="N67" s="2600"/>
      <c r="O67" s="2600"/>
      <c r="P67" s="2600"/>
      <c r="Q67" s="2600"/>
      <c r="R67" s="2600"/>
      <c r="S67" s="2600"/>
      <c r="T67" s="2600"/>
      <c r="U67" s="2600"/>
      <c r="V67" s="2600"/>
      <c r="W67" s="2600"/>
      <c r="X67" s="2551" t="s">
        <v>1115</v>
      </c>
      <c r="Y67" s="2552"/>
      <c r="Z67" s="2552"/>
      <c r="AA67" s="2552"/>
      <c r="AB67" s="2552"/>
      <c r="AC67" s="2552"/>
      <c r="AD67" s="2552"/>
      <c r="AE67" s="2552"/>
      <c r="AF67" s="2552"/>
      <c r="AG67" s="2552"/>
      <c r="AH67" s="2552"/>
      <c r="AI67" s="2552"/>
      <c r="AJ67" s="2552"/>
      <c r="AK67" s="2552"/>
      <c r="AL67" s="2552"/>
      <c r="AM67" s="2552"/>
      <c r="AN67" s="2552"/>
      <c r="AO67" s="2552"/>
      <c r="AP67" s="2552"/>
      <c r="AQ67" s="2552"/>
      <c r="AR67" s="2552"/>
      <c r="AS67" s="2552"/>
      <c r="AT67" s="2601" t="s">
        <v>1121</v>
      </c>
      <c r="AU67" s="2600"/>
      <c r="AV67" s="2600"/>
      <c r="AW67" s="2600"/>
      <c r="AX67" s="2600"/>
      <c r="AY67" s="2600"/>
      <c r="AZ67" s="2600"/>
      <c r="BA67" s="2600"/>
      <c r="BB67" s="2600"/>
      <c r="BC67" s="2600"/>
      <c r="BD67" s="2600"/>
      <c r="BE67" s="2600"/>
      <c r="BF67" s="2600"/>
      <c r="BG67" s="2600"/>
      <c r="BH67" s="2600"/>
      <c r="BI67" s="2600"/>
      <c r="BJ67" s="2600"/>
      <c r="BK67" s="2600"/>
      <c r="BL67" s="2600"/>
    </row>
    <row r="68" spans="1:64" s="1500" customFormat="1" ht="261">
      <c r="B68" s="1172" t="s">
        <v>449</v>
      </c>
      <c r="C68" s="1172" t="s">
        <v>479</v>
      </c>
      <c r="D68" s="1172" t="s">
        <v>183</v>
      </c>
      <c r="E68" s="1172" t="s">
        <v>480</v>
      </c>
      <c r="F68" s="1172" t="s">
        <v>481</v>
      </c>
      <c r="G68" s="1172" t="s">
        <v>482</v>
      </c>
      <c r="H68" s="1172" t="s">
        <v>328</v>
      </c>
      <c r="I68" s="1172" t="s">
        <v>531</v>
      </c>
      <c r="J68" s="1172" t="s">
        <v>184</v>
      </c>
      <c r="K68" s="1172" t="s">
        <v>568</v>
      </c>
      <c r="L68" s="1172" t="s">
        <v>77</v>
      </c>
      <c r="M68" s="1172" t="s">
        <v>79</v>
      </c>
      <c r="N68" s="1173" t="s">
        <v>973</v>
      </c>
      <c r="O68" s="1173" t="s">
        <v>972</v>
      </c>
      <c r="P68" s="1172" t="s">
        <v>899</v>
      </c>
      <c r="Q68" s="1172" t="s">
        <v>724</v>
      </c>
      <c r="R68" s="1172" t="s">
        <v>900</v>
      </c>
      <c r="S68" s="1172" t="s">
        <v>902</v>
      </c>
      <c r="T68" s="1172" t="s">
        <v>971</v>
      </c>
      <c r="U68" s="1172" t="s">
        <v>719</v>
      </c>
      <c r="V68" s="1172" t="s">
        <v>875</v>
      </c>
      <c r="W68" s="1172" t="s">
        <v>970</v>
      </c>
      <c r="X68" s="1172" t="s">
        <v>969</v>
      </c>
      <c r="Y68" s="1172" t="s">
        <v>968</v>
      </c>
      <c r="Z68" s="1172" t="s">
        <v>967</v>
      </c>
      <c r="AA68" s="1172" t="s">
        <v>966</v>
      </c>
      <c r="AB68" s="1172" t="s">
        <v>911</v>
      </c>
      <c r="AC68" s="1172" t="s">
        <v>716</v>
      </c>
      <c r="AD68" s="1172" t="s">
        <v>717</v>
      </c>
      <c r="AE68" s="1172" t="s">
        <v>718</v>
      </c>
      <c r="AF68" s="1172" t="s">
        <v>903</v>
      </c>
      <c r="AG68" s="1172" t="s">
        <v>965</v>
      </c>
      <c r="AH68" s="1172" t="s">
        <v>925</v>
      </c>
      <c r="AI68" s="1172" t="s">
        <v>964</v>
      </c>
      <c r="AJ68" s="1172" t="s">
        <v>963</v>
      </c>
      <c r="AK68" s="1172" t="s">
        <v>869</v>
      </c>
      <c r="AL68" s="1172" t="s">
        <v>735</v>
      </c>
      <c r="AM68" s="1172" t="s">
        <v>962</v>
      </c>
      <c r="AN68" s="1172" t="s">
        <v>725</v>
      </c>
      <c r="AO68" s="1172" t="s">
        <v>863</v>
      </c>
      <c r="AP68" s="1172" t="s">
        <v>961</v>
      </c>
      <c r="AQ68" s="1172" t="s">
        <v>906</v>
      </c>
      <c r="AR68" s="2452" t="s">
        <v>960</v>
      </c>
      <c r="AS68" s="2452" t="s">
        <v>959</v>
      </c>
      <c r="AT68" s="2452" t="s">
        <v>958</v>
      </c>
      <c r="AU68" s="2452" t="s">
        <v>957</v>
      </c>
      <c r="AV68" s="2452" t="s">
        <v>956</v>
      </c>
      <c r="AW68" s="2452" t="s">
        <v>955</v>
      </c>
      <c r="AX68" s="2452" t="s">
        <v>954</v>
      </c>
      <c r="AY68" s="2452" t="s">
        <v>953</v>
      </c>
      <c r="AZ68" s="2452" t="s">
        <v>952</v>
      </c>
      <c r="BA68" s="2452" t="s">
        <v>951</v>
      </c>
      <c r="BB68" s="2452" t="s">
        <v>950</v>
      </c>
      <c r="BC68" s="2452" t="s">
        <v>949</v>
      </c>
      <c r="BD68" s="2452" t="s">
        <v>948</v>
      </c>
      <c r="BE68" s="2452" t="s">
        <v>947</v>
      </c>
      <c r="BF68" s="2452" t="s">
        <v>946</v>
      </c>
      <c r="BG68" s="2452" t="s">
        <v>945</v>
      </c>
      <c r="BH68" s="2452" t="s">
        <v>944</v>
      </c>
      <c r="BI68" s="2452" t="s">
        <v>943</v>
      </c>
      <c r="BJ68" s="2452" t="s">
        <v>942</v>
      </c>
      <c r="BK68" s="2452" t="s">
        <v>941</v>
      </c>
      <c r="BL68" s="2452" t="s">
        <v>876</v>
      </c>
    </row>
    <row r="69" spans="1:64" s="2500" customFormat="1" ht="18" thickBot="1">
      <c r="A69" s="2453"/>
      <c r="B69" s="2503">
        <f>SUM(C69:BL69)</f>
        <v>12872003.905371079</v>
      </c>
      <c r="C69" s="2504">
        <f>+C63-C32</f>
        <v>706818.8615624872</v>
      </c>
      <c r="D69" s="2505">
        <f t="shared" ref="D69:BL69" si="62">+D63-D32</f>
        <v>281907.03274193406</v>
      </c>
      <c r="E69" s="2506">
        <f t="shared" si="62"/>
        <v>3109603.2711574305</v>
      </c>
      <c r="F69" s="2507">
        <f t="shared" si="62"/>
        <v>781171.9597394634</v>
      </c>
      <c r="G69" s="2508">
        <f t="shared" si="62"/>
        <v>-239002.40151717281</v>
      </c>
      <c r="H69" s="2509">
        <f t="shared" si="62"/>
        <v>1037886.0576983914</v>
      </c>
      <c r="I69" s="2510">
        <f t="shared" si="62"/>
        <v>-872429.65160507429</v>
      </c>
      <c r="J69" s="2511">
        <f t="shared" si="62"/>
        <v>262583.86117329099</v>
      </c>
      <c r="K69" s="2512">
        <f t="shared" si="62"/>
        <v>473282.27693775296</v>
      </c>
      <c r="L69" s="2513">
        <f t="shared" si="62"/>
        <v>-928.37535557203682</v>
      </c>
      <c r="M69" s="2514">
        <f t="shared" si="62"/>
        <v>50074.032861675136</v>
      </c>
      <c r="N69" s="2515">
        <f t="shared" si="62"/>
        <v>784119.5249497469</v>
      </c>
      <c r="O69" s="2516">
        <f t="shared" si="62"/>
        <v>150037.3775797491</v>
      </c>
      <c r="P69" s="2517">
        <f t="shared" si="62"/>
        <v>6299081.917629878</v>
      </c>
      <c r="Q69" s="2518">
        <f t="shared" si="62"/>
        <v>1005134.9092734063</v>
      </c>
      <c r="R69" s="2519">
        <f t="shared" si="62"/>
        <v>2551428.8144281167</v>
      </c>
      <c r="S69" s="2520">
        <f t="shared" si="62"/>
        <v>527890.40820856497</v>
      </c>
      <c r="T69" s="2506">
        <f t="shared" si="62"/>
        <v>7661689.0195117071</v>
      </c>
      <c r="U69" s="2512">
        <f t="shared" si="62"/>
        <v>1486191.908143094</v>
      </c>
      <c r="V69" s="2521">
        <f t="shared" si="62"/>
        <v>313508.60350705869</v>
      </c>
      <c r="W69" s="2522">
        <f t="shared" si="62"/>
        <v>0</v>
      </c>
      <c r="X69" s="2523">
        <f t="shared" si="62"/>
        <v>-1706912.658231263</v>
      </c>
      <c r="Y69" s="2521">
        <f t="shared" si="62"/>
        <v>4393883.0976562239</v>
      </c>
      <c r="Z69" s="2522">
        <f t="shared" si="62"/>
        <v>-235937.37879300211</v>
      </c>
      <c r="AA69" s="2524">
        <f t="shared" si="62"/>
        <v>234599.00825794463</v>
      </c>
      <c r="AB69" s="2525">
        <f t="shared" si="62"/>
        <v>-467903.13804611517</v>
      </c>
      <c r="AC69" s="2506">
        <f t="shared" si="62"/>
        <v>537529.91288451338</v>
      </c>
      <c r="AD69" s="2526">
        <f t="shared" si="62"/>
        <v>21836725.560390428</v>
      </c>
      <c r="AE69" s="2514">
        <f t="shared" si="62"/>
        <v>-4583541.9079255015</v>
      </c>
      <c r="AF69" s="2527">
        <f t="shared" si="62"/>
        <v>-495834.15276937932</v>
      </c>
      <c r="AG69" s="2528">
        <f t="shared" si="62"/>
        <v>14851882.493672218</v>
      </c>
      <c r="AH69" s="2514">
        <f t="shared" si="62"/>
        <v>5279190.5034094471</v>
      </c>
      <c r="AI69" s="2529">
        <f t="shared" si="62"/>
        <v>-18976078.418724582</v>
      </c>
      <c r="AJ69" s="2530">
        <f t="shared" si="62"/>
        <v>-5248316.7099225596</v>
      </c>
      <c r="AK69" s="2511">
        <f t="shared" si="62"/>
        <v>-2198691.834422648</v>
      </c>
      <c r="AL69" s="2531">
        <f t="shared" si="62"/>
        <v>-6756618.8066441156</v>
      </c>
      <c r="AM69" s="2532">
        <f t="shared" si="62"/>
        <v>-29566.471598801902</v>
      </c>
      <c r="AN69" s="2514">
        <f t="shared" si="62"/>
        <v>8909570.5460592359</v>
      </c>
      <c r="AO69" s="2533">
        <f t="shared" si="62"/>
        <v>-615049.65486316069</v>
      </c>
      <c r="AP69" s="2534">
        <f t="shared" si="62"/>
        <v>-26513037.691474345</v>
      </c>
      <c r="AQ69" s="2535">
        <f t="shared" si="62"/>
        <v>-3159563.9472887674</v>
      </c>
      <c r="AR69" s="2527">
        <f t="shared" si="62"/>
        <v>391382.80879032012</v>
      </c>
      <c r="AS69" s="2536">
        <f t="shared" si="62"/>
        <v>61526.379599046748</v>
      </c>
      <c r="AT69" s="2537">
        <f t="shared" si="62"/>
        <v>58653.275446504427</v>
      </c>
      <c r="AU69" s="2538">
        <f t="shared" si="62"/>
        <v>74196.743197111238</v>
      </c>
      <c r="AV69" s="2524">
        <f t="shared" si="62"/>
        <v>58912.078228358143</v>
      </c>
      <c r="AW69" s="2539">
        <f t="shared" si="62"/>
        <v>41990.917170161265</v>
      </c>
      <c r="AX69" s="2540">
        <f t="shared" si="62"/>
        <v>21259.275875232033</v>
      </c>
      <c r="AY69" s="2541">
        <f t="shared" si="62"/>
        <v>56093.391458519436</v>
      </c>
      <c r="AZ69" s="2532">
        <f t="shared" si="62"/>
        <v>24145.472368313996</v>
      </c>
      <c r="BA69" s="2542">
        <f t="shared" si="62"/>
        <v>24145.472368313996</v>
      </c>
      <c r="BB69" s="2527">
        <f t="shared" si="62"/>
        <v>24114.283704203899</v>
      </c>
      <c r="BC69" s="2535">
        <f t="shared" si="62"/>
        <v>24114.283704203899</v>
      </c>
      <c r="BD69" s="2543">
        <f t="shared" si="62"/>
        <v>63897.720679805156</v>
      </c>
      <c r="BE69" s="2501">
        <f t="shared" si="62"/>
        <v>48434.162927231118</v>
      </c>
      <c r="BF69" s="2544">
        <f t="shared" si="62"/>
        <v>220160.11769001556</v>
      </c>
      <c r="BG69" s="2545">
        <f t="shared" si="62"/>
        <v>223170.6138342859</v>
      </c>
      <c r="BH69" s="2535">
        <f t="shared" si="62"/>
        <v>4945.7111265270805</v>
      </c>
      <c r="BI69" s="2536">
        <f t="shared" si="62"/>
        <v>4951.8013056518648</v>
      </c>
      <c r="BJ69" s="2543">
        <f t="shared" si="62"/>
        <v>13854.298291254789</v>
      </c>
      <c r="BK69" s="2546">
        <f t="shared" si="62"/>
        <v>5677.337354321664</v>
      </c>
      <c r="BL69" s="2547">
        <f t="shared" si="62"/>
        <v>0</v>
      </c>
    </row>
    <row r="70" spans="1:64" s="739" customFormat="1" ht="18" thickTop="1">
      <c r="A70" s="1465"/>
      <c r="B70" s="1174"/>
      <c r="C70" s="1476"/>
      <c r="D70" s="1476"/>
      <c r="E70" s="1476"/>
      <c r="F70" s="1476"/>
      <c r="G70" s="1476"/>
      <c r="H70" s="1476"/>
      <c r="I70" s="1476"/>
      <c r="J70" s="1476"/>
      <c r="K70" s="1476"/>
      <c r="L70" s="1476"/>
      <c r="M70" s="1476"/>
      <c r="N70" s="1476"/>
      <c r="O70" s="1476"/>
      <c r="P70" s="1476"/>
      <c r="Q70" s="1476"/>
      <c r="R70" s="1476"/>
      <c r="S70" s="1476"/>
      <c r="T70" s="1476"/>
      <c r="U70" s="1476"/>
      <c r="V70" s="1476"/>
      <c r="W70" s="1476"/>
      <c r="X70" s="1476"/>
      <c r="Y70" s="1476"/>
      <c r="Z70" s="1476"/>
      <c r="AA70" s="1476"/>
      <c r="AB70" s="1476"/>
      <c r="AC70" s="1476"/>
      <c r="AD70" s="1476"/>
      <c r="AE70" s="1476"/>
      <c r="AF70" s="1476"/>
      <c r="AG70" s="1476"/>
      <c r="AH70" s="1476"/>
      <c r="AI70" s="1476"/>
      <c r="AJ70" s="1476"/>
      <c r="AK70" s="1476"/>
      <c r="AL70" s="1476"/>
      <c r="AM70" s="1476"/>
      <c r="AN70" s="1476"/>
      <c r="AO70" s="1476"/>
      <c r="AP70" s="1434"/>
      <c r="AQ70" s="1434"/>
      <c r="AR70" s="1434"/>
      <c r="AS70" s="1434"/>
    </row>
    <row r="71" spans="1:64" s="739" customFormat="1">
      <c r="A71" s="1481"/>
      <c r="B71" s="738"/>
      <c r="C71" s="1464"/>
      <c r="D71" s="1434"/>
      <c r="E71" s="1434"/>
      <c r="F71" s="1434"/>
      <c r="G71" s="1434"/>
      <c r="H71" s="1434"/>
      <c r="I71" s="1434"/>
      <c r="J71" s="1434"/>
      <c r="K71" s="1434"/>
      <c r="L71" s="1434"/>
      <c r="M71" s="1463"/>
      <c r="N71" s="740"/>
      <c r="O71" s="740"/>
      <c r="P71" s="1434"/>
      <c r="Q71" s="1434"/>
      <c r="R71" s="1434"/>
      <c r="S71" s="1434"/>
      <c r="T71" s="1434"/>
      <c r="U71" s="1434"/>
      <c r="V71" s="1434"/>
      <c r="W71" s="1434"/>
      <c r="X71" s="1434"/>
      <c r="Y71" s="1434"/>
      <c r="Z71" s="1434"/>
      <c r="AA71" s="1434"/>
      <c r="AB71" s="1434"/>
      <c r="AC71" s="1434"/>
      <c r="AD71" s="1434"/>
      <c r="AE71" s="1434"/>
      <c r="AF71" s="1434"/>
      <c r="AG71" s="1434"/>
      <c r="AH71" s="1434"/>
      <c r="AI71" s="1434"/>
      <c r="AJ71" s="1434"/>
      <c r="AK71" s="1434"/>
      <c r="AL71" s="1434"/>
      <c r="AM71" s="1434"/>
      <c r="AN71" s="1434"/>
      <c r="AO71" s="1434"/>
      <c r="AP71" s="1434"/>
      <c r="AQ71" s="1434"/>
      <c r="AR71" s="1434"/>
      <c r="AS71" s="1434"/>
    </row>
    <row r="72" spans="1:64" s="286" customFormat="1">
      <c r="A72" s="438"/>
      <c r="B72" s="438"/>
    </row>
    <row r="73" spans="1:64" s="286" customFormat="1">
      <c r="A73" s="438"/>
      <c r="B73" s="1438"/>
      <c r="C73" s="459"/>
      <c r="D73" s="459"/>
      <c r="E73" s="459"/>
      <c r="F73" s="459"/>
      <c r="G73" s="459"/>
      <c r="H73" s="459"/>
      <c r="I73" s="459"/>
      <c r="J73" s="459"/>
      <c r="K73" s="459"/>
      <c r="L73" s="459"/>
      <c r="M73" s="459"/>
      <c r="N73" s="459"/>
      <c r="O73" s="459"/>
      <c r="P73" s="459"/>
    </row>
    <row r="74" spans="1:64" s="286" customFormat="1">
      <c r="A74" s="438"/>
      <c r="B74" s="1438"/>
      <c r="C74" s="459"/>
      <c r="D74" s="459"/>
      <c r="E74" s="459"/>
      <c r="F74" s="459"/>
      <c r="G74" s="459"/>
      <c r="H74" s="459"/>
      <c r="I74" s="459"/>
      <c r="J74" s="459"/>
      <c r="K74" s="459"/>
      <c r="L74" s="459"/>
      <c r="M74" s="459"/>
      <c r="N74" s="459"/>
      <c r="O74" s="459"/>
      <c r="P74" s="459"/>
    </row>
    <row r="75" spans="1:64" s="286" customFormat="1">
      <c r="A75" s="438"/>
      <c r="B75" s="1438"/>
      <c r="C75" s="459"/>
      <c r="D75" s="459"/>
      <c r="E75" s="459"/>
      <c r="F75" s="459"/>
      <c r="G75" s="459"/>
      <c r="H75" s="459"/>
      <c r="I75" s="459"/>
      <c r="J75" s="459"/>
      <c r="K75" s="459"/>
      <c r="L75" s="459"/>
      <c r="M75" s="459"/>
      <c r="N75" s="459"/>
      <c r="O75" s="459"/>
      <c r="P75" s="459"/>
    </row>
    <row r="76" spans="1:64">
      <c r="B76" s="282"/>
      <c r="C76" s="50"/>
      <c r="D76" s="50"/>
      <c r="E76" s="50"/>
      <c r="F76" s="50"/>
      <c r="G76" s="50"/>
      <c r="H76" s="50"/>
      <c r="I76" s="50"/>
      <c r="J76" s="50"/>
      <c r="K76" s="50"/>
      <c r="L76" s="50"/>
      <c r="M76" s="50"/>
      <c r="N76" s="50"/>
      <c r="O76" s="50"/>
      <c r="P76" s="50"/>
    </row>
    <row r="77" spans="1:64">
      <c r="B77" s="282"/>
      <c r="C77" s="50"/>
      <c r="D77" s="50"/>
      <c r="E77" s="50"/>
      <c r="F77" s="50"/>
      <c r="G77" s="50"/>
      <c r="H77" s="50"/>
      <c r="I77" s="50"/>
      <c r="J77" s="50"/>
      <c r="K77" s="50"/>
      <c r="L77" s="50"/>
      <c r="M77" s="50"/>
      <c r="N77" s="50"/>
      <c r="O77" s="50"/>
      <c r="P77" s="50"/>
    </row>
    <row r="78" spans="1:64">
      <c r="B78" s="282"/>
      <c r="C78" s="50"/>
      <c r="D78" s="50"/>
      <c r="E78" s="50"/>
      <c r="F78" s="50"/>
      <c r="G78" s="50"/>
      <c r="H78" s="50"/>
      <c r="I78" s="50"/>
      <c r="J78" s="50"/>
      <c r="K78" s="50"/>
      <c r="L78" s="50"/>
      <c r="M78" s="50"/>
      <c r="N78" s="50"/>
      <c r="O78" s="50"/>
      <c r="P78" s="50"/>
    </row>
    <row r="79" spans="1:64">
      <c r="B79" s="282"/>
      <c r="C79" s="50"/>
      <c r="D79" s="50"/>
      <c r="E79" s="50"/>
      <c r="F79" s="50"/>
      <c r="G79" s="50"/>
      <c r="H79" s="50"/>
      <c r="I79" s="50"/>
      <c r="J79" s="50"/>
      <c r="K79" s="50"/>
      <c r="L79" s="50"/>
      <c r="M79" s="50"/>
      <c r="N79" s="50"/>
      <c r="O79" s="50"/>
      <c r="P79" s="50"/>
    </row>
    <row r="80" spans="1:64">
      <c r="B80" s="282"/>
      <c r="C80" s="50"/>
      <c r="D80" s="50"/>
      <c r="E80" s="50"/>
      <c r="F80" s="50"/>
      <c r="G80" s="50"/>
      <c r="H80" s="50"/>
      <c r="I80" s="50"/>
      <c r="J80" s="50"/>
      <c r="K80" s="50"/>
      <c r="L80" s="50"/>
      <c r="M80" s="50"/>
      <c r="N80" s="50"/>
      <c r="O80" s="50"/>
      <c r="P80" s="50"/>
    </row>
    <row r="81" spans="2:16">
      <c r="B81" s="282"/>
      <c r="C81" s="50"/>
      <c r="D81" s="50"/>
      <c r="E81" s="50"/>
      <c r="F81" s="50"/>
      <c r="G81" s="50"/>
      <c r="H81" s="50"/>
      <c r="I81" s="50"/>
      <c r="J81" s="50"/>
      <c r="K81" s="50"/>
      <c r="L81" s="50"/>
      <c r="M81" s="50"/>
      <c r="N81" s="50"/>
      <c r="O81" s="50"/>
      <c r="P81" s="50"/>
    </row>
  </sheetData>
  <customSheetViews>
    <customSheetView guid="{416404B7-8533-4A12-ABD0-58CFDEB49D80}" scale="80">
      <selection activeCell="F25" sqref="F25"/>
      <rowBreaks count="1" manualBreakCount="1">
        <brk id="33" max="16383" man="1"/>
      </rowBreaks>
      <colBreaks count="1" manualBreakCount="1">
        <brk id="23" max="1048575" man="1"/>
      </colBreaks>
      <pageMargins left="0.37" right="0.17" top="1" bottom="1" header="0.5" footer="0.5"/>
      <printOptions horizontalCentered="1"/>
      <pageSetup scale="25" fitToWidth="2" fitToHeight="2" orientation="landscape" r:id="rId1"/>
      <headerFooter alignWithMargins="0"/>
    </customSheetView>
  </customSheetViews>
  <mergeCells count="16">
    <mergeCell ref="AT30:BL30"/>
    <mergeCell ref="B36:AQ36"/>
    <mergeCell ref="A3:R3"/>
    <mergeCell ref="B30:W30"/>
    <mergeCell ref="B7:V7"/>
    <mergeCell ref="X30:AS30"/>
    <mergeCell ref="A2:R2"/>
    <mergeCell ref="A4:R4"/>
    <mergeCell ref="T2:AK2"/>
    <mergeCell ref="T3:AK3"/>
    <mergeCell ref="T4:AK4"/>
    <mergeCell ref="B61:W61"/>
    <mergeCell ref="X61:AS61"/>
    <mergeCell ref="AT61:BL61"/>
    <mergeCell ref="B67:W67"/>
    <mergeCell ref="AT67:BL67"/>
  </mergeCells>
  <phoneticPr fontId="28" type="noConversion"/>
  <printOptions horizontalCentered="1"/>
  <pageMargins left="0.37" right="0.17" top="1" bottom="1" header="0.5" footer="0.5"/>
  <pageSetup scale="25" fitToWidth="2" fitToHeight="2" orientation="landscape" r:id="rId2"/>
  <headerFooter alignWithMargins="0"/>
  <rowBreaks count="1" manualBreakCount="1">
    <brk id="33" max="16383" man="1"/>
  </rowBreaks>
  <colBreaks count="3" manualBreakCount="3">
    <brk id="23" max="1048575" man="1"/>
    <brk id="45" max="1048575" man="1"/>
    <brk id="64" max="1048575"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Appendix A</vt:lpstr>
      <vt:lpstr>ATT1A-ADIT </vt:lpstr>
      <vt:lpstr>ADITI-ADIT</vt:lpstr>
      <vt:lpstr>ATT 2 - Other Taxes</vt:lpstr>
      <vt:lpstr>3 - Revenue Credits</vt:lpstr>
      <vt:lpstr>4 - 100 Basis Pt ROE</vt:lpstr>
      <vt:lpstr>5 - Cost Support</vt:lpstr>
      <vt:lpstr>6- True-Up Adjustment </vt:lpstr>
      <vt:lpstr>6A-Estimate &amp; Reconcile</vt:lpstr>
      <vt:lpstr>7 -TEC</vt:lpstr>
      <vt:lpstr>8 - Depreciation Rates</vt:lpstr>
      <vt:lpstr>'3 - Revenue Credits'!Print_Area</vt:lpstr>
      <vt:lpstr>'5 - Cost Support'!Print_Area</vt:lpstr>
      <vt:lpstr>'6- True-Up Adjustment '!Print_Area</vt:lpstr>
      <vt:lpstr>'6A-Estimate &amp; Reconcile'!Print_Area</vt:lpstr>
      <vt:lpstr>'7 -TEC'!Print_Area</vt:lpstr>
      <vt:lpstr>'ADITI-ADIT'!Print_Area</vt:lpstr>
      <vt:lpstr>'Appendix A'!Print_Area</vt:lpstr>
      <vt:lpstr>'ATT 2 - Other Taxes'!Print_Area</vt:lpstr>
      <vt:lpstr>'ATT1A-ADIT '!Print_Area</vt:lpstr>
      <vt:lpstr>'5 - Cost Support'!Print_Titles</vt:lpstr>
      <vt:lpstr>'6A-Estimate &amp; Reconcile'!Print_Titles</vt:lpstr>
      <vt:lpstr>'7 -TEC'!Print_Titles</vt:lpstr>
      <vt:lpstr>'Appendix A'!Print_Titles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Bernstein, Jared</cp:lastModifiedBy>
  <cp:lastPrinted>2015-06-15T19:57:18Z</cp:lastPrinted>
  <dcterms:created xsi:type="dcterms:W3CDTF">2008-07-07T19:27:29Z</dcterms:created>
  <dcterms:modified xsi:type="dcterms:W3CDTF">2015-06-16T18:46:44Z</dcterms:modified>
</cp:coreProperties>
</file>