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Transource WV\2020 Projection\Revision\Filing Documents\"/>
    </mc:Choice>
  </mc:AlternateContent>
  <bookViews>
    <workbookView xWindow="23835" yWindow="90" windowWidth="23700" windowHeight="975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Jim Martin - Personal View" guid="{63AFAF34-E340-4B5E-A289-FFB7051CA9B6}" mergeInterval="0" personalView="1" maximized="1" windowWidth="1600" windowHeight="654" tabRatio="829" activeSheetId="1"/>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workbook>
</file>

<file path=xl/calcChain.xml><?xml version="1.0" encoding="utf-8"?>
<calcChain xmlns="http://schemas.openxmlformats.org/spreadsheetml/2006/main">
  <c r="A9" i="7" l="1"/>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2" i="14"/>
  <c r="E25" i="14" s="1"/>
  <c r="E27" i="14" s="1"/>
  <c r="F23" i="14"/>
  <c r="F21" i="14"/>
  <c r="F20" i="14"/>
  <c r="F19" i="14"/>
  <c r="F18" i="14"/>
  <c r="F17" i="14"/>
  <c r="F9" i="14"/>
  <c r="F10" i="14"/>
  <c r="F11" i="14"/>
  <c r="F12" i="14"/>
  <c r="F13" i="14"/>
  <c r="F8" i="14"/>
  <c r="D14" i="14"/>
  <c r="A8" i="14"/>
  <c r="A9" i="14" s="1"/>
  <c r="A10" i="14" s="1"/>
  <c r="A11" i="14" s="1"/>
  <c r="A12" i="14" s="1"/>
  <c r="A13" i="14" s="1"/>
  <c r="A14" i="14" s="1"/>
  <c r="D22" i="14"/>
  <c r="D25" i="14" s="1"/>
  <c r="E11" i="9"/>
  <c r="D11" i="9"/>
  <c r="D27" i="14" l="1"/>
  <c r="A16" i="14"/>
  <c r="A17" i="14" s="1"/>
  <c r="A18" i="14" s="1"/>
  <c r="A19" i="14" s="1"/>
  <c r="A20" i="14" s="1"/>
  <c r="A21" i="14" s="1"/>
  <c r="A22" i="14" s="1"/>
  <c r="F22" i="14"/>
  <c r="F14" i="14"/>
  <c r="F25" i="14"/>
  <c r="I211" i="1" s="1"/>
  <c r="D15" i="1" s="1"/>
  <c r="F27" i="14" l="1"/>
  <c r="I209" i="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E29" i="4"/>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F24" i="4"/>
  <c r="G24" i="4" s="1"/>
  <c r="F23" i="4"/>
  <c r="G23" i="4" s="1"/>
  <c r="F17" i="4"/>
  <c r="G17" i="4" s="1"/>
  <c r="F19" i="4"/>
  <c r="G19" i="4" s="1"/>
  <c r="F20" i="4"/>
  <c r="G20" i="4" s="1"/>
  <c r="G44" i="10"/>
  <c r="G51" i="10" s="1"/>
  <c r="I44" i="10"/>
  <c r="I51" i="10" s="1"/>
  <c r="H21" i="10"/>
  <c r="G25" i="4" l="1"/>
  <c r="I17" i="4"/>
  <c r="G21" i="4"/>
  <c r="F29" i="4"/>
  <c r="F24" i="10"/>
  <c r="G24" i="10" s="1"/>
  <c r="F23" i="10"/>
  <c r="G23" i="10" s="1"/>
  <c r="H25" i="10"/>
  <c r="G29" i="4" l="1"/>
  <c r="F25" i="10"/>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G40" i="6"/>
  <c r="F14" i="6" s="1"/>
  <c r="F40" i="6" l="1"/>
  <c r="F13" i="6" s="1"/>
  <c r="D40" i="6"/>
  <c r="F20" i="6" s="1"/>
  <c r="H20" i="6" s="1"/>
  <c r="D203" i="1" l="1"/>
  <c r="E11" i="3" s="1"/>
  <c r="F12" i="6"/>
  <c r="G203" i="1"/>
  <c r="H11" i="3" s="1"/>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D18" i="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I24" i="4" l="1"/>
  <c r="H25" i="4" l="1"/>
  <c r="I20" i="4" l="1"/>
  <c r="I23" i="4" l="1"/>
  <c r="I25" i="4" l="1"/>
  <c r="D92" i="1"/>
  <c r="I92" i="1" l="1"/>
  <c r="E40" i="6" l="1"/>
  <c r="F11" i="6" s="1"/>
  <c r="F15" i="6" s="1"/>
  <c r="D33" i="11"/>
  <c r="D35" i="11" s="1"/>
  <c r="H19" i="6" s="1"/>
  <c r="C40" i="6"/>
  <c r="F19" i="6" s="1"/>
  <c r="F21" i="6" l="1"/>
  <c r="D202" i="1"/>
  <c r="G202" i="1"/>
  <c r="D204" i="1" l="1"/>
  <c r="E12" i="3" s="1"/>
  <c r="F22" i="6"/>
  <c r="E10" i="3"/>
  <c r="H10" i="3"/>
  <c r="D205" i="1" l="1"/>
  <c r="E13" i="3"/>
  <c r="E204" i="1"/>
  <c r="G20" i="6"/>
  <c r="E203" i="1" s="1"/>
  <c r="E202" i="1"/>
  <c r="I19" i="6"/>
  <c r="I20" i="6" l="1"/>
  <c r="I21" i="6"/>
  <c r="I22" i="6" s="1"/>
  <c r="I203" i="1"/>
  <c r="F11" i="3"/>
  <c r="I11" i="3" s="1"/>
  <c r="F10" i="3"/>
  <c r="I10" i="3" s="1"/>
  <c r="I202" i="1"/>
  <c r="F12" i="3"/>
  <c r="I12" i="3" s="1"/>
  <c r="I204" i="1"/>
  <c r="I13" i="3" l="1"/>
  <c r="E18" i="3" s="1"/>
  <c r="I205" i="1"/>
  <c r="D154" i="1" s="1"/>
  <c r="J23" i="5" l="1"/>
  <c r="D74" i="1" s="1"/>
  <c r="I74" i="1" s="1"/>
  <c r="E58" i="5"/>
  <c r="E57" i="5"/>
  <c r="E56" i="5"/>
  <c r="E55" i="5"/>
  <c r="E54" i="5"/>
  <c r="E53" i="5"/>
  <c r="I23" i="5" l="1"/>
  <c r="D72" i="1" s="1"/>
  <c r="D75" i="1" s="1"/>
  <c r="E66" i="5"/>
  <c r="C66" i="5" s="1"/>
  <c r="D23" i="5"/>
  <c r="D67" i="1" s="1"/>
  <c r="C23" i="5"/>
  <c r="D65" i="1" s="1"/>
  <c r="I183" i="1" l="1"/>
  <c r="D79" i="1"/>
  <c r="D68" i="1"/>
  <c r="D81" i="1"/>
  <c r="I67" i="1"/>
  <c r="I81" i="1" s="1"/>
  <c r="D82" i="1" l="1"/>
  <c r="I186" i="1"/>
  <c r="I188" i="1" s="1"/>
  <c r="G96" i="1" l="1"/>
  <c r="I96" i="1" s="1"/>
  <c r="G72" i="1"/>
  <c r="I72" i="1" s="1"/>
  <c r="G15" i="1"/>
  <c r="I15" i="1" s="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I18" i="1"/>
  <c r="I30" i="2" s="1"/>
  <c r="I31" i="2" s="1"/>
  <c r="K31" i="2" s="1"/>
  <c r="G101" i="1" l="1"/>
  <c r="I101" i="1" s="1"/>
  <c r="G148" i="1"/>
  <c r="I148" i="1" s="1"/>
  <c r="G146" i="1"/>
  <c r="G149" i="1"/>
  <c r="I149" i="1" s="1"/>
  <c r="I82" i="1"/>
  <c r="G82" i="1" s="1"/>
  <c r="G164" i="1" l="1"/>
  <c r="I164" i="1" s="1"/>
  <c r="G162" i="1"/>
  <c r="H26" i="3"/>
  <c r="G89" i="1"/>
  <c r="I89" i="1" s="1"/>
  <c r="G88" i="1"/>
  <c r="I88" i="1" s="1"/>
  <c r="G86" i="1"/>
  <c r="I86" i="1" s="1"/>
  <c r="G163" i="1"/>
  <c r="I163" i="1" s="1"/>
  <c r="G87" i="1"/>
  <c r="I87" i="1" s="1"/>
  <c r="H27" i="3" l="1"/>
  <c r="H28" i="3" l="1"/>
  <c r="I28" i="3" s="1"/>
  <c r="I27" i="3"/>
  <c r="I137" i="1" l="1"/>
  <c r="I23" i="2" s="1"/>
  <c r="E22" i="3" l="1"/>
  <c r="E26" i="3" s="1"/>
  <c r="I26" i="3" s="1"/>
  <c r="D162" i="1"/>
  <c r="I162" i="1" s="1"/>
  <c r="D139" i="1"/>
  <c r="I136" i="1"/>
  <c r="D150" i="1"/>
  <c r="I146" i="1"/>
  <c r="I150" i="1" s="1"/>
  <c r="I27" i="2" s="1"/>
  <c r="I126" i="1"/>
  <c r="I124" i="1"/>
  <c r="I123" i="1"/>
  <c r="I120" i="1"/>
  <c r="I118" i="1"/>
  <c r="I117" i="1"/>
  <c r="M59" i="2" l="1"/>
  <c r="M61" i="2" s="1"/>
  <c r="M69" i="2" s="1"/>
  <c r="I139" i="1"/>
  <c r="E23" i="5" l="1"/>
  <c r="D91" i="1" s="1"/>
  <c r="I130" i="1"/>
  <c r="I91" i="1" l="1"/>
  <c r="D94" i="1"/>
  <c r="I15" i="2" l="1"/>
  <c r="I16" i="2"/>
  <c r="I59" i="2" s="1"/>
  <c r="I61" i="2" s="1"/>
  <c r="I69" i="2" s="1"/>
  <c r="I94" i="1"/>
  <c r="I131" i="1"/>
  <c r="I132" i="1" s="1"/>
  <c r="I133" i="1" s="1"/>
  <c r="D132" i="1"/>
  <c r="D133" i="1" s="1"/>
  <c r="D99" i="1" s="1"/>
  <c r="D102" i="1" s="1"/>
  <c r="D104" i="1" s="1"/>
  <c r="D168" i="1" s="1"/>
  <c r="D161" i="1" s="1"/>
  <c r="D165" i="1" s="1"/>
  <c r="D170" i="1" s="1"/>
  <c r="F59" i="2" l="1"/>
  <c r="F61" i="2" s="1"/>
  <c r="F69" i="2" s="1"/>
  <c r="I24" i="2"/>
  <c r="K24" i="2" s="1"/>
  <c r="I28" i="2"/>
  <c r="K28" i="2" s="1"/>
  <c r="I99" i="1"/>
  <c r="I102" i="1" s="1"/>
  <c r="I104" i="1" s="1"/>
  <c r="I19" i="2"/>
  <c r="I20" i="2" s="1"/>
  <c r="K20" i="2" s="1"/>
  <c r="K33" i="2" l="1"/>
  <c r="G60" i="2" s="1"/>
  <c r="H60" i="2" s="1"/>
  <c r="J5" i="3"/>
  <c r="I168" i="1"/>
  <c r="G64" i="2" l="1"/>
  <c r="H64" i="2" s="1"/>
  <c r="G63" i="2"/>
  <c r="H63" i="2" s="1"/>
  <c r="G59" i="2"/>
  <c r="H59" i="2" s="1"/>
  <c r="J33" i="3"/>
  <c r="I40" i="2"/>
  <c r="I41" i="2" s="1"/>
  <c r="I161" i="1"/>
  <c r="I165" i="1" s="1"/>
  <c r="I170" i="1" s="1"/>
  <c r="I11" i="1" s="1"/>
  <c r="J14" i="3"/>
  <c r="I25" i="3" s="1"/>
  <c r="I29" i="3" s="1"/>
  <c r="J29" i="3" s="1"/>
  <c r="J31" i="3" s="1"/>
  <c r="J37" i="3"/>
  <c r="H61" i="2" l="1"/>
  <c r="H65" i="2"/>
  <c r="K41" i="2"/>
  <c r="I36" i="2"/>
  <c r="I37" i="2" s="1"/>
  <c r="K37" i="2" s="1"/>
  <c r="K43" i="2" s="1"/>
  <c r="J34" i="3"/>
  <c r="J35" i="3" s="1"/>
  <c r="J36" i="3" s="1"/>
  <c r="J38" i="3" s="1"/>
  <c r="H69" i="2" l="1"/>
  <c r="J64" i="2"/>
  <c r="K64" i="2" s="1"/>
  <c r="N64" i="2" s="1"/>
  <c r="J59" i="2"/>
  <c r="K59" i="2" s="1"/>
  <c r="N59" i="2" s="1"/>
  <c r="S59" i="2" s="1"/>
  <c r="J63" i="2"/>
  <c r="K63" i="2" s="1"/>
  <c r="J60" i="2"/>
  <c r="K60" i="2" s="1"/>
  <c r="N60" i="2" s="1"/>
  <c r="I43" i="2"/>
  <c r="P64" i="2"/>
  <c r="P63" i="2"/>
  <c r="P60" i="2"/>
  <c r="P59" i="2"/>
  <c r="P65" i="2" l="1"/>
  <c r="D32" i="1" s="1"/>
  <c r="N63" i="2"/>
  <c r="K65" i="2"/>
  <c r="K61" i="2"/>
  <c r="K69" i="2" s="1"/>
  <c r="Q60" i="2"/>
  <c r="S60" i="2"/>
  <c r="P61" i="2"/>
  <c r="S64" i="2"/>
  <c r="Q64" i="2"/>
  <c r="N61" i="2" l="1"/>
  <c r="Q59" i="2"/>
  <c r="Q61" i="2" s="1"/>
  <c r="D49" i="1"/>
  <c r="P69" i="2"/>
  <c r="N65" i="2"/>
  <c r="S63" i="2"/>
  <c r="Q63" i="2"/>
  <c r="Q65" i="2" s="1"/>
  <c r="Q69" i="2" l="1"/>
  <c r="S61" i="2"/>
  <c r="S65" i="2"/>
  <c r="N69" i="2"/>
  <c r="S69" i="2" l="1"/>
  <c r="U59" i="2" l="1"/>
  <c r="H19" i="4" l="1"/>
  <c r="I19" i="4" l="1"/>
  <c r="H21" i="4"/>
  <c r="H29" i="4" s="1"/>
  <c r="D9" i="7" s="1"/>
  <c r="G9" i="7" s="1"/>
  <c r="D23" i="7" l="1"/>
  <c r="I56" i="7"/>
  <c r="I21" i="4"/>
  <c r="I29" i="4" s="1"/>
  <c r="D24" i="7" l="1"/>
  <c r="H23" i="7"/>
  <c r="K23" i="7" l="1"/>
  <c r="D25" i="7"/>
  <c r="H24" i="7"/>
  <c r="K24" i="7" s="1"/>
  <c r="H25" i="7" l="1"/>
  <c r="K25" i="7" s="1"/>
  <c r="D26" i="7"/>
  <c r="D27" i="7" l="1"/>
  <c r="H26" i="7"/>
  <c r="K26" i="7" l="1"/>
  <c r="D28" i="7"/>
  <c r="H27" i="7"/>
  <c r="K27" i="7" s="1"/>
  <c r="H28" i="7" l="1"/>
  <c r="K28" i="7" s="1"/>
  <c r="D29" i="7"/>
  <c r="D30" i="7" l="1"/>
  <c r="H29" i="7"/>
  <c r="K29" i="7" l="1"/>
  <c r="D31" i="7"/>
  <c r="H30" i="7"/>
  <c r="K30" i="7" s="1"/>
  <c r="D32" i="7" l="1"/>
  <c r="H31" i="7"/>
  <c r="K31" i="7" s="1"/>
  <c r="H32" i="7" l="1"/>
  <c r="K32" i="7" s="1"/>
  <c r="D33" i="7"/>
  <c r="H33" i="7" l="1"/>
  <c r="K33" i="7" s="1"/>
  <c r="D34" i="7"/>
  <c r="H34" i="7" s="1"/>
  <c r="K34" i="7" l="1"/>
  <c r="K35" i="7" s="1"/>
  <c r="D38" i="7" s="1"/>
  <c r="H38" i="7" s="1"/>
  <c r="K38" i="7" s="1"/>
  <c r="H35" i="7"/>
  <c r="I41" i="7" l="1"/>
  <c r="D41" i="7"/>
  <c r="K41" i="7" l="1"/>
  <c r="D42" i="7" s="1"/>
  <c r="H41" i="7"/>
  <c r="I42" i="7"/>
  <c r="I43" i="7" s="1"/>
  <c r="I44" i="7" s="1"/>
  <c r="I45" i="7" s="1"/>
  <c r="I46" i="7" s="1"/>
  <c r="I47" i="7" s="1"/>
  <c r="I48" i="7" s="1"/>
  <c r="I49" i="7" s="1"/>
  <c r="I50" i="7" s="1"/>
  <c r="I51" i="7" s="1"/>
  <c r="I52" i="7" s="1"/>
  <c r="I55" i="7" l="1"/>
  <c r="I57" i="7" s="1"/>
  <c r="J31" i="4" s="1"/>
  <c r="J20" i="4" s="1"/>
  <c r="L20" i="4" s="1"/>
  <c r="T60" i="2" s="1"/>
  <c r="K42" i="7"/>
  <c r="D43" i="7" s="1"/>
  <c r="H42" i="7"/>
  <c r="J19" i="4" l="1"/>
  <c r="J23" i="4"/>
  <c r="J17" i="4"/>
  <c r="L17" i="4" s="1"/>
  <c r="J24" i="4"/>
  <c r="L24" i="4" s="1"/>
  <c r="T64" i="2" s="1"/>
  <c r="U64" i="2" s="1"/>
  <c r="J21" i="4"/>
  <c r="L19" i="4"/>
  <c r="L21" i="4" s="1"/>
  <c r="K43" i="7"/>
  <c r="D44" i="7" s="1"/>
  <c r="H43" i="7"/>
  <c r="L23" i="4"/>
  <c r="U60" i="2"/>
  <c r="U61" i="2" s="1"/>
  <c r="T61" i="2"/>
  <c r="J25" i="4" l="1"/>
  <c r="D48" i="1"/>
  <c r="D50" i="1" s="1"/>
  <c r="D30" i="1"/>
  <c r="J29" i="4"/>
  <c r="I21" i="1" s="1"/>
  <c r="I23" i="1" s="1"/>
  <c r="D29" i="1" s="1"/>
  <c r="L25" i="4"/>
  <c r="L29" i="4" s="1"/>
  <c r="T63" i="2"/>
  <c r="H44" i="7"/>
  <c r="K44" i="7"/>
  <c r="D45" i="7" s="1"/>
  <c r="U63" i="2" l="1"/>
  <c r="U65" i="2" s="1"/>
  <c r="U69" i="2" s="1"/>
  <c r="T65" i="2"/>
  <c r="T69" i="2" s="1"/>
  <c r="D31" i="1"/>
  <c r="D33" i="1" s="1"/>
  <c r="D38" i="1" s="1"/>
  <c r="H45" i="7"/>
  <c r="K45" i="7"/>
  <c r="D46" i="7" s="1"/>
  <c r="D40" i="1" l="1"/>
  <c r="D39" i="1"/>
  <c r="D44" i="1"/>
  <c r="D43" i="1"/>
  <c r="D41" i="1"/>
  <c r="D42" i="1"/>
  <c r="H46" i="7"/>
  <c r="K46" i="7"/>
  <c r="D47" i="7" s="1"/>
  <c r="H47" i="7" l="1"/>
  <c r="K47" i="7"/>
  <c r="D48" i="7" s="1"/>
  <c r="K48" i="7" l="1"/>
  <c r="D49" i="7" s="1"/>
  <c r="H48" i="7"/>
  <c r="K49" i="7" l="1"/>
  <c r="D50" i="7" s="1"/>
  <c r="H49" i="7"/>
  <c r="H50" i="7" l="1"/>
  <c r="K50" i="7"/>
  <c r="D51" i="7" s="1"/>
  <c r="H51" i="7" l="1"/>
  <c r="K51" i="7"/>
  <c r="D52" i="7" s="1"/>
  <c r="H52" i="7" l="1"/>
  <c r="H53" i="7" s="1"/>
  <c r="K52" i="7"/>
</calcChain>
</file>

<file path=xl/comments1.xml><?xml version="1.0" encoding="utf-8"?>
<comments xmlns="http://schemas.openxmlformats.org/spreadsheetml/2006/main">
  <authors>
    <author>s199989</author>
  </authors>
  <commentList>
    <comment ref="G19" authorId="0" shapeId="0">
      <text>
        <r>
          <rPr>
            <b/>
            <sz val="9"/>
            <color indexed="81"/>
            <rFont val="Tahoma"/>
            <family val="2"/>
          </rPr>
          <t xml:space="preserve">s199989:
</t>
        </r>
        <r>
          <rPr>
            <sz val="9"/>
            <color indexed="81"/>
            <rFont val="Tahoma"/>
            <family val="2"/>
          </rPr>
          <t>60/40 until project in service</t>
        </r>
      </text>
    </comment>
  </commentList>
</comments>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<sst xmlns="http://schemas.openxmlformats.org/spreadsheetml/2006/main" count="1294" uniqueCount="862">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</sst>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55" fillId="0" borderId="0" xfId="210" applyNumberFormat="1" applyFont="1" applyFill="1" applyAlignment="1" applyProtection="1">
      <alignment vertical="top" wrapText="1"/>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49" fontId="55" fillId="0" borderId="0" xfId="201" applyNumberFormat="1" applyFont="1" applyFill="1" applyBorder="1" applyAlignment="1">
      <alignment horizontal="left" vertical="top" wrapText="1"/>
    </xf>
    <xf numFmtId="174" fontId="55" fillId="0" borderId="0" xfId="0" applyFont="1" applyFill="1" applyAlignment="1">
      <alignment horizontal="left"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tabSelected="1" view="pageBreakPreview" zoomScaleNormal="100" zoomScaleSheetLayoutView="100" workbookViewId="0">
      <selection activeCell="F25" sqref="F25"/>
    </sheetView>
  </sheetViews>
  <sheetFormatPr defaultColWidth="8.88671875" defaultRowHeight="12.75"/>
  <cols>
    <col min="1" max="1" width="6.77734375" style="13" customWidth="1"/>
    <col min="2" max="2" width="43.5546875" style="13" customWidth="1"/>
    <col min="3" max="3" width="36.109375" style="13" customWidth="1"/>
    <col min="4" max="4" width="16.33203125" style="13" customWidth="1"/>
    <col min="5" max="5" width="6.777343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9.886718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43465</v>
      </c>
    </row>
    <row r="4" spans="1:11">
      <c r="A4" s="32"/>
      <c r="C4" s="25"/>
      <c r="D4" s="28" t="s">
        <v>101</v>
      </c>
      <c r="E4" s="25"/>
      <c r="F4" s="25"/>
      <c r="G4" s="25"/>
      <c r="H4" s="110"/>
      <c r="I4" s="110"/>
      <c r="J4" s="111"/>
      <c r="K4" s="111"/>
    </row>
    <row r="5" spans="1:11" ht="13.5">
      <c r="A5" s="32"/>
      <c r="B5" s="112"/>
      <c r="C5" s="119"/>
      <c r="D5" s="267" t="s">
        <v>412</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2988346.0423284797</v>
      </c>
      <c r="J11" s="111"/>
      <c r="K11" s="119"/>
    </row>
    <row r="12" spans="1:11">
      <c r="A12" s="106"/>
      <c r="B12" s="111"/>
      <c r="C12" s="111"/>
      <c r="D12" s="111"/>
      <c r="E12" s="111"/>
      <c r="F12" s="111"/>
      <c r="G12" s="111"/>
      <c r="H12" s="111"/>
      <c r="I12" s="117"/>
      <c r="J12" s="111"/>
      <c r="K12" s="111"/>
    </row>
    <row r="13" spans="1:11" ht="13.5"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0</v>
      </c>
      <c r="E15" s="25"/>
      <c r="F15" s="25" t="s">
        <v>15</v>
      </c>
      <c r="G15" s="168">
        <f>$I$188</f>
        <v>1</v>
      </c>
      <c r="H15" s="40"/>
      <c r="I15" s="15">
        <f>+G15*D15</f>
        <v>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5"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0</v>
      </c>
      <c r="E18" s="25"/>
      <c r="F18" s="25"/>
      <c r="G18" s="41"/>
      <c r="H18" s="40"/>
      <c r="I18" s="483">
        <f>SUM(I14:I17)</f>
        <v>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v>-224277.68245929931</v>
      </c>
      <c r="E21" s="127"/>
      <c r="F21" s="128" t="s">
        <v>77</v>
      </c>
      <c r="G21" s="499">
        <v>1</v>
      </c>
      <c r="H21" s="127"/>
      <c r="I21" s="15">
        <f>+G21*D21</f>
        <v>-224277.68245929931</v>
      </c>
      <c r="K21" s="129"/>
    </row>
    <row r="22" spans="1:13">
      <c r="A22" s="125"/>
      <c r="B22" s="126"/>
      <c r="C22" s="127"/>
      <c r="D22" s="473"/>
      <c r="E22" s="130"/>
      <c r="F22" s="130"/>
      <c r="G22" s="130"/>
      <c r="H22" s="130"/>
      <c r="I22" s="131"/>
      <c r="K22" s="129"/>
    </row>
    <row r="23" spans="1:13" ht="13.5" thickBot="1">
      <c r="A23" s="125">
        <f>+A21+1</f>
        <v>9</v>
      </c>
      <c r="B23" s="126" t="s">
        <v>431</v>
      </c>
      <c r="C23" s="111" t="s">
        <v>559</v>
      </c>
      <c r="D23" s="130"/>
      <c r="E23" s="131"/>
      <c r="F23" s="131"/>
      <c r="G23" s="131"/>
      <c r="H23" s="131"/>
      <c r="I23" s="132">
        <f>+I11-I18+I20+I21</f>
        <v>2764068.3598691802</v>
      </c>
      <c r="K23" s="129"/>
    </row>
    <row r="24" spans="1:13" ht="13.5"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5"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5.5">
      <c r="A29" s="540">
        <v>10</v>
      </c>
      <c r="B29" s="574" t="s">
        <v>669</v>
      </c>
      <c r="C29" s="553" t="s">
        <v>668</v>
      </c>
      <c r="D29" s="604">
        <f>+I23</f>
        <v>2764068.3598691802</v>
      </c>
      <c r="E29" s="576"/>
      <c r="F29" s="576"/>
      <c r="G29" s="576"/>
      <c r="H29" s="576"/>
      <c r="J29" s="579"/>
      <c r="K29" s="578"/>
    </row>
    <row r="30" spans="1:13" s="583" customFormat="1" ht="25.5">
      <c r="A30" s="540">
        <f t="shared" ref="A30:A33" si="0">+A29+1</f>
        <v>11</v>
      </c>
      <c r="B30" s="574" t="s">
        <v>667</v>
      </c>
      <c r="C30" s="554" t="s">
        <v>670</v>
      </c>
      <c r="D30" s="612">
        <f>+'1-Project Rev Req'!U61</f>
        <v>2764068.3598691802</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2018 AEP East Zone Network Service Peak Load (1 CP)</v>
      </c>
      <c r="D36" s="328">
        <v>21647</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2764068.3598691802</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2764068.3598691802</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43465</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899"/>
      <c r="B58" s="899"/>
      <c r="C58" s="899"/>
      <c r="D58" s="899"/>
      <c r="E58" s="899"/>
      <c r="F58" s="899"/>
      <c r="G58" s="899"/>
      <c r="H58" s="899"/>
      <c r="I58" s="899"/>
      <c r="J58" s="899"/>
      <c r="K58" s="899"/>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0</v>
      </c>
      <c r="E65" s="25"/>
      <c r="F65" s="25" t="s">
        <v>15</v>
      </c>
      <c r="G65" s="168">
        <f>$I$188</f>
        <v>1</v>
      </c>
      <c r="H65" s="40"/>
      <c r="I65" s="15">
        <f>+G65*D65</f>
        <v>0</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5" thickBot="1">
      <c r="A67" s="302">
        <f t="shared" si="2"/>
        <v>4</v>
      </c>
      <c r="B67" s="27" t="s">
        <v>88</v>
      </c>
      <c r="C67" s="40" t="s">
        <v>265</v>
      </c>
      <c r="D67" s="149">
        <f>'4- Rate Base'!D23</f>
        <v>25993.736923076925</v>
      </c>
      <c r="E67" s="25"/>
      <c r="F67" s="25" t="s">
        <v>23</v>
      </c>
      <c r="G67" s="168">
        <f>$I$196</f>
        <v>1</v>
      </c>
      <c r="H67" s="40"/>
      <c r="I67" s="149">
        <f>+G67*D67</f>
        <v>25993.736923076925</v>
      </c>
      <c r="J67" s="25"/>
      <c r="K67" s="25"/>
    </row>
    <row r="68" spans="1:11">
      <c r="A68" s="302">
        <f t="shared" si="2"/>
        <v>5</v>
      </c>
      <c r="B68" s="24" t="s">
        <v>220</v>
      </c>
      <c r="C68" s="25" t="s">
        <v>552</v>
      </c>
      <c r="D68" s="409">
        <f>SUM(D64:D67)</f>
        <v>25993.736923076925</v>
      </c>
      <c r="E68" s="25"/>
      <c r="F68" s="25" t="s">
        <v>24</v>
      </c>
      <c r="G68" s="333">
        <f>IF(I68&gt;0,I68/D68,1)</f>
        <v>1</v>
      </c>
      <c r="H68" s="40"/>
      <c r="I68" s="409">
        <f>SUM(I64:I67)</f>
        <v>25993.736923076925</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0</v>
      </c>
      <c r="E72" s="25"/>
      <c r="F72" s="25" t="s">
        <v>15</v>
      </c>
      <c r="G72" s="168">
        <f>$I$188</f>
        <v>1</v>
      </c>
      <c r="H72" s="40"/>
      <c r="I72" s="15">
        <f>+G72*D72</f>
        <v>0</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5" thickBot="1">
      <c r="A74" s="302">
        <f t="shared" si="2"/>
        <v>10</v>
      </c>
      <c r="B74" s="27" t="s">
        <v>88</v>
      </c>
      <c r="C74" s="25" t="s">
        <v>271</v>
      </c>
      <c r="D74" s="149">
        <f>'4- Rate Base'!J23</f>
        <v>817.03461538461545</v>
      </c>
      <c r="E74" s="25"/>
      <c r="F74" s="25" t="s">
        <v>23</v>
      </c>
      <c r="G74" s="168">
        <f>$I$196</f>
        <v>1</v>
      </c>
      <c r="H74" s="40"/>
      <c r="I74" s="149">
        <f>+G74*D74</f>
        <v>817.03461538461545</v>
      </c>
      <c r="J74" s="25"/>
      <c r="K74" s="25"/>
    </row>
    <row r="75" spans="1:11">
      <c r="A75" s="302">
        <f t="shared" si="2"/>
        <v>11</v>
      </c>
      <c r="B75" s="27" t="s">
        <v>221</v>
      </c>
      <c r="C75" s="25" t="s">
        <v>235</v>
      </c>
      <c r="D75" s="409">
        <f>SUM(D71:D74)</f>
        <v>817.03461538461545</v>
      </c>
      <c r="E75" s="25"/>
      <c r="F75" s="25"/>
      <c r="G75" s="23"/>
      <c r="H75" s="40"/>
      <c r="I75" s="409">
        <f>SUM(I71:I74)</f>
        <v>817.03461538461545</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0</v>
      </c>
      <c r="E79" s="40"/>
      <c r="F79" s="40"/>
      <c r="G79" s="23"/>
      <c r="H79" s="40"/>
      <c r="I79" s="15">
        <f>I65-I72</f>
        <v>0</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5" thickBot="1">
      <c r="A81" s="302">
        <f t="shared" si="2"/>
        <v>16</v>
      </c>
      <c r="B81" s="27" t="s">
        <v>88</v>
      </c>
      <c r="C81" s="25" t="str">
        <f>"(line "&amp;A67&amp;" - line "&amp;A74&amp;")"</f>
        <v>(line 4 - line 10)</v>
      </c>
      <c r="D81" s="149">
        <f>D67-D74</f>
        <v>25176.702307692311</v>
      </c>
      <c r="E81" s="40"/>
      <c r="F81" s="40"/>
      <c r="G81" s="150"/>
      <c r="H81" s="40"/>
      <c r="I81" s="149">
        <f>I67-I74</f>
        <v>25176.702307692311</v>
      </c>
      <c r="J81" s="25"/>
      <c r="K81" s="151"/>
    </row>
    <row r="82" spans="1:11">
      <c r="A82" s="302">
        <f t="shared" si="2"/>
        <v>17</v>
      </c>
      <c r="B82" s="27" t="s">
        <v>223</v>
      </c>
      <c r="C82" s="25" t="str">
        <f>"( Sum of line "&amp;A68&amp;" - line "&amp;A75&amp;")"</f>
        <v>( Sum of line 5 - line 11)</v>
      </c>
      <c r="D82" s="409">
        <f>SUM(D78:D81)</f>
        <v>25176.702307692311</v>
      </c>
      <c r="E82" s="40"/>
      <c r="F82" s="40" t="s">
        <v>26</v>
      </c>
      <c r="G82" s="333">
        <f>IF(I82&gt;0,I82/D82,1)</f>
        <v>1</v>
      </c>
      <c r="H82" s="40"/>
      <c r="I82" s="409">
        <f>SUM(I78:I81)</f>
        <v>25176.702307692311</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-386.36500000000001</v>
      </c>
      <c r="E86" s="25"/>
      <c r="F86" s="25" t="s">
        <v>27</v>
      </c>
      <c r="G86" s="168">
        <f>+$G$82</f>
        <v>1</v>
      </c>
      <c r="H86" s="40"/>
      <c r="I86" s="15">
        <f>D86*G86</f>
        <v>-386.36500000000001</v>
      </c>
      <c r="J86" s="25"/>
      <c r="K86" s="151"/>
    </row>
    <row r="87" spans="1:11">
      <c r="A87" s="302">
        <f t="shared" si="2"/>
        <v>21</v>
      </c>
      <c r="B87" s="27" t="s">
        <v>91</v>
      </c>
      <c r="C87" s="25" t="s">
        <v>563</v>
      </c>
      <c r="D87" s="45">
        <f>-'4- Rate Base'!G42</f>
        <v>-38815.919999999998</v>
      </c>
      <c r="E87" s="25"/>
      <c r="F87" s="25" t="s">
        <v>27</v>
      </c>
      <c r="G87" s="168">
        <f>+$G$82</f>
        <v>1</v>
      </c>
      <c r="H87" s="40"/>
      <c r="I87" s="15">
        <f>D87*G87</f>
        <v>-38815.919999999998</v>
      </c>
      <c r="J87" s="25"/>
      <c r="K87" s="151"/>
    </row>
    <row r="88" spans="1:11">
      <c r="A88" s="302">
        <f t="shared" si="2"/>
        <v>22</v>
      </c>
      <c r="B88" s="27" t="s">
        <v>96</v>
      </c>
      <c r="C88" s="25" t="s">
        <v>564</v>
      </c>
      <c r="D88" s="45">
        <f>+'4- Rate Base'!H42</f>
        <v>70730.06</v>
      </c>
      <c r="E88" s="25"/>
      <c r="F88" s="25" t="s">
        <v>27</v>
      </c>
      <c r="G88" s="168">
        <f>+$G$82</f>
        <v>1</v>
      </c>
      <c r="H88" s="40"/>
      <c r="I88" s="15">
        <f>D88*G88</f>
        <v>70730.06</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25033741.913846154</v>
      </c>
      <c r="E91" s="153"/>
      <c r="F91" s="154" t="str">
        <f>+F92</f>
        <v>DA</v>
      </c>
      <c r="G91" s="170">
        <v>1</v>
      </c>
      <c r="H91" s="153"/>
      <c r="I91" s="38">
        <f>+G91*D91</f>
        <v>25033741.913846154</v>
      </c>
      <c r="K91" s="151"/>
    </row>
    <row r="92" spans="1:11">
      <c r="A92" s="302">
        <f t="shared" si="2"/>
        <v>26</v>
      </c>
      <c r="B92" s="155" t="s">
        <v>104</v>
      </c>
      <c r="C92" s="156" t="s">
        <v>567</v>
      </c>
      <c r="D92" s="45">
        <f>+'4- Rate Base'!C42</f>
        <v>170971.41</v>
      </c>
      <c r="E92" s="154"/>
      <c r="F92" s="154" t="str">
        <f>+F93</f>
        <v>DA</v>
      </c>
      <c r="G92" s="170">
        <v>1</v>
      </c>
      <c r="H92" s="154"/>
      <c r="I92" s="38">
        <f>+G92*D92</f>
        <v>170971.41</v>
      </c>
      <c r="K92" s="151"/>
    </row>
    <row r="93" spans="1:11" ht="13.5"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25236241.098846152</v>
      </c>
      <c r="E94" s="25"/>
      <c r="F94" s="25"/>
      <c r="G94" s="486"/>
      <c r="H94" s="40"/>
      <c r="I94" s="15">
        <f>SUM(I85:I93)</f>
        <v>25236241.098846152</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57101.555245033902</v>
      </c>
      <c r="E99" s="33"/>
      <c r="F99" s="33"/>
      <c r="G99" s="332"/>
      <c r="H99" s="160"/>
      <c r="I99" s="159">
        <f>(I133-I130)/8</f>
        <v>57101.555245033902</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5" thickBot="1">
      <c r="A101" s="106">
        <f t="shared" si="2"/>
        <v>33</v>
      </c>
      <c r="B101" s="27" t="s">
        <v>93</v>
      </c>
      <c r="C101" s="40" t="s">
        <v>273</v>
      </c>
      <c r="D101" s="171">
        <f>+'4- Rate Base'!H23</f>
        <v>271578.59153846151</v>
      </c>
      <c r="E101" s="25"/>
      <c r="F101" s="25" t="s">
        <v>28</v>
      </c>
      <c r="G101" s="332">
        <f>+$G$68</f>
        <v>1</v>
      </c>
      <c r="H101" s="40"/>
      <c r="I101" s="149">
        <f>+G101*D101</f>
        <v>271578.59153846151</v>
      </c>
      <c r="J101" s="25"/>
      <c r="K101" s="151"/>
    </row>
    <row r="102" spans="1:11">
      <c r="A102" s="106">
        <f t="shared" si="2"/>
        <v>34</v>
      </c>
      <c r="B102" s="27" t="s">
        <v>225</v>
      </c>
      <c r="C102" s="25" t="str">
        <f>"( Sum of line "&amp;A99&amp;" - line "&amp;A101&amp;")"</f>
        <v>( Sum of line 31 - line 33)</v>
      </c>
      <c r="D102" s="15">
        <f>SUM(D99:D101)</f>
        <v>328680.14678349544</v>
      </c>
      <c r="E102" s="111"/>
      <c r="F102" s="111"/>
      <c r="G102" s="157"/>
      <c r="H102" s="161"/>
      <c r="I102" s="15">
        <f>I99+I100+I101</f>
        <v>328680.14678349544</v>
      </c>
      <c r="J102" s="111"/>
      <c r="K102" s="111"/>
    </row>
    <row r="103" spans="1:11" ht="13.5" thickBot="1">
      <c r="A103" s="106"/>
      <c r="B103" s="32"/>
      <c r="C103" s="25"/>
      <c r="D103" s="149"/>
      <c r="E103" s="25"/>
      <c r="F103" s="25"/>
      <c r="G103" s="25"/>
      <c r="H103" s="25"/>
      <c r="I103" s="149"/>
      <c r="J103" s="25"/>
      <c r="K103" s="25"/>
    </row>
    <row r="104" spans="1:11" ht="13.5" thickBot="1">
      <c r="A104" s="106">
        <f>+A102+1</f>
        <v>35</v>
      </c>
      <c r="B104" s="27" t="s">
        <v>226</v>
      </c>
      <c r="C104" s="25" t="str">
        <f>"( Sum of line "&amp;A82&amp;", "&amp;A94&amp;", "&amp;A96&amp;", "&amp;A102&amp;")"</f>
        <v>( Sum of line 17, 28, 29, 34)</v>
      </c>
      <c r="D104" s="162">
        <f>+D102+D96+D94+D82</f>
        <v>25590097.947937343</v>
      </c>
      <c r="E104" s="40"/>
      <c r="F104" s="40"/>
      <c r="G104" s="163"/>
      <c r="H104" s="40"/>
      <c r="I104" s="162">
        <f>+I102+I96+I94+I82</f>
        <v>25590097.947937343</v>
      </c>
      <c r="J104" s="25"/>
      <c r="K104" s="151"/>
    </row>
    <row r="105" spans="1:11" ht="13.5"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43465</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0"/>
      <c r="B112" s="900"/>
      <c r="C112" s="900"/>
      <c r="D112" s="900"/>
      <c r="E112" s="900"/>
      <c r="F112" s="900"/>
      <c r="G112" s="900"/>
      <c r="H112" s="900"/>
      <c r="I112" s="900"/>
      <c r="J112" s="900"/>
      <c r="K112" s="900"/>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273134.26999999996</v>
      </c>
      <c r="E117" s="25"/>
      <c r="F117" s="25" t="s">
        <v>15</v>
      </c>
      <c r="G117" s="168">
        <f>$I$188</f>
        <v>1</v>
      </c>
      <c r="H117" s="40"/>
      <c r="I117" s="15">
        <f t="shared" ref="I117:I128" si="3">+G117*D117</f>
        <v>273134.26999999996</v>
      </c>
      <c r="J117" s="111"/>
      <c r="K117" s="25"/>
    </row>
    <row r="118" spans="1:11">
      <c r="A118" s="125">
        <f>+A117+1</f>
        <v>2</v>
      </c>
      <c r="B118" s="166" t="s">
        <v>98</v>
      </c>
      <c r="C118" s="25" t="s">
        <v>471</v>
      </c>
      <c r="D118" s="328">
        <v>221658.87</v>
      </c>
      <c r="E118" s="156"/>
      <c r="F118" s="156" t="str">
        <f>+F117</f>
        <v>TP</v>
      </c>
      <c r="G118" s="168">
        <f>$I$188</f>
        <v>1</v>
      </c>
      <c r="H118" s="156"/>
      <c r="I118" s="159">
        <f>+G118*D118</f>
        <v>221658.87</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276660.63</v>
      </c>
      <c r="E120" s="25"/>
      <c r="F120" s="25" t="s">
        <v>23</v>
      </c>
      <c r="G120" s="168">
        <f t="shared" ref="G120:G125" si="5">$I$196</f>
        <v>1</v>
      </c>
      <c r="H120" s="40"/>
      <c r="I120" s="15">
        <f t="shared" si="3"/>
        <v>276660.63</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52</v>
      </c>
      <c r="E122" s="25"/>
      <c r="F122" s="25" t="s">
        <v>23</v>
      </c>
      <c r="G122" s="168">
        <f t="shared" si="5"/>
        <v>1</v>
      </c>
      <c r="H122" s="40"/>
      <c r="I122" s="15">
        <f t="shared" si="3"/>
        <v>52</v>
      </c>
      <c r="J122" s="25"/>
      <c r="K122" s="25"/>
    </row>
    <row r="123" spans="1:11" s="324" customFormat="1">
      <c r="A123" s="329">
        <f t="shared" si="4"/>
        <v>7</v>
      </c>
      <c r="B123" s="36" t="s">
        <v>623</v>
      </c>
      <c r="C123" s="25" t="s">
        <v>572</v>
      </c>
      <c r="D123" s="328">
        <v>20266.16</v>
      </c>
      <c r="E123" s="25"/>
      <c r="F123" s="25" t="s">
        <v>23</v>
      </c>
      <c r="G123" s="168">
        <f t="shared" si="5"/>
        <v>1</v>
      </c>
      <c r="H123" s="40"/>
      <c r="I123" s="409">
        <f t="shared" ref="I123:I124" si="6">+G123*D123</f>
        <v>20266.16</v>
      </c>
      <c r="J123" s="25"/>
      <c r="K123" s="25"/>
    </row>
    <row r="124" spans="1:11" s="324" customFormat="1">
      <c r="A124" s="329">
        <f t="shared" si="4"/>
        <v>8</v>
      </c>
      <c r="B124" s="36" t="s">
        <v>622</v>
      </c>
      <c r="C124" s="25" t="s">
        <v>572</v>
      </c>
      <c r="D124" s="328">
        <v>0.64</v>
      </c>
      <c r="E124" s="25"/>
      <c r="F124" s="25" t="s">
        <v>23</v>
      </c>
      <c r="G124" s="168">
        <f t="shared" si="5"/>
        <v>1</v>
      </c>
      <c r="H124" s="40"/>
      <c r="I124" s="409">
        <f t="shared" si="6"/>
        <v>0.64</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20148.689999999999</v>
      </c>
      <c r="E126" s="25"/>
      <c r="F126" s="167" t="s">
        <v>15</v>
      </c>
      <c r="G126" s="168">
        <f>$I$188</f>
        <v>1</v>
      </c>
      <c r="H126" s="40"/>
      <c r="I126" s="15">
        <f t="shared" si="3"/>
        <v>20148.689999999999</v>
      </c>
      <c r="J126" s="25"/>
      <c r="K126" s="25"/>
    </row>
    <row r="127" spans="1:11" s="12" customFormat="1">
      <c r="A127" s="329">
        <f t="shared" si="4"/>
        <v>11</v>
      </c>
      <c r="B127" s="36" t="s">
        <v>213</v>
      </c>
      <c r="C127" s="33" t="s">
        <v>360</v>
      </c>
      <c r="D127" s="174">
        <f>+'7 - PBOP'!F15</f>
        <v>-24423.848039728815</v>
      </c>
      <c r="E127" s="100"/>
      <c r="F127" s="25" t="s">
        <v>23</v>
      </c>
      <c r="G127" s="168">
        <f>$I$196</f>
        <v>1</v>
      </c>
      <c r="H127" s="40"/>
      <c r="I127" s="15">
        <f>+G127*D127</f>
        <v>-24423.848039728815</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68388.5</v>
      </c>
      <c r="E130" s="154"/>
      <c r="F130" s="154" t="s">
        <v>77</v>
      </c>
      <c r="G130" s="170">
        <v>1</v>
      </c>
      <c r="H130" s="154"/>
      <c r="I130" s="45">
        <f>+G130*D130</f>
        <v>68388.5</v>
      </c>
      <c r="K130" s="25"/>
    </row>
    <row r="131" spans="1:11">
      <c r="A131" s="329">
        <f t="shared" si="4"/>
        <v>15</v>
      </c>
      <c r="B131" s="509" t="s">
        <v>626</v>
      </c>
      <c r="C131" s="25"/>
      <c r="D131" s="328">
        <v>153270.37</v>
      </c>
      <c r="E131" s="154"/>
      <c r="F131" s="154" t="s">
        <v>15</v>
      </c>
      <c r="G131" s="168">
        <f>$I$188</f>
        <v>1</v>
      </c>
      <c r="H131" s="154"/>
      <c r="I131" s="45">
        <f>+G131*D131</f>
        <v>153270.37</v>
      </c>
      <c r="K131" s="25"/>
    </row>
    <row r="132" spans="1:11" ht="13.5" thickBot="1">
      <c r="A132" s="329">
        <f t="shared" si="4"/>
        <v>16</v>
      </c>
      <c r="B132" s="166" t="s">
        <v>100</v>
      </c>
      <c r="C132" s="156" t="str">
        <f>"( Sum of line "&amp;A130&amp;" - line "&amp;A131&amp;")"" Ties to 321.97b"</f>
        <v>( Sum of line 14 - line 15)" Ties to 321.97b</v>
      </c>
      <c r="D132" s="171">
        <f>SUM(D130:D131)</f>
        <v>221658.87</v>
      </c>
      <c r="E132" s="154"/>
      <c r="F132" s="154"/>
      <c r="G132" s="170"/>
      <c r="H132" s="154"/>
      <c r="I132" s="171">
        <f>SUM(I130:I131)</f>
        <v>221658.87</v>
      </c>
      <c r="K132" s="25"/>
    </row>
    <row r="133" spans="1:11">
      <c r="A133" s="329">
        <f t="shared" si="4"/>
        <v>17</v>
      </c>
      <c r="B133" s="172" t="s">
        <v>227</v>
      </c>
      <c r="C133" s="101" t="s">
        <v>625</v>
      </c>
      <c r="D133" s="15">
        <f>+D117-D118-D119+D120-D121-D122-D123-D124-D125+D126+D127+D128+D132</f>
        <v>525200.94196027122</v>
      </c>
      <c r="E133" s="15"/>
      <c r="F133" s="15"/>
      <c r="G133" s="15"/>
      <c r="H133" s="15"/>
      <c r="I133" s="409">
        <f>+I117-I118-I119+I120-I121-I122-I123-I124-I125+I126+I127+I128+I132</f>
        <v>525200.94196027122</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0</v>
      </c>
      <c r="E136" s="15"/>
      <c r="F136" s="15" t="s">
        <v>15</v>
      </c>
      <c r="G136" s="168">
        <f>$I$188</f>
        <v>1</v>
      </c>
      <c r="H136" s="15"/>
      <c r="I136" s="15">
        <f>+G136*D136</f>
        <v>0</v>
      </c>
      <c r="J136" s="25"/>
      <c r="K136" s="151"/>
    </row>
    <row r="137" spans="1:11">
      <c r="A137" s="329">
        <f t="shared" si="4"/>
        <v>20</v>
      </c>
      <c r="B137" s="173" t="s">
        <v>88</v>
      </c>
      <c r="C137" s="158" t="s">
        <v>475</v>
      </c>
      <c r="D137" s="841">
        <v>4012.8</v>
      </c>
      <c r="E137" s="15"/>
      <c r="F137" s="15" t="s">
        <v>23</v>
      </c>
      <c r="G137" s="168">
        <f>$I$196</f>
        <v>1</v>
      </c>
      <c r="H137" s="15"/>
      <c r="I137" s="15">
        <f>+G137*D137</f>
        <v>4012.8</v>
      </c>
      <c r="J137" s="25"/>
      <c r="K137" s="151"/>
    </row>
    <row r="138" spans="1:11" ht="13.5"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4012.8</v>
      </c>
      <c r="E139" s="15"/>
      <c r="F139" s="15"/>
      <c r="G139" s="168"/>
      <c r="H139" s="15"/>
      <c r="I139" s="15">
        <f>SUM(I136:I138)</f>
        <v>4012.8</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434.44</v>
      </c>
      <c r="E146" s="15"/>
      <c r="F146" s="15" t="s">
        <v>28</v>
      </c>
      <c r="G146" s="332">
        <f>+$G$68</f>
        <v>1</v>
      </c>
      <c r="H146" s="15"/>
      <c r="I146" s="15">
        <f>+G146*D146</f>
        <v>434.44</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5" thickBot="1">
      <c r="A149" s="329">
        <f t="shared" si="4"/>
        <v>31</v>
      </c>
      <c r="B149" s="27" t="s">
        <v>39</v>
      </c>
      <c r="C149" s="158" t="s">
        <v>647</v>
      </c>
      <c r="D149" s="841">
        <v>0</v>
      </c>
      <c r="E149" s="15"/>
      <c r="F149" s="15" t="s">
        <v>28</v>
      </c>
      <c r="G149" s="332">
        <f>+$G$68</f>
        <v>1</v>
      </c>
      <c r="H149" s="15"/>
      <c r="I149" s="149">
        <f>+G149*D149</f>
        <v>0</v>
      </c>
      <c r="J149" s="25"/>
      <c r="K149" s="151"/>
    </row>
    <row r="150" spans="1:11" ht="13.5" thickTop="1">
      <c r="A150" s="329">
        <f t="shared" si="4"/>
        <v>32</v>
      </c>
      <c r="B150" s="27" t="s">
        <v>219</v>
      </c>
      <c r="C150" s="25" t="str">
        <f>"( Sum of line "&amp;A143&amp;" - line "&amp;A149&amp;")"</f>
        <v>( Sum of line 25 - line 31)</v>
      </c>
      <c r="D150" s="371">
        <f>SUM(D143:D149)</f>
        <v>434.44</v>
      </c>
      <c r="E150" s="15"/>
      <c r="F150" s="15"/>
      <c r="G150" s="15"/>
      <c r="H150" s="15"/>
      <c r="I150" s="15">
        <f>SUM(I143:I149)</f>
        <v>434.44</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0.29599768739185317</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-28689.71</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570422.04321083834</v>
      </c>
      <c r="E161" s="40"/>
      <c r="F161" s="40" t="s">
        <v>21</v>
      </c>
      <c r="G161" s="41"/>
      <c r="H161" s="40"/>
      <c r="I161" s="264">
        <f>+D154*I168</f>
        <v>570422.04321083834</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-38840.736478711158</v>
      </c>
      <c r="E163" s="40"/>
      <c r="F163" s="42" t="s">
        <v>27</v>
      </c>
      <c r="G163" s="152">
        <f>+$G$82</f>
        <v>1</v>
      </c>
      <c r="H163" s="40"/>
      <c r="I163" s="264">
        <f>+G163*D163</f>
        <v>-38840.736478711158</v>
      </c>
      <c r="J163" s="25"/>
      <c r="K163" s="122"/>
    </row>
    <row r="164" spans="1:11" ht="13.5"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531581.30673212721</v>
      </c>
      <c r="E165" s="40"/>
      <c r="F165" s="40" t="s">
        <v>2</v>
      </c>
      <c r="G165" s="41" t="s">
        <v>2</v>
      </c>
      <c r="H165" s="40"/>
      <c r="I165" s="174">
        <f>SUM(I161:I164)</f>
        <v>531581.30673212721</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1927116.5536360815</v>
      </c>
      <c r="E168" s="40"/>
      <c r="F168" s="40" t="s">
        <v>21</v>
      </c>
      <c r="G168" s="176"/>
      <c r="H168" s="40"/>
      <c r="I168" s="409">
        <f>+$I205*I104</f>
        <v>1927116.5536360815</v>
      </c>
      <c r="K168" s="151"/>
    </row>
    <row r="169" spans="1:11">
      <c r="A169" s="125"/>
      <c r="B169" s="27"/>
      <c r="C169" s="32"/>
      <c r="D169" s="38"/>
      <c r="E169" s="40"/>
      <c r="F169" s="40"/>
      <c r="G169" s="176"/>
      <c r="H169" s="40"/>
      <c r="I169" s="38"/>
      <c r="J169" s="25"/>
      <c r="K169" s="151"/>
    </row>
    <row r="170" spans="1:11" ht="13.5" thickBot="1">
      <c r="A170" s="125">
        <f>A168+1</f>
        <v>49</v>
      </c>
      <c r="B170" s="27" t="s">
        <v>216</v>
      </c>
      <c r="C170" s="25" t="str">
        <f>"( Sum of line  "&amp;A133&amp;","&amp;A139&amp;", "&amp;A150&amp;", "&amp;A165&amp;", "&amp;A168&amp;")"</f>
        <v>( Sum of line  17,22, 32, 46, 48)</v>
      </c>
      <c r="D170" s="178">
        <f>+D168+D165+D150+D139+D133</f>
        <v>2988346.0423284797</v>
      </c>
      <c r="E170" s="40"/>
      <c r="F170" s="40"/>
      <c r="G170" s="164"/>
      <c r="H170" s="40"/>
      <c r="I170" s="178">
        <f>+I168+I165+I150+I139+I133</f>
        <v>2988346.0423284797</v>
      </c>
      <c r="J170" s="111"/>
      <c r="K170" s="111"/>
    </row>
    <row r="171" spans="1:11" ht="13.5"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43465</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0"/>
      <c r="B177" s="900"/>
      <c r="C177" s="900"/>
      <c r="D177" s="900"/>
      <c r="E177" s="900"/>
      <c r="F177" s="900"/>
      <c r="G177" s="900"/>
      <c r="H177" s="900"/>
      <c r="I177" s="900"/>
      <c r="J177" s="900"/>
      <c r="K177" s="900"/>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0</v>
      </c>
      <c r="J183" s="33"/>
      <c r="K183" s="25"/>
    </row>
    <row r="184" spans="1:11">
      <c r="A184" s="302">
        <f>+A183+1</f>
        <v>2</v>
      </c>
      <c r="B184" s="108" t="s">
        <v>231</v>
      </c>
      <c r="C184" s="30" t="s">
        <v>596</v>
      </c>
      <c r="D184" s="30"/>
      <c r="E184" s="30"/>
      <c r="F184" s="30"/>
      <c r="G184" s="30"/>
      <c r="H184" s="30"/>
      <c r="I184" s="147">
        <v>0</v>
      </c>
      <c r="J184" s="33"/>
      <c r="K184" s="25"/>
    </row>
    <row r="185" spans="1:11" ht="13.5"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0</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5"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5"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5"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5"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10725255.76923077</v>
      </c>
      <c r="E202" s="837">
        <f>+'5-Return'!G19</f>
        <v>0.4</v>
      </c>
      <c r="F202" s="23"/>
      <c r="G202" s="372">
        <f>+'5-Return'!H19</f>
        <v>3.076779771972445E-2</v>
      </c>
      <c r="H202" s="23"/>
      <c r="I202" s="215">
        <f>E202*G202</f>
        <v>1.2307119087889781E-2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5" thickBot="1">
      <c r="A204" s="302">
        <f t="shared" si="7"/>
        <v>17</v>
      </c>
      <c r="B204" s="24" t="s">
        <v>278</v>
      </c>
      <c r="C204" s="30" t="s">
        <v>601</v>
      </c>
      <c r="D204" s="194">
        <f>+'5-Return'!F21</f>
        <v>12643680.152923075</v>
      </c>
      <c r="E204" s="838">
        <f>+'5-Return'!G21</f>
        <v>0.6</v>
      </c>
      <c r="F204" s="31"/>
      <c r="G204" s="372">
        <f>+'5-Return'!H21</f>
        <v>0.10500000000000001</v>
      </c>
      <c r="H204" s="32"/>
      <c r="I204" s="335">
        <f>E204*G204</f>
        <v>6.3E-2</v>
      </c>
      <c r="J204" s="25"/>
      <c r="K204" s="32"/>
    </row>
    <row r="205" spans="1:11">
      <c r="A205" s="302">
        <f t="shared" si="7"/>
        <v>18</v>
      </c>
      <c r="B205" s="27" t="s">
        <v>228</v>
      </c>
      <c r="C205" s="25" t="str">
        <f>"( Sum of line "&amp;A202&amp;" - line "&amp;A204&amp;")"</f>
        <v>( Sum of line 15 - line 17)</v>
      </c>
      <c r="D205" s="723">
        <f>SUM(D202:D204)</f>
        <v>23368935.922153845</v>
      </c>
      <c r="E205" s="25" t="s">
        <v>2</v>
      </c>
      <c r="F205" s="25"/>
      <c r="G205" s="25"/>
      <c r="H205" s="25"/>
      <c r="I205" s="215">
        <f>SUM(I202:I204)</f>
        <v>7.5307119087889784E-2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5"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43465</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0"/>
      <c r="B218" s="900"/>
      <c r="C218" s="900"/>
      <c r="D218" s="900"/>
      <c r="E218" s="900"/>
      <c r="F218" s="900"/>
      <c r="G218" s="900"/>
      <c r="H218" s="900"/>
      <c r="I218" s="900"/>
      <c r="J218" s="900"/>
      <c r="K218" s="900"/>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579</v>
      </c>
      <c r="B222" s="902"/>
      <c r="C222" s="902"/>
      <c r="D222" s="207"/>
      <c r="E222" s="207"/>
      <c r="F222" s="207"/>
      <c r="G222" s="207"/>
      <c r="H222" s="208"/>
      <c r="I222" s="207"/>
      <c r="J222" s="208"/>
      <c r="K222" s="207"/>
    </row>
    <row r="223" spans="1:11" ht="30" customHeight="1">
      <c r="A223" s="858" t="s">
        <v>183</v>
      </c>
      <c r="B223" s="904" t="s">
        <v>783</v>
      </c>
      <c r="C223" s="905"/>
      <c r="D223" s="905"/>
      <c r="E223" s="905"/>
      <c r="F223" s="905"/>
      <c r="G223" s="905"/>
      <c r="H223" s="905"/>
      <c r="I223" s="905"/>
      <c r="J223" s="905"/>
      <c r="K223" s="905"/>
    </row>
    <row r="224" spans="1:11">
      <c r="A224" s="858" t="s">
        <v>184</v>
      </c>
      <c r="B224" s="901" t="s">
        <v>287</v>
      </c>
      <c r="C224" s="901"/>
      <c r="D224" s="901"/>
      <c r="E224" s="901"/>
      <c r="F224" s="901"/>
      <c r="G224" s="901"/>
      <c r="H224" s="901"/>
      <c r="I224" s="901"/>
      <c r="J224" s="901"/>
      <c r="K224" s="901"/>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901" t="s">
        <v>566</v>
      </c>
      <c r="C226" s="901"/>
      <c r="D226" s="901"/>
      <c r="E226" s="901"/>
      <c r="F226" s="901"/>
      <c r="G226" s="901"/>
      <c r="H226" s="901"/>
      <c r="I226" s="901"/>
      <c r="J226" s="901"/>
      <c r="K226" s="901"/>
    </row>
    <row r="227" spans="1:11" s="12" customFormat="1" ht="28.5" customHeight="1">
      <c r="A227" s="859" t="s">
        <v>66</v>
      </c>
      <c r="B227" s="903" t="s">
        <v>362</v>
      </c>
      <c r="C227" s="903"/>
      <c r="D227" s="903"/>
      <c r="E227" s="903"/>
      <c r="F227" s="903"/>
      <c r="G227" s="903"/>
      <c r="H227" s="903"/>
      <c r="I227" s="903"/>
      <c r="J227" s="903"/>
      <c r="K227" s="903"/>
    </row>
    <row r="228" spans="1:11" ht="19.5" customHeight="1">
      <c r="A228" s="859" t="s">
        <v>67</v>
      </c>
      <c r="B228" s="906" t="s">
        <v>715</v>
      </c>
      <c r="C228" s="906"/>
      <c r="D228" s="906"/>
      <c r="E228" s="906"/>
      <c r="F228" s="906"/>
      <c r="G228" s="906"/>
      <c r="H228" s="906"/>
      <c r="I228" s="906"/>
      <c r="J228" s="906"/>
      <c r="K228" s="906"/>
    </row>
    <row r="229" spans="1:11">
      <c r="A229" s="858" t="s">
        <v>68</v>
      </c>
      <c r="B229" s="901" t="s">
        <v>645</v>
      </c>
      <c r="C229" s="901"/>
      <c r="D229" s="901"/>
      <c r="E229" s="901"/>
      <c r="F229" s="901"/>
      <c r="G229" s="901"/>
      <c r="H229" s="901"/>
      <c r="I229" s="901"/>
      <c r="J229" s="901"/>
      <c r="K229" s="901"/>
    </row>
    <row r="230" spans="1:11" ht="29.25" customHeight="1">
      <c r="A230" s="858" t="s">
        <v>69</v>
      </c>
      <c r="B230" s="901" t="s">
        <v>570</v>
      </c>
      <c r="C230" s="901"/>
      <c r="D230" s="901"/>
      <c r="E230" s="901"/>
      <c r="F230" s="901"/>
      <c r="G230" s="901"/>
      <c r="H230" s="901"/>
      <c r="I230" s="901"/>
      <c r="J230" s="901"/>
      <c r="K230" s="901"/>
    </row>
    <row r="231" spans="1:11">
      <c r="A231" s="860" t="s">
        <v>70</v>
      </c>
      <c r="B231" s="901" t="s">
        <v>117</v>
      </c>
      <c r="C231" s="901"/>
      <c r="D231" s="901"/>
      <c r="E231" s="901"/>
      <c r="F231" s="901"/>
      <c r="G231" s="901"/>
      <c r="H231" s="901"/>
      <c r="I231" s="901"/>
      <c r="J231" s="901"/>
      <c r="K231" s="901"/>
    </row>
    <row r="232" spans="1:11" s="217" customFormat="1" ht="15.75" customHeight="1">
      <c r="A232" s="858" t="s">
        <v>71</v>
      </c>
      <c r="B232" s="901" t="s">
        <v>624</v>
      </c>
      <c r="C232" s="901"/>
      <c r="D232" s="901"/>
      <c r="E232" s="901"/>
      <c r="F232" s="901"/>
      <c r="G232" s="901"/>
      <c r="H232" s="901"/>
      <c r="I232" s="901"/>
      <c r="J232" s="901"/>
      <c r="K232" s="901"/>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901" t="s">
        <v>646</v>
      </c>
      <c r="C234" s="901"/>
      <c r="D234" s="901"/>
      <c r="E234" s="901"/>
      <c r="F234" s="901"/>
      <c r="G234" s="901"/>
      <c r="H234" s="901"/>
      <c r="I234" s="901"/>
      <c r="J234" s="901"/>
      <c r="K234" s="901"/>
    </row>
    <row r="235" spans="1:11" ht="51" customHeight="1">
      <c r="A235" s="907" t="s">
        <v>586</v>
      </c>
      <c r="B235" s="901" t="s">
        <v>185</v>
      </c>
      <c r="C235" s="901"/>
      <c r="D235" s="901"/>
      <c r="E235" s="901"/>
      <c r="F235" s="901"/>
      <c r="G235" s="901"/>
      <c r="H235" s="901"/>
      <c r="I235" s="901"/>
      <c r="J235" s="901"/>
      <c r="K235" s="901"/>
    </row>
    <row r="236" spans="1:11">
      <c r="A236" s="907"/>
      <c r="B236" s="254" t="s">
        <v>72</v>
      </c>
      <c r="C236" s="254" t="s">
        <v>754</v>
      </c>
      <c r="D236" s="390">
        <v>0.21</v>
      </c>
      <c r="E236" s="254" t="s">
        <v>363</v>
      </c>
      <c r="F236" s="254"/>
      <c r="G236" s="254"/>
      <c r="H236" s="254"/>
      <c r="I236" s="254"/>
      <c r="J236" s="254"/>
      <c r="K236" s="254"/>
    </row>
    <row r="237" spans="1:11">
      <c r="A237" s="907"/>
      <c r="B237" s="254"/>
      <c r="C237" s="254" t="s">
        <v>73</v>
      </c>
      <c r="D237" s="390">
        <v>6.5000000000000002E-2</v>
      </c>
      <c r="E237" s="254" t="s">
        <v>118</v>
      </c>
      <c r="F237" s="254"/>
      <c r="G237" s="254"/>
      <c r="H237" s="254"/>
      <c r="I237" s="254"/>
      <c r="J237" s="254"/>
      <c r="K237" s="254"/>
    </row>
    <row r="238" spans="1:11">
      <c r="A238" s="907"/>
      <c r="B238" s="254"/>
      <c r="C238" s="254" t="s">
        <v>74</v>
      </c>
      <c r="D238" s="390">
        <v>0</v>
      </c>
      <c r="E238" s="254" t="s">
        <v>119</v>
      </c>
      <c r="F238" s="254"/>
      <c r="G238" s="254"/>
      <c r="H238" s="254"/>
      <c r="I238" s="254"/>
      <c r="J238" s="254"/>
      <c r="K238" s="254"/>
    </row>
    <row r="239" spans="1:11">
      <c r="A239" s="907"/>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901" t="s">
        <v>123</v>
      </c>
      <c r="C241" s="901"/>
      <c r="D241" s="901"/>
      <c r="E241" s="901"/>
      <c r="F241" s="901"/>
      <c r="G241" s="901"/>
      <c r="H241" s="901"/>
      <c r="I241" s="901"/>
      <c r="J241" s="901"/>
      <c r="K241" s="901"/>
    </row>
    <row r="242" spans="1:11" s="583" customFormat="1" ht="81" customHeight="1">
      <c r="A242" s="858" t="s">
        <v>125</v>
      </c>
      <c r="B242" s="908" t="s">
        <v>790</v>
      </c>
      <c r="C242" s="908"/>
      <c r="D242" s="908"/>
      <c r="E242" s="908"/>
      <c r="F242" s="908"/>
      <c r="G242" s="908"/>
      <c r="H242" s="908"/>
      <c r="I242" s="908"/>
      <c r="J242" s="908"/>
      <c r="K242" s="908"/>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901" t="s">
        <v>604</v>
      </c>
      <c r="C244" s="901"/>
      <c r="D244" s="901"/>
      <c r="E244" s="901"/>
      <c r="F244" s="901"/>
      <c r="G244" s="901"/>
      <c r="H244" s="901"/>
      <c r="I244" s="901"/>
      <c r="J244" s="901"/>
      <c r="K244" s="901"/>
    </row>
    <row r="245" spans="1:11" ht="21" customHeight="1">
      <c r="A245" s="858" t="s">
        <v>600</v>
      </c>
      <c r="B245" s="901" t="s">
        <v>717</v>
      </c>
      <c r="C245" s="901"/>
      <c r="D245" s="901"/>
      <c r="E245" s="901"/>
      <c r="F245" s="901"/>
      <c r="G245" s="901"/>
      <c r="H245" s="901"/>
      <c r="I245" s="901"/>
      <c r="J245" s="901"/>
      <c r="K245" s="901"/>
    </row>
    <row r="246" spans="1:11">
      <c r="A246" s="858" t="s">
        <v>602</v>
      </c>
      <c r="B246" s="901" t="s">
        <v>603</v>
      </c>
      <c r="C246" s="901"/>
      <c r="D246" s="901"/>
      <c r="E246" s="901"/>
      <c r="F246" s="901"/>
      <c r="G246" s="901"/>
      <c r="H246" s="901"/>
      <c r="I246" s="901"/>
      <c r="J246" s="901"/>
      <c r="K246" s="901"/>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1"/>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2"/>
    </customSheetView>
  </customSheetViews>
  <mergeCells count="22">
    <mergeCell ref="B244:K244"/>
    <mergeCell ref="B245:K245"/>
    <mergeCell ref="B246:K246"/>
    <mergeCell ref="A235:A239"/>
    <mergeCell ref="B242:K242"/>
    <mergeCell ref="B235:K235"/>
    <mergeCell ref="B241:K241"/>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topLeftCell="A23" zoomScale="80" zoomScaleNormal="90" zoomScaleSheetLayoutView="80" workbookViewId="0">
      <selection activeCell="C60" sqref="C60"/>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11.6640625" style="351" customWidth="1"/>
    <col min="6" max="6" width="14.21875" style="351" customWidth="1"/>
    <col min="7" max="7" width="13" style="351" bestFit="1" customWidth="1"/>
    <col min="8" max="8" width="11.109375" style="351" bestFit="1" customWidth="1"/>
    <col min="9" max="9" width="11.77734375" style="351" customWidth="1"/>
    <col min="10" max="10" width="11.886718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8" zoomScale="80" zoomScaleNormal="90" zoomScaleSheetLayoutView="80" workbookViewId="0">
      <selection activeCell="D13" sqref="D13"/>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9.88671875" style="351" customWidth="1"/>
    <col min="6" max="6" width="15.6640625" style="351" customWidth="1"/>
    <col min="7" max="9" width="13.5546875" style="351" customWidth="1"/>
    <col min="10" max="10" width="14.777343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5.5">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333246.93</v>
      </c>
      <c r="E12" s="337"/>
      <c r="F12" s="337"/>
      <c r="G12" s="339"/>
      <c r="H12" s="337"/>
      <c r="I12" s="337"/>
      <c r="J12" s="337"/>
      <c r="K12" s="337"/>
      <c r="L12" s="337"/>
    </row>
    <row r="13" spans="1:12" s="336" customFormat="1" ht="16.5" customHeight="1">
      <c r="A13" s="398">
        <f>+A12+1</f>
        <v>2</v>
      </c>
      <c r="B13" s="399" t="s">
        <v>497</v>
      </c>
      <c r="C13" s="337"/>
      <c r="D13" s="296">
        <v>-3254.4300000000003</v>
      </c>
      <c r="E13" s="337"/>
      <c r="F13" s="337"/>
      <c r="G13" s="339"/>
      <c r="H13" s="337"/>
      <c r="I13" s="337"/>
      <c r="J13" s="337"/>
      <c r="K13" s="337"/>
      <c r="L13" s="337"/>
    </row>
    <row r="14" spans="1:12" s="336" customFormat="1" ht="16.5" customHeight="1">
      <c r="A14" s="261">
        <f>+A13+1</f>
        <v>3</v>
      </c>
      <c r="B14" s="24" t="s">
        <v>498</v>
      </c>
      <c r="D14" s="298">
        <f>SUM(D12:D13)</f>
        <v>329992.5</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4956025</v>
      </c>
      <c r="E20" s="382"/>
      <c r="F20" s="382"/>
      <c r="H20" s="337"/>
      <c r="I20" s="337"/>
      <c r="J20" s="337"/>
      <c r="K20" s="337"/>
      <c r="L20" s="337"/>
    </row>
    <row r="21" spans="1:12" s="336" customFormat="1" ht="16.5" customHeight="1">
      <c r="A21" s="387">
        <f>+A20+1</f>
        <v>5</v>
      </c>
      <c r="B21" s="5" t="s">
        <v>85</v>
      </c>
      <c r="C21" s="382"/>
      <c r="D21" s="295">
        <v>6956025</v>
      </c>
      <c r="E21" s="382"/>
      <c r="F21" s="382"/>
      <c r="H21" s="337"/>
      <c r="I21" s="337"/>
      <c r="J21" s="337"/>
      <c r="K21" s="337"/>
      <c r="L21" s="337"/>
    </row>
    <row r="22" spans="1:12" s="336" customFormat="1" ht="16.5" customHeight="1">
      <c r="A22" s="387">
        <f t="shared" ref="A22:A33" si="0">+A21+1</f>
        <v>6</v>
      </c>
      <c r="B22" s="1" t="s">
        <v>84</v>
      </c>
      <c r="C22" s="382"/>
      <c r="D22" s="295">
        <v>7456025</v>
      </c>
      <c r="E22" s="382"/>
      <c r="F22" s="382"/>
      <c r="H22" s="337"/>
      <c r="I22" s="337"/>
      <c r="J22" s="337"/>
      <c r="K22" s="337"/>
      <c r="L22" s="337"/>
    </row>
    <row r="23" spans="1:12" s="336" customFormat="1" ht="16.5" customHeight="1">
      <c r="A23" s="387">
        <f t="shared" si="0"/>
        <v>7</v>
      </c>
      <c r="B23" s="1" t="s">
        <v>170</v>
      </c>
      <c r="C23" s="382"/>
      <c r="D23" s="295">
        <v>7456025</v>
      </c>
      <c r="E23" s="382"/>
      <c r="F23" s="382"/>
      <c r="H23" s="337"/>
      <c r="I23" s="337"/>
      <c r="J23" s="337"/>
      <c r="K23" s="337"/>
      <c r="L23" s="337"/>
    </row>
    <row r="24" spans="1:12" s="336" customFormat="1" ht="16.5" customHeight="1">
      <c r="A24" s="387">
        <f t="shared" si="0"/>
        <v>8</v>
      </c>
      <c r="B24" s="1" t="s">
        <v>76</v>
      </c>
      <c r="C24" s="382"/>
      <c r="D24" s="295">
        <v>9256025</v>
      </c>
      <c r="E24" s="382"/>
      <c r="F24" s="382"/>
      <c r="H24" s="337"/>
      <c r="I24" s="337"/>
      <c r="J24" s="337"/>
      <c r="K24" s="337"/>
      <c r="L24" s="337"/>
    </row>
    <row r="25" spans="1:12" s="336" customFormat="1" ht="16.5" customHeight="1">
      <c r="A25" s="387">
        <f t="shared" si="0"/>
        <v>9</v>
      </c>
      <c r="B25" s="1" t="s">
        <v>75</v>
      </c>
      <c r="C25" s="382"/>
      <c r="D25" s="295">
        <v>9256025</v>
      </c>
      <c r="E25" s="382"/>
      <c r="F25" s="382"/>
      <c r="H25" s="337"/>
      <c r="I25" s="337"/>
      <c r="J25" s="337"/>
      <c r="K25" s="337"/>
      <c r="L25" s="337"/>
    </row>
    <row r="26" spans="1:12" s="336" customFormat="1" ht="16.5" customHeight="1">
      <c r="A26" s="387">
        <f t="shared" si="0"/>
        <v>10</v>
      </c>
      <c r="B26" s="1" t="s">
        <v>95</v>
      </c>
      <c r="C26" s="382"/>
      <c r="D26" s="295">
        <v>11756025</v>
      </c>
      <c r="E26" s="382"/>
      <c r="F26" s="382"/>
      <c r="H26" s="337"/>
      <c r="I26" s="337"/>
      <c r="J26" s="337"/>
      <c r="K26" s="337"/>
      <c r="L26" s="337"/>
    </row>
    <row r="27" spans="1:12" s="336" customFormat="1" ht="16.5" customHeight="1">
      <c r="A27" s="387">
        <f t="shared" si="0"/>
        <v>11</v>
      </c>
      <c r="B27" s="1" t="s">
        <v>82</v>
      </c>
      <c r="C27" s="382"/>
      <c r="D27" s="295">
        <v>11756025</v>
      </c>
      <c r="E27" s="382"/>
      <c r="F27" s="382"/>
      <c r="H27" s="337"/>
      <c r="I27" s="337"/>
      <c r="J27" s="337"/>
      <c r="K27" s="337"/>
      <c r="L27" s="337"/>
    </row>
    <row r="28" spans="1:12" s="336" customFormat="1" ht="16.5" customHeight="1">
      <c r="A28" s="387">
        <f t="shared" si="0"/>
        <v>12</v>
      </c>
      <c r="B28" s="1" t="s">
        <v>171</v>
      </c>
      <c r="C28" s="382"/>
      <c r="D28" s="295">
        <v>11756025</v>
      </c>
      <c r="E28" s="382"/>
      <c r="F28" s="382"/>
      <c r="H28" s="337"/>
      <c r="I28" s="337"/>
      <c r="J28" s="337"/>
      <c r="K28" s="337"/>
      <c r="L28" s="337"/>
    </row>
    <row r="29" spans="1:12" s="336" customFormat="1" ht="16.5" customHeight="1">
      <c r="A29" s="387">
        <f t="shared" si="0"/>
        <v>13</v>
      </c>
      <c r="B29" s="1" t="s">
        <v>80</v>
      </c>
      <c r="C29" s="382"/>
      <c r="D29" s="295">
        <v>11756025</v>
      </c>
      <c r="E29" s="382"/>
      <c r="F29" s="382"/>
      <c r="H29" s="337"/>
      <c r="I29" s="337"/>
      <c r="J29" s="337"/>
      <c r="K29" s="337"/>
      <c r="L29" s="337"/>
    </row>
    <row r="30" spans="1:12" s="336" customFormat="1" ht="16.5" customHeight="1">
      <c r="A30" s="387">
        <f t="shared" si="0"/>
        <v>14</v>
      </c>
      <c r="B30" s="1" t="s">
        <v>86</v>
      </c>
      <c r="C30" s="382"/>
      <c r="D30" s="295">
        <v>14456025</v>
      </c>
      <c r="E30" s="382"/>
      <c r="F30" s="382"/>
      <c r="H30" s="337"/>
      <c r="I30" s="337"/>
      <c r="J30" s="337"/>
      <c r="K30" s="337"/>
      <c r="L30" s="337"/>
    </row>
    <row r="31" spans="1:12" s="336" customFormat="1" ht="16.5" customHeight="1">
      <c r="A31" s="387">
        <f t="shared" si="0"/>
        <v>15</v>
      </c>
      <c r="B31" s="1" t="s">
        <v>79</v>
      </c>
      <c r="C31" s="382"/>
      <c r="D31" s="295">
        <v>15656025</v>
      </c>
      <c r="E31" s="382"/>
      <c r="F31" s="382"/>
      <c r="H31" s="337"/>
      <c r="I31" s="337"/>
      <c r="J31" s="337"/>
      <c r="K31" s="337"/>
      <c r="L31" s="337"/>
    </row>
    <row r="32" spans="1:12" s="336" customFormat="1" ht="16.5" customHeight="1">
      <c r="A32" s="387">
        <f t="shared" si="0"/>
        <v>16</v>
      </c>
      <c r="B32" s="1" t="s">
        <v>194</v>
      </c>
      <c r="C32" s="382"/>
      <c r="D32" s="295">
        <v>16956025</v>
      </c>
      <c r="E32" s="382"/>
      <c r="F32" s="382"/>
      <c r="H32" s="337"/>
      <c r="I32" s="337"/>
      <c r="J32" s="337"/>
      <c r="K32" s="337"/>
      <c r="L32" s="337"/>
    </row>
    <row r="33" spans="1:12" s="336" customFormat="1" ht="16.5" customHeight="1">
      <c r="A33" s="387">
        <f t="shared" si="0"/>
        <v>17</v>
      </c>
      <c r="B33" s="6" t="s">
        <v>258</v>
      </c>
      <c r="C33" s="382"/>
      <c r="D33" s="604">
        <f>SUM(D20:D32)/13</f>
        <v>10725255.76923077</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f>D14/D33</f>
        <v>3.076779771972445E-2</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3" t="s">
        <v>491</v>
      </c>
      <c r="C38" s="903"/>
      <c r="D38" s="903"/>
      <c r="E38" s="903"/>
      <c r="F38" s="903"/>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0"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F18" sqref="F18"/>
    </sheetView>
  </sheetViews>
  <sheetFormatPr defaultColWidth="9.6640625" defaultRowHeight="12.75"/>
  <cols>
    <col min="1" max="1" width="7.6640625" style="779" customWidth="1"/>
    <col min="2" max="2" width="32.88671875" style="779" customWidth="1"/>
    <col min="3" max="7" width="12.109375" style="779" customWidth="1"/>
    <col min="8" max="8" width="13.44140625" style="779" customWidth="1"/>
    <col min="9" max="9" width="12.6640625" style="779" customWidth="1"/>
    <col min="10" max="10" width="13.6640625" style="779" customWidth="1"/>
    <col min="11" max="256" width="9.6640625" style="779"/>
    <col min="257" max="257" width="7.6640625" style="779" customWidth="1"/>
    <col min="258" max="258" width="32.88671875" style="779" customWidth="1"/>
    <col min="259" max="259" width="9.21875" style="779" customWidth="1"/>
    <col min="260" max="260" width="6.5546875" style="779" customWidth="1"/>
    <col min="261" max="261" width="7.88671875" style="779" customWidth="1"/>
    <col min="262" max="262" width="8.109375" style="779" customWidth="1"/>
    <col min="263" max="263" width="9" style="779" customWidth="1"/>
    <col min="264" max="264" width="11.5546875" style="779" customWidth="1"/>
    <col min="265" max="265" width="12.6640625" style="779" customWidth="1"/>
    <col min="266" max="266" width="13.6640625" style="779" customWidth="1"/>
    <col min="267" max="512" width="9.6640625" style="779"/>
    <col min="513" max="513" width="7.6640625" style="779" customWidth="1"/>
    <col min="514" max="514" width="32.88671875" style="779" customWidth="1"/>
    <col min="515" max="515" width="9.21875" style="779" customWidth="1"/>
    <col min="516" max="516" width="6.5546875" style="779" customWidth="1"/>
    <col min="517" max="517" width="7.88671875" style="779" customWidth="1"/>
    <col min="518" max="518" width="8.109375" style="779" customWidth="1"/>
    <col min="519" max="519" width="9" style="779" customWidth="1"/>
    <col min="520" max="520" width="11.5546875" style="779" customWidth="1"/>
    <col min="521" max="521" width="12.6640625" style="779" customWidth="1"/>
    <col min="522" max="522" width="13.6640625" style="779" customWidth="1"/>
    <col min="523" max="768" width="9.6640625" style="779"/>
    <col min="769" max="769" width="7.6640625" style="779" customWidth="1"/>
    <col min="770" max="770" width="32.88671875" style="779" customWidth="1"/>
    <col min="771" max="771" width="9.21875" style="779" customWidth="1"/>
    <col min="772" max="772" width="6.5546875" style="779" customWidth="1"/>
    <col min="773" max="773" width="7.88671875" style="779" customWidth="1"/>
    <col min="774" max="774" width="8.109375" style="779" customWidth="1"/>
    <col min="775" max="775" width="9" style="779" customWidth="1"/>
    <col min="776" max="776" width="11.5546875" style="779" customWidth="1"/>
    <col min="777" max="777" width="12.6640625" style="779" customWidth="1"/>
    <col min="778" max="778" width="13.6640625" style="779" customWidth="1"/>
    <col min="779" max="1024" width="9.6640625" style="779"/>
    <col min="1025" max="1025" width="7.6640625" style="779" customWidth="1"/>
    <col min="1026" max="1026" width="32.88671875" style="779" customWidth="1"/>
    <col min="1027" max="1027" width="9.21875" style="779" customWidth="1"/>
    <col min="1028" max="1028" width="6.5546875" style="779" customWidth="1"/>
    <col min="1029" max="1029" width="7.88671875" style="779" customWidth="1"/>
    <col min="1030" max="1030" width="8.109375" style="779" customWidth="1"/>
    <col min="1031" max="1031" width="9" style="779" customWidth="1"/>
    <col min="1032" max="1032" width="11.5546875" style="779" customWidth="1"/>
    <col min="1033" max="1033" width="12.6640625" style="779" customWidth="1"/>
    <col min="1034" max="1034" width="13.6640625" style="779" customWidth="1"/>
    <col min="1035" max="1280" width="9.6640625" style="779"/>
    <col min="1281" max="1281" width="7.6640625" style="779" customWidth="1"/>
    <col min="1282" max="1282" width="32.88671875" style="779" customWidth="1"/>
    <col min="1283" max="1283" width="9.21875" style="779" customWidth="1"/>
    <col min="1284" max="1284" width="6.5546875" style="779" customWidth="1"/>
    <col min="1285" max="1285" width="7.88671875" style="779" customWidth="1"/>
    <col min="1286" max="1286" width="8.109375" style="779" customWidth="1"/>
    <col min="1287" max="1287" width="9" style="779" customWidth="1"/>
    <col min="1288" max="1288" width="11.5546875" style="779" customWidth="1"/>
    <col min="1289" max="1289" width="12.6640625" style="779" customWidth="1"/>
    <col min="1290" max="1290" width="13.6640625" style="779" customWidth="1"/>
    <col min="1291" max="1536" width="9.6640625" style="779"/>
    <col min="1537" max="1537" width="7.6640625" style="779" customWidth="1"/>
    <col min="1538" max="1538" width="32.88671875" style="779" customWidth="1"/>
    <col min="1539" max="1539" width="9.21875" style="779" customWidth="1"/>
    <col min="1540" max="1540" width="6.5546875" style="779" customWidth="1"/>
    <col min="1541" max="1541" width="7.88671875" style="779" customWidth="1"/>
    <col min="1542" max="1542" width="8.109375" style="779" customWidth="1"/>
    <col min="1543" max="1543" width="9" style="779" customWidth="1"/>
    <col min="1544" max="1544" width="11.5546875" style="779" customWidth="1"/>
    <col min="1545" max="1545" width="12.6640625" style="779" customWidth="1"/>
    <col min="1546" max="1546" width="13.6640625" style="779" customWidth="1"/>
    <col min="1547" max="1792" width="9.6640625" style="779"/>
    <col min="1793" max="1793" width="7.6640625" style="779" customWidth="1"/>
    <col min="1794" max="1794" width="32.88671875" style="779" customWidth="1"/>
    <col min="1795" max="1795" width="9.21875" style="779" customWidth="1"/>
    <col min="1796" max="1796" width="6.5546875" style="779" customWidth="1"/>
    <col min="1797" max="1797" width="7.88671875" style="779" customWidth="1"/>
    <col min="1798" max="1798" width="8.109375" style="779" customWidth="1"/>
    <col min="1799" max="1799" width="9" style="779" customWidth="1"/>
    <col min="1800" max="1800" width="11.5546875" style="779" customWidth="1"/>
    <col min="1801" max="1801" width="12.6640625" style="779" customWidth="1"/>
    <col min="1802" max="1802" width="13.6640625" style="779" customWidth="1"/>
    <col min="1803" max="2048" width="9.6640625" style="779"/>
    <col min="2049" max="2049" width="7.6640625" style="779" customWidth="1"/>
    <col min="2050" max="2050" width="32.88671875" style="779" customWidth="1"/>
    <col min="2051" max="2051" width="9.21875" style="779" customWidth="1"/>
    <col min="2052" max="2052" width="6.5546875" style="779" customWidth="1"/>
    <col min="2053" max="2053" width="7.88671875" style="779" customWidth="1"/>
    <col min="2054" max="2054" width="8.109375" style="779" customWidth="1"/>
    <col min="2055" max="2055" width="9" style="779" customWidth="1"/>
    <col min="2056" max="2056" width="11.5546875" style="779" customWidth="1"/>
    <col min="2057" max="2057" width="12.6640625" style="779" customWidth="1"/>
    <col min="2058" max="2058" width="13.6640625" style="779" customWidth="1"/>
    <col min="2059" max="2304" width="9.6640625" style="779"/>
    <col min="2305" max="2305" width="7.6640625" style="779" customWidth="1"/>
    <col min="2306" max="2306" width="32.88671875" style="779" customWidth="1"/>
    <col min="2307" max="2307" width="9.21875" style="779" customWidth="1"/>
    <col min="2308" max="2308" width="6.5546875" style="779" customWidth="1"/>
    <col min="2309" max="2309" width="7.88671875" style="779" customWidth="1"/>
    <col min="2310" max="2310" width="8.109375" style="779" customWidth="1"/>
    <col min="2311" max="2311" width="9" style="779" customWidth="1"/>
    <col min="2312" max="2312" width="11.5546875" style="779" customWidth="1"/>
    <col min="2313" max="2313" width="12.6640625" style="779" customWidth="1"/>
    <col min="2314" max="2314" width="13.6640625" style="779" customWidth="1"/>
    <col min="2315" max="2560" width="9.6640625" style="779"/>
    <col min="2561" max="2561" width="7.6640625" style="779" customWidth="1"/>
    <col min="2562" max="2562" width="32.88671875" style="779" customWidth="1"/>
    <col min="2563" max="2563" width="9.21875" style="779" customWidth="1"/>
    <col min="2564" max="2564" width="6.5546875" style="779" customWidth="1"/>
    <col min="2565" max="2565" width="7.88671875" style="779" customWidth="1"/>
    <col min="2566" max="2566" width="8.109375" style="779" customWidth="1"/>
    <col min="2567" max="2567" width="9" style="779" customWidth="1"/>
    <col min="2568" max="2568" width="11.5546875" style="779" customWidth="1"/>
    <col min="2569" max="2569" width="12.6640625" style="779" customWidth="1"/>
    <col min="2570" max="2570" width="13.6640625" style="779" customWidth="1"/>
    <col min="2571" max="2816" width="9.6640625" style="779"/>
    <col min="2817" max="2817" width="7.6640625" style="779" customWidth="1"/>
    <col min="2818" max="2818" width="32.88671875" style="779" customWidth="1"/>
    <col min="2819" max="2819" width="9.21875" style="779" customWidth="1"/>
    <col min="2820" max="2820" width="6.5546875" style="779" customWidth="1"/>
    <col min="2821" max="2821" width="7.88671875" style="779" customWidth="1"/>
    <col min="2822" max="2822" width="8.109375" style="779" customWidth="1"/>
    <col min="2823" max="2823" width="9" style="779" customWidth="1"/>
    <col min="2824" max="2824" width="11.5546875" style="779" customWidth="1"/>
    <col min="2825" max="2825" width="12.6640625" style="779" customWidth="1"/>
    <col min="2826" max="2826" width="13.6640625" style="779" customWidth="1"/>
    <col min="2827" max="3072" width="9.6640625" style="779"/>
    <col min="3073" max="3073" width="7.6640625" style="779" customWidth="1"/>
    <col min="3074" max="3074" width="32.88671875" style="779" customWidth="1"/>
    <col min="3075" max="3075" width="9.21875" style="779" customWidth="1"/>
    <col min="3076" max="3076" width="6.5546875" style="779" customWidth="1"/>
    <col min="3077" max="3077" width="7.88671875" style="779" customWidth="1"/>
    <col min="3078" max="3078" width="8.109375" style="779" customWidth="1"/>
    <col min="3079" max="3079" width="9" style="779" customWidth="1"/>
    <col min="3080" max="3080" width="11.5546875" style="779" customWidth="1"/>
    <col min="3081" max="3081" width="12.6640625" style="779" customWidth="1"/>
    <col min="3082" max="3082" width="13.6640625" style="779" customWidth="1"/>
    <col min="3083" max="3328" width="9.6640625" style="779"/>
    <col min="3329" max="3329" width="7.6640625" style="779" customWidth="1"/>
    <col min="3330" max="3330" width="32.88671875" style="779" customWidth="1"/>
    <col min="3331" max="3331" width="9.21875" style="779" customWidth="1"/>
    <col min="3332" max="3332" width="6.5546875" style="779" customWidth="1"/>
    <col min="3333" max="3333" width="7.88671875" style="779" customWidth="1"/>
    <col min="3334" max="3334" width="8.109375" style="779" customWidth="1"/>
    <col min="3335" max="3335" width="9" style="779" customWidth="1"/>
    <col min="3336" max="3336" width="11.5546875" style="779" customWidth="1"/>
    <col min="3337" max="3337" width="12.6640625" style="779" customWidth="1"/>
    <col min="3338" max="3338" width="13.6640625" style="779" customWidth="1"/>
    <col min="3339" max="3584" width="9.6640625" style="779"/>
    <col min="3585" max="3585" width="7.6640625" style="779" customWidth="1"/>
    <col min="3586" max="3586" width="32.88671875" style="779" customWidth="1"/>
    <col min="3587" max="3587" width="9.21875" style="779" customWidth="1"/>
    <col min="3588" max="3588" width="6.5546875" style="779" customWidth="1"/>
    <col min="3589" max="3589" width="7.88671875" style="779" customWidth="1"/>
    <col min="3590" max="3590" width="8.109375" style="779" customWidth="1"/>
    <col min="3591" max="3591" width="9" style="779" customWidth="1"/>
    <col min="3592" max="3592" width="11.5546875" style="779" customWidth="1"/>
    <col min="3593" max="3593" width="12.6640625" style="779" customWidth="1"/>
    <col min="3594" max="3594" width="13.6640625" style="779" customWidth="1"/>
    <col min="3595" max="3840" width="9.6640625" style="779"/>
    <col min="3841" max="3841" width="7.6640625" style="779" customWidth="1"/>
    <col min="3842" max="3842" width="32.88671875" style="779" customWidth="1"/>
    <col min="3843" max="3843" width="9.21875" style="779" customWidth="1"/>
    <col min="3844" max="3844" width="6.5546875" style="779" customWidth="1"/>
    <col min="3845" max="3845" width="7.88671875" style="779" customWidth="1"/>
    <col min="3846" max="3846" width="8.109375" style="779" customWidth="1"/>
    <col min="3847" max="3847" width="9" style="779" customWidth="1"/>
    <col min="3848" max="3848" width="11.5546875" style="779" customWidth="1"/>
    <col min="3849" max="3849" width="12.6640625" style="779" customWidth="1"/>
    <col min="3850" max="3850" width="13.6640625" style="779" customWidth="1"/>
    <col min="3851" max="4096" width="9.6640625" style="779"/>
    <col min="4097" max="4097" width="7.6640625" style="779" customWidth="1"/>
    <col min="4098" max="4098" width="32.88671875" style="779" customWidth="1"/>
    <col min="4099" max="4099" width="9.21875" style="779" customWidth="1"/>
    <col min="4100" max="4100" width="6.5546875" style="779" customWidth="1"/>
    <col min="4101" max="4101" width="7.88671875" style="779" customWidth="1"/>
    <col min="4102" max="4102" width="8.109375" style="779" customWidth="1"/>
    <col min="4103" max="4103" width="9" style="779" customWidth="1"/>
    <col min="4104" max="4104" width="11.5546875" style="779" customWidth="1"/>
    <col min="4105" max="4105" width="12.6640625" style="779" customWidth="1"/>
    <col min="4106" max="4106" width="13.6640625" style="779" customWidth="1"/>
    <col min="4107" max="4352" width="9.6640625" style="779"/>
    <col min="4353" max="4353" width="7.6640625" style="779" customWidth="1"/>
    <col min="4354" max="4354" width="32.88671875" style="779" customWidth="1"/>
    <col min="4355" max="4355" width="9.21875" style="779" customWidth="1"/>
    <col min="4356" max="4356" width="6.5546875" style="779" customWidth="1"/>
    <col min="4357" max="4357" width="7.88671875" style="779" customWidth="1"/>
    <col min="4358" max="4358" width="8.109375" style="779" customWidth="1"/>
    <col min="4359" max="4359" width="9" style="779" customWidth="1"/>
    <col min="4360" max="4360" width="11.5546875" style="779" customWidth="1"/>
    <col min="4361" max="4361" width="12.6640625" style="779" customWidth="1"/>
    <col min="4362" max="4362" width="13.6640625" style="779" customWidth="1"/>
    <col min="4363" max="4608" width="9.6640625" style="779"/>
    <col min="4609" max="4609" width="7.6640625" style="779" customWidth="1"/>
    <col min="4610" max="4610" width="32.88671875" style="779" customWidth="1"/>
    <col min="4611" max="4611" width="9.21875" style="779" customWidth="1"/>
    <col min="4612" max="4612" width="6.5546875" style="779" customWidth="1"/>
    <col min="4613" max="4613" width="7.88671875" style="779" customWidth="1"/>
    <col min="4614" max="4614" width="8.109375" style="779" customWidth="1"/>
    <col min="4615" max="4615" width="9" style="779" customWidth="1"/>
    <col min="4616" max="4616" width="11.5546875" style="779" customWidth="1"/>
    <col min="4617" max="4617" width="12.6640625" style="779" customWidth="1"/>
    <col min="4618" max="4618" width="13.6640625" style="779" customWidth="1"/>
    <col min="4619" max="4864" width="9.6640625" style="779"/>
    <col min="4865" max="4865" width="7.6640625" style="779" customWidth="1"/>
    <col min="4866" max="4866" width="32.88671875" style="779" customWidth="1"/>
    <col min="4867" max="4867" width="9.21875" style="779" customWidth="1"/>
    <col min="4868" max="4868" width="6.5546875" style="779" customWidth="1"/>
    <col min="4869" max="4869" width="7.88671875" style="779" customWidth="1"/>
    <col min="4870" max="4870" width="8.109375" style="779" customWidth="1"/>
    <col min="4871" max="4871" width="9" style="779" customWidth="1"/>
    <col min="4872" max="4872" width="11.5546875" style="779" customWidth="1"/>
    <col min="4873" max="4873" width="12.6640625" style="779" customWidth="1"/>
    <col min="4874" max="4874" width="13.6640625" style="779" customWidth="1"/>
    <col min="4875" max="5120" width="9.6640625" style="779"/>
    <col min="5121" max="5121" width="7.6640625" style="779" customWidth="1"/>
    <col min="5122" max="5122" width="32.88671875" style="779" customWidth="1"/>
    <col min="5123" max="5123" width="9.21875" style="779" customWidth="1"/>
    <col min="5124" max="5124" width="6.5546875" style="779" customWidth="1"/>
    <col min="5125" max="5125" width="7.88671875" style="779" customWidth="1"/>
    <col min="5126" max="5126" width="8.109375" style="779" customWidth="1"/>
    <col min="5127" max="5127" width="9" style="779" customWidth="1"/>
    <col min="5128" max="5128" width="11.5546875" style="779" customWidth="1"/>
    <col min="5129" max="5129" width="12.6640625" style="779" customWidth="1"/>
    <col min="5130" max="5130" width="13.6640625" style="779" customWidth="1"/>
    <col min="5131" max="5376" width="9.6640625" style="779"/>
    <col min="5377" max="5377" width="7.6640625" style="779" customWidth="1"/>
    <col min="5378" max="5378" width="32.88671875" style="779" customWidth="1"/>
    <col min="5379" max="5379" width="9.21875" style="779" customWidth="1"/>
    <col min="5380" max="5380" width="6.5546875" style="779" customWidth="1"/>
    <col min="5381" max="5381" width="7.88671875" style="779" customWidth="1"/>
    <col min="5382" max="5382" width="8.109375" style="779" customWidth="1"/>
    <col min="5383" max="5383" width="9" style="779" customWidth="1"/>
    <col min="5384" max="5384" width="11.5546875" style="779" customWidth="1"/>
    <col min="5385" max="5385" width="12.6640625" style="779" customWidth="1"/>
    <col min="5386" max="5386" width="13.6640625" style="779" customWidth="1"/>
    <col min="5387" max="5632" width="9.6640625" style="779"/>
    <col min="5633" max="5633" width="7.6640625" style="779" customWidth="1"/>
    <col min="5634" max="5634" width="32.88671875" style="779" customWidth="1"/>
    <col min="5635" max="5635" width="9.21875" style="779" customWidth="1"/>
    <col min="5636" max="5636" width="6.5546875" style="779" customWidth="1"/>
    <col min="5637" max="5637" width="7.88671875" style="779" customWidth="1"/>
    <col min="5638" max="5638" width="8.109375" style="779" customWidth="1"/>
    <col min="5639" max="5639" width="9" style="779" customWidth="1"/>
    <col min="5640" max="5640" width="11.5546875" style="779" customWidth="1"/>
    <col min="5641" max="5641" width="12.6640625" style="779" customWidth="1"/>
    <col min="5642" max="5642" width="13.6640625" style="779" customWidth="1"/>
    <col min="5643" max="5888" width="9.6640625" style="779"/>
    <col min="5889" max="5889" width="7.6640625" style="779" customWidth="1"/>
    <col min="5890" max="5890" width="32.88671875" style="779" customWidth="1"/>
    <col min="5891" max="5891" width="9.21875" style="779" customWidth="1"/>
    <col min="5892" max="5892" width="6.5546875" style="779" customWidth="1"/>
    <col min="5893" max="5893" width="7.88671875" style="779" customWidth="1"/>
    <col min="5894" max="5894" width="8.109375" style="779" customWidth="1"/>
    <col min="5895" max="5895" width="9" style="779" customWidth="1"/>
    <col min="5896" max="5896" width="11.5546875" style="779" customWidth="1"/>
    <col min="5897" max="5897" width="12.6640625" style="779" customWidth="1"/>
    <col min="5898" max="5898" width="13.6640625" style="779" customWidth="1"/>
    <col min="5899" max="6144" width="9.6640625" style="779"/>
    <col min="6145" max="6145" width="7.6640625" style="779" customWidth="1"/>
    <col min="6146" max="6146" width="32.88671875" style="779" customWidth="1"/>
    <col min="6147" max="6147" width="9.21875" style="779" customWidth="1"/>
    <col min="6148" max="6148" width="6.5546875" style="779" customWidth="1"/>
    <col min="6149" max="6149" width="7.88671875" style="779" customWidth="1"/>
    <col min="6150" max="6150" width="8.109375" style="779" customWidth="1"/>
    <col min="6151" max="6151" width="9" style="779" customWidth="1"/>
    <col min="6152" max="6152" width="11.5546875" style="779" customWidth="1"/>
    <col min="6153" max="6153" width="12.6640625" style="779" customWidth="1"/>
    <col min="6154" max="6154" width="13.6640625" style="779" customWidth="1"/>
    <col min="6155" max="6400" width="9.6640625" style="779"/>
    <col min="6401" max="6401" width="7.6640625" style="779" customWidth="1"/>
    <col min="6402" max="6402" width="32.88671875" style="779" customWidth="1"/>
    <col min="6403" max="6403" width="9.21875" style="779" customWidth="1"/>
    <col min="6404" max="6404" width="6.5546875" style="779" customWidth="1"/>
    <col min="6405" max="6405" width="7.88671875" style="779" customWidth="1"/>
    <col min="6406" max="6406" width="8.109375" style="779" customWidth="1"/>
    <col min="6407" max="6407" width="9" style="779" customWidth="1"/>
    <col min="6408" max="6408" width="11.5546875" style="779" customWidth="1"/>
    <col min="6409" max="6409" width="12.6640625" style="779" customWidth="1"/>
    <col min="6410" max="6410" width="13.6640625" style="779" customWidth="1"/>
    <col min="6411" max="6656" width="9.6640625" style="779"/>
    <col min="6657" max="6657" width="7.6640625" style="779" customWidth="1"/>
    <col min="6658" max="6658" width="32.88671875" style="779" customWidth="1"/>
    <col min="6659" max="6659" width="9.21875" style="779" customWidth="1"/>
    <col min="6660" max="6660" width="6.5546875" style="779" customWidth="1"/>
    <col min="6661" max="6661" width="7.88671875" style="779" customWidth="1"/>
    <col min="6662" max="6662" width="8.109375" style="779" customWidth="1"/>
    <col min="6663" max="6663" width="9" style="779" customWidth="1"/>
    <col min="6664" max="6664" width="11.5546875" style="779" customWidth="1"/>
    <col min="6665" max="6665" width="12.6640625" style="779" customWidth="1"/>
    <col min="6666" max="6666" width="13.6640625" style="779" customWidth="1"/>
    <col min="6667" max="6912" width="9.6640625" style="779"/>
    <col min="6913" max="6913" width="7.6640625" style="779" customWidth="1"/>
    <col min="6914" max="6914" width="32.88671875" style="779" customWidth="1"/>
    <col min="6915" max="6915" width="9.21875" style="779" customWidth="1"/>
    <col min="6916" max="6916" width="6.5546875" style="779" customWidth="1"/>
    <col min="6917" max="6917" width="7.88671875" style="779" customWidth="1"/>
    <col min="6918" max="6918" width="8.109375" style="779" customWidth="1"/>
    <col min="6919" max="6919" width="9" style="779" customWidth="1"/>
    <col min="6920" max="6920" width="11.5546875" style="779" customWidth="1"/>
    <col min="6921" max="6921" width="12.6640625" style="779" customWidth="1"/>
    <col min="6922" max="6922" width="13.6640625" style="779" customWidth="1"/>
    <col min="6923" max="7168" width="9.6640625" style="779"/>
    <col min="7169" max="7169" width="7.6640625" style="779" customWidth="1"/>
    <col min="7170" max="7170" width="32.88671875" style="779" customWidth="1"/>
    <col min="7171" max="7171" width="9.21875" style="779" customWidth="1"/>
    <col min="7172" max="7172" width="6.5546875" style="779" customWidth="1"/>
    <col min="7173" max="7173" width="7.88671875" style="779" customWidth="1"/>
    <col min="7174" max="7174" width="8.109375" style="779" customWidth="1"/>
    <col min="7175" max="7175" width="9" style="779" customWidth="1"/>
    <col min="7176" max="7176" width="11.5546875" style="779" customWidth="1"/>
    <col min="7177" max="7177" width="12.6640625" style="779" customWidth="1"/>
    <col min="7178" max="7178" width="13.6640625" style="779" customWidth="1"/>
    <col min="7179" max="7424" width="9.6640625" style="779"/>
    <col min="7425" max="7425" width="7.6640625" style="779" customWidth="1"/>
    <col min="7426" max="7426" width="32.88671875" style="779" customWidth="1"/>
    <col min="7427" max="7427" width="9.21875" style="779" customWidth="1"/>
    <col min="7428" max="7428" width="6.5546875" style="779" customWidth="1"/>
    <col min="7429" max="7429" width="7.88671875" style="779" customWidth="1"/>
    <col min="7430" max="7430" width="8.109375" style="779" customWidth="1"/>
    <col min="7431" max="7431" width="9" style="779" customWidth="1"/>
    <col min="7432" max="7432" width="11.5546875" style="779" customWidth="1"/>
    <col min="7433" max="7433" width="12.6640625" style="779" customWidth="1"/>
    <col min="7434" max="7434" width="13.6640625" style="779" customWidth="1"/>
    <col min="7435" max="7680" width="9.6640625" style="779"/>
    <col min="7681" max="7681" width="7.6640625" style="779" customWidth="1"/>
    <col min="7682" max="7682" width="32.88671875" style="779" customWidth="1"/>
    <col min="7683" max="7683" width="9.21875" style="779" customWidth="1"/>
    <col min="7684" max="7684" width="6.5546875" style="779" customWidth="1"/>
    <col min="7685" max="7685" width="7.88671875" style="779" customWidth="1"/>
    <col min="7686" max="7686" width="8.109375" style="779" customWidth="1"/>
    <col min="7687" max="7687" width="9" style="779" customWidth="1"/>
    <col min="7688" max="7688" width="11.5546875" style="779" customWidth="1"/>
    <col min="7689" max="7689" width="12.6640625" style="779" customWidth="1"/>
    <col min="7690" max="7690" width="13.6640625" style="779" customWidth="1"/>
    <col min="7691" max="7936" width="9.6640625" style="779"/>
    <col min="7937" max="7937" width="7.6640625" style="779" customWidth="1"/>
    <col min="7938" max="7938" width="32.88671875" style="779" customWidth="1"/>
    <col min="7939" max="7939" width="9.21875" style="779" customWidth="1"/>
    <col min="7940" max="7940" width="6.5546875" style="779" customWidth="1"/>
    <col min="7941" max="7941" width="7.88671875" style="779" customWidth="1"/>
    <col min="7942" max="7942" width="8.109375" style="779" customWidth="1"/>
    <col min="7943" max="7943" width="9" style="779" customWidth="1"/>
    <col min="7944" max="7944" width="11.5546875" style="779" customWidth="1"/>
    <col min="7945" max="7945" width="12.6640625" style="779" customWidth="1"/>
    <col min="7946" max="7946" width="13.6640625" style="779" customWidth="1"/>
    <col min="7947" max="8192" width="9.6640625" style="779"/>
    <col min="8193" max="8193" width="7.6640625" style="779" customWidth="1"/>
    <col min="8194" max="8194" width="32.88671875" style="779" customWidth="1"/>
    <col min="8195" max="8195" width="9.21875" style="779" customWidth="1"/>
    <col min="8196" max="8196" width="6.5546875" style="779" customWidth="1"/>
    <col min="8197" max="8197" width="7.88671875" style="779" customWidth="1"/>
    <col min="8198" max="8198" width="8.109375" style="779" customWidth="1"/>
    <col min="8199" max="8199" width="9" style="779" customWidth="1"/>
    <col min="8200" max="8200" width="11.5546875" style="779" customWidth="1"/>
    <col min="8201" max="8201" width="12.6640625" style="779" customWidth="1"/>
    <col min="8202" max="8202" width="13.6640625" style="779" customWidth="1"/>
    <col min="8203" max="8448" width="9.6640625" style="779"/>
    <col min="8449" max="8449" width="7.6640625" style="779" customWidth="1"/>
    <col min="8450" max="8450" width="32.88671875" style="779" customWidth="1"/>
    <col min="8451" max="8451" width="9.21875" style="779" customWidth="1"/>
    <col min="8452" max="8452" width="6.5546875" style="779" customWidth="1"/>
    <col min="8453" max="8453" width="7.88671875" style="779" customWidth="1"/>
    <col min="8454" max="8454" width="8.109375" style="779" customWidth="1"/>
    <col min="8455" max="8455" width="9" style="779" customWidth="1"/>
    <col min="8456" max="8456" width="11.5546875" style="779" customWidth="1"/>
    <col min="8457" max="8457" width="12.6640625" style="779" customWidth="1"/>
    <col min="8458" max="8458" width="13.6640625" style="779" customWidth="1"/>
    <col min="8459" max="8704" width="9.6640625" style="779"/>
    <col min="8705" max="8705" width="7.6640625" style="779" customWidth="1"/>
    <col min="8706" max="8706" width="32.88671875" style="779" customWidth="1"/>
    <col min="8707" max="8707" width="9.21875" style="779" customWidth="1"/>
    <col min="8708" max="8708" width="6.5546875" style="779" customWidth="1"/>
    <col min="8709" max="8709" width="7.88671875" style="779" customWidth="1"/>
    <col min="8710" max="8710" width="8.109375" style="779" customWidth="1"/>
    <col min="8711" max="8711" width="9" style="779" customWidth="1"/>
    <col min="8712" max="8712" width="11.5546875" style="779" customWidth="1"/>
    <col min="8713" max="8713" width="12.6640625" style="779" customWidth="1"/>
    <col min="8714" max="8714" width="13.6640625" style="779" customWidth="1"/>
    <col min="8715" max="8960" width="9.6640625" style="779"/>
    <col min="8961" max="8961" width="7.6640625" style="779" customWidth="1"/>
    <col min="8962" max="8962" width="32.88671875" style="779" customWidth="1"/>
    <col min="8963" max="8963" width="9.21875" style="779" customWidth="1"/>
    <col min="8964" max="8964" width="6.5546875" style="779" customWidth="1"/>
    <col min="8965" max="8965" width="7.88671875" style="779" customWidth="1"/>
    <col min="8966" max="8966" width="8.109375" style="779" customWidth="1"/>
    <col min="8967" max="8967" width="9" style="779" customWidth="1"/>
    <col min="8968" max="8968" width="11.5546875" style="779" customWidth="1"/>
    <col min="8969" max="8969" width="12.6640625" style="779" customWidth="1"/>
    <col min="8970" max="8970" width="13.6640625" style="779" customWidth="1"/>
    <col min="8971" max="9216" width="9.6640625" style="779"/>
    <col min="9217" max="9217" width="7.6640625" style="779" customWidth="1"/>
    <col min="9218" max="9218" width="32.88671875" style="779" customWidth="1"/>
    <col min="9219" max="9219" width="9.21875" style="779" customWidth="1"/>
    <col min="9220" max="9220" width="6.5546875" style="779" customWidth="1"/>
    <col min="9221" max="9221" width="7.88671875" style="779" customWidth="1"/>
    <col min="9222" max="9222" width="8.109375" style="779" customWidth="1"/>
    <col min="9223" max="9223" width="9" style="779" customWidth="1"/>
    <col min="9224" max="9224" width="11.5546875" style="779" customWidth="1"/>
    <col min="9225" max="9225" width="12.6640625" style="779" customWidth="1"/>
    <col min="9226" max="9226" width="13.6640625" style="779" customWidth="1"/>
    <col min="9227" max="9472" width="9.6640625" style="779"/>
    <col min="9473" max="9473" width="7.6640625" style="779" customWidth="1"/>
    <col min="9474" max="9474" width="32.88671875" style="779" customWidth="1"/>
    <col min="9475" max="9475" width="9.21875" style="779" customWidth="1"/>
    <col min="9476" max="9476" width="6.5546875" style="779" customWidth="1"/>
    <col min="9477" max="9477" width="7.88671875" style="779" customWidth="1"/>
    <col min="9478" max="9478" width="8.109375" style="779" customWidth="1"/>
    <col min="9479" max="9479" width="9" style="779" customWidth="1"/>
    <col min="9480" max="9480" width="11.5546875" style="779" customWidth="1"/>
    <col min="9481" max="9481" width="12.6640625" style="779" customWidth="1"/>
    <col min="9482" max="9482" width="13.6640625" style="779" customWidth="1"/>
    <col min="9483" max="9728" width="9.6640625" style="779"/>
    <col min="9729" max="9729" width="7.6640625" style="779" customWidth="1"/>
    <col min="9730" max="9730" width="32.88671875" style="779" customWidth="1"/>
    <col min="9731" max="9731" width="9.21875" style="779" customWidth="1"/>
    <col min="9732" max="9732" width="6.5546875" style="779" customWidth="1"/>
    <col min="9733" max="9733" width="7.88671875" style="779" customWidth="1"/>
    <col min="9734" max="9734" width="8.109375" style="779" customWidth="1"/>
    <col min="9735" max="9735" width="9" style="779" customWidth="1"/>
    <col min="9736" max="9736" width="11.5546875" style="779" customWidth="1"/>
    <col min="9737" max="9737" width="12.6640625" style="779" customWidth="1"/>
    <col min="9738" max="9738" width="13.6640625" style="779" customWidth="1"/>
    <col min="9739" max="9984" width="9.6640625" style="779"/>
    <col min="9985" max="9985" width="7.6640625" style="779" customWidth="1"/>
    <col min="9986" max="9986" width="32.88671875" style="779" customWidth="1"/>
    <col min="9987" max="9987" width="9.21875" style="779" customWidth="1"/>
    <col min="9988" max="9988" width="6.5546875" style="779" customWidth="1"/>
    <col min="9989" max="9989" width="7.88671875" style="779" customWidth="1"/>
    <col min="9990" max="9990" width="8.109375" style="779" customWidth="1"/>
    <col min="9991" max="9991" width="9" style="779" customWidth="1"/>
    <col min="9992" max="9992" width="11.5546875" style="779" customWidth="1"/>
    <col min="9993" max="9993" width="12.6640625" style="779" customWidth="1"/>
    <col min="9994" max="9994" width="13.6640625" style="779" customWidth="1"/>
    <col min="9995" max="10240" width="9.6640625" style="779"/>
    <col min="10241" max="10241" width="7.6640625" style="779" customWidth="1"/>
    <col min="10242" max="10242" width="32.88671875" style="779" customWidth="1"/>
    <col min="10243" max="10243" width="9.21875" style="779" customWidth="1"/>
    <col min="10244" max="10244" width="6.5546875" style="779" customWidth="1"/>
    <col min="10245" max="10245" width="7.88671875" style="779" customWidth="1"/>
    <col min="10246" max="10246" width="8.109375" style="779" customWidth="1"/>
    <col min="10247" max="10247" width="9" style="779" customWidth="1"/>
    <col min="10248" max="10248" width="11.5546875" style="779" customWidth="1"/>
    <col min="10249" max="10249" width="12.6640625" style="779" customWidth="1"/>
    <col min="10250" max="10250" width="13.6640625" style="779" customWidth="1"/>
    <col min="10251" max="10496" width="9.6640625" style="779"/>
    <col min="10497" max="10497" width="7.6640625" style="779" customWidth="1"/>
    <col min="10498" max="10498" width="32.88671875" style="779" customWidth="1"/>
    <col min="10499" max="10499" width="9.21875" style="779" customWidth="1"/>
    <col min="10500" max="10500" width="6.5546875" style="779" customWidth="1"/>
    <col min="10501" max="10501" width="7.88671875" style="779" customWidth="1"/>
    <col min="10502" max="10502" width="8.109375" style="779" customWidth="1"/>
    <col min="10503" max="10503" width="9" style="779" customWidth="1"/>
    <col min="10504" max="10504" width="11.5546875" style="779" customWidth="1"/>
    <col min="10505" max="10505" width="12.6640625" style="779" customWidth="1"/>
    <col min="10506" max="10506" width="13.6640625" style="779" customWidth="1"/>
    <col min="10507" max="10752" width="9.6640625" style="779"/>
    <col min="10753" max="10753" width="7.6640625" style="779" customWidth="1"/>
    <col min="10754" max="10754" width="32.88671875" style="779" customWidth="1"/>
    <col min="10755" max="10755" width="9.21875" style="779" customWidth="1"/>
    <col min="10756" max="10756" width="6.5546875" style="779" customWidth="1"/>
    <col min="10757" max="10757" width="7.88671875" style="779" customWidth="1"/>
    <col min="10758" max="10758" width="8.109375" style="779" customWidth="1"/>
    <col min="10759" max="10759" width="9" style="779" customWidth="1"/>
    <col min="10760" max="10760" width="11.5546875" style="779" customWidth="1"/>
    <col min="10761" max="10761" width="12.6640625" style="779" customWidth="1"/>
    <col min="10762" max="10762" width="13.6640625" style="779" customWidth="1"/>
    <col min="10763" max="11008" width="9.6640625" style="779"/>
    <col min="11009" max="11009" width="7.6640625" style="779" customWidth="1"/>
    <col min="11010" max="11010" width="32.88671875" style="779" customWidth="1"/>
    <col min="11011" max="11011" width="9.21875" style="779" customWidth="1"/>
    <col min="11012" max="11012" width="6.5546875" style="779" customWidth="1"/>
    <col min="11013" max="11013" width="7.88671875" style="779" customWidth="1"/>
    <col min="11014" max="11014" width="8.109375" style="779" customWidth="1"/>
    <col min="11015" max="11015" width="9" style="779" customWidth="1"/>
    <col min="11016" max="11016" width="11.5546875" style="779" customWidth="1"/>
    <col min="11017" max="11017" width="12.6640625" style="779" customWidth="1"/>
    <col min="11018" max="11018" width="13.6640625" style="779" customWidth="1"/>
    <col min="11019" max="11264" width="9.6640625" style="779"/>
    <col min="11265" max="11265" width="7.6640625" style="779" customWidth="1"/>
    <col min="11266" max="11266" width="32.88671875" style="779" customWidth="1"/>
    <col min="11267" max="11267" width="9.21875" style="779" customWidth="1"/>
    <col min="11268" max="11268" width="6.5546875" style="779" customWidth="1"/>
    <col min="11269" max="11269" width="7.88671875" style="779" customWidth="1"/>
    <col min="11270" max="11270" width="8.109375" style="779" customWidth="1"/>
    <col min="11271" max="11271" width="9" style="779" customWidth="1"/>
    <col min="11272" max="11272" width="11.5546875" style="779" customWidth="1"/>
    <col min="11273" max="11273" width="12.6640625" style="779" customWidth="1"/>
    <col min="11274" max="11274" width="13.6640625" style="779" customWidth="1"/>
    <col min="11275" max="11520" width="9.6640625" style="779"/>
    <col min="11521" max="11521" width="7.6640625" style="779" customWidth="1"/>
    <col min="11522" max="11522" width="32.88671875" style="779" customWidth="1"/>
    <col min="11523" max="11523" width="9.21875" style="779" customWidth="1"/>
    <col min="11524" max="11524" width="6.5546875" style="779" customWidth="1"/>
    <col min="11525" max="11525" width="7.88671875" style="779" customWidth="1"/>
    <col min="11526" max="11526" width="8.109375" style="779" customWidth="1"/>
    <col min="11527" max="11527" width="9" style="779" customWidth="1"/>
    <col min="11528" max="11528" width="11.5546875" style="779" customWidth="1"/>
    <col min="11529" max="11529" width="12.6640625" style="779" customWidth="1"/>
    <col min="11530" max="11530" width="13.6640625" style="779" customWidth="1"/>
    <col min="11531" max="11776" width="9.6640625" style="779"/>
    <col min="11777" max="11777" width="7.6640625" style="779" customWidth="1"/>
    <col min="11778" max="11778" width="32.88671875" style="779" customWidth="1"/>
    <col min="11779" max="11779" width="9.21875" style="779" customWidth="1"/>
    <col min="11780" max="11780" width="6.5546875" style="779" customWidth="1"/>
    <col min="11781" max="11781" width="7.88671875" style="779" customWidth="1"/>
    <col min="11782" max="11782" width="8.109375" style="779" customWidth="1"/>
    <col min="11783" max="11783" width="9" style="779" customWidth="1"/>
    <col min="11784" max="11784" width="11.5546875" style="779" customWidth="1"/>
    <col min="11785" max="11785" width="12.6640625" style="779" customWidth="1"/>
    <col min="11786" max="11786" width="13.6640625" style="779" customWidth="1"/>
    <col min="11787" max="12032" width="9.6640625" style="779"/>
    <col min="12033" max="12033" width="7.6640625" style="779" customWidth="1"/>
    <col min="12034" max="12034" width="32.88671875" style="779" customWidth="1"/>
    <col min="12035" max="12035" width="9.21875" style="779" customWidth="1"/>
    <col min="12036" max="12036" width="6.5546875" style="779" customWidth="1"/>
    <col min="12037" max="12037" width="7.88671875" style="779" customWidth="1"/>
    <col min="12038" max="12038" width="8.109375" style="779" customWidth="1"/>
    <col min="12039" max="12039" width="9" style="779" customWidth="1"/>
    <col min="12040" max="12040" width="11.5546875" style="779" customWidth="1"/>
    <col min="12041" max="12041" width="12.6640625" style="779" customWidth="1"/>
    <col min="12042" max="12042" width="13.6640625" style="779" customWidth="1"/>
    <col min="12043" max="12288" width="9.6640625" style="779"/>
    <col min="12289" max="12289" width="7.6640625" style="779" customWidth="1"/>
    <col min="12290" max="12290" width="32.88671875" style="779" customWidth="1"/>
    <col min="12291" max="12291" width="9.21875" style="779" customWidth="1"/>
    <col min="12292" max="12292" width="6.5546875" style="779" customWidth="1"/>
    <col min="12293" max="12293" width="7.88671875" style="779" customWidth="1"/>
    <col min="12294" max="12294" width="8.109375" style="779" customWidth="1"/>
    <col min="12295" max="12295" width="9" style="779" customWidth="1"/>
    <col min="12296" max="12296" width="11.5546875" style="779" customWidth="1"/>
    <col min="12297" max="12297" width="12.6640625" style="779" customWidth="1"/>
    <col min="12298" max="12298" width="13.6640625" style="779" customWidth="1"/>
    <col min="12299" max="12544" width="9.6640625" style="779"/>
    <col min="12545" max="12545" width="7.6640625" style="779" customWidth="1"/>
    <col min="12546" max="12546" width="32.88671875" style="779" customWidth="1"/>
    <col min="12547" max="12547" width="9.21875" style="779" customWidth="1"/>
    <col min="12548" max="12548" width="6.5546875" style="779" customWidth="1"/>
    <col min="12549" max="12549" width="7.88671875" style="779" customWidth="1"/>
    <col min="12550" max="12550" width="8.109375" style="779" customWidth="1"/>
    <col min="12551" max="12551" width="9" style="779" customWidth="1"/>
    <col min="12552" max="12552" width="11.5546875" style="779" customWidth="1"/>
    <col min="12553" max="12553" width="12.6640625" style="779" customWidth="1"/>
    <col min="12554" max="12554" width="13.6640625" style="779" customWidth="1"/>
    <col min="12555" max="12800" width="9.6640625" style="779"/>
    <col min="12801" max="12801" width="7.6640625" style="779" customWidth="1"/>
    <col min="12802" max="12802" width="32.88671875" style="779" customWidth="1"/>
    <col min="12803" max="12803" width="9.21875" style="779" customWidth="1"/>
    <col min="12804" max="12804" width="6.5546875" style="779" customWidth="1"/>
    <col min="12805" max="12805" width="7.88671875" style="779" customWidth="1"/>
    <col min="12806" max="12806" width="8.109375" style="779" customWidth="1"/>
    <col min="12807" max="12807" width="9" style="779" customWidth="1"/>
    <col min="12808" max="12808" width="11.5546875" style="779" customWidth="1"/>
    <col min="12809" max="12809" width="12.6640625" style="779" customWidth="1"/>
    <col min="12810" max="12810" width="13.6640625" style="779" customWidth="1"/>
    <col min="12811" max="13056" width="9.6640625" style="779"/>
    <col min="13057" max="13057" width="7.6640625" style="779" customWidth="1"/>
    <col min="13058" max="13058" width="32.88671875" style="779" customWidth="1"/>
    <col min="13059" max="13059" width="9.21875" style="779" customWidth="1"/>
    <col min="13060" max="13060" width="6.5546875" style="779" customWidth="1"/>
    <col min="13061" max="13061" width="7.88671875" style="779" customWidth="1"/>
    <col min="13062" max="13062" width="8.109375" style="779" customWidth="1"/>
    <col min="13063" max="13063" width="9" style="779" customWidth="1"/>
    <col min="13064" max="13064" width="11.5546875" style="779" customWidth="1"/>
    <col min="13065" max="13065" width="12.6640625" style="779" customWidth="1"/>
    <col min="13066" max="13066" width="13.6640625" style="779" customWidth="1"/>
    <col min="13067" max="13312" width="9.6640625" style="779"/>
    <col min="13313" max="13313" width="7.6640625" style="779" customWidth="1"/>
    <col min="13314" max="13314" width="32.88671875" style="779" customWidth="1"/>
    <col min="13315" max="13315" width="9.21875" style="779" customWidth="1"/>
    <col min="13316" max="13316" width="6.5546875" style="779" customWidth="1"/>
    <col min="13317" max="13317" width="7.88671875" style="779" customWidth="1"/>
    <col min="13318" max="13318" width="8.109375" style="779" customWidth="1"/>
    <col min="13319" max="13319" width="9" style="779" customWidth="1"/>
    <col min="13320" max="13320" width="11.5546875" style="779" customWidth="1"/>
    <col min="13321" max="13321" width="12.6640625" style="779" customWidth="1"/>
    <col min="13322" max="13322" width="13.6640625" style="779" customWidth="1"/>
    <col min="13323" max="13568" width="9.6640625" style="779"/>
    <col min="13569" max="13569" width="7.6640625" style="779" customWidth="1"/>
    <col min="13570" max="13570" width="32.88671875" style="779" customWidth="1"/>
    <col min="13571" max="13571" width="9.21875" style="779" customWidth="1"/>
    <col min="13572" max="13572" width="6.5546875" style="779" customWidth="1"/>
    <col min="13573" max="13573" width="7.88671875" style="779" customWidth="1"/>
    <col min="13574" max="13574" width="8.109375" style="779" customWidth="1"/>
    <col min="13575" max="13575" width="9" style="779" customWidth="1"/>
    <col min="13576" max="13576" width="11.5546875" style="779" customWidth="1"/>
    <col min="13577" max="13577" width="12.6640625" style="779" customWidth="1"/>
    <col min="13578" max="13578" width="13.6640625" style="779" customWidth="1"/>
    <col min="13579" max="13824" width="9.6640625" style="779"/>
    <col min="13825" max="13825" width="7.6640625" style="779" customWidth="1"/>
    <col min="13826" max="13826" width="32.88671875" style="779" customWidth="1"/>
    <col min="13827" max="13827" width="9.21875" style="779" customWidth="1"/>
    <col min="13828" max="13828" width="6.5546875" style="779" customWidth="1"/>
    <col min="13829" max="13829" width="7.88671875" style="779" customWidth="1"/>
    <col min="13830" max="13830" width="8.109375" style="779" customWidth="1"/>
    <col min="13831" max="13831" width="9" style="779" customWidth="1"/>
    <col min="13832" max="13832" width="11.5546875" style="779" customWidth="1"/>
    <col min="13833" max="13833" width="12.6640625" style="779" customWidth="1"/>
    <col min="13834" max="13834" width="13.6640625" style="779" customWidth="1"/>
    <col min="13835" max="14080" width="9.6640625" style="779"/>
    <col min="14081" max="14081" width="7.6640625" style="779" customWidth="1"/>
    <col min="14082" max="14082" width="32.88671875" style="779" customWidth="1"/>
    <col min="14083" max="14083" width="9.21875" style="779" customWidth="1"/>
    <col min="14084" max="14084" width="6.5546875" style="779" customWidth="1"/>
    <col min="14085" max="14085" width="7.88671875" style="779" customWidth="1"/>
    <col min="14086" max="14086" width="8.109375" style="779" customWidth="1"/>
    <col min="14087" max="14087" width="9" style="779" customWidth="1"/>
    <col min="14088" max="14088" width="11.5546875" style="779" customWidth="1"/>
    <col min="14089" max="14089" width="12.6640625" style="779" customWidth="1"/>
    <col min="14090" max="14090" width="13.6640625" style="779" customWidth="1"/>
    <col min="14091" max="14336" width="9.6640625" style="779"/>
    <col min="14337" max="14337" width="7.6640625" style="779" customWidth="1"/>
    <col min="14338" max="14338" width="32.88671875" style="779" customWidth="1"/>
    <col min="14339" max="14339" width="9.21875" style="779" customWidth="1"/>
    <col min="14340" max="14340" width="6.5546875" style="779" customWidth="1"/>
    <col min="14341" max="14341" width="7.88671875" style="779" customWidth="1"/>
    <col min="14342" max="14342" width="8.109375" style="779" customWidth="1"/>
    <col min="14343" max="14343" width="9" style="779" customWidth="1"/>
    <col min="14344" max="14344" width="11.5546875" style="779" customWidth="1"/>
    <col min="14345" max="14345" width="12.6640625" style="779" customWidth="1"/>
    <col min="14346" max="14346" width="13.6640625" style="779" customWidth="1"/>
    <col min="14347" max="14592" width="9.6640625" style="779"/>
    <col min="14593" max="14593" width="7.6640625" style="779" customWidth="1"/>
    <col min="14594" max="14594" width="32.88671875" style="779" customWidth="1"/>
    <col min="14595" max="14595" width="9.21875" style="779" customWidth="1"/>
    <col min="14596" max="14596" width="6.5546875" style="779" customWidth="1"/>
    <col min="14597" max="14597" width="7.88671875" style="779" customWidth="1"/>
    <col min="14598" max="14598" width="8.109375" style="779" customWidth="1"/>
    <col min="14599" max="14599" width="9" style="779" customWidth="1"/>
    <col min="14600" max="14600" width="11.5546875" style="779" customWidth="1"/>
    <col min="14601" max="14601" width="12.6640625" style="779" customWidth="1"/>
    <col min="14602" max="14602" width="13.6640625" style="779" customWidth="1"/>
    <col min="14603" max="14848" width="9.6640625" style="779"/>
    <col min="14849" max="14849" width="7.6640625" style="779" customWidth="1"/>
    <col min="14850" max="14850" width="32.88671875" style="779" customWidth="1"/>
    <col min="14851" max="14851" width="9.21875" style="779" customWidth="1"/>
    <col min="14852" max="14852" width="6.5546875" style="779" customWidth="1"/>
    <col min="14853" max="14853" width="7.88671875" style="779" customWidth="1"/>
    <col min="14854" max="14854" width="8.109375" style="779" customWidth="1"/>
    <col min="14855" max="14855" width="9" style="779" customWidth="1"/>
    <col min="14856" max="14856" width="11.5546875" style="779" customWidth="1"/>
    <col min="14857" max="14857" width="12.6640625" style="779" customWidth="1"/>
    <col min="14858" max="14858" width="13.6640625" style="779" customWidth="1"/>
    <col min="14859" max="15104" width="9.6640625" style="779"/>
    <col min="15105" max="15105" width="7.6640625" style="779" customWidth="1"/>
    <col min="15106" max="15106" width="32.88671875" style="779" customWidth="1"/>
    <col min="15107" max="15107" width="9.21875" style="779" customWidth="1"/>
    <col min="15108" max="15108" width="6.5546875" style="779" customWidth="1"/>
    <col min="15109" max="15109" width="7.88671875" style="779" customWidth="1"/>
    <col min="15110" max="15110" width="8.109375" style="779" customWidth="1"/>
    <col min="15111" max="15111" width="9" style="779" customWidth="1"/>
    <col min="15112" max="15112" width="11.5546875" style="779" customWidth="1"/>
    <col min="15113" max="15113" width="12.6640625" style="779" customWidth="1"/>
    <col min="15114" max="15114" width="13.6640625" style="779" customWidth="1"/>
    <col min="15115" max="15360" width="9.6640625" style="779"/>
    <col min="15361" max="15361" width="7.6640625" style="779" customWidth="1"/>
    <col min="15362" max="15362" width="32.88671875" style="779" customWidth="1"/>
    <col min="15363" max="15363" width="9.21875" style="779" customWidth="1"/>
    <col min="15364" max="15364" width="6.5546875" style="779" customWidth="1"/>
    <col min="15365" max="15365" width="7.88671875" style="779" customWidth="1"/>
    <col min="15366" max="15366" width="8.109375" style="779" customWidth="1"/>
    <col min="15367" max="15367" width="9" style="779" customWidth="1"/>
    <col min="15368" max="15368" width="11.5546875" style="779" customWidth="1"/>
    <col min="15369" max="15369" width="12.6640625" style="779" customWidth="1"/>
    <col min="15370" max="15370" width="13.6640625" style="779" customWidth="1"/>
    <col min="15371" max="15616" width="9.6640625" style="779"/>
    <col min="15617" max="15617" width="7.6640625" style="779" customWidth="1"/>
    <col min="15618" max="15618" width="32.88671875" style="779" customWidth="1"/>
    <col min="15619" max="15619" width="9.21875" style="779" customWidth="1"/>
    <col min="15620" max="15620" width="6.5546875" style="779" customWidth="1"/>
    <col min="15621" max="15621" width="7.88671875" style="779" customWidth="1"/>
    <col min="15622" max="15622" width="8.109375" style="779" customWidth="1"/>
    <col min="15623" max="15623" width="9" style="779" customWidth="1"/>
    <col min="15624" max="15624" width="11.5546875" style="779" customWidth="1"/>
    <col min="15625" max="15625" width="12.6640625" style="779" customWidth="1"/>
    <col min="15626" max="15626" width="13.6640625" style="779" customWidth="1"/>
    <col min="15627" max="15872" width="9.6640625" style="779"/>
    <col min="15873" max="15873" width="7.6640625" style="779" customWidth="1"/>
    <col min="15874" max="15874" width="32.88671875" style="779" customWidth="1"/>
    <col min="15875" max="15875" width="9.21875" style="779" customWidth="1"/>
    <col min="15876" max="15876" width="6.5546875" style="779" customWidth="1"/>
    <col min="15877" max="15877" width="7.88671875" style="779" customWidth="1"/>
    <col min="15878" max="15878" width="8.109375" style="779" customWidth="1"/>
    <col min="15879" max="15879" width="9" style="779" customWidth="1"/>
    <col min="15880" max="15880" width="11.5546875" style="779" customWidth="1"/>
    <col min="15881" max="15881" width="12.6640625" style="779" customWidth="1"/>
    <col min="15882" max="15882" width="13.6640625" style="779" customWidth="1"/>
    <col min="15883" max="16128" width="9.6640625" style="779"/>
    <col min="16129" max="16129" width="7.6640625" style="779" customWidth="1"/>
    <col min="16130" max="16130" width="32.88671875" style="779" customWidth="1"/>
    <col min="16131" max="16131" width="9.21875" style="779" customWidth="1"/>
    <col min="16132" max="16132" width="6.5546875" style="779" customWidth="1"/>
    <col min="16133" max="16133" width="7.88671875" style="779" customWidth="1"/>
    <col min="16134" max="16134" width="8.109375" style="779" customWidth="1"/>
    <col min="16135" max="16135" width="9" style="779" customWidth="1"/>
    <col min="16136" max="16136" width="11.5546875" style="779" customWidth="1"/>
    <col min="16137" max="16137" width="12.6640625" style="779" customWidth="1"/>
    <col min="16138" max="16138" width="13.6640625" style="779" customWidth="1"/>
    <col min="16139" max="16384" width="9.6640625" style="779"/>
  </cols>
  <sheetData>
    <row r="1" spans="1:10">
      <c r="A1" s="926" t="s">
        <v>530</v>
      </c>
      <c r="B1" s="926"/>
      <c r="C1" s="926"/>
      <c r="D1" s="926"/>
      <c r="E1" s="926"/>
      <c r="F1" s="926"/>
      <c r="G1" s="926"/>
      <c r="H1" s="926"/>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9" sqref="F9"/>
    </sheetView>
  </sheetViews>
  <sheetFormatPr defaultColWidth="8.77734375" defaultRowHeight="15.75"/>
  <cols>
    <col min="1" max="1" width="8.77734375" style="227"/>
    <col min="2" max="2" width="51.77734375" style="227" customWidth="1"/>
    <col min="3" max="3" width="15.6640625" style="227" customWidth="1"/>
    <col min="4" max="4" width="14.77734375" style="227" bestFit="1" customWidth="1"/>
    <col min="5" max="5" width="1.6640625" style="227" customWidth="1"/>
    <col min="6" max="6" width="15.88671875" style="227" customWidth="1"/>
    <col min="7" max="7" width="1.44140625" style="227" customWidth="1"/>
    <col min="8" max="8" width="8.77734375" style="227"/>
    <col min="9" max="9" width="35.33203125" style="227" customWidth="1"/>
    <col min="10" max="10" width="16.109375" style="227" customWidth="1"/>
    <col min="11" max="11" width="9.109375" style="227" bestFit="1" customWidth="1"/>
    <col min="12" max="12" width="10.109375" style="227" bestFit="1" customWidth="1"/>
    <col min="13" max="13" width="10.77734375" style="227" customWidth="1"/>
    <col min="14" max="257" width="8.77734375" style="227"/>
    <col min="258" max="258" width="35.21875" style="227" customWidth="1"/>
    <col min="259" max="259" width="15.6640625" style="227" customWidth="1"/>
    <col min="260" max="260" width="14.77734375" style="227" bestFit="1" customWidth="1"/>
    <col min="261" max="261" width="1.6640625" style="227" customWidth="1"/>
    <col min="262" max="262" width="15.88671875" style="227" customWidth="1"/>
    <col min="263" max="263" width="1.44140625" style="227" customWidth="1"/>
    <col min="264" max="264" width="8.77734375" style="227"/>
    <col min="265" max="265" width="35.33203125" style="227" customWidth="1"/>
    <col min="266" max="266" width="16.109375" style="227" customWidth="1"/>
    <col min="267" max="267" width="9.109375" style="227" bestFit="1" customWidth="1"/>
    <col min="268" max="268" width="10.109375" style="227" bestFit="1" customWidth="1"/>
    <col min="269" max="269" width="10.77734375" style="227" customWidth="1"/>
    <col min="270" max="513" width="8.77734375" style="227"/>
    <col min="514" max="514" width="35.21875" style="227" customWidth="1"/>
    <col min="515" max="515" width="15.6640625" style="227" customWidth="1"/>
    <col min="516" max="516" width="14.77734375" style="227" bestFit="1" customWidth="1"/>
    <col min="517" max="517" width="1.6640625" style="227" customWidth="1"/>
    <col min="518" max="518" width="15.88671875" style="227" customWidth="1"/>
    <col min="519" max="519" width="1.44140625" style="227" customWidth="1"/>
    <col min="520" max="520" width="8.77734375" style="227"/>
    <col min="521" max="521" width="35.33203125" style="227" customWidth="1"/>
    <col min="522" max="522" width="16.109375" style="227" customWidth="1"/>
    <col min="523" max="523" width="9.109375" style="227" bestFit="1" customWidth="1"/>
    <col min="524" max="524" width="10.109375" style="227" bestFit="1" customWidth="1"/>
    <col min="525" max="525" width="10.77734375" style="227" customWidth="1"/>
    <col min="526" max="769" width="8.77734375" style="227"/>
    <col min="770" max="770" width="35.21875" style="227" customWidth="1"/>
    <col min="771" max="771" width="15.6640625" style="227" customWidth="1"/>
    <col min="772" max="772" width="14.77734375" style="227" bestFit="1" customWidth="1"/>
    <col min="773" max="773" width="1.6640625" style="227" customWidth="1"/>
    <col min="774" max="774" width="15.88671875" style="227" customWidth="1"/>
    <col min="775" max="775" width="1.44140625" style="227" customWidth="1"/>
    <col min="776" max="776" width="8.77734375" style="227"/>
    <col min="777" max="777" width="35.33203125" style="227" customWidth="1"/>
    <col min="778" max="778" width="16.109375" style="227" customWidth="1"/>
    <col min="779" max="779" width="9.109375" style="227" bestFit="1" customWidth="1"/>
    <col min="780" max="780" width="10.109375" style="227" bestFit="1" customWidth="1"/>
    <col min="781" max="781" width="10.77734375" style="227" customWidth="1"/>
    <col min="782" max="1025" width="8.77734375" style="227"/>
    <col min="1026" max="1026" width="35.21875" style="227" customWidth="1"/>
    <col min="1027" max="1027" width="15.6640625" style="227" customWidth="1"/>
    <col min="1028" max="1028" width="14.77734375" style="227" bestFit="1" customWidth="1"/>
    <col min="1029" max="1029" width="1.6640625" style="227" customWidth="1"/>
    <col min="1030" max="1030" width="15.88671875" style="227" customWidth="1"/>
    <col min="1031" max="1031" width="1.44140625" style="227" customWidth="1"/>
    <col min="1032" max="1032" width="8.77734375" style="227"/>
    <col min="1033" max="1033" width="35.33203125" style="227" customWidth="1"/>
    <col min="1034" max="1034" width="16.109375" style="227" customWidth="1"/>
    <col min="1035" max="1035" width="9.109375" style="227" bestFit="1" customWidth="1"/>
    <col min="1036" max="1036" width="10.109375" style="227" bestFit="1" customWidth="1"/>
    <col min="1037" max="1037" width="10.77734375" style="227" customWidth="1"/>
    <col min="1038" max="1281" width="8.77734375" style="227"/>
    <col min="1282" max="1282" width="35.21875" style="227" customWidth="1"/>
    <col min="1283" max="1283" width="15.6640625" style="227" customWidth="1"/>
    <col min="1284" max="1284" width="14.77734375" style="227" bestFit="1" customWidth="1"/>
    <col min="1285" max="1285" width="1.6640625" style="227" customWidth="1"/>
    <col min="1286" max="1286" width="15.88671875" style="227" customWidth="1"/>
    <col min="1287" max="1287" width="1.44140625" style="227" customWidth="1"/>
    <col min="1288" max="1288" width="8.77734375" style="227"/>
    <col min="1289" max="1289" width="35.33203125" style="227" customWidth="1"/>
    <col min="1290" max="1290" width="16.109375" style="227" customWidth="1"/>
    <col min="1291" max="1291" width="9.109375" style="227" bestFit="1" customWidth="1"/>
    <col min="1292" max="1292" width="10.109375" style="227" bestFit="1" customWidth="1"/>
    <col min="1293" max="1293" width="10.77734375" style="227" customWidth="1"/>
    <col min="1294" max="1537" width="8.77734375" style="227"/>
    <col min="1538" max="1538" width="35.21875" style="227" customWidth="1"/>
    <col min="1539" max="1539" width="15.6640625" style="227" customWidth="1"/>
    <col min="1540" max="1540" width="14.77734375" style="227" bestFit="1" customWidth="1"/>
    <col min="1541" max="1541" width="1.6640625" style="227" customWidth="1"/>
    <col min="1542" max="1542" width="15.88671875" style="227" customWidth="1"/>
    <col min="1543" max="1543" width="1.44140625" style="227" customWidth="1"/>
    <col min="1544" max="1544" width="8.77734375" style="227"/>
    <col min="1545" max="1545" width="35.33203125" style="227" customWidth="1"/>
    <col min="1546" max="1546" width="16.109375" style="227" customWidth="1"/>
    <col min="1547" max="1547" width="9.109375" style="227" bestFit="1" customWidth="1"/>
    <col min="1548" max="1548" width="10.109375" style="227" bestFit="1" customWidth="1"/>
    <col min="1549" max="1549" width="10.77734375" style="227" customWidth="1"/>
    <col min="1550" max="1793" width="8.77734375" style="227"/>
    <col min="1794" max="1794" width="35.21875" style="227" customWidth="1"/>
    <col min="1795" max="1795" width="15.6640625" style="227" customWidth="1"/>
    <col min="1796" max="1796" width="14.77734375" style="227" bestFit="1" customWidth="1"/>
    <col min="1797" max="1797" width="1.6640625" style="227" customWidth="1"/>
    <col min="1798" max="1798" width="15.88671875" style="227" customWidth="1"/>
    <col min="1799" max="1799" width="1.44140625" style="227" customWidth="1"/>
    <col min="1800" max="1800" width="8.77734375" style="227"/>
    <col min="1801" max="1801" width="35.33203125" style="227" customWidth="1"/>
    <col min="1802" max="1802" width="16.109375" style="227" customWidth="1"/>
    <col min="1803" max="1803" width="9.109375" style="227" bestFit="1" customWidth="1"/>
    <col min="1804" max="1804" width="10.109375" style="227" bestFit="1" customWidth="1"/>
    <col min="1805" max="1805" width="10.77734375" style="227" customWidth="1"/>
    <col min="1806" max="2049" width="8.77734375" style="227"/>
    <col min="2050" max="2050" width="35.21875" style="227" customWidth="1"/>
    <col min="2051" max="2051" width="15.6640625" style="227" customWidth="1"/>
    <col min="2052" max="2052" width="14.77734375" style="227" bestFit="1" customWidth="1"/>
    <col min="2053" max="2053" width="1.6640625" style="227" customWidth="1"/>
    <col min="2054" max="2054" width="15.88671875" style="227" customWidth="1"/>
    <col min="2055" max="2055" width="1.44140625" style="227" customWidth="1"/>
    <col min="2056" max="2056" width="8.77734375" style="227"/>
    <col min="2057" max="2057" width="35.33203125" style="227" customWidth="1"/>
    <col min="2058" max="2058" width="16.109375" style="227" customWidth="1"/>
    <col min="2059" max="2059" width="9.109375" style="227" bestFit="1" customWidth="1"/>
    <col min="2060" max="2060" width="10.109375" style="227" bestFit="1" customWidth="1"/>
    <col min="2061" max="2061" width="10.77734375" style="227" customWidth="1"/>
    <col min="2062" max="2305" width="8.77734375" style="227"/>
    <col min="2306" max="2306" width="35.21875" style="227" customWidth="1"/>
    <col min="2307" max="2307" width="15.6640625" style="227" customWidth="1"/>
    <col min="2308" max="2308" width="14.77734375" style="227" bestFit="1" customWidth="1"/>
    <col min="2309" max="2309" width="1.6640625" style="227" customWidth="1"/>
    <col min="2310" max="2310" width="15.88671875" style="227" customWidth="1"/>
    <col min="2311" max="2311" width="1.44140625" style="227" customWidth="1"/>
    <col min="2312" max="2312" width="8.77734375" style="227"/>
    <col min="2313" max="2313" width="35.33203125" style="227" customWidth="1"/>
    <col min="2314" max="2314" width="16.109375" style="227" customWidth="1"/>
    <col min="2315" max="2315" width="9.109375" style="227" bestFit="1" customWidth="1"/>
    <col min="2316" max="2316" width="10.109375" style="227" bestFit="1" customWidth="1"/>
    <col min="2317" max="2317" width="10.77734375" style="227" customWidth="1"/>
    <col min="2318" max="2561" width="8.77734375" style="227"/>
    <col min="2562" max="2562" width="35.21875" style="227" customWidth="1"/>
    <col min="2563" max="2563" width="15.6640625" style="227" customWidth="1"/>
    <col min="2564" max="2564" width="14.77734375" style="227" bestFit="1" customWidth="1"/>
    <col min="2565" max="2565" width="1.6640625" style="227" customWidth="1"/>
    <col min="2566" max="2566" width="15.88671875" style="227" customWidth="1"/>
    <col min="2567" max="2567" width="1.44140625" style="227" customWidth="1"/>
    <col min="2568" max="2568" width="8.77734375" style="227"/>
    <col min="2569" max="2569" width="35.33203125" style="227" customWidth="1"/>
    <col min="2570" max="2570" width="16.109375" style="227" customWidth="1"/>
    <col min="2571" max="2571" width="9.109375" style="227" bestFit="1" customWidth="1"/>
    <col min="2572" max="2572" width="10.109375" style="227" bestFit="1" customWidth="1"/>
    <col min="2573" max="2573" width="10.77734375" style="227" customWidth="1"/>
    <col min="2574" max="2817" width="8.77734375" style="227"/>
    <col min="2818" max="2818" width="35.21875" style="227" customWidth="1"/>
    <col min="2819" max="2819" width="15.6640625" style="227" customWidth="1"/>
    <col min="2820" max="2820" width="14.77734375" style="227" bestFit="1" customWidth="1"/>
    <col min="2821" max="2821" width="1.6640625" style="227" customWidth="1"/>
    <col min="2822" max="2822" width="15.88671875" style="227" customWidth="1"/>
    <col min="2823" max="2823" width="1.44140625" style="227" customWidth="1"/>
    <col min="2824" max="2824" width="8.77734375" style="227"/>
    <col min="2825" max="2825" width="35.33203125" style="227" customWidth="1"/>
    <col min="2826" max="2826" width="16.109375" style="227" customWidth="1"/>
    <col min="2827" max="2827" width="9.109375" style="227" bestFit="1" customWidth="1"/>
    <col min="2828" max="2828" width="10.109375" style="227" bestFit="1" customWidth="1"/>
    <col min="2829" max="2829" width="10.77734375" style="227" customWidth="1"/>
    <col min="2830" max="3073" width="8.77734375" style="227"/>
    <col min="3074" max="3074" width="35.21875" style="227" customWidth="1"/>
    <col min="3075" max="3075" width="15.6640625" style="227" customWidth="1"/>
    <col min="3076" max="3076" width="14.77734375" style="227" bestFit="1" customWidth="1"/>
    <col min="3077" max="3077" width="1.6640625" style="227" customWidth="1"/>
    <col min="3078" max="3078" width="15.88671875" style="227" customWidth="1"/>
    <col min="3079" max="3079" width="1.44140625" style="227" customWidth="1"/>
    <col min="3080" max="3080" width="8.77734375" style="227"/>
    <col min="3081" max="3081" width="35.33203125" style="227" customWidth="1"/>
    <col min="3082" max="3082" width="16.109375" style="227" customWidth="1"/>
    <col min="3083" max="3083" width="9.109375" style="227" bestFit="1" customWidth="1"/>
    <col min="3084" max="3084" width="10.109375" style="227" bestFit="1" customWidth="1"/>
    <col min="3085" max="3085" width="10.77734375" style="227" customWidth="1"/>
    <col min="3086" max="3329" width="8.77734375" style="227"/>
    <col min="3330" max="3330" width="35.21875" style="227" customWidth="1"/>
    <col min="3331" max="3331" width="15.6640625" style="227" customWidth="1"/>
    <col min="3332" max="3332" width="14.77734375" style="227" bestFit="1" customWidth="1"/>
    <col min="3333" max="3333" width="1.6640625" style="227" customWidth="1"/>
    <col min="3334" max="3334" width="15.88671875" style="227" customWidth="1"/>
    <col min="3335" max="3335" width="1.44140625" style="227" customWidth="1"/>
    <col min="3336" max="3336" width="8.77734375" style="227"/>
    <col min="3337" max="3337" width="35.33203125" style="227" customWidth="1"/>
    <col min="3338" max="3338" width="16.109375" style="227" customWidth="1"/>
    <col min="3339" max="3339" width="9.109375" style="227" bestFit="1" customWidth="1"/>
    <col min="3340" max="3340" width="10.109375" style="227" bestFit="1" customWidth="1"/>
    <col min="3341" max="3341" width="10.77734375" style="227" customWidth="1"/>
    <col min="3342" max="3585" width="8.77734375" style="227"/>
    <col min="3586" max="3586" width="35.21875" style="227" customWidth="1"/>
    <col min="3587" max="3587" width="15.6640625" style="227" customWidth="1"/>
    <col min="3588" max="3588" width="14.77734375" style="227" bestFit="1" customWidth="1"/>
    <col min="3589" max="3589" width="1.6640625" style="227" customWidth="1"/>
    <col min="3590" max="3590" width="15.88671875" style="227" customWidth="1"/>
    <col min="3591" max="3591" width="1.44140625" style="227" customWidth="1"/>
    <col min="3592" max="3592" width="8.77734375" style="227"/>
    <col min="3593" max="3593" width="35.33203125" style="227" customWidth="1"/>
    <col min="3594" max="3594" width="16.109375" style="227" customWidth="1"/>
    <col min="3595" max="3595" width="9.109375" style="227" bestFit="1" customWidth="1"/>
    <col min="3596" max="3596" width="10.109375" style="227" bestFit="1" customWidth="1"/>
    <col min="3597" max="3597" width="10.77734375" style="227" customWidth="1"/>
    <col min="3598" max="3841" width="8.77734375" style="227"/>
    <col min="3842" max="3842" width="35.21875" style="227" customWidth="1"/>
    <col min="3843" max="3843" width="15.6640625" style="227" customWidth="1"/>
    <col min="3844" max="3844" width="14.77734375" style="227" bestFit="1" customWidth="1"/>
    <col min="3845" max="3845" width="1.6640625" style="227" customWidth="1"/>
    <col min="3846" max="3846" width="15.88671875" style="227" customWidth="1"/>
    <col min="3847" max="3847" width="1.44140625" style="227" customWidth="1"/>
    <col min="3848" max="3848" width="8.77734375" style="227"/>
    <col min="3849" max="3849" width="35.33203125" style="227" customWidth="1"/>
    <col min="3850" max="3850" width="16.109375" style="227" customWidth="1"/>
    <col min="3851" max="3851" width="9.109375" style="227" bestFit="1" customWidth="1"/>
    <col min="3852" max="3852" width="10.109375" style="227" bestFit="1" customWidth="1"/>
    <col min="3853" max="3853" width="10.77734375" style="227" customWidth="1"/>
    <col min="3854" max="4097" width="8.77734375" style="227"/>
    <col min="4098" max="4098" width="35.21875" style="227" customWidth="1"/>
    <col min="4099" max="4099" width="15.6640625" style="227" customWidth="1"/>
    <col min="4100" max="4100" width="14.77734375" style="227" bestFit="1" customWidth="1"/>
    <col min="4101" max="4101" width="1.6640625" style="227" customWidth="1"/>
    <col min="4102" max="4102" width="15.88671875" style="227" customWidth="1"/>
    <col min="4103" max="4103" width="1.44140625" style="227" customWidth="1"/>
    <col min="4104" max="4104" width="8.77734375" style="227"/>
    <col min="4105" max="4105" width="35.33203125" style="227" customWidth="1"/>
    <col min="4106" max="4106" width="16.109375" style="227" customWidth="1"/>
    <col min="4107" max="4107" width="9.109375" style="227" bestFit="1" customWidth="1"/>
    <col min="4108" max="4108" width="10.109375" style="227" bestFit="1" customWidth="1"/>
    <col min="4109" max="4109" width="10.77734375" style="227" customWidth="1"/>
    <col min="4110" max="4353" width="8.77734375" style="227"/>
    <col min="4354" max="4354" width="35.21875" style="227" customWidth="1"/>
    <col min="4355" max="4355" width="15.6640625" style="227" customWidth="1"/>
    <col min="4356" max="4356" width="14.77734375" style="227" bestFit="1" customWidth="1"/>
    <col min="4357" max="4357" width="1.6640625" style="227" customWidth="1"/>
    <col min="4358" max="4358" width="15.88671875" style="227" customWidth="1"/>
    <col min="4359" max="4359" width="1.44140625" style="227" customWidth="1"/>
    <col min="4360" max="4360" width="8.77734375" style="227"/>
    <col min="4361" max="4361" width="35.33203125" style="227" customWidth="1"/>
    <col min="4362" max="4362" width="16.109375" style="227" customWidth="1"/>
    <col min="4363" max="4363" width="9.109375" style="227" bestFit="1" customWidth="1"/>
    <col min="4364" max="4364" width="10.109375" style="227" bestFit="1" customWidth="1"/>
    <col min="4365" max="4365" width="10.77734375" style="227" customWidth="1"/>
    <col min="4366" max="4609" width="8.77734375" style="227"/>
    <col min="4610" max="4610" width="35.21875" style="227" customWidth="1"/>
    <col min="4611" max="4611" width="15.6640625" style="227" customWidth="1"/>
    <col min="4612" max="4612" width="14.77734375" style="227" bestFit="1" customWidth="1"/>
    <col min="4613" max="4613" width="1.6640625" style="227" customWidth="1"/>
    <col min="4614" max="4614" width="15.88671875" style="227" customWidth="1"/>
    <col min="4615" max="4615" width="1.44140625" style="227" customWidth="1"/>
    <col min="4616" max="4616" width="8.77734375" style="227"/>
    <col min="4617" max="4617" width="35.33203125" style="227" customWidth="1"/>
    <col min="4618" max="4618" width="16.109375" style="227" customWidth="1"/>
    <col min="4619" max="4619" width="9.109375" style="227" bestFit="1" customWidth="1"/>
    <col min="4620" max="4620" width="10.109375" style="227" bestFit="1" customWidth="1"/>
    <col min="4621" max="4621" width="10.77734375" style="227" customWidth="1"/>
    <col min="4622" max="4865" width="8.77734375" style="227"/>
    <col min="4866" max="4866" width="35.21875" style="227" customWidth="1"/>
    <col min="4867" max="4867" width="15.6640625" style="227" customWidth="1"/>
    <col min="4868" max="4868" width="14.77734375" style="227" bestFit="1" customWidth="1"/>
    <col min="4869" max="4869" width="1.6640625" style="227" customWidth="1"/>
    <col min="4870" max="4870" width="15.88671875" style="227" customWidth="1"/>
    <col min="4871" max="4871" width="1.44140625" style="227" customWidth="1"/>
    <col min="4872" max="4872" width="8.77734375" style="227"/>
    <col min="4873" max="4873" width="35.33203125" style="227" customWidth="1"/>
    <col min="4874" max="4874" width="16.109375" style="227" customWidth="1"/>
    <col min="4875" max="4875" width="9.109375" style="227" bestFit="1" customWidth="1"/>
    <col min="4876" max="4876" width="10.109375" style="227" bestFit="1" customWidth="1"/>
    <col min="4877" max="4877" width="10.77734375" style="227" customWidth="1"/>
    <col min="4878" max="5121" width="8.77734375" style="227"/>
    <col min="5122" max="5122" width="35.21875" style="227" customWidth="1"/>
    <col min="5123" max="5123" width="15.6640625" style="227" customWidth="1"/>
    <col min="5124" max="5124" width="14.77734375" style="227" bestFit="1" customWidth="1"/>
    <col min="5125" max="5125" width="1.6640625" style="227" customWidth="1"/>
    <col min="5126" max="5126" width="15.88671875" style="227" customWidth="1"/>
    <col min="5127" max="5127" width="1.44140625" style="227" customWidth="1"/>
    <col min="5128" max="5128" width="8.77734375" style="227"/>
    <col min="5129" max="5129" width="35.33203125" style="227" customWidth="1"/>
    <col min="5130" max="5130" width="16.109375" style="227" customWidth="1"/>
    <col min="5131" max="5131" width="9.109375" style="227" bestFit="1" customWidth="1"/>
    <col min="5132" max="5132" width="10.109375" style="227" bestFit="1" customWidth="1"/>
    <col min="5133" max="5133" width="10.77734375" style="227" customWidth="1"/>
    <col min="5134" max="5377" width="8.77734375" style="227"/>
    <col min="5378" max="5378" width="35.21875" style="227" customWidth="1"/>
    <col min="5379" max="5379" width="15.6640625" style="227" customWidth="1"/>
    <col min="5380" max="5380" width="14.77734375" style="227" bestFit="1" customWidth="1"/>
    <col min="5381" max="5381" width="1.6640625" style="227" customWidth="1"/>
    <col min="5382" max="5382" width="15.88671875" style="227" customWidth="1"/>
    <col min="5383" max="5383" width="1.44140625" style="227" customWidth="1"/>
    <col min="5384" max="5384" width="8.77734375" style="227"/>
    <col min="5385" max="5385" width="35.33203125" style="227" customWidth="1"/>
    <col min="5386" max="5386" width="16.109375" style="227" customWidth="1"/>
    <col min="5387" max="5387" width="9.109375" style="227" bestFit="1" customWidth="1"/>
    <col min="5388" max="5388" width="10.109375" style="227" bestFit="1" customWidth="1"/>
    <col min="5389" max="5389" width="10.77734375" style="227" customWidth="1"/>
    <col min="5390" max="5633" width="8.77734375" style="227"/>
    <col min="5634" max="5634" width="35.21875" style="227" customWidth="1"/>
    <col min="5635" max="5635" width="15.6640625" style="227" customWidth="1"/>
    <col min="5636" max="5636" width="14.77734375" style="227" bestFit="1" customWidth="1"/>
    <col min="5637" max="5637" width="1.6640625" style="227" customWidth="1"/>
    <col min="5638" max="5638" width="15.88671875" style="227" customWidth="1"/>
    <col min="5639" max="5639" width="1.44140625" style="227" customWidth="1"/>
    <col min="5640" max="5640" width="8.77734375" style="227"/>
    <col min="5641" max="5641" width="35.33203125" style="227" customWidth="1"/>
    <col min="5642" max="5642" width="16.109375" style="227" customWidth="1"/>
    <col min="5643" max="5643" width="9.109375" style="227" bestFit="1" customWidth="1"/>
    <col min="5644" max="5644" width="10.109375" style="227" bestFit="1" customWidth="1"/>
    <col min="5645" max="5645" width="10.77734375" style="227" customWidth="1"/>
    <col min="5646" max="5889" width="8.77734375" style="227"/>
    <col min="5890" max="5890" width="35.21875" style="227" customWidth="1"/>
    <col min="5891" max="5891" width="15.6640625" style="227" customWidth="1"/>
    <col min="5892" max="5892" width="14.77734375" style="227" bestFit="1" customWidth="1"/>
    <col min="5893" max="5893" width="1.6640625" style="227" customWidth="1"/>
    <col min="5894" max="5894" width="15.88671875" style="227" customWidth="1"/>
    <col min="5895" max="5895" width="1.44140625" style="227" customWidth="1"/>
    <col min="5896" max="5896" width="8.77734375" style="227"/>
    <col min="5897" max="5897" width="35.33203125" style="227" customWidth="1"/>
    <col min="5898" max="5898" width="16.109375" style="227" customWidth="1"/>
    <col min="5899" max="5899" width="9.109375" style="227" bestFit="1" customWidth="1"/>
    <col min="5900" max="5900" width="10.109375" style="227" bestFit="1" customWidth="1"/>
    <col min="5901" max="5901" width="10.77734375" style="227" customWidth="1"/>
    <col min="5902" max="6145" width="8.77734375" style="227"/>
    <col min="6146" max="6146" width="35.21875" style="227" customWidth="1"/>
    <col min="6147" max="6147" width="15.6640625" style="227" customWidth="1"/>
    <col min="6148" max="6148" width="14.77734375" style="227" bestFit="1" customWidth="1"/>
    <col min="6149" max="6149" width="1.6640625" style="227" customWidth="1"/>
    <col min="6150" max="6150" width="15.88671875" style="227" customWidth="1"/>
    <col min="6151" max="6151" width="1.44140625" style="227" customWidth="1"/>
    <col min="6152" max="6152" width="8.77734375" style="227"/>
    <col min="6153" max="6153" width="35.33203125" style="227" customWidth="1"/>
    <col min="6154" max="6154" width="16.109375" style="227" customWidth="1"/>
    <col min="6155" max="6155" width="9.109375" style="227" bestFit="1" customWidth="1"/>
    <col min="6156" max="6156" width="10.109375" style="227" bestFit="1" customWidth="1"/>
    <col min="6157" max="6157" width="10.77734375" style="227" customWidth="1"/>
    <col min="6158" max="6401" width="8.77734375" style="227"/>
    <col min="6402" max="6402" width="35.21875" style="227" customWidth="1"/>
    <col min="6403" max="6403" width="15.6640625" style="227" customWidth="1"/>
    <col min="6404" max="6404" width="14.77734375" style="227" bestFit="1" customWidth="1"/>
    <col min="6405" max="6405" width="1.6640625" style="227" customWidth="1"/>
    <col min="6406" max="6406" width="15.88671875" style="227" customWidth="1"/>
    <col min="6407" max="6407" width="1.44140625" style="227" customWidth="1"/>
    <col min="6408" max="6408" width="8.77734375" style="227"/>
    <col min="6409" max="6409" width="35.33203125" style="227" customWidth="1"/>
    <col min="6410" max="6410" width="16.109375" style="227" customWidth="1"/>
    <col min="6411" max="6411" width="9.109375" style="227" bestFit="1" customWidth="1"/>
    <col min="6412" max="6412" width="10.109375" style="227" bestFit="1" customWidth="1"/>
    <col min="6413" max="6413" width="10.77734375" style="227" customWidth="1"/>
    <col min="6414" max="6657" width="8.77734375" style="227"/>
    <col min="6658" max="6658" width="35.21875" style="227" customWidth="1"/>
    <col min="6659" max="6659" width="15.6640625" style="227" customWidth="1"/>
    <col min="6660" max="6660" width="14.77734375" style="227" bestFit="1" customWidth="1"/>
    <col min="6661" max="6661" width="1.6640625" style="227" customWidth="1"/>
    <col min="6662" max="6662" width="15.88671875" style="227" customWidth="1"/>
    <col min="6663" max="6663" width="1.44140625" style="227" customWidth="1"/>
    <col min="6664" max="6664" width="8.77734375" style="227"/>
    <col min="6665" max="6665" width="35.33203125" style="227" customWidth="1"/>
    <col min="6666" max="6666" width="16.109375" style="227" customWidth="1"/>
    <col min="6667" max="6667" width="9.109375" style="227" bestFit="1" customWidth="1"/>
    <col min="6668" max="6668" width="10.109375" style="227" bestFit="1" customWidth="1"/>
    <col min="6669" max="6669" width="10.77734375" style="227" customWidth="1"/>
    <col min="6670" max="6913" width="8.77734375" style="227"/>
    <col min="6914" max="6914" width="35.21875" style="227" customWidth="1"/>
    <col min="6915" max="6915" width="15.6640625" style="227" customWidth="1"/>
    <col min="6916" max="6916" width="14.77734375" style="227" bestFit="1" customWidth="1"/>
    <col min="6917" max="6917" width="1.6640625" style="227" customWidth="1"/>
    <col min="6918" max="6918" width="15.88671875" style="227" customWidth="1"/>
    <col min="6919" max="6919" width="1.44140625" style="227" customWidth="1"/>
    <col min="6920" max="6920" width="8.77734375" style="227"/>
    <col min="6921" max="6921" width="35.33203125" style="227" customWidth="1"/>
    <col min="6922" max="6922" width="16.109375" style="227" customWidth="1"/>
    <col min="6923" max="6923" width="9.109375" style="227" bestFit="1" customWidth="1"/>
    <col min="6924" max="6924" width="10.109375" style="227" bestFit="1" customWidth="1"/>
    <col min="6925" max="6925" width="10.77734375" style="227" customWidth="1"/>
    <col min="6926" max="7169" width="8.77734375" style="227"/>
    <col min="7170" max="7170" width="35.21875" style="227" customWidth="1"/>
    <col min="7171" max="7171" width="15.6640625" style="227" customWidth="1"/>
    <col min="7172" max="7172" width="14.77734375" style="227" bestFit="1" customWidth="1"/>
    <col min="7173" max="7173" width="1.6640625" style="227" customWidth="1"/>
    <col min="7174" max="7174" width="15.88671875" style="227" customWidth="1"/>
    <col min="7175" max="7175" width="1.44140625" style="227" customWidth="1"/>
    <col min="7176" max="7176" width="8.77734375" style="227"/>
    <col min="7177" max="7177" width="35.33203125" style="227" customWidth="1"/>
    <col min="7178" max="7178" width="16.109375" style="227" customWidth="1"/>
    <col min="7179" max="7179" width="9.109375" style="227" bestFit="1" customWidth="1"/>
    <col min="7180" max="7180" width="10.109375" style="227" bestFit="1" customWidth="1"/>
    <col min="7181" max="7181" width="10.77734375" style="227" customWidth="1"/>
    <col min="7182" max="7425" width="8.77734375" style="227"/>
    <col min="7426" max="7426" width="35.21875" style="227" customWidth="1"/>
    <col min="7427" max="7427" width="15.6640625" style="227" customWidth="1"/>
    <col min="7428" max="7428" width="14.77734375" style="227" bestFit="1" customWidth="1"/>
    <col min="7429" max="7429" width="1.6640625" style="227" customWidth="1"/>
    <col min="7430" max="7430" width="15.88671875" style="227" customWidth="1"/>
    <col min="7431" max="7431" width="1.44140625" style="227" customWidth="1"/>
    <col min="7432" max="7432" width="8.77734375" style="227"/>
    <col min="7433" max="7433" width="35.33203125" style="227" customWidth="1"/>
    <col min="7434" max="7434" width="16.109375" style="227" customWidth="1"/>
    <col min="7435" max="7435" width="9.109375" style="227" bestFit="1" customWidth="1"/>
    <col min="7436" max="7436" width="10.109375" style="227" bestFit="1" customWidth="1"/>
    <col min="7437" max="7437" width="10.77734375" style="227" customWidth="1"/>
    <col min="7438" max="7681" width="8.77734375" style="227"/>
    <col min="7682" max="7682" width="35.21875" style="227" customWidth="1"/>
    <col min="7683" max="7683" width="15.6640625" style="227" customWidth="1"/>
    <col min="7684" max="7684" width="14.77734375" style="227" bestFit="1" customWidth="1"/>
    <col min="7685" max="7685" width="1.6640625" style="227" customWidth="1"/>
    <col min="7686" max="7686" width="15.88671875" style="227" customWidth="1"/>
    <col min="7687" max="7687" width="1.44140625" style="227" customWidth="1"/>
    <col min="7688" max="7688" width="8.77734375" style="227"/>
    <col min="7689" max="7689" width="35.33203125" style="227" customWidth="1"/>
    <col min="7690" max="7690" width="16.109375" style="227" customWidth="1"/>
    <col min="7691" max="7691" width="9.109375" style="227" bestFit="1" customWidth="1"/>
    <col min="7692" max="7692" width="10.109375" style="227" bestFit="1" customWidth="1"/>
    <col min="7693" max="7693" width="10.77734375" style="227" customWidth="1"/>
    <col min="7694" max="7937" width="8.77734375" style="227"/>
    <col min="7938" max="7938" width="35.21875" style="227" customWidth="1"/>
    <col min="7939" max="7939" width="15.6640625" style="227" customWidth="1"/>
    <col min="7940" max="7940" width="14.77734375" style="227" bestFit="1" customWidth="1"/>
    <col min="7941" max="7941" width="1.6640625" style="227" customWidth="1"/>
    <col min="7942" max="7942" width="15.88671875" style="227" customWidth="1"/>
    <col min="7943" max="7943" width="1.44140625" style="227" customWidth="1"/>
    <col min="7944" max="7944" width="8.77734375" style="227"/>
    <col min="7945" max="7945" width="35.33203125" style="227" customWidth="1"/>
    <col min="7946" max="7946" width="16.109375" style="227" customWidth="1"/>
    <col min="7947" max="7947" width="9.109375" style="227" bestFit="1" customWidth="1"/>
    <col min="7948" max="7948" width="10.109375" style="227" bestFit="1" customWidth="1"/>
    <col min="7949" max="7949" width="10.77734375" style="227" customWidth="1"/>
    <col min="7950" max="8193" width="8.77734375" style="227"/>
    <col min="8194" max="8194" width="35.21875" style="227" customWidth="1"/>
    <col min="8195" max="8195" width="15.6640625" style="227" customWidth="1"/>
    <col min="8196" max="8196" width="14.77734375" style="227" bestFit="1" customWidth="1"/>
    <col min="8197" max="8197" width="1.6640625" style="227" customWidth="1"/>
    <col min="8198" max="8198" width="15.88671875" style="227" customWidth="1"/>
    <col min="8199" max="8199" width="1.44140625" style="227" customWidth="1"/>
    <col min="8200" max="8200" width="8.77734375" style="227"/>
    <col min="8201" max="8201" width="35.33203125" style="227" customWidth="1"/>
    <col min="8202" max="8202" width="16.109375" style="227" customWidth="1"/>
    <col min="8203" max="8203" width="9.109375" style="227" bestFit="1" customWidth="1"/>
    <col min="8204" max="8204" width="10.109375" style="227" bestFit="1" customWidth="1"/>
    <col min="8205" max="8205" width="10.77734375" style="227" customWidth="1"/>
    <col min="8206" max="8449" width="8.77734375" style="227"/>
    <col min="8450" max="8450" width="35.21875" style="227" customWidth="1"/>
    <col min="8451" max="8451" width="15.6640625" style="227" customWidth="1"/>
    <col min="8452" max="8452" width="14.77734375" style="227" bestFit="1" customWidth="1"/>
    <col min="8453" max="8453" width="1.6640625" style="227" customWidth="1"/>
    <col min="8454" max="8454" width="15.88671875" style="227" customWidth="1"/>
    <col min="8455" max="8455" width="1.44140625" style="227" customWidth="1"/>
    <col min="8456" max="8456" width="8.77734375" style="227"/>
    <col min="8457" max="8457" width="35.33203125" style="227" customWidth="1"/>
    <col min="8458" max="8458" width="16.109375" style="227" customWidth="1"/>
    <col min="8459" max="8459" width="9.109375" style="227" bestFit="1" customWidth="1"/>
    <col min="8460" max="8460" width="10.109375" style="227" bestFit="1" customWidth="1"/>
    <col min="8461" max="8461" width="10.77734375" style="227" customWidth="1"/>
    <col min="8462" max="8705" width="8.77734375" style="227"/>
    <col min="8706" max="8706" width="35.21875" style="227" customWidth="1"/>
    <col min="8707" max="8707" width="15.6640625" style="227" customWidth="1"/>
    <col min="8708" max="8708" width="14.77734375" style="227" bestFit="1" customWidth="1"/>
    <col min="8709" max="8709" width="1.6640625" style="227" customWidth="1"/>
    <col min="8710" max="8710" width="15.88671875" style="227" customWidth="1"/>
    <col min="8711" max="8711" width="1.44140625" style="227" customWidth="1"/>
    <col min="8712" max="8712" width="8.77734375" style="227"/>
    <col min="8713" max="8713" width="35.33203125" style="227" customWidth="1"/>
    <col min="8714" max="8714" width="16.109375" style="227" customWidth="1"/>
    <col min="8715" max="8715" width="9.109375" style="227" bestFit="1" customWidth="1"/>
    <col min="8716" max="8716" width="10.109375" style="227" bestFit="1" customWidth="1"/>
    <col min="8717" max="8717" width="10.77734375" style="227" customWidth="1"/>
    <col min="8718" max="8961" width="8.77734375" style="227"/>
    <col min="8962" max="8962" width="35.21875" style="227" customWidth="1"/>
    <col min="8963" max="8963" width="15.6640625" style="227" customWidth="1"/>
    <col min="8964" max="8964" width="14.77734375" style="227" bestFit="1" customWidth="1"/>
    <col min="8965" max="8965" width="1.6640625" style="227" customWidth="1"/>
    <col min="8966" max="8966" width="15.88671875" style="227" customWidth="1"/>
    <col min="8967" max="8967" width="1.44140625" style="227" customWidth="1"/>
    <col min="8968" max="8968" width="8.77734375" style="227"/>
    <col min="8969" max="8969" width="35.33203125" style="227" customWidth="1"/>
    <col min="8970" max="8970" width="16.109375" style="227" customWidth="1"/>
    <col min="8971" max="8971" width="9.109375" style="227" bestFit="1" customWidth="1"/>
    <col min="8972" max="8972" width="10.109375" style="227" bestFit="1" customWidth="1"/>
    <col min="8973" max="8973" width="10.77734375" style="227" customWidth="1"/>
    <col min="8974" max="9217" width="8.77734375" style="227"/>
    <col min="9218" max="9218" width="35.21875" style="227" customWidth="1"/>
    <col min="9219" max="9219" width="15.6640625" style="227" customWidth="1"/>
    <col min="9220" max="9220" width="14.77734375" style="227" bestFit="1" customWidth="1"/>
    <col min="9221" max="9221" width="1.6640625" style="227" customWidth="1"/>
    <col min="9222" max="9222" width="15.88671875" style="227" customWidth="1"/>
    <col min="9223" max="9223" width="1.44140625" style="227" customWidth="1"/>
    <col min="9224" max="9224" width="8.77734375" style="227"/>
    <col min="9225" max="9225" width="35.33203125" style="227" customWidth="1"/>
    <col min="9226" max="9226" width="16.109375" style="227" customWidth="1"/>
    <col min="9227" max="9227" width="9.109375" style="227" bestFit="1" customWidth="1"/>
    <col min="9228" max="9228" width="10.109375" style="227" bestFit="1" customWidth="1"/>
    <col min="9229" max="9229" width="10.77734375" style="227" customWidth="1"/>
    <col min="9230" max="9473" width="8.77734375" style="227"/>
    <col min="9474" max="9474" width="35.21875" style="227" customWidth="1"/>
    <col min="9475" max="9475" width="15.6640625" style="227" customWidth="1"/>
    <col min="9476" max="9476" width="14.77734375" style="227" bestFit="1" customWidth="1"/>
    <col min="9477" max="9477" width="1.6640625" style="227" customWidth="1"/>
    <col min="9478" max="9478" width="15.88671875" style="227" customWidth="1"/>
    <col min="9479" max="9479" width="1.44140625" style="227" customWidth="1"/>
    <col min="9480" max="9480" width="8.77734375" style="227"/>
    <col min="9481" max="9481" width="35.33203125" style="227" customWidth="1"/>
    <col min="9482" max="9482" width="16.109375" style="227" customWidth="1"/>
    <col min="9483" max="9483" width="9.109375" style="227" bestFit="1" customWidth="1"/>
    <col min="9484" max="9484" width="10.109375" style="227" bestFit="1" customWidth="1"/>
    <col min="9485" max="9485" width="10.77734375" style="227" customWidth="1"/>
    <col min="9486" max="9729" width="8.77734375" style="227"/>
    <col min="9730" max="9730" width="35.21875" style="227" customWidth="1"/>
    <col min="9731" max="9731" width="15.6640625" style="227" customWidth="1"/>
    <col min="9732" max="9732" width="14.77734375" style="227" bestFit="1" customWidth="1"/>
    <col min="9733" max="9733" width="1.6640625" style="227" customWidth="1"/>
    <col min="9734" max="9734" width="15.88671875" style="227" customWidth="1"/>
    <col min="9735" max="9735" width="1.44140625" style="227" customWidth="1"/>
    <col min="9736" max="9736" width="8.77734375" style="227"/>
    <col min="9737" max="9737" width="35.33203125" style="227" customWidth="1"/>
    <col min="9738" max="9738" width="16.109375" style="227" customWidth="1"/>
    <col min="9739" max="9739" width="9.109375" style="227" bestFit="1" customWidth="1"/>
    <col min="9740" max="9740" width="10.109375" style="227" bestFit="1" customWidth="1"/>
    <col min="9741" max="9741" width="10.77734375" style="227" customWidth="1"/>
    <col min="9742" max="9985" width="8.77734375" style="227"/>
    <col min="9986" max="9986" width="35.21875" style="227" customWidth="1"/>
    <col min="9987" max="9987" width="15.6640625" style="227" customWidth="1"/>
    <col min="9988" max="9988" width="14.77734375" style="227" bestFit="1" customWidth="1"/>
    <col min="9989" max="9989" width="1.6640625" style="227" customWidth="1"/>
    <col min="9990" max="9990" width="15.88671875" style="227" customWidth="1"/>
    <col min="9991" max="9991" width="1.44140625" style="227" customWidth="1"/>
    <col min="9992" max="9992" width="8.77734375" style="227"/>
    <col min="9993" max="9993" width="35.33203125" style="227" customWidth="1"/>
    <col min="9994" max="9994" width="16.109375" style="227" customWidth="1"/>
    <col min="9995" max="9995" width="9.109375" style="227" bestFit="1" customWidth="1"/>
    <col min="9996" max="9996" width="10.109375" style="227" bestFit="1" customWidth="1"/>
    <col min="9997" max="9997" width="10.77734375" style="227" customWidth="1"/>
    <col min="9998" max="10241" width="8.77734375" style="227"/>
    <col min="10242" max="10242" width="35.21875" style="227" customWidth="1"/>
    <col min="10243" max="10243" width="15.6640625" style="227" customWidth="1"/>
    <col min="10244" max="10244" width="14.77734375" style="227" bestFit="1" customWidth="1"/>
    <col min="10245" max="10245" width="1.6640625" style="227" customWidth="1"/>
    <col min="10246" max="10246" width="15.88671875" style="227" customWidth="1"/>
    <col min="10247" max="10247" width="1.44140625" style="227" customWidth="1"/>
    <col min="10248" max="10248" width="8.77734375" style="227"/>
    <col min="10249" max="10249" width="35.33203125" style="227" customWidth="1"/>
    <col min="10250" max="10250" width="16.109375" style="227" customWidth="1"/>
    <col min="10251" max="10251" width="9.109375" style="227" bestFit="1" customWidth="1"/>
    <col min="10252" max="10252" width="10.109375" style="227" bestFit="1" customWidth="1"/>
    <col min="10253" max="10253" width="10.77734375" style="227" customWidth="1"/>
    <col min="10254" max="10497" width="8.77734375" style="227"/>
    <col min="10498" max="10498" width="35.21875" style="227" customWidth="1"/>
    <col min="10499" max="10499" width="15.6640625" style="227" customWidth="1"/>
    <col min="10500" max="10500" width="14.77734375" style="227" bestFit="1" customWidth="1"/>
    <col min="10501" max="10501" width="1.6640625" style="227" customWidth="1"/>
    <col min="10502" max="10502" width="15.88671875" style="227" customWidth="1"/>
    <col min="10503" max="10503" width="1.44140625" style="227" customWidth="1"/>
    <col min="10504" max="10504" width="8.77734375" style="227"/>
    <col min="10505" max="10505" width="35.33203125" style="227" customWidth="1"/>
    <col min="10506" max="10506" width="16.109375" style="227" customWidth="1"/>
    <col min="10507" max="10507" width="9.109375" style="227" bestFit="1" customWidth="1"/>
    <col min="10508" max="10508" width="10.109375" style="227" bestFit="1" customWidth="1"/>
    <col min="10509" max="10509" width="10.77734375" style="227" customWidth="1"/>
    <col min="10510" max="10753" width="8.77734375" style="227"/>
    <col min="10754" max="10754" width="35.21875" style="227" customWidth="1"/>
    <col min="10755" max="10755" width="15.6640625" style="227" customWidth="1"/>
    <col min="10756" max="10756" width="14.77734375" style="227" bestFit="1" customWidth="1"/>
    <col min="10757" max="10757" width="1.6640625" style="227" customWidth="1"/>
    <col min="10758" max="10758" width="15.88671875" style="227" customWidth="1"/>
    <col min="10759" max="10759" width="1.44140625" style="227" customWidth="1"/>
    <col min="10760" max="10760" width="8.77734375" style="227"/>
    <col min="10761" max="10761" width="35.33203125" style="227" customWidth="1"/>
    <col min="10762" max="10762" width="16.109375" style="227" customWidth="1"/>
    <col min="10763" max="10763" width="9.109375" style="227" bestFit="1" customWidth="1"/>
    <col min="10764" max="10764" width="10.109375" style="227" bestFit="1" customWidth="1"/>
    <col min="10765" max="10765" width="10.77734375" style="227" customWidth="1"/>
    <col min="10766" max="11009" width="8.77734375" style="227"/>
    <col min="11010" max="11010" width="35.21875" style="227" customWidth="1"/>
    <col min="11011" max="11011" width="15.6640625" style="227" customWidth="1"/>
    <col min="11012" max="11012" width="14.77734375" style="227" bestFit="1" customWidth="1"/>
    <col min="11013" max="11013" width="1.6640625" style="227" customWidth="1"/>
    <col min="11014" max="11014" width="15.88671875" style="227" customWidth="1"/>
    <col min="11015" max="11015" width="1.44140625" style="227" customWidth="1"/>
    <col min="11016" max="11016" width="8.77734375" style="227"/>
    <col min="11017" max="11017" width="35.33203125" style="227" customWidth="1"/>
    <col min="11018" max="11018" width="16.109375" style="227" customWidth="1"/>
    <col min="11019" max="11019" width="9.109375" style="227" bestFit="1" customWidth="1"/>
    <col min="11020" max="11020" width="10.109375" style="227" bestFit="1" customWidth="1"/>
    <col min="11021" max="11021" width="10.77734375" style="227" customWidth="1"/>
    <col min="11022" max="11265" width="8.77734375" style="227"/>
    <col min="11266" max="11266" width="35.21875" style="227" customWidth="1"/>
    <col min="11267" max="11267" width="15.6640625" style="227" customWidth="1"/>
    <col min="11268" max="11268" width="14.77734375" style="227" bestFit="1" customWidth="1"/>
    <col min="11269" max="11269" width="1.6640625" style="227" customWidth="1"/>
    <col min="11270" max="11270" width="15.88671875" style="227" customWidth="1"/>
    <col min="11271" max="11271" width="1.44140625" style="227" customWidth="1"/>
    <col min="11272" max="11272" width="8.77734375" style="227"/>
    <col min="11273" max="11273" width="35.33203125" style="227" customWidth="1"/>
    <col min="11274" max="11274" width="16.109375" style="227" customWidth="1"/>
    <col min="11275" max="11275" width="9.109375" style="227" bestFit="1" customWidth="1"/>
    <col min="11276" max="11276" width="10.109375" style="227" bestFit="1" customWidth="1"/>
    <col min="11277" max="11277" width="10.77734375" style="227" customWidth="1"/>
    <col min="11278" max="11521" width="8.77734375" style="227"/>
    <col min="11522" max="11522" width="35.21875" style="227" customWidth="1"/>
    <col min="11523" max="11523" width="15.6640625" style="227" customWidth="1"/>
    <col min="11524" max="11524" width="14.77734375" style="227" bestFit="1" customWidth="1"/>
    <col min="11525" max="11525" width="1.6640625" style="227" customWidth="1"/>
    <col min="11526" max="11526" width="15.88671875" style="227" customWidth="1"/>
    <col min="11527" max="11527" width="1.44140625" style="227" customWidth="1"/>
    <col min="11528" max="11528" width="8.77734375" style="227"/>
    <col min="11529" max="11529" width="35.33203125" style="227" customWidth="1"/>
    <col min="11530" max="11530" width="16.109375" style="227" customWidth="1"/>
    <col min="11531" max="11531" width="9.109375" style="227" bestFit="1" customWidth="1"/>
    <col min="11532" max="11532" width="10.109375" style="227" bestFit="1" customWidth="1"/>
    <col min="11533" max="11533" width="10.77734375" style="227" customWidth="1"/>
    <col min="11534" max="11777" width="8.77734375" style="227"/>
    <col min="11778" max="11778" width="35.21875" style="227" customWidth="1"/>
    <col min="11779" max="11779" width="15.6640625" style="227" customWidth="1"/>
    <col min="11780" max="11780" width="14.77734375" style="227" bestFit="1" customWidth="1"/>
    <col min="11781" max="11781" width="1.6640625" style="227" customWidth="1"/>
    <col min="11782" max="11782" width="15.88671875" style="227" customWidth="1"/>
    <col min="11783" max="11783" width="1.44140625" style="227" customWidth="1"/>
    <col min="11784" max="11784" width="8.77734375" style="227"/>
    <col min="11785" max="11785" width="35.33203125" style="227" customWidth="1"/>
    <col min="11786" max="11786" width="16.109375" style="227" customWidth="1"/>
    <col min="11787" max="11787" width="9.109375" style="227" bestFit="1" customWidth="1"/>
    <col min="11788" max="11788" width="10.109375" style="227" bestFit="1" customWidth="1"/>
    <col min="11789" max="11789" width="10.77734375" style="227" customWidth="1"/>
    <col min="11790" max="12033" width="8.77734375" style="227"/>
    <col min="12034" max="12034" width="35.21875" style="227" customWidth="1"/>
    <col min="12035" max="12035" width="15.6640625" style="227" customWidth="1"/>
    <col min="12036" max="12036" width="14.77734375" style="227" bestFit="1" customWidth="1"/>
    <col min="12037" max="12037" width="1.6640625" style="227" customWidth="1"/>
    <col min="12038" max="12038" width="15.88671875" style="227" customWidth="1"/>
    <col min="12039" max="12039" width="1.44140625" style="227" customWidth="1"/>
    <col min="12040" max="12040" width="8.77734375" style="227"/>
    <col min="12041" max="12041" width="35.33203125" style="227" customWidth="1"/>
    <col min="12042" max="12042" width="16.109375" style="227" customWidth="1"/>
    <col min="12043" max="12043" width="9.109375" style="227" bestFit="1" customWidth="1"/>
    <col min="12044" max="12044" width="10.109375" style="227" bestFit="1" customWidth="1"/>
    <col min="12045" max="12045" width="10.77734375" style="227" customWidth="1"/>
    <col min="12046" max="12289" width="8.77734375" style="227"/>
    <col min="12290" max="12290" width="35.21875" style="227" customWidth="1"/>
    <col min="12291" max="12291" width="15.6640625" style="227" customWidth="1"/>
    <col min="12292" max="12292" width="14.77734375" style="227" bestFit="1" customWidth="1"/>
    <col min="12293" max="12293" width="1.6640625" style="227" customWidth="1"/>
    <col min="12294" max="12294" width="15.88671875" style="227" customWidth="1"/>
    <col min="12295" max="12295" width="1.44140625" style="227" customWidth="1"/>
    <col min="12296" max="12296" width="8.77734375" style="227"/>
    <col min="12297" max="12297" width="35.33203125" style="227" customWidth="1"/>
    <col min="12298" max="12298" width="16.109375" style="227" customWidth="1"/>
    <col min="12299" max="12299" width="9.109375" style="227" bestFit="1" customWidth="1"/>
    <col min="12300" max="12300" width="10.109375" style="227" bestFit="1" customWidth="1"/>
    <col min="12301" max="12301" width="10.77734375" style="227" customWidth="1"/>
    <col min="12302" max="12545" width="8.77734375" style="227"/>
    <col min="12546" max="12546" width="35.21875" style="227" customWidth="1"/>
    <col min="12547" max="12547" width="15.6640625" style="227" customWidth="1"/>
    <col min="12548" max="12548" width="14.77734375" style="227" bestFit="1" customWidth="1"/>
    <col min="12549" max="12549" width="1.6640625" style="227" customWidth="1"/>
    <col min="12550" max="12550" width="15.88671875" style="227" customWidth="1"/>
    <col min="12551" max="12551" width="1.44140625" style="227" customWidth="1"/>
    <col min="12552" max="12552" width="8.77734375" style="227"/>
    <col min="12553" max="12553" width="35.33203125" style="227" customWidth="1"/>
    <col min="12554" max="12554" width="16.109375" style="227" customWidth="1"/>
    <col min="12555" max="12555" width="9.109375" style="227" bestFit="1" customWidth="1"/>
    <col min="12556" max="12556" width="10.109375" style="227" bestFit="1" customWidth="1"/>
    <col min="12557" max="12557" width="10.77734375" style="227" customWidth="1"/>
    <col min="12558" max="12801" width="8.77734375" style="227"/>
    <col min="12802" max="12802" width="35.21875" style="227" customWidth="1"/>
    <col min="12803" max="12803" width="15.6640625" style="227" customWidth="1"/>
    <col min="12804" max="12804" width="14.77734375" style="227" bestFit="1" customWidth="1"/>
    <col min="12805" max="12805" width="1.6640625" style="227" customWidth="1"/>
    <col min="12806" max="12806" width="15.88671875" style="227" customWidth="1"/>
    <col min="12807" max="12807" width="1.44140625" style="227" customWidth="1"/>
    <col min="12808" max="12808" width="8.77734375" style="227"/>
    <col min="12809" max="12809" width="35.33203125" style="227" customWidth="1"/>
    <col min="12810" max="12810" width="16.109375" style="227" customWidth="1"/>
    <col min="12811" max="12811" width="9.109375" style="227" bestFit="1" customWidth="1"/>
    <col min="12812" max="12812" width="10.109375" style="227" bestFit="1" customWidth="1"/>
    <col min="12813" max="12813" width="10.77734375" style="227" customWidth="1"/>
    <col min="12814" max="13057" width="8.77734375" style="227"/>
    <col min="13058" max="13058" width="35.21875" style="227" customWidth="1"/>
    <col min="13059" max="13059" width="15.6640625" style="227" customWidth="1"/>
    <col min="13060" max="13060" width="14.77734375" style="227" bestFit="1" customWidth="1"/>
    <col min="13061" max="13061" width="1.6640625" style="227" customWidth="1"/>
    <col min="13062" max="13062" width="15.88671875" style="227" customWidth="1"/>
    <col min="13063" max="13063" width="1.44140625" style="227" customWidth="1"/>
    <col min="13064" max="13064" width="8.77734375" style="227"/>
    <col min="13065" max="13065" width="35.33203125" style="227" customWidth="1"/>
    <col min="13066" max="13066" width="16.109375" style="227" customWidth="1"/>
    <col min="13067" max="13067" width="9.109375" style="227" bestFit="1" customWidth="1"/>
    <col min="13068" max="13068" width="10.109375" style="227" bestFit="1" customWidth="1"/>
    <col min="13069" max="13069" width="10.77734375" style="227" customWidth="1"/>
    <col min="13070" max="13313" width="8.77734375" style="227"/>
    <col min="13314" max="13314" width="35.21875" style="227" customWidth="1"/>
    <col min="13315" max="13315" width="15.6640625" style="227" customWidth="1"/>
    <col min="13316" max="13316" width="14.77734375" style="227" bestFit="1" customWidth="1"/>
    <col min="13317" max="13317" width="1.6640625" style="227" customWidth="1"/>
    <col min="13318" max="13318" width="15.88671875" style="227" customWidth="1"/>
    <col min="13319" max="13319" width="1.44140625" style="227" customWidth="1"/>
    <col min="13320" max="13320" width="8.77734375" style="227"/>
    <col min="13321" max="13321" width="35.33203125" style="227" customWidth="1"/>
    <col min="13322" max="13322" width="16.109375" style="227" customWidth="1"/>
    <col min="13323" max="13323" width="9.109375" style="227" bestFit="1" customWidth="1"/>
    <col min="13324" max="13324" width="10.109375" style="227" bestFit="1" customWidth="1"/>
    <col min="13325" max="13325" width="10.77734375" style="227" customWidth="1"/>
    <col min="13326" max="13569" width="8.77734375" style="227"/>
    <col min="13570" max="13570" width="35.21875" style="227" customWidth="1"/>
    <col min="13571" max="13571" width="15.6640625" style="227" customWidth="1"/>
    <col min="13572" max="13572" width="14.77734375" style="227" bestFit="1" customWidth="1"/>
    <col min="13573" max="13573" width="1.6640625" style="227" customWidth="1"/>
    <col min="13574" max="13574" width="15.88671875" style="227" customWidth="1"/>
    <col min="13575" max="13575" width="1.44140625" style="227" customWidth="1"/>
    <col min="13576" max="13576" width="8.77734375" style="227"/>
    <col min="13577" max="13577" width="35.33203125" style="227" customWidth="1"/>
    <col min="13578" max="13578" width="16.109375" style="227" customWidth="1"/>
    <col min="13579" max="13579" width="9.109375" style="227" bestFit="1" customWidth="1"/>
    <col min="13580" max="13580" width="10.109375" style="227" bestFit="1" customWidth="1"/>
    <col min="13581" max="13581" width="10.77734375" style="227" customWidth="1"/>
    <col min="13582" max="13825" width="8.77734375" style="227"/>
    <col min="13826" max="13826" width="35.21875" style="227" customWidth="1"/>
    <col min="13827" max="13827" width="15.6640625" style="227" customWidth="1"/>
    <col min="13828" max="13828" width="14.77734375" style="227" bestFit="1" customWidth="1"/>
    <col min="13829" max="13829" width="1.6640625" style="227" customWidth="1"/>
    <col min="13830" max="13830" width="15.88671875" style="227" customWidth="1"/>
    <col min="13831" max="13831" width="1.44140625" style="227" customWidth="1"/>
    <col min="13832" max="13832" width="8.77734375" style="227"/>
    <col min="13833" max="13833" width="35.33203125" style="227" customWidth="1"/>
    <col min="13834" max="13834" width="16.109375" style="227" customWidth="1"/>
    <col min="13835" max="13835" width="9.109375" style="227" bestFit="1" customWidth="1"/>
    <col min="13836" max="13836" width="10.109375" style="227" bestFit="1" customWidth="1"/>
    <col min="13837" max="13837" width="10.77734375" style="227" customWidth="1"/>
    <col min="13838" max="14081" width="8.77734375" style="227"/>
    <col min="14082" max="14082" width="35.21875" style="227" customWidth="1"/>
    <col min="14083" max="14083" width="15.6640625" style="227" customWidth="1"/>
    <col min="14084" max="14084" width="14.77734375" style="227" bestFit="1" customWidth="1"/>
    <col min="14085" max="14085" width="1.6640625" style="227" customWidth="1"/>
    <col min="14086" max="14086" width="15.88671875" style="227" customWidth="1"/>
    <col min="14087" max="14087" width="1.44140625" style="227" customWidth="1"/>
    <col min="14088" max="14088" width="8.77734375" style="227"/>
    <col min="14089" max="14089" width="35.33203125" style="227" customWidth="1"/>
    <col min="14090" max="14090" width="16.109375" style="227" customWidth="1"/>
    <col min="14091" max="14091" width="9.109375" style="227" bestFit="1" customWidth="1"/>
    <col min="14092" max="14092" width="10.109375" style="227" bestFit="1" customWidth="1"/>
    <col min="14093" max="14093" width="10.77734375" style="227" customWidth="1"/>
    <col min="14094" max="14337" width="8.77734375" style="227"/>
    <col min="14338" max="14338" width="35.21875" style="227" customWidth="1"/>
    <col min="14339" max="14339" width="15.6640625" style="227" customWidth="1"/>
    <col min="14340" max="14340" width="14.77734375" style="227" bestFit="1" customWidth="1"/>
    <col min="14341" max="14341" width="1.6640625" style="227" customWidth="1"/>
    <col min="14342" max="14342" width="15.88671875" style="227" customWidth="1"/>
    <col min="14343" max="14343" width="1.44140625" style="227" customWidth="1"/>
    <col min="14344" max="14344" width="8.77734375" style="227"/>
    <col min="14345" max="14345" width="35.33203125" style="227" customWidth="1"/>
    <col min="14346" max="14346" width="16.109375" style="227" customWidth="1"/>
    <col min="14347" max="14347" width="9.109375" style="227" bestFit="1" customWidth="1"/>
    <col min="14348" max="14348" width="10.109375" style="227" bestFit="1" customWidth="1"/>
    <col min="14349" max="14349" width="10.77734375" style="227" customWidth="1"/>
    <col min="14350" max="14593" width="8.77734375" style="227"/>
    <col min="14594" max="14594" width="35.21875" style="227" customWidth="1"/>
    <col min="14595" max="14595" width="15.6640625" style="227" customWidth="1"/>
    <col min="14596" max="14596" width="14.77734375" style="227" bestFit="1" customWidth="1"/>
    <col min="14597" max="14597" width="1.6640625" style="227" customWidth="1"/>
    <col min="14598" max="14598" width="15.88671875" style="227" customWidth="1"/>
    <col min="14599" max="14599" width="1.44140625" style="227" customWidth="1"/>
    <col min="14600" max="14600" width="8.77734375" style="227"/>
    <col min="14601" max="14601" width="35.33203125" style="227" customWidth="1"/>
    <col min="14602" max="14602" width="16.109375" style="227" customWidth="1"/>
    <col min="14603" max="14603" width="9.109375" style="227" bestFit="1" customWidth="1"/>
    <col min="14604" max="14604" width="10.109375" style="227" bestFit="1" customWidth="1"/>
    <col min="14605" max="14605" width="10.77734375" style="227" customWidth="1"/>
    <col min="14606" max="14849" width="8.77734375" style="227"/>
    <col min="14850" max="14850" width="35.21875" style="227" customWidth="1"/>
    <col min="14851" max="14851" width="15.6640625" style="227" customWidth="1"/>
    <col min="14852" max="14852" width="14.77734375" style="227" bestFit="1" customWidth="1"/>
    <col min="14853" max="14853" width="1.6640625" style="227" customWidth="1"/>
    <col min="14854" max="14854" width="15.88671875" style="227" customWidth="1"/>
    <col min="14855" max="14855" width="1.44140625" style="227" customWidth="1"/>
    <col min="14856" max="14856" width="8.77734375" style="227"/>
    <col min="14857" max="14857" width="35.33203125" style="227" customWidth="1"/>
    <col min="14858" max="14858" width="16.109375" style="227" customWidth="1"/>
    <col min="14859" max="14859" width="9.109375" style="227" bestFit="1" customWidth="1"/>
    <col min="14860" max="14860" width="10.109375" style="227" bestFit="1" customWidth="1"/>
    <col min="14861" max="14861" width="10.77734375" style="227" customWidth="1"/>
    <col min="14862" max="15105" width="8.77734375" style="227"/>
    <col min="15106" max="15106" width="35.21875" style="227" customWidth="1"/>
    <col min="15107" max="15107" width="15.6640625" style="227" customWidth="1"/>
    <col min="15108" max="15108" width="14.77734375" style="227" bestFit="1" customWidth="1"/>
    <col min="15109" max="15109" width="1.6640625" style="227" customWidth="1"/>
    <col min="15110" max="15110" width="15.88671875" style="227" customWidth="1"/>
    <col min="15111" max="15111" width="1.44140625" style="227" customWidth="1"/>
    <col min="15112" max="15112" width="8.77734375" style="227"/>
    <col min="15113" max="15113" width="35.33203125" style="227" customWidth="1"/>
    <col min="15114" max="15114" width="16.109375" style="227" customWidth="1"/>
    <col min="15115" max="15115" width="9.109375" style="227" bestFit="1" customWidth="1"/>
    <col min="15116" max="15116" width="10.109375" style="227" bestFit="1" customWidth="1"/>
    <col min="15117" max="15117" width="10.77734375" style="227" customWidth="1"/>
    <col min="15118" max="15361" width="8.77734375" style="227"/>
    <col min="15362" max="15362" width="35.21875" style="227" customWidth="1"/>
    <col min="15363" max="15363" width="15.6640625" style="227" customWidth="1"/>
    <col min="15364" max="15364" width="14.77734375" style="227" bestFit="1" customWidth="1"/>
    <col min="15365" max="15365" width="1.6640625" style="227" customWidth="1"/>
    <col min="15366" max="15366" width="15.88671875" style="227" customWidth="1"/>
    <col min="15367" max="15367" width="1.44140625" style="227" customWidth="1"/>
    <col min="15368" max="15368" width="8.77734375" style="227"/>
    <col min="15369" max="15369" width="35.33203125" style="227" customWidth="1"/>
    <col min="15370" max="15370" width="16.109375" style="227" customWidth="1"/>
    <col min="15371" max="15371" width="9.109375" style="227" bestFit="1" customWidth="1"/>
    <col min="15372" max="15372" width="10.109375" style="227" bestFit="1" customWidth="1"/>
    <col min="15373" max="15373" width="10.77734375" style="227" customWidth="1"/>
    <col min="15374" max="15617" width="8.77734375" style="227"/>
    <col min="15618" max="15618" width="35.21875" style="227" customWidth="1"/>
    <col min="15619" max="15619" width="15.6640625" style="227" customWidth="1"/>
    <col min="15620" max="15620" width="14.77734375" style="227" bestFit="1" customWidth="1"/>
    <col min="15621" max="15621" width="1.6640625" style="227" customWidth="1"/>
    <col min="15622" max="15622" width="15.88671875" style="227" customWidth="1"/>
    <col min="15623" max="15623" width="1.44140625" style="227" customWidth="1"/>
    <col min="15624" max="15624" width="8.77734375" style="227"/>
    <col min="15625" max="15625" width="35.33203125" style="227" customWidth="1"/>
    <col min="15626" max="15626" width="16.109375" style="227" customWidth="1"/>
    <col min="15627" max="15627" width="9.109375" style="227" bestFit="1" customWidth="1"/>
    <col min="15628" max="15628" width="10.109375" style="227" bestFit="1" customWidth="1"/>
    <col min="15629" max="15629" width="10.77734375" style="227" customWidth="1"/>
    <col min="15630" max="15873" width="8.77734375" style="227"/>
    <col min="15874" max="15874" width="35.21875" style="227" customWidth="1"/>
    <col min="15875" max="15875" width="15.6640625" style="227" customWidth="1"/>
    <col min="15876" max="15876" width="14.77734375" style="227" bestFit="1" customWidth="1"/>
    <col min="15877" max="15877" width="1.6640625" style="227" customWidth="1"/>
    <col min="15878" max="15878" width="15.88671875" style="227" customWidth="1"/>
    <col min="15879" max="15879" width="1.44140625" style="227" customWidth="1"/>
    <col min="15880" max="15880" width="8.77734375" style="227"/>
    <col min="15881" max="15881" width="35.33203125" style="227" customWidth="1"/>
    <col min="15882" max="15882" width="16.109375" style="227" customWidth="1"/>
    <col min="15883" max="15883" width="9.109375" style="227" bestFit="1" customWidth="1"/>
    <col min="15884" max="15884" width="10.109375" style="227" bestFit="1" customWidth="1"/>
    <col min="15885" max="15885" width="10.77734375" style="227" customWidth="1"/>
    <col min="15886" max="16129" width="8.77734375" style="227"/>
    <col min="16130" max="16130" width="35.21875" style="227" customWidth="1"/>
    <col min="16131" max="16131" width="15.6640625" style="227" customWidth="1"/>
    <col min="16132" max="16132" width="14.77734375" style="227" bestFit="1" customWidth="1"/>
    <col min="16133" max="16133" width="1.6640625" style="227" customWidth="1"/>
    <col min="16134" max="16134" width="15.88671875" style="227" customWidth="1"/>
    <col min="16135" max="16135" width="1.44140625" style="227" customWidth="1"/>
    <col min="16136" max="16136" width="8.77734375" style="227"/>
    <col min="16137" max="16137" width="35.33203125" style="227" customWidth="1"/>
    <col min="16138" max="16138" width="16.109375" style="227" customWidth="1"/>
    <col min="16139" max="16139" width="9.109375" style="227" bestFit="1" customWidth="1"/>
    <col min="16140" max="16140" width="10.109375" style="227" bestFit="1" customWidth="1"/>
    <col min="16141" max="16141" width="10.77734375" style="227" customWidth="1"/>
    <col min="16142" max="16384" width="8.77734375" style="227"/>
  </cols>
  <sheetData>
    <row r="1" spans="1:8">
      <c r="A1" s="926" t="s">
        <v>531</v>
      </c>
      <c r="B1" s="926"/>
      <c r="C1" s="926"/>
      <c r="D1" s="926"/>
      <c r="E1" s="926"/>
      <c r="F1" s="926"/>
      <c r="G1" s="926"/>
      <c r="H1" s="926"/>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D19" sqref="D19"/>
    </sheetView>
  </sheetViews>
  <sheetFormatPr defaultColWidth="8.88671875" defaultRowHeight="15.75"/>
  <cols>
    <col min="1" max="1" width="7.33203125" style="351" customWidth="1"/>
    <col min="2" max="2" width="49.6640625" style="351" customWidth="1"/>
    <col min="3" max="3" width="14.77734375" style="351" customWidth="1"/>
    <col min="4" max="4" width="11.6640625" style="351" customWidth="1"/>
    <col min="5" max="5" width="10.88671875" style="830" bestFit="1" customWidth="1"/>
    <col min="6" max="6" width="10.44140625" style="351" customWidth="1"/>
    <col min="7" max="16384" width="8.88671875" style="351"/>
  </cols>
  <sheetData>
    <row r="1" spans="1:9" ht="12.75">
      <c r="A1" s="926" t="s">
        <v>765</v>
      </c>
      <c r="B1" s="926"/>
      <c r="C1" s="926"/>
      <c r="D1" s="926"/>
      <c r="E1" s="926"/>
      <c r="F1" s="926"/>
      <c r="G1" s="926"/>
      <c r="H1" s="410"/>
      <c r="I1" s="410"/>
    </row>
    <row r="2" spans="1:9" ht="12.75">
      <c r="A2" s="942" t="s">
        <v>766</v>
      </c>
      <c r="B2" s="942"/>
      <c r="C2" s="942"/>
      <c r="D2" s="942"/>
      <c r="E2" s="942"/>
      <c r="F2" s="942"/>
      <c r="G2" s="942"/>
      <c r="H2" s="767"/>
      <c r="I2" s="767"/>
    </row>
    <row r="3" spans="1:9" ht="12.75">
      <c r="A3" s="943" t="str">
        <f>+'Attachment H-26'!D5</f>
        <v>Transource West Virginia, LLC</v>
      </c>
      <c r="B3" s="943"/>
      <c r="C3" s="943"/>
      <c r="D3" s="943"/>
      <c r="E3" s="943"/>
      <c r="F3" s="943"/>
      <c r="G3" s="943"/>
      <c r="H3" s="372"/>
      <c r="I3" s="372"/>
    </row>
    <row r="4" spans="1:9" ht="12.75">
      <c r="A4" s="766"/>
      <c r="B4" s="766"/>
      <c r="C4" s="766"/>
      <c r="D4" s="766"/>
      <c r="E4" s="766"/>
      <c r="F4" s="766"/>
      <c r="G4" s="766"/>
      <c r="H4" s="372"/>
      <c r="I4" s="372"/>
    </row>
    <row r="5" spans="1:9">
      <c r="A5" s="811"/>
      <c r="D5" s="812"/>
      <c r="E5" s="813"/>
      <c r="F5" s="811"/>
      <c r="H5" s="814"/>
    </row>
    <row r="6" spans="1:9" ht="12.75">
      <c r="A6" s="764" t="s">
        <v>154</v>
      </c>
      <c r="B6" s="582" t="s">
        <v>779</v>
      </c>
      <c r="C6" s="582"/>
      <c r="D6" s="218" t="s">
        <v>196</v>
      </c>
      <c r="E6" s="218" t="s">
        <v>197</v>
      </c>
      <c r="F6" s="381" t="s">
        <v>777</v>
      </c>
      <c r="G6" s="815"/>
      <c r="H6" s="815"/>
      <c r="I6" s="815"/>
    </row>
    <row r="7" spans="1:9" ht="25.5">
      <c r="A7" s="350">
        <v>1</v>
      </c>
      <c r="B7" s="816" t="s">
        <v>757</v>
      </c>
      <c r="C7" s="401" t="s">
        <v>205</v>
      </c>
      <c r="D7" s="833" t="s">
        <v>18</v>
      </c>
      <c r="E7" s="380" t="s">
        <v>776</v>
      </c>
      <c r="F7" s="380" t="s">
        <v>775</v>
      </c>
    </row>
    <row r="8" spans="1:9" ht="12.75">
      <c r="A8" s="350">
        <f>+A7+1</f>
        <v>2</v>
      </c>
      <c r="B8" s="336" t="s">
        <v>760</v>
      </c>
      <c r="C8" s="336" t="s">
        <v>768</v>
      </c>
      <c r="D8" s="819">
        <v>0</v>
      </c>
      <c r="E8" s="819">
        <v>0</v>
      </c>
      <c r="F8" s="832">
        <f>+D8-E8</f>
        <v>0</v>
      </c>
    </row>
    <row r="9" spans="1:9" ht="12.75">
      <c r="A9" s="350">
        <f>+A8+1</f>
        <v>3</v>
      </c>
      <c r="B9" s="336" t="s">
        <v>761</v>
      </c>
      <c r="C9" s="336" t="s">
        <v>768</v>
      </c>
      <c r="D9" s="819">
        <v>0</v>
      </c>
      <c r="E9" s="819">
        <v>0</v>
      </c>
      <c r="F9" s="832">
        <f t="shared" ref="F9:F14" si="0">+D9-E9</f>
        <v>0</v>
      </c>
    </row>
    <row r="10" spans="1:9" ht="12.75">
      <c r="A10" s="350">
        <f t="shared" ref="A10:A14" si="1">+A9+1</f>
        <v>4</v>
      </c>
      <c r="B10" s="336" t="s">
        <v>762</v>
      </c>
      <c r="C10" s="336" t="s">
        <v>768</v>
      </c>
      <c r="D10" s="819">
        <v>0</v>
      </c>
      <c r="E10" s="819">
        <v>0</v>
      </c>
      <c r="F10" s="832">
        <f t="shared" si="0"/>
        <v>0</v>
      </c>
    </row>
    <row r="11" spans="1:9" ht="12.75">
      <c r="A11" s="350">
        <f t="shared" si="1"/>
        <v>5</v>
      </c>
      <c r="B11" s="336" t="s">
        <v>763</v>
      </c>
      <c r="C11" s="336" t="s">
        <v>768</v>
      </c>
      <c r="D11" s="819">
        <v>0</v>
      </c>
      <c r="E11" s="819">
        <v>0</v>
      </c>
      <c r="F11" s="832">
        <f t="shared" si="0"/>
        <v>0</v>
      </c>
    </row>
    <row r="12" spans="1:9" ht="12.75">
      <c r="A12" s="350">
        <f t="shared" si="1"/>
        <v>6</v>
      </c>
      <c r="B12" s="336" t="s">
        <v>764</v>
      </c>
      <c r="C12" s="336" t="s">
        <v>768</v>
      </c>
      <c r="D12" s="820">
        <v>0</v>
      </c>
      <c r="E12" s="820">
        <v>0</v>
      </c>
      <c r="F12" s="832">
        <f t="shared" si="0"/>
        <v>0</v>
      </c>
    </row>
    <row r="13" spans="1:9" ht="12.75">
      <c r="A13" s="350">
        <f t="shared" si="1"/>
        <v>7</v>
      </c>
      <c r="B13" s="336" t="s">
        <v>764</v>
      </c>
      <c r="C13" s="336" t="s">
        <v>768</v>
      </c>
      <c r="D13" s="820">
        <v>0</v>
      </c>
      <c r="E13" s="820">
        <v>0</v>
      </c>
      <c r="F13" s="832">
        <f t="shared" si="0"/>
        <v>0</v>
      </c>
    </row>
    <row r="14" spans="1:9" ht="12.75">
      <c r="A14" s="350">
        <f t="shared" si="1"/>
        <v>8</v>
      </c>
      <c r="B14" s="822" t="s">
        <v>774</v>
      </c>
      <c r="C14" s="336" t="s">
        <v>772</v>
      </c>
      <c r="D14" s="821">
        <f>+SUM(D8:D13)</f>
        <v>0</v>
      </c>
      <c r="E14" s="821">
        <f>+SUM(E8:E13)</f>
        <v>0</v>
      </c>
      <c r="F14" s="834">
        <f t="shared" si="0"/>
        <v>0</v>
      </c>
    </row>
    <row r="15" spans="1:9" ht="12.75">
      <c r="A15" s="350"/>
      <c r="B15" s="822"/>
      <c r="C15" s="822"/>
      <c r="D15" s="824"/>
      <c r="E15" s="824"/>
    </row>
    <row r="16" spans="1:9" ht="12.75">
      <c r="A16" s="305">
        <f>+A14+1</f>
        <v>9</v>
      </c>
      <c r="B16" s="822" t="s">
        <v>784</v>
      </c>
      <c r="C16" s="817"/>
      <c r="D16" s="818"/>
      <c r="E16" s="351"/>
    </row>
    <row r="17" spans="1:9" ht="12.75">
      <c r="A17" s="350">
        <f>+A16+1</f>
        <v>10</v>
      </c>
      <c r="B17" s="336" t="s">
        <v>770</v>
      </c>
      <c r="C17" s="336" t="s">
        <v>768</v>
      </c>
      <c r="D17" s="819">
        <v>0</v>
      </c>
      <c r="E17" s="819">
        <v>0</v>
      </c>
      <c r="F17" s="832">
        <f t="shared" ref="F17:F25" si="2">+D17-E17</f>
        <v>0</v>
      </c>
    </row>
    <row r="18" spans="1:9" ht="12.75">
      <c r="A18" s="350">
        <f>+A17+1</f>
        <v>11</v>
      </c>
      <c r="B18" s="336" t="s">
        <v>771</v>
      </c>
      <c r="C18" s="336" t="s">
        <v>768</v>
      </c>
      <c r="D18" s="819">
        <v>0</v>
      </c>
      <c r="E18" s="819">
        <v>0</v>
      </c>
      <c r="F18" s="832">
        <f t="shared" si="2"/>
        <v>0</v>
      </c>
    </row>
    <row r="19" spans="1:9" ht="12.75">
      <c r="A19" s="350">
        <f t="shared" ref="A19:A21" si="3">+A18+1</f>
        <v>12</v>
      </c>
      <c r="B19" s="336" t="s">
        <v>769</v>
      </c>
      <c r="C19" s="336" t="s">
        <v>768</v>
      </c>
      <c r="D19" s="819">
        <v>306409.88</v>
      </c>
      <c r="E19" s="819">
        <v>0</v>
      </c>
      <c r="F19" s="832">
        <f t="shared" si="2"/>
        <v>306409.88</v>
      </c>
    </row>
    <row r="20" spans="1:9" ht="12.75">
      <c r="A20" s="350">
        <f t="shared" si="3"/>
        <v>13</v>
      </c>
      <c r="B20" s="336" t="s">
        <v>778</v>
      </c>
      <c r="C20" s="336" t="s">
        <v>768</v>
      </c>
      <c r="D20" s="819">
        <v>2692398.96</v>
      </c>
      <c r="E20" s="819">
        <v>0</v>
      </c>
      <c r="F20" s="832">
        <f t="shared" si="2"/>
        <v>2692398.96</v>
      </c>
    </row>
    <row r="21" spans="1:9" ht="12.75">
      <c r="A21" s="350">
        <f t="shared" si="3"/>
        <v>14</v>
      </c>
      <c r="B21" s="336" t="s">
        <v>435</v>
      </c>
      <c r="C21" s="336" t="s">
        <v>768</v>
      </c>
      <c r="D21" s="820">
        <v>0</v>
      </c>
      <c r="E21" s="820">
        <v>0</v>
      </c>
      <c r="F21" s="832">
        <f t="shared" si="2"/>
        <v>0</v>
      </c>
    </row>
    <row r="22" spans="1:9" ht="12.75">
      <c r="A22" s="350">
        <f>+A21+1</f>
        <v>15</v>
      </c>
      <c r="B22" s="336" t="s">
        <v>782</v>
      </c>
      <c r="C22" s="336" t="s">
        <v>773</v>
      </c>
      <c r="D22" s="821">
        <f>+SUM(D17:D21)</f>
        <v>2998808.84</v>
      </c>
      <c r="E22" s="821">
        <f>+SUM(E17:E21)</f>
        <v>0</v>
      </c>
      <c r="F22" s="834">
        <f t="shared" si="2"/>
        <v>2998808.84</v>
      </c>
    </row>
    <row r="23" spans="1:9" ht="12.75">
      <c r="A23" s="350">
        <f>+A22+1</f>
        <v>16</v>
      </c>
      <c r="B23" s="336" t="s">
        <v>780</v>
      </c>
      <c r="C23" s="822"/>
      <c r="D23" s="819">
        <v>2692398.96</v>
      </c>
      <c r="E23" s="823"/>
      <c r="F23" s="832">
        <f t="shared" si="2"/>
        <v>2692398.96</v>
      </c>
    </row>
    <row r="24" spans="1:9" ht="12.75">
      <c r="A24" s="350">
        <f t="shared" ref="A24:A25" si="4">+A23+1</f>
        <v>17</v>
      </c>
      <c r="B24" s="336" t="s">
        <v>788</v>
      </c>
      <c r="C24" s="822"/>
      <c r="D24" s="823">
        <v>306409.88</v>
      </c>
      <c r="E24" s="823"/>
      <c r="F24" s="832">
        <f t="shared" si="2"/>
        <v>306409.88</v>
      </c>
    </row>
    <row r="25" spans="1:9" ht="12.75">
      <c r="A25" s="350">
        <f t="shared" si="4"/>
        <v>18</v>
      </c>
      <c r="B25" s="822" t="s">
        <v>785</v>
      </c>
      <c r="C25" s="553" t="str">
        <f>"(Line "&amp;A22&amp;" - line "&amp;A23&amp;")"</f>
        <v>(Line 15 - line 16)</v>
      </c>
      <c r="D25" s="821">
        <f>+D22-D23-D24</f>
        <v>0</v>
      </c>
      <c r="E25" s="821">
        <f>+E22-E23-E24</f>
        <v>0</v>
      </c>
      <c r="F25" s="834">
        <f t="shared" si="2"/>
        <v>0</v>
      </c>
    </row>
    <row r="26" spans="1:9" ht="12.75">
      <c r="A26" s="350"/>
      <c r="B26" s="822"/>
      <c r="C26" s="822"/>
      <c r="D26" s="824"/>
      <c r="E26" s="824"/>
    </row>
    <row r="27" spans="1:9" ht="12.75">
      <c r="A27" s="765">
        <f>+A25+1</f>
        <v>19</v>
      </c>
      <c r="B27" s="835" t="s">
        <v>758</v>
      </c>
      <c r="C27" s="553" t="str">
        <f>"(Line "&amp;A14&amp;" + line "&amp;A25&amp;")"</f>
        <v>(Line 8 + line 18)</v>
      </c>
      <c r="D27" s="826">
        <f>+D14+D25</f>
        <v>0</v>
      </c>
      <c r="E27" s="826">
        <f>+E14+E25</f>
        <v>0</v>
      </c>
      <c r="F27" s="826">
        <f>+F14+F25</f>
        <v>0</v>
      </c>
    </row>
    <row r="28" spans="1:9" ht="14.25" customHeight="1">
      <c r="A28" s="336"/>
      <c r="B28" s="336"/>
      <c r="C28" s="336"/>
      <c r="E28" s="831"/>
      <c r="F28" s="350"/>
    </row>
    <row r="29" spans="1:9" s="827" customFormat="1" ht="12.75">
      <c r="A29" s="336"/>
      <c r="B29" s="336"/>
      <c r="C29" s="336"/>
      <c r="D29" s="336"/>
      <c r="E29" s="826"/>
      <c r="F29" s="824"/>
    </row>
    <row r="30" spans="1:9" ht="41.25" customHeight="1">
      <c r="A30" s="828" t="s">
        <v>759</v>
      </c>
      <c r="B30" s="935" t="s">
        <v>786</v>
      </c>
      <c r="C30" s="935"/>
      <c r="D30" s="935"/>
      <c r="E30" s="935"/>
      <c r="F30" s="935"/>
      <c r="G30" s="935"/>
    </row>
    <row r="31" spans="1:9" ht="12.75">
      <c r="A31" s="582"/>
      <c r="B31" s="582"/>
      <c r="C31" s="582"/>
      <c r="D31" s="582"/>
      <c r="E31" s="582"/>
      <c r="F31" s="582"/>
      <c r="G31" s="582"/>
      <c r="H31" s="582"/>
      <c r="I31" s="582"/>
    </row>
    <row r="35" spans="1:5" ht="12.75">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90" zoomScaleNormal="90" zoomScaleSheetLayoutView="90" workbookViewId="0">
      <selection activeCell="T56" sqref="T56"/>
    </sheetView>
  </sheetViews>
  <sheetFormatPr defaultColWidth="8.88671875" defaultRowHeight="12.75"/>
  <cols>
    <col min="1" max="1" width="6" style="21" customWidth="1"/>
    <col min="2" max="2" width="1.44140625" style="21" customWidth="1"/>
    <col min="3" max="3" width="13.44140625" style="21" customWidth="1"/>
    <col min="4" max="4" width="13.5546875" style="551" customWidth="1"/>
    <col min="5" max="5" width="12.5546875" style="21" bestFit="1" customWidth="1"/>
    <col min="6" max="6" width="17.21875" style="21" customWidth="1"/>
    <col min="7" max="7" width="10.33203125" style="21" customWidth="1"/>
    <col min="8" max="8" width="11.44140625" style="21" customWidth="1"/>
    <col min="9" max="9" width="11.21875" style="21" bestFit="1" customWidth="1"/>
    <col min="10" max="10" width="9.109375" style="21" customWidth="1"/>
    <col min="11" max="11" width="10.33203125" style="21" customWidth="1"/>
    <col min="12" max="12" width="5.77734375" style="414"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77734375" style="21" customWidth="1"/>
    <col min="20" max="20" width="9.33203125" style="21" customWidth="1"/>
    <col min="21" max="21" width="10.77734375" style="21" customWidth="1"/>
    <col min="22" max="16384" width="8.8867187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25033741.913846154</v>
      </c>
      <c r="R15" s="18"/>
      <c r="S15" s="18"/>
      <c r="T15" s="22"/>
      <c r="U15" s="18"/>
      <c r="V15" s="18"/>
      <c r="W15" s="58"/>
    </row>
    <row r="16" spans="1:23">
      <c r="A16" s="19">
        <v>2</v>
      </c>
      <c r="C16" s="58" t="s">
        <v>539</v>
      </c>
      <c r="D16" s="560"/>
      <c r="E16" s="58"/>
      <c r="F16" s="65" t="s">
        <v>842</v>
      </c>
      <c r="G16" s="19"/>
      <c r="I16" s="45">
        <f>+'Attachment H-26'!I79+'Attachment H-26'!I91+'Attachment H-26'!I93</f>
        <v>25033741.913846154</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525200.94196027122</v>
      </c>
      <c r="R19" s="18"/>
      <c r="S19" s="18"/>
      <c r="T19" s="18"/>
      <c r="U19" s="18"/>
      <c r="V19" s="18"/>
      <c r="W19" s="58"/>
    </row>
    <row r="20" spans="1:23">
      <c r="A20" s="19">
        <v>4</v>
      </c>
      <c r="C20" s="58" t="s">
        <v>129</v>
      </c>
      <c r="D20" s="560"/>
      <c r="E20" s="58"/>
      <c r="F20" s="65" t="s">
        <v>130</v>
      </c>
      <c r="G20" s="19"/>
      <c r="I20" s="506">
        <f>IF(I19=0,0,+I19/I15)</f>
        <v>2.097972183973754E-2</v>
      </c>
      <c r="J20" s="392"/>
      <c r="K20" s="66">
        <f>I20</f>
        <v>2.097972183973754E-2</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4012.8</v>
      </c>
      <c r="K23" s="506"/>
      <c r="L23" s="393"/>
      <c r="R23" s="18"/>
      <c r="S23" s="67"/>
      <c r="T23" s="68"/>
      <c r="U23" s="69"/>
      <c r="V23" s="18"/>
      <c r="W23" s="58"/>
    </row>
    <row r="24" spans="1:23">
      <c r="A24" s="57" t="s">
        <v>132</v>
      </c>
      <c r="C24" s="58" t="s">
        <v>349</v>
      </c>
      <c r="D24" s="560"/>
      <c r="E24" s="58"/>
      <c r="F24" s="65" t="s">
        <v>133</v>
      </c>
      <c r="G24" s="19"/>
      <c r="I24" s="506">
        <f>IF(I23=0,0,I23/I15)</f>
        <v>1.6029565271584597E-4</v>
      </c>
      <c r="J24" s="46"/>
      <c r="K24" s="66">
        <f>I24</f>
        <v>1.6029565271584597E-4</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434.44</v>
      </c>
      <c r="J27" s="46"/>
      <c r="K27" s="506"/>
      <c r="L27" s="393"/>
      <c r="R27" s="18"/>
      <c r="S27" s="62"/>
      <c r="T27" s="18"/>
      <c r="U27" s="19"/>
      <c r="V27" s="56"/>
      <c r="W27" s="58"/>
    </row>
    <row r="28" spans="1:23">
      <c r="A28" s="57" t="s">
        <v>137</v>
      </c>
      <c r="C28" s="58" t="s">
        <v>138</v>
      </c>
      <c r="D28" s="560"/>
      <c r="E28" s="58"/>
      <c r="F28" s="65" t="s">
        <v>139</v>
      </c>
      <c r="G28" s="19"/>
      <c r="I28" s="506">
        <f>IF(I27=0,0,I27/I15)</f>
        <v>1.7354177473552662E-5</v>
      </c>
      <c r="J28" s="46"/>
      <c r="K28" s="66">
        <f>I28</f>
        <v>1.7354177473552662E-5</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0</v>
      </c>
      <c r="K30" s="506"/>
      <c r="L30" s="393"/>
      <c r="O30" s="18"/>
      <c r="P30" s="18"/>
      <c r="Q30" s="18"/>
      <c r="R30" s="18"/>
      <c r="V30" s="18"/>
      <c r="W30" s="58"/>
    </row>
    <row r="31" spans="1:23">
      <c r="A31" s="57" t="s">
        <v>143</v>
      </c>
      <c r="C31" s="58" t="s">
        <v>409</v>
      </c>
      <c r="D31" s="560"/>
      <c r="E31" s="58"/>
      <c r="F31" s="65" t="s">
        <v>176</v>
      </c>
      <c r="G31" s="19"/>
      <c r="I31" s="505">
        <f>IF(I30=0,0,I30/I15)</f>
        <v>0</v>
      </c>
      <c r="K31" s="506">
        <f>+I31</f>
        <v>0</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2.1157371669926938E-2</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531581.30673212721</v>
      </c>
      <c r="K36" s="506"/>
      <c r="L36" s="393"/>
      <c r="O36" s="18"/>
      <c r="P36" s="18"/>
      <c r="Q36" s="18"/>
      <c r="R36" s="77"/>
      <c r="S36" s="76"/>
      <c r="V36" s="56"/>
      <c r="W36" s="18"/>
    </row>
    <row r="37" spans="1:23">
      <c r="A37" s="57" t="s">
        <v>148</v>
      </c>
      <c r="B37" s="76"/>
      <c r="C37" s="18" t="s">
        <v>145</v>
      </c>
      <c r="D37" s="550"/>
      <c r="E37" s="18"/>
      <c r="F37" s="65" t="s">
        <v>150</v>
      </c>
      <c r="G37" s="19"/>
      <c r="I37" s="506">
        <f>IF(I16=0,0,I36/I16)</f>
        <v>2.1234592437741392E-2</v>
      </c>
      <c r="K37" s="66">
        <f>I37</f>
        <v>2.1234592437741392E-2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1927116.5536360815</v>
      </c>
      <c r="K40" s="506"/>
      <c r="L40" s="393"/>
      <c r="O40" s="18"/>
      <c r="P40" s="18"/>
      <c r="Q40" s="18"/>
      <c r="R40" s="18"/>
      <c r="T40" s="18"/>
      <c r="U40" s="18"/>
      <c r="V40" s="18"/>
      <c r="W40" s="58"/>
    </row>
    <row r="41" spans="1:23">
      <c r="A41" s="57" t="s">
        <v>174</v>
      </c>
      <c r="B41" s="76"/>
      <c r="C41" s="18" t="s">
        <v>149</v>
      </c>
      <c r="D41" s="550"/>
      <c r="E41" s="18"/>
      <c r="F41" s="65" t="s">
        <v>357</v>
      </c>
      <c r="G41" s="19"/>
      <c r="I41" s="506">
        <f>IF(I16=0,0,I40/I16)</f>
        <v>7.6980763014505391E-2</v>
      </c>
      <c r="K41" s="66">
        <f>I41</f>
        <v>7.6980763014505391E-2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9.8215355452246786E-2</v>
      </c>
      <c r="K43" s="74">
        <f>K37+K41</f>
        <v>9.8215355452246786E-2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1" t="s">
        <v>818</v>
      </c>
      <c r="D52" s="911"/>
      <c r="E52" s="911"/>
      <c r="F52" s="911"/>
      <c r="G52" s="911"/>
      <c r="H52" s="911"/>
      <c r="I52" s="911"/>
      <c r="J52" s="911"/>
      <c r="K52" s="911"/>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25033741.913846154</v>
      </c>
      <c r="G59" s="393">
        <f>$K$33</f>
        <v>2.1157371669926938E-2</v>
      </c>
      <c r="H59" s="268">
        <f>F59*G59</f>
        <v>529648.18196027121</v>
      </c>
      <c r="I59" s="97">
        <f>+I16</f>
        <v>25033741.913846154</v>
      </c>
      <c r="J59" s="393">
        <f>$K$43</f>
        <v>9.8215355452246786E-2</v>
      </c>
      <c r="K59" s="586">
        <f>I59*J59</f>
        <v>2458697.8603682085</v>
      </c>
      <c r="L59" s="521" t="str">
        <f>+A59</f>
        <v>1a</v>
      </c>
      <c r="M59" s="581">
        <f>+'Attachment H-26'!I136</f>
        <v>0</v>
      </c>
      <c r="N59" s="268">
        <f>H59+K59+M59</f>
        <v>2988346.0423284797</v>
      </c>
      <c r="O59" s="283">
        <v>0</v>
      </c>
      <c r="P59" s="268">
        <f>O59/100*'2-Incentive ROE'!$J$38*I59</f>
        <v>0</v>
      </c>
      <c r="Q59" s="268">
        <f>+N59+P59</f>
        <v>2988346.0423284797</v>
      </c>
      <c r="R59" s="581">
        <v>0</v>
      </c>
      <c r="S59" s="586">
        <f>+N59+P59-R59</f>
        <v>2988346.0423284797</v>
      </c>
      <c r="T59" s="581">
        <v>-224277.68245929931</v>
      </c>
      <c r="U59" s="268">
        <f>+S59+T59</f>
        <v>2764068.3598691802</v>
      </c>
    </row>
    <row r="60" spans="1:23">
      <c r="A60" s="521" t="s">
        <v>543</v>
      </c>
      <c r="B60" s="94"/>
      <c r="C60" s="95"/>
      <c r="D60" s="570"/>
      <c r="E60" s="96"/>
      <c r="F60" s="581">
        <v>0</v>
      </c>
      <c r="G60" s="393">
        <f>$K$33</f>
        <v>2.1157371669926938E-2</v>
      </c>
      <c r="H60" s="268">
        <f>F60*G60</f>
        <v>0</v>
      </c>
      <c r="I60" s="97">
        <v>0</v>
      </c>
      <c r="J60" s="393">
        <f>$K$43</f>
        <v>9.8215355452246786E-2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25033741.913846154</v>
      </c>
      <c r="G61" s="519"/>
      <c r="H61" s="520">
        <f>+H59+H60</f>
        <v>529648.18196027121</v>
      </c>
      <c r="I61" s="547">
        <f>+I59+I60</f>
        <v>25033741.913846154</v>
      </c>
      <c r="J61" s="519"/>
      <c r="K61" s="520">
        <f>+K59+K60</f>
        <v>2458697.8603682085</v>
      </c>
      <c r="L61" s="544">
        <f>+A61</f>
        <v>2</v>
      </c>
      <c r="M61" s="548">
        <f>+M59+M60</f>
        <v>0</v>
      </c>
      <c r="N61" s="520">
        <f>+N59+N60</f>
        <v>2988346.0423284797</v>
      </c>
      <c r="O61" s="523"/>
      <c r="P61" s="520">
        <f t="shared" ref="P61:U61" si="1">+P59+P60</f>
        <v>0</v>
      </c>
      <c r="Q61" s="520">
        <f t="shared" si="1"/>
        <v>2988346.0423284797</v>
      </c>
      <c r="R61" s="548">
        <f t="shared" si="1"/>
        <v>0</v>
      </c>
      <c r="S61" s="520">
        <f t="shared" si="1"/>
        <v>2988346.0423284797</v>
      </c>
      <c r="T61" s="548">
        <f t="shared" si="1"/>
        <v>-224277.68245929931</v>
      </c>
      <c r="U61" s="520">
        <f t="shared" si="1"/>
        <v>2764068.3598691802</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2.1157371669926938E-2</v>
      </c>
      <c r="H63" s="268">
        <f>F63*G63</f>
        <v>0</v>
      </c>
      <c r="I63" s="97">
        <v>0</v>
      </c>
      <c r="J63" s="393">
        <f>$K$43</f>
        <v>9.8215355452246786E-2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2.1157371669926938E-2</v>
      </c>
      <c r="H64" s="268">
        <f>F64*G64</f>
        <v>0</v>
      </c>
      <c r="I64" s="97">
        <v>0</v>
      </c>
      <c r="J64" s="393">
        <f>$K$43</f>
        <v>9.8215355452246786E-2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25033741.913846154</v>
      </c>
      <c r="G69" s="709"/>
      <c r="H69" s="712">
        <f t="shared" ref="H69:I69" si="4">+H61+H65+H67</f>
        <v>529648.18196027121</v>
      </c>
      <c r="I69" s="708">
        <f t="shared" si="4"/>
        <v>25033741.913846154</v>
      </c>
      <c r="J69" s="710"/>
      <c r="K69" s="712">
        <f>+K61+K65+K67</f>
        <v>2458697.8603682085</v>
      </c>
      <c r="L69" s="705">
        <f t="shared" si="2"/>
        <v>6</v>
      </c>
      <c r="M69" s="708">
        <f t="shared" ref="M69" si="5">+M61+M65+M67</f>
        <v>0</v>
      </c>
      <c r="N69" s="712">
        <f>+N61+N65+N67</f>
        <v>2988346.0423284797</v>
      </c>
      <c r="O69" s="711"/>
      <c r="P69" s="712">
        <f t="shared" ref="P69:U69" si="6">+P61+P65+P67</f>
        <v>0</v>
      </c>
      <c r="Q69" s="712">
        <f t="shared" si="6"/>
        <v>2988346.0423284797</v>
      </c>
      <c r="R69" s="712">
        <f t="shared" si="6"/>
        <v>0</v>
      </c>
      <c r="S69" s="712">
        <f t="shared" si="6"/>
        <v>2988346.0423284797</v>
      </c>
      <c r="T69" s="712">
        <f t="shared" si="6"/>
        <v>-224277.68245929931</v>
      </c>
      <c r="U69" s="712">
        <f t="shared" si="6"/>
        <v>2764068.3598691802</v>
      </c>
    </row>
    <row r="70" spans="1:21">
      <c r="M70" s="47"/>
      <c r="N70" s="47"/>
      <c r="O70" s="47"/>
      <c r="P70" s="47"/>
      <c r="Q70" s="47"/>
    </row>
    <row r="71" spans="1:21">
      <c r="M71" s="47"/>
      <c r="N71" s="47"/>
      <c r="O71" s="47"/>
      <c r="P71" s="47"/>
      <c r="Q71" s="47"/>
    </row>
    <row r="72" spans="1:21">
      <c r="A72" s="558"/>
      <c r="L72" s="558"/>
    </row>
    <row r="73" spans="1:21" ht="13.5"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0" t="s">
        <v>791</v>
      </c>
      <c r="D81" s="910"/>
      <c r="E81" s="910"/>
      <c r="F81" s="910"/>
      <c r="G81" s="910"/>
      <c r="H81" s="910"/>
      <c r="I81" s="910"/>
      <c r="J81" s="910"/>
      <c r="K81" s="910"/>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0" t="s">
        <v>659</v>
      </c>
      <c r="D82" s="910"/>
      <c r="E82" s="910"/>
      <c r="F82" s="910"/>
      <c r="G82" s="910"/>
      <c r="H82" s="910"/>
      <c r="I82" s="910"/>
      <c r="J82" s="910"/>
      <c r="K82" s="910"/>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2"/>
      <headerFooter alignWithMargins="0"/>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election activeCell="D117" sqref="D117"/>
    </sheetView>
  </sheetViews>
  <sheetFormatPr defaultColWidth="8.88671875" defaultRowHeight="15.75"/>
  <cols>
    <col min="1" max="1" width="5.5546875" style="263" customWidth="1"/>
    <col min="2" max="2" width="21.5546875" style="227" customWidth="1"/>
    <col min="3" max="3" width="30.5546875" style="227" customWidth="1"/>
    <col min="4" max="4" width="25.21875" style="227" customWidth="1"/>
    <col min="5" max="5" width="11" style="227" customWidth="1"/>
    <col min="6" max="6" width="6.5546875" style="227" customWidth="1"/>
    <col min="7" max="7" width="4.77734375" style="227" customWidth="1"/>
    <col min="8" max="8" width="8.109375" style="227" customWidth="1"/>
    <col min="9" max="9" width="10" style="233" customWidth="1"/>
    <col min="10" max="10" width="12.88671875" style="227" bestFit="1" customWidth="1"/>
    <col min="11" max="16384" width="8.8867187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25590097.947937343</v>
      </c>
    </row>
    <row r="6" spans="1:10">
      <c r="I6" s="227"/>
      <c r="J6" s="233"/>
    </row>
    <row r="7" spans="1:10" ht="16.5"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5"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10725255.76923077</v>
      </c>
      <c r="F10" s="476">
        <f>+'Attachment H-26'!E202</f>
        <v>0.4</v>
      </c>
      <c r="G10" s="477"/>
      <c r="H10" s="480">
        <f>+'Attachment H-26'!G202</f>
        <v>3.076779771972445E-2</v>
      </c>
      <c r="I10" s="478">
        <f>F10*H10</f>
        <v>1.2307119087889781E-2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2.25" thickBot="1">
      <c r="A12" s="229">
        <f>+A11+1</f>
        <v>5</v>
      </c>
      <c r="B12" s="230" t="s">
        <v>278</v>
      </c>
      <c r="C12" s="30" t="s">
        <v>829</v>
      </c>
      <c r="D12" s="278" t="s">
        <v>830</v>
      </c>
      <c r="E12" s="474">
        <f>+'Attachment H-26'!D204</f>
        <v>12643680.152923075</v>
      </c>
      <c r="F12" s="476">
        <f>+'Attachment H-26'!E204</f>
        <v>0.6</v>
      </c>
      <c r="G12" s="477"/>
      <c r="H12" s="480">
        <f>+'Attachment H-26'!G204+0.01</f>
        <v>0.115</v>
      </c>
      <c r="I12" s="479">
        <f>F12*H12</f>
        <v>6.9000000000000006E-2</v>
      </c>
      <c r="J12" s="233"/>
    </row>
    <row r="13" spans="1:10">
      <c r="A13" s="229">
        <f>+A12+1</f>
        <v>6</v>
      </c>
      <c r="B13" s="234" t="s">
        <v>555</v>
      </c>
      <c r="C13" s="238"/>
      <c r="D13" s="238"/>
      <c r="E13" s="474">
        <f>SUM(E10:E12)</f>
        <v>23368935.922153845</v>
      </c>
      <c r="F13" s="228" t="s">
        <v>2</v>
      </c>
      <c r="G13" s="228"/>
      <c r="H13" s="475"/>
      <c r="I13" s="478">
        <f>SUM(I10:I12)</f>
        <v>8.130711908788979E-2</v>
      </c>
      <c r="J13" s="233"/>
    </row>
    <row r="14" spans="1:10">
      <c r="A14" s="229">
        <f t="shared" ref="A14:A38" si="0">+A13+1</f>
        <v>7</v>
      </c>
      <c r="B14" s="234" t="s">
        <v>255</v>
      </c>
      <c r="C14" s="238"/>
      <c r="D14" s="238"/>
      <c r="E14" s="239"/>
      <c r="F14" s="231"/>
      <c r="G14" s="231"/>
      <c r="H14" s="231"/>
      <c r="I14" s="490"/>
      <c r="J14" s="263">
        <f>+I13*J5</f>
        <v>2080657.1413237057</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0.30026472871479387</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-28689.71</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624747.95208806102</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-38840.736478711158</v>
      </c>
      <c r="F27" s="248"/>
      <c r="G27" s="250" t="s">
        <v>27</v>
      </c>
      <c r="H27" s="228">
        <f>H26</f>
        <v>1</v>
      </c>
      <c r="I27" s="492">
        <f>+E27*H27</f>
        <v>-38840.736478711158</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585907.21560934989</v>
      </c>
      <c r="J29" s="263">
        <f>+I29</f>
        <v>585907.21560934989</v>
      </c>
    </row>
    <row r="30" spans="1:10">
      <c r="A30" s="229"/>
      <c r="I30" s="491"/>
      <c r="J30" s="491"/>
    </row>
    <row r="31" spans="1:10">
      <c r="A31" s="229">
        <f>+A29+1</f>
        <v>22</v>
      </c>
      <c r="B31" s="237" t="s">
        <v>251</v>
      </c>
      <c r="I31" s="491"/>
      <c r="J31" s="263">
        <f>+J29+J14</f>
        <v>2666564.3569330554</v>
      </c>
    </row>
    <row r="32" spans="1:10">
      <c r="A32" s="229"/>
      <c r="I32" s="491"/>
      <c r="J32" s="491"/>
    </row>
    <row r="33" spans="1:10">
      <c r="A33" s="229">
        <f>+A31+1</f>
        <v>23</v>
      </c>
      <c r="B33" s="227" t="s">
        <v>839</v>
      </c>
      <c r="I33" s="491"/>
      <c r="J33" s="263">
        <f>+'Attachment H-26'!I168</f>
        <v>1927116.5536360815</v>
      </c>
    </row>
    <row r="34" spans="1:10">
      <c r="A34" s="229">
        <f t="shared" si="0"/>
        <v>24</v>
      </c>
      <c r="B34" s="227" t="s">
        <v>840</v>
      </c>
      <c r="I34" s="491"/>
      <c r="J34" s="263">
        <f>+'Attachment H-26'!I165</f>
        <v>531581.30673212721</v>
      </c>
    </row>
    <row r="35" spans="1:10">
      <c r="A35" s="229">
        <f t="shared" si="0"/>
        <v>25</v>
      </c>
      <c r="B35" s="237" t="s">
        <v>252</v>
      </c>
      <c r="I35" s="491"/>
      <c r="J35" s="495">
        <f>SUM(J33:J34)</f>
        <v>2458697.860368209</v>
      </c>
    </row>
    <row r="36" spans="1:10">
      <c r="A36" s="229">
        <f t="shared" si="0"/>
        <v>26</v>
      </c>
      <c r="B36" s="237" t="s">
        <v>253</v>
      </c>
      <c r="I36" s="227"/>
      <c r="J36" s="228">
        <f>+J31-J35</f>
        <v>207866.49656484649</v>
      </c>
    </row>
    <row r="37" spans="1:10">
      <c r="A37" s="229">
        <f t="shared" si="0"/>
        <v>27</v>
      </c>
      <c r="B37" s="227" t="s">
        <v>308</v>
      </c>
      <c r="I37" s="227"/>
      <c r="J37" s="279">
        <f>+J5</f>
        <v>25590097.947937343</v>
      </c>
    </row>
    <row r="38" spans="1:10">
      <c r="A38" s="229">
        <f t="shared" si="0"/>
        <v>28</v>
      </c>
      <c r="B38" s="227" t="s">
        <v>254</v>
      </c>
      <c r="I38" s="227"/>
      <c r="J38" s="478">
        <f>IF(J37=0,0,J36/J37)</f>
        <v>8.1229269613483958E-3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election activeCell="H19" sqref="H19"/>
    </sheetView>
  </sheetViews>
  <sheetFormatPr defaultColWidth="8.88671875" defaultRowHeight="12.75"/>
  <cols>
    <col min="1" max="1" width="6" style="440" customWidth="1"/>
    <col min="2" max="2" width="28.33203125" style="414" customWidth="1"/>
    <col min="3" max="3" width="12.109375" style="551" customWidth="1"/>
    <col min="4" max="4" width="11.21875" style="414" customWidth="1"/>
    <col min="5" max="5" width="14.6640625" style="414" customWidth="1"/>
    <col min="6" max="6" width="14.5546875" style="414" customWidth="1"/>
    <col min="7" max="7" width="15.21875" style="414" customWidth="1"/>
    <col min="8" max="8" width="13.77734375" style="414" customWidth="1"/>
    <col min="9" max="9" width="12" style="414" customWidth="1"/>
    <col min="10" max="10" width="9.5546875" style="414" customWidth="1"/>
    <col min="11" max="11" width="12" style="414" customWidth="1"/>
    <col min="12" max="12" width="10.33203125" style="414" customWidth="1"/>
    <col min="13" max="13" width="13.5546875" style="414" customWidth="1"/>
    <col min="14" max="16384" width="8.8867187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3" t="s">
        <v>661</v>
      </c>
      <c r="C6" s="903"/>
      <c r="D6" s="903"/>
      <c r="E6" s="903"/>
      <c r="F6" s="903"/>
      <c r="G6" s="903"/>
      <c r="H6" s="903"/>
      <c r="I6" s="903"/>
      <c r="J6" s="903"/>
      <c r="K6" s="903"/>
      <c r="L6" s="903"/>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c r="A11" s="441">
        <v>2</v>
      </c>
      <c r="B11" s="885">
        <v>2018</v>
      </c>
      <c r="C11" s="590"/>
      <c r="D11" s="418"/>
      <c r="E11" s="428"/>
      <c r="F11" s="428"/>
      <c r="G11" s="611">
        <v>2692398.96</v>
      </c>
      <c r="H11" s="429"/>
      <c r="I11" s="428"/>
      <c r="J11" s="428"/>
      <c r="K11" s="428"/>
      <c r="L11" s="428"/>
    </row>
    <row r="12" spans="1:13" s="421" customFormat="1">
      <c r="B12" s="430" t="s">
        <v>62</v>
      </c>
      <c r="C12" s="593"/>
      <c r="D12" s="430" t="s">
        <v>63</v>
      </c>
      <c r="E12" s="427" t="s">
        <v>64</v>
      </c>
      <c r="F12" s="427" t="s">
        <v>65</v>
      </c>
      <c r="G12" s="425" t="s">
        <v>66</v>
      </c>
      <c r="H12" s="431" t="s">
        <v>67</v>
      </c>
      <c r="I12" s="431" t="s">
        <v>68</v>
      </c>
      <c r="J12" s="431" t="s">
        <v>69</v>
      </c>
      <c r="K12" s="452" t="s">
        <v>70</v>
      </c>
      <c r="L12" s="431" t="s">
        <v>71</v>
      </c>
    </row>
    <row r="13" spans="1:13" s="421" customFormat="1">
      <c r="A13" s="441"/>
      <c r="B13" s="428"/>
      <c r="C13" s="591"/>
      <c r="D13" s="425"/>
      <c r="E13" s="425"/>
      <c r="F13" s="444" t="s">
        <v>333</v>
      </c>
      <c r="G13" s="425" t="s">
        <v>620</v>
      </c>
      <c r="H13" s="425"/>
      <c r="I13" s="428"/>
      <c r="J13" s="425" t="s">
        <v>519</v>
      </c>
      <c r="K13" s="428"/>
      <c r="L13" s="428"/>
    </row>
    <row r="14" spans="1:13" s="421" customFormat="1">
      <c r="A14" s="441"/>
      <c r="B14" s="429"/>
      <c r="C14" s="592"/>
      <c r="D14" s="594" t="s">
        <v>339</v>
      </c>
      <c r="E14" s="431"/>
      <c r="F14" s="442" t="s">
        <v>13</v>
      </c>
      <c r="G14" s="431" t="s">
        <v>410</v>
      </c>
      <c r="H14" s="431" t="s">
        <v>519</v>
      </c>
      <c r="I14" s="431" t="s">
        <v>411</v>
      </c>
      <c r="J14" s="431" t="s">
        <v>290</v>
      </c>
      <c r="K14" s="431" t="s">
        <v>352</v>
      </c>
      <c r="L14" s="431"/>
    </row>
    <row r="15" spans="1:13" s="421" customFormat="1">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5.75">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c r="A18" s="602"/>
      <c r="B18" s="609"/>
      <c r="C18" s="609"/>
      <c r="D18" s="527"/>
      <c r="E18" s="528"/>
      <c r="F18" s="529"/>
      <c r="G18" s="530"/>
      <c r="H18" s="530"/>
      <c r="I18" s="531"/>
      <c r="J18" s="531"/>
      <c r="K18" s="531"/>
      <c r="L18" s="531"/>
    </row>
    <row r="19" spans="1:13" s="421" customFormat="1">
      <c r="A19" s="441" t="s">
        <v>662</v>
      </c>
      <c r="B19" s="619" t="s">
        <v>856</v>
      </c>
      <c r="C19" s="619" t="s">
        <v>653</v>
      </c>
      <c r="D19" s="881" t="s">
        <v>857</v>
      </c>
      <c r="E19" s="611">
        <v>2692398.9966039485</v>
      </c>
      <c r="F19" s="468">
        <f>IF(E$29=0,0,E19/E$29)</f>
        <v>1</v>
      </c>
      <c r="G19" s="458">
        <f>IF(G$11=0,0,F19*G$11)</f>
        <v>2692398.96</v>
      </c>
      <c r="H19" s="896">
        <f>+'1-Project Rev Req'!U59</f>
        <v>2764068.3598691802</v>
      </c>
      <c r="I19" s="464">
        <f>+H19-G19</f>
        <v>71669.399869180284</v>
      </c>
      <c r="J19" s="462">
        <f>+$J$31*F19</f>
        <v>7406.5675474731688</v>
      </c>
      <c r="K19" s="465">
        <v>0</v>
      </c>
      <c r="L19" s="614">
        <f>+I19+J19+K19</f>
        <v>79075.967416653453</v>
      </c>
    </row>
    <row r="20" spans="1:13" s="421" customFormat="1">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c r="A21" s="602">
        <v>5</v>
      </c>
      <c r="B21" s="610" t="s">
        <v>655</v>
      </c>
      <c r="C21" s="610"/>
      <c r="D21" s="533"/>
      <c r="E21" s="534">
        <f>+E19+E20</f>
        <v>2692398.9966039485</v>
      </c>
      <c r="F21" s="535"/>
      <c r="G21" s="534">
        <f t="shared" ref="G21:L21" si="0">+G19+G20</f>
        <v>2692398.96</v>
      </c>
      <c r="H21" s="534">
        <f t="shared" si="0"/>
        <v>2764068.3598691802</v>
      </c>
      <c r="I21" s="534">
        <f t="shared" si="0"/>
        <v>71669.399869180284</v>
      </c>
      <c r="J21" s="534">
        <f t="shared" si="0"/>
        <v>7406.5675474731688</v>
      </c>
      <c r="K21" s="534">
        <f t="shared" si="0"/>
        <v>0</v>
      </c>
      <c r="L21" s="537">
        <f t="shared" si="0"/>
        <v>79075.967416653453</v>
      </c>
    </row>
    <row r="22" spans="1:13" s="587" customFormat="1">
      <c r="A22" s="602"/>
      <c r="B22" s="609"/>
      <c r="C22" s="609"/>
      <c r="D22" s="527"/>
      <c r="E22" s="528"/>
      <c r="F22" s="529"/>
      <c r="G22" s="530"/>
      <c r="H22" s="530"/>
      <c r="I22" s="532"/>
      <c r="J22" s="531"/>
      <c r="K22" s="532"/>
      <c r="L22" s="531"/>
    </row>
    <row r="23" spans="1:13" s="421" customFormat="1">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c r="A26" s="602"/>
      <c r="B26" s="609"/>
      <c r="C26" s="609"/>
      <c r="D26" s="527"/>
      <c r="E26" s="528"/>
      <c r="F26" s="529"/>
      <c r="G26" s="532"/>
      <c r="H26" s="530"/>
      <c r="I26" s="532"/>
      <c r="J26" s="531"/>
      <c r="K26" s="532"/>
      <c r="L26" s="531"/>
    </row>
    <row r="27" spans="1:13" s="587" customFormat="1">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2692398.9966039485</v>
      </c>
      <c r="F29" s="470">
        <f t="shared" ref="F29" si="2">SUM(F17:F28)</f>
        <v>1</v>
      </c>
      <c r="G29" s="612">
        <f t="shared" ref="G29:L29" si="3">+G17+G21+G25+G27</f>
        <v>2692398.96</v>
      </c>
      <c r="H29" s="612">
        <f t="shared" si="3"/>
        <v>2764068.3598691802</v>
      </c>
      <c r="I29" s="612">
        <f t="shared" si="3"/>
        <v>71669.399869180284</v>
      </c>
      <c r="J29" s="612">
        <f t="shared" si="3"/>
        <v>7406.5675474731688</v>
      </c>
      <c r="K29" s="612">
        <f>+K17+K21+K25+K27</f>
        <v>0</v>
      </c>
      <c r="L29" s="612">
        <f t="shared" si="3"/>
        <v>79075.967416653453</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7406.5675474731688</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3" t="s">
        <v>746</v>
      </c>
      <c r="C45" s="903"/>
      <c r="D45" s="903"/>
      <c r="E45" s="903"/>
      <c r="F45" s="903"/>
      <c r="G45" s="903"/>
      <c r="H45" s="903"/>
      <c r="I45" s="903"/>
      <c r="J45" s="903"/>
      <c r="K45" s="903"/>
      <c r="L45" s="903"/>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topLeftCell="A31" zoomScale="90" zoomScaleNormal="85" zoomScaleSheetLayoutView="90" workbookViewId="0">
      <selection activeCell="D53" sqref="D53"/>
    </sheetView>
  </sheetViews>
  <sheetFormatPr defaultColWidth="8.88671875" defaultRowHeight="12.75"/>
  <cols>
    <col min="1" max="1" width="8" style="11" customWidth="1"/>
    <col min="2" max="2" width="34.777343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77734375" style="13" customWidth="1"/>
    <col min="10" max="10" width="18.6640625" style="13" customWidth="1"/>
    <col min="11" max="14" width="11.77734375" style="13" customWidth="1"/>
    <col min="15" max="16384" width="8.88671875" style="13"/>
  </cols>
  <sheetData>
    <row r="1" spans="1:12">
      <c r="B1" s="926" t="s">
        <v>189</v>
      </c>
      <c r="C1" s="926"/>
      <c r="D1" s="926"/>
      <c r="E1" s="926"/>
      <c r="F1" s="926"/>
      <c r="G1" s="926"/>
      <c r="H1" s="926"/>
      <c r="I1" s="926"/>
      <c r="J1" s="1" t="s">
        <v>686</v>
      </c>
    </row>
    <row r="2" spans="1:12">
      <c r="A2" s="220"/>
      <c r="B2" s="927" t="s">
        <v>257</v>
      </c>
      <c r="C2" s="927"/>
      <c r="D2" s="927"/>
      <c r="E2" s="927"/>
      <c r="F2" s="927"/>
      <c r="G2" s="927"/>
      <c r="H2" s="927"/>
      <c r="I2" s="927"/>
      <c r="J2" s="1"/>
      <c r="L2" s="219"/>
    </row>
    <row r="3" spans="1:12">
      <c r="A3" s="220"/>
      <c r="B3" s="928" t="str">
        <f>+'Attachment H-26'!D5</f>
        <v>Transource West Virginia, LLC</v>
      </c>
      <c r="C3" s="928"/>
      <c r="D3" s="928"/>
      <c r="E3" s="928"/>
      <c r="F3" s="928"/>
      <c r="G3" s="928"/>
      <c r="H3" s="928"/>
      <c r="I3" s="928"/>
      <c r="J3" s="1"/>
    </row>
    <row r="4" spans="1:12">
      <c r="A4" s="220"/>
      <c r="C4" s="1"/>
      <c r="D4" s="1"/>
      <c r="E4" s="1"/>
      <c r="F4" s="1"/>
      <c r="G4" s="1"/>
      <c r="H4" s="1"/>
      <c r="I4" s="1"/>
      <c r="J4" s="1"/>
    </row>
    <row r="5" spans="1:12">
      <c r="A5" s="220"/>
      <c r="B5" s="2"/>
      <c r="C5" s="2"/>
      <c r="D5" s="2"/>
      <c r="E5" s="2"/>
      <c r="F5" s="2"/>
      <c r="G5" s="2"/>
      <c r="H5" s="2"/>
      <c r="I5" s="2"/>
      <c r="J5" s="2"/>
    </row>
    <row r="6" spans="1:12">
      <c r="A6" s="220"/>
      <c r="B6" s="2"/>
      <c r="C6" s="924" t="s">
        <v>208</v>
      </c>
      <c r="D6" s="924"/>
      <c r="E6" s="9" t="s">
        <v>210</v>
      </c>
      <c r="F6" s="9" t="s">
        <v>211</v>
      </c>
      <c r="G6" s="924" t="s">
        <v>209</v>
      </c>
      <c r="H6" s="924"/>
      <c r="I6" s="923" t="s">
        <v>207</v>
      </c>
      <c r="J6" s="923"/>
    </row>
    <row r="7" spans="1:12" s="10" customFormat="1" ht="25.5">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0</v>
      </c>
      <c r="D10" s="897">
        <v>0</v>
      </c>
      <c r="E10" s="897">
        <v>7104129.3899999997</v>
      </c>
      <c r="F10" s="897">
        <v>0</v>
      </c>
      <c r="G10" s="897">
        <v>0</v>
      </c>
      <c r="H10" s="897">
        <v>12000</v>
      </c>
      <c r="I10" s="897">
        <v>0</v>
      </c>
      <c r="J10" s="897">
        <v>0</v>
      </c>
    </row>
    <row r="11" spans="1:12">
      <c r="A11" s="220">
        <v>2</v>
      </c>
      <c r="B11" s="5" t="s">
        <v>85</v>
      </c>
      <c r="C11" s="897">
        <v>0</v>
      </c>
      <c r="D11" s="897">
        <v>0</v>
      </c>
      <c r="E11" s="897">
        <v>7686623.9500000002</v>
      </c>
      <c r="F11" s="897">
        <v>0</v>
      </c>
      <c r="G11" s="897">
        <v>0</v>
      </c>
      <c r="H11" s="897">
        <v>0</v>
      </c>
      <c r="I11" s="897">
        <v>0</v>
      </c>
      <c r="J11" s="897">
        <v>0</v>
      </c>
    </row>
    <row r="12" spans="1:12">
      <c r="A12" s="220">
        <v>3</v>
      </c>
      <c r="B12" s="1" t="s">
        <v>84</v>
      </c>
      <c r="C12" s="897">
        <v>0</v>
      </c>
      <c r="D12" s="897">
        <v>0</v>
      </c>
      <c r="E12" s="897">
        <v>10521685.529999999</v>
      </c>
      <c r="F12" s="897">
        <v>0</v>
      </c>
      <c r="G12" s="897">
        <v>0</v>
      </c>
      <c r="H12" s="897">
        <v>0</v>
      </c>
      <c r="I12" s="897">
        <v>0</v>
      </c>
      <c r="J12" s="897">
        <v>0</v>
      </c>
    </row>
    <row r="13" spans="1:12">
      <c r="A13" s="220">
        <v>4</v>
      </c>
      <c r="B13" s="1" t="s">
        <v>170</v>
      </c>
      <c r="C13" s="897">
        <v>0</v>
      </c>
      <c r="D13" s="897">
        <v>0</v>
      </c>
      <c r="E13" s="897">
        <v>11691956.300000001</v>
      </c>
      <c r="F13" s="897">
        <v>0</v>
      </c>
      <c r="G13" s="897">
        <v>0</v>
      </c>
      <c r="H13" s="897">
        <v>54431.75</v>
      </c>
      <c r="I13" s="897">
        <v>0</v>
      </c>
      <c r="J13" s="897">
        <v>0</v>
      </c>
    </row>
    <row r="14" spans="1:12">
      <c r="A14" s="220">
        <v>5</v>
      </c>
      <c r="B14" s="1" t="s">
        <v>76</v>
      </c>
      <c r="C14" s="897">
        <v>0</v>
      </c>
      <c r="D14" s="897">
        <v>0</v>
      </c>
      <c r="E14" s="897">
        <v>13732293.84</v>
      </c>
      <c r="F14" s="897">
        <v>0</v>
      </c>
      <c r="G14" s="897">
        <v>0</v>
      </c>
      <c r="H14" s="897">
        <v>27665.23</v>
      </c>
      <c r="I14" s="897">
        <v>0</v>
      </c>
      <c r="J14" s="897">
        <v>0</v>
      </c>
    </row>
    <row r="15" spans="1:12">
      <c r="A15" s="220">
        <v>6</v>
      </c>
      <c r="B15" s="1" t="s">
        <v>75</v>
      </c>
      <c r="C15" s="897">
        <v>0</v>
      </c>
      <c r="D15" s="897">
        <v>0</v>
      </c>
      <c r="E15" s="897">
        <v>16812296.219999999</v>
      </c>
      <c r="F15" s="897">
        <v>0</v>
      </c>
      <c r="G15" s="897">
        <v>0</v>
      </c>
      <c r="H15" s="897">
        <v>24898.71</v>
      </c>
      <c r="I15" s="897">
        <v>0</v>
      </c>
      <c r="J15" s="897">
        <v>0</v>
      </c>
    </row>
    <row r="16" spans="1:12">
      <c r="A16" s="220">
        <v>7</v>
      </c>
      <c r="B16" s="1" t="s">
        <v>95</v>
      </c>
      <c r="C16" s="897">
        <v>0</v>
      </c>
      <c r="D16" s="897">
        <v>10141.120000000001</v>
      </c>
      <c r="E16" s="897">
        <v>21789768.379999999</v>
      </c>
      <c r="F16" s="897">
        <v>0</v>
      </c>
      <c r="G16" s="897">
        <v>0</v>
      </c>
      <c r="H16" s="897">
        <v>678162.1</v>
      </c>
      <c r="I16" s="897">
        <v>0</v>
      </c>
      <c r="J16" s="897">
        <v>0</v>
      </c>
    </row>
    <row r="17" spans="1:10">
      <c r="A17" s="220">
        <v>8</v>
      </c>
      <c r="B17" s="1" t="s">
        <v>82</v>
      </c>
      <c r="C17" s="897">
        <v>0</v>
      </c>
      <c r="D17" s="897">
        <v>26304.620000000003</v>
      </c>
      <c r="E17" s="897">
        <v>28351533.23</v>
      </c>
      <c r="F17" s="897">
        <v>0</v>
      </c>
      <c r="G17" s="897">
        <v>0</v>
      </c>
      <c r="H17" s="897">
        <v>604847.4</v>
      </c>
      <c r="I17" s="897">
        <v>0</v>
      </c>
      <c r="J17" s="897">
        <v>169.02</v>
      </c>
    </row>
    <row r="18" spans="1:10">
      <c r="A18" s="220">
        <v>9</v>
      </c>
      <c r="B18" s="1" t="s">
        <v>171</v>
      </c>
      <c r="C18" s="897">
        <v>0</v>
      </c>
      <c r="D18" s="897">
        <v>33817.19</v>
      </c>
      <c r="E18" s="897">
        <v>32860529.219999999</v>
      </c>
      <c r="F18" s="897">
        <v>0</v>
      </c>
      <c r="G18" s="897">
        <v>0</v>
      </c>
      <c r="H18" s="897">
        <v>543532.69999999995</v>
      </c>
      <c r="I18" s="897">
        <v>0</v>
      </c>
      <c r="J18" s="897">
        <v>607.43000000000006</v>
      </c>
    </row>
    <row r="19" spans="1:10">
      <c r="A19" s="220">
        <v>10</v>
      </c>
      <c r="B19" s="1" t="s">
        <v>80</v>
      </c>
      <c r="C19" s="897">
        <v>0</v>
      </c>
      <c r="D19" s="897">
        <v>40828.33</v>
      </c>
      <c r="E19" s="897">
        <v>34698571.640000001</v>
      </c>
      <c r="F19" s="897">
        <v>0</v>
      </c>
      <c r="G19" s="897">
        <v>0</v>
      </c>
      <c r="H19" s="897">
        <v>494218</v>
      </c>
      <c r="I19" s="897">
        <v>0</v>
      </c>
      <c r="J19" s="897">
        <v>1171.05</v>
      </c>
    </row>
    <row r="20" spans="1:10">
      <c r="A20" s="220">
        <v>11</v>
      </c>
      <c r="B20" s="1" t="s">
        <v>86</v>
      </c>
      <c r="C20" s="897">
        <v>0</v>
      </c>
      <c r="D20" s="897">
        <v>57486.76</v>
      </c>
      <c r="E20" s="897">
        <v>40024387.659999996</v>
      </c>
      <c r="F20" s="897">
        <v>0</v>
      </c>
      <c r="G20" s="897">
        <v>0</v>
      </c>
      <c r="H20" s="897">
        <v>420903.3</v>
      </c>
      <c r="I20" s="897">
        <v>0</v>
      </c>
      <c r="J20" s="897">
        <v>1851.52</v>
      </c>
    </row>
    <row r="21" spans="1:10">
      <c r="A21" s="220">
        <v>12</v>
      </c>
      <c r="B21" s="1" t="s">
        <v>79</v>
      </c>
      <c r="C21" s="897">
        <v>0</v>
      </c>
      <c r="D21" s="897">
        <v>72190.11</v>
      </c>
      <c r="E21" s="897">
        <v>46680391.280000001</v>
      </c>
      <c r="F21" s="897">
        <v>0</v>
      </c>
      <c r="G21" s="897">
        <v>0</v>
      </c>
      <c r="H21" s="897">
        <v>359588.60000000003</v>
      </c>
      <c r="I21" s="897">
        <v>0</v>
      </c>
      <c r="J21" s="897">
        <v>2809.63</v>
      </c>
    </row>
    <row r="22" spans="1:10">
      <c r="A22" s="220">
        <v>13</v>
      </c>
      <c r="B22" s="1" t="s">
        <v>194</v>
      </c>
      <c r="C22" s="897">
        <v>0</v>
      </c>
      <c r="D22" s="897">
        <v>97150.45</v>
      </c>
      <c r="E22" s="897">
        <v>53484478.240000002</v>
      </c>
      <c r="F22" s="897">
        <v>0</v>
      </c>
      <c r="G22" s="897">
        <v>0</v>
      </c>
      <c r="H22" s="897">
        <v>310273.90000000002</v>
      </c>
      <c r="I22" s="897">
        <v>0</v>
      </c>
      <c r="J22" s="897">
        <v>4012.8</v>
      </c>
    </row>
    <row r="23" spans="1:10" ht="13.5" thickBot="1">
      <c r="A23" s="220">
        <v>14</v>
      </c>
      <c r="B23" s="6" t="s">
        <v>258</v>
      </c>
      <c r="C23" s="656">
        <f t="shared" ref="C23:H23" si="0">SUM(C10:C22)/13</f>
        <v>0</v>
      </c>
      <c r="D23" s="656">
        <f>SUM(D10:D22)/13</f>
        <v>25993.736923076925</v>
      </c>
      <c r="E23" s="656">
        <f t="shared" si="0"/>
        <v>25033741.913846154</v>
      </c>
      <c r="F23" s="656">
        <f t="shared" si="0"/>
        <v>0</v>
      </c>
      <c r="G23" s="656">
        <f t="shared" si="0"/>
        <v>0</v>
      </c>
      <c r="H23" s="656">
        <f t="shared" si="0"/>
        <v>271578.59153846151</v>
      </c>
      <c r="I23" s="656">
        <f>SUM(I10:I22)/13</f>
        <v>0</v>
      </c>
      <c r="J23" s="656">
        <f>SUM(J10:J22)/13</f>
        <v>817.03461538461545</v>
      </c>
    </row>
    <row r="24" spans="1:10" ht="13.5" thickTop="1">
      <c r="A24" s="220"/>
      <c r="B24" s="1"/>
      <c r="C24" s="7"/>
      <c r="D24" s="14"/>
      <c r="E24" s="14"/>
      <c r="F24" s="14"/>
      <c r="G24" s="7"/>
      <c r="H24" s="7"/>
      <c r="I24" s="7"/>
    </row>
    <row r="25" spans="1:10">
      <c r="A25" s="220"/>
      <c r="B25" s="8"/>
      <c r="C25" s="923" t="s">
        <v>212</v>
      </c>
      <c r="D25" s="923"/>
      <c r="E25" s="923"/>
      <c r="F25" s="923"/>
      <c r="G25" s="923"/>
      <c r="H25" s="923"/>
      <c r="I25" s="923"/>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5.5">
      <c r="A28" s="220"/>
      <c r="B28" s="252" t="s">
        <v>544</v>
      </c>
      <c r="C28" s="301" t="s">
        <v>405</v>
      </c>
      <c r="D28" s="4" t="s">
        <v>546</v>
      </c>
      <c r="E28" s="4" t="s">
        <v>324</v>
      </c>
      <c r="F28" s="4" t="s">
        <v>325</v>
      </c>
      <c r="G28" s="4" t="s">
        <v>326</v>
      </c>
      <c r="H28" s="4" t="s">
        <v>327</v>
      </c>
      <c r="I28" s="4" t="s">
        <v>328</v>
      </c>
    </row>
    <row r="29" spans="1:10">
      <c r="A29" s="220">
        <v>15</v>
      </c>
      <c r="B29" s="5" t="s">
        <v>193</v>
      </c>
      <c r="C29" s="882">
        <v>205165.65</v>
      </c>
      <c r="D29" s="897">
        <v>0</v>
      </c>
      <c r="E29" s="897">
        <v>0</v>
      </c>
      <c r="F29" s="897">
        <v>1901.55</v>
      </c>
      <c r="G29" s="897">
        <v>79183.08</v>
      </c>
      <c r="H29" s="897">
        <v>36578.200000000004</v>
      </c>
      <c r="I29" s="897">
        <v>0</v>
      </c>
    </row>
    <row r="30" spans="1:10">
      <c r="A30" s="220">
        <v>16</v>
      </c>
      <c r="B30" s="5" t="s">
        <v>85</v>
      </c>
      <c r="C30" s="897">
        <v>199466.61000000002</v>
      </c>
      <c r="D30" s="897">
        <v>0</v>
      </c>
      <c r="E30" s="286"/>
      <c r="F30" s="286"/>
      <c r="G30" s="286"/>
      <c r="H30" s="286"/>
      <c r="I30" s="897">
        <v>0</v>
      </c>
    </row>
    <row r="31" spans="1:10">
      <c r="A31" s="220">
        <v>17</v>
      </c>
      <c r="B31" s="1" t="s">
        <v>84</v>
      </c>
      <c r="C31" s="897">
        <v>193767.57</v>
      </c>
      <c r="D31" s="897">
        <v>0</v>
      </c>
      <c r="E31" s="286"/>
      <c r="F31" s="286"/>
      <c r="G31" s="286"/>
      <c r="H31" s="286"/>
      <c r="I31" s="897">
        <v>0</v>
      </c>
    </row>
    <row r="32" spans="1:10">
      <c r="A32" s="220">
        <v>18</v>
      </c>
      <c r="B32" s="1" t="s">
        <v>170</v>
      </c>
      <c r="C32" s="897">
        <v>188068.53</v>
      </c>
      <c r="D32" s="897">
        <v>0</v>
      </c>
      <c r="E32" s="286"/>
      <c r="F32" s="286"/>
      <c r="G32" s="286"/>
      <c r="H32" s="286"/>
      <c r="I32" s="897">
        <v>0</v>
      </c>
    </row>
    <row r="33" spans="1:15">
      <c r="A33" s="220">
        <v>19</v>
      </c>
      <c r="B33" s="1" t="s">
        <v>76</v>
      </c>
      <c r="C33" s="897">
        <v>182369.49</v>
      </c>
      <c r="D33" s="897">
        <v>0</v>
      </c>
      <c r="E33" s="286"/>
      <c r="F33" s="286"/>
      <c r="G33" s="286"/>
      <c r="H33" s="286"/>
      <c r="I33" s="897">
        <v>0</v>
      </c>
    </row>
    <row r="34" spans="1:15">
      <c r="A34" s="220">
        <v>20</v>
      </c>
      <c r="B34" s="1" t="s">
        <v>75</v>
      </c>
      <c r="C34" s="897">
        <v>176670.45</v>
      </c>
      <c r="D34" s="897">
        <v>0</v>
      </c>
      <c r="E34" s="286"/>
      <c r="F34" s="286"/>
      <c r="G34" s="286"/>
      <c r="H34" s="286"/>
      <c r="I34" s="897">
        <v>0</v>
      </c>
    </row>
    <row r="35" spans="1:15">
      <c r="A35" s="220">
        <v>21</v>
      </c>
      <c r="B35" s="1" t="s">
        <v>95</v>
      </c>
      <c r="C35" s="897">
        <v>170971.41</v>
      </c>
      <c r="D35" s="897">
        <v>0</v>
      </c>
      <c r="E35" s="286"/>
      <c r="F35" s="286"/>
      <c r="G35" s="286"/>
      <c r="H35" s="286"/>
      <c r="I35" s="897">
        <v>0</v>
      </c>
    </row>
    <row r="36" spans="1:15">
      <c r="A36" s="220">
        <v>22</v>
      </c>
      <c r="B36" s="1" t="s">
        <v>82</v>
      </c>
      <c r="C36" s="897">
        <v>165272.37</v>
      </c>
      <c r="D36" s="897">
        <v>0</v>
      </c>
      <c r="E36" s="286"/>
      <c r="F36" s="286"/>
      <c r="G36" s="286"/>
      <c r="H36" s="286"/>
      <c r="I36" s="897">
        <v>0</v>
      </c>
    </row>
    <row r="37" spans="1:15">
      <c r="A37" s="220">
        <v>23</v>
      </c>
      <c r="B37" s="1" t="s">
        <v>171</v>
      </c>
      <c r="C37" s="897">
        <v>159573.33000000002</v>
      </c>
      <c r="D37" s="897">
        <v>0</v>
      </c>
      <c r="E37" s="286"/>
      <c r="F37" s="286"/>
      <c r="G37" s="286"/>
      <c r="H37" s="286"/>
      <c r="I37" s="897">
        <v>0</v>
      </c>
    </row>
    <row r="38" spans="1:15">
      <c r="A38" s="220">
        <v>24</v>
      </c>
      <c r="B38" s="1" t="s">
        <v>80</v>
      </c>
      <c r="C38" s="897">
        <v>153874.29</v>
      </c>
      <c r="D38" s="897">
        <v>0</v>
      </c>
      <c r="E38" s="286"/>
      <c r="F38" s="286"/>
      <c r="G38" s="286"/>
      <c r="H38" s="286"/>
      <c r="I38" s="897">
        <v>0</v>
      </c>
    </row>
    <row r="39" spans="1:15">
      <c r="A39" s="220">
        <v>25</v>
      </c>
      <c r="B39" s="1" t="s">
        <v>86</v>
      </c>
      <c r="C39" s="897">
        <v>148175.25</v>
      </c>
      <c r="D39" s="897">
        <v>0</v>
      </c>
      <c r="E39" s="286"/>
      <c r="F39" s="286"/>
      <c r="G39" s="286"/>
      <c r="H39" s="286"/>
      <c r="I39" s="897">
        <v>0</v>
      </c>
    </row>
    <row r="40" spans="1:15">
      <c r="A40" s="220">
        <v>26</v>
      </c>
      <c r="B40" s="1" t="s">
        <v>79</v>
      </c>
      <c r="C40" s="897">
        <v>142476.21</v>
      </c>
      <c r="D40" s="897">
        <v>0</v>
      </c>
      <c r="E40" s="286"/>
      <c r="F40" s="286"/>
      <c r="G40" s="286"/>
      <c r="H40" s="286"/>
      <c r="I40" s="897">
        <v>0</v>
      </c>
    </row>
    <row r="41" spans="1:15">
      <c r="A41" s="220">
        <v>27</v>
      </c>
      <c r="B41" s="1" t="s">
        <v>194</v>
      </c>
      <c r="C41" s="897">
        <v>136777.17000000001</v>
      </c>
      <c r="D41" s="897">
        <v>0</v>
      </c>
      <c r="E41" s="897">
        <v>0</v>
      </c>
      <c r="F41" s="897">
        <v>-1128.82</v>
      </c>
      <c r="G41" s="897">
        <v>-1551.2400000000016</v>
      </c>
      <c r="H41" s="897">
        <v>104881.92</v>
      </c>
      <c r="I41" s="897">
        <v>0</v>
      </c>
    </row>
    <row r="42" spans="1:15" ht="13.5" thickBot="1">
      <c r="A42" s="220">
        <v>28</v>
      </c>
      <c r="B42" s="6" t="s">
        <v>259</v>
      </c>
      <c r="C42" s="656">
        <f t="shared" ref="C42:I42" si="1">SUM(C29:C41)/13</f>
        <v>170971.41</v>
      </c>
      <c r="D42" s="656">
        <f t="shared" si="1"/>
        <v>0</v>
      </c>
      <c r="E42" s="656">
        <f>(E29+E41)/2</f>
        <v>0</v>
      </c>
      <c r="F42" s="656">
        <f>(F29+F41)/2</f>
        <v>386.36500000000001</v>
      </c>
      <c r="G42" s="656">
        <f>(G29+G41)/2</f>
        <v>38815.919999999998</v>
      </c>
      <c r="H42" s="656">
        <f>(H29+H41)/2</f>
        <v>70730.06</v>
      </c>
      <c r="I42" s="656">
        <f t="shared" si="1"/>
        <v>0</v>
      </c>
    </row>
    <row r="43" spans="1:15" ht="13.5"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5" t="s">
        <v>681</v>
      </c>
      <c r="D49" s="925" t="s">
        <v>685</v>
      </c>
      <c r="E49" s="925" t="s">
        <v>684</v>
      </c>
      <c r="L49" s="12"/>
      <c r="M49" s="12"/>
      <c r="N49" s="12"/>
      <c r="O49" s="12"/>
    </row>
    <row r="50" spans="1:15" s="324" customFormat="1" ht="12.75" customHeight="1">
      <c r="A50" s="652"/>
      <c r="B50" s="218"/>
      <c r="C50" s="925"/>
      <c r="D50" s="925"/>
      <c r="E50" s="925"/>
      <c r="L50" s="12"/>
      <c r="M50" s="12"/>
      <c r="N50" s="12"/>
      <c r="O50" s="12"/>
    </row>
    <row r="51" spans="1:15" s="324" customFormat="1">
      <c r="A51" s="652"/>
      <c r="B51" s="218"/>
      <c r="C51" s="3" t="s">
        <v>196</v>
      </c>
      <c r="D51" s="3" t="s">
        <v>197</v>
      </c>
      <c r="E51" s="654" t="s">
        <v>683</v>
      </c>
      <c r="L51" s="12"/>
      <c r="M51" s="12"/>
      <c r="N51" s="12"/>
      <c r="O51" s="12"/>
    </row>
    <row r="52" spans="1:15" s="324" customFormat="1" ht="25.5">
      <c r="A52" s="652"/>
      <c r="B52" s="218"/>
      <c r="C52" s="326" t="s">
        <v>680</v>
      </c>
      <c r="D52" s="326" t="s">
        <v>682</v>
      </c>
      <c r="E52" s="326"/>
      <c r="L52" s="12"/>
      <c r="M52" s="12"/>
      <c r="N52" s="12"/>
      <c r="O52" s="12"/>
    </row>
    <row r="53" spans="1:15" s="324" customFormat="1">
      <c r="A53" s="652">
        <f>+A42+1</f>
        <v>29</v>
      </c>
      <c r="B53" s="5" t="s">
        <v>193</v>
      </c>
      <c r="C53" s="882">
        <v>7104129.3899999997</v>
      </c>
      <c r="D53" s="897">
        <v>0</v>
      </c>
      <c r="E53" s="367">
        <f t="shared" ref="E53:E65" si="2">+C53-D53</f>
        <v>7104129.3899999997</v>
      </c>
      <c r="L53" s="12"/>
      <c r="M53" s="12"/>
      <c r="N53" s="12"/>
      <c r="O53" s="12"/>
    </row>
    <row r="54" spans="1:15" s="324" customFormat="1">
      <c r="A54" s="652">
        <f>+A53+1</f>
        <v>30</v>
      </c>
      <c r="B54" s="5" t="s">
        <v>85</v>
      </c>
      <c r="C54" s="882">
        <v>7653923.9500000002</v>
      </c>
      <c r="D54" s="897">
        <v>-32700</v>
      </c>
      <c r="E54" s="367">
        <f t="shared" si="2"/>
        <v>7686623.9500000002</v>
      </c>
      <c r="L54" s="12"/>
      <c r="M54" s="12"/>
      <c r="N54" s="12"/>
      <c r="O54" s="12"/>
    </row>
    <row r="55" spans="1:15" s="324" customFormat="1">
      <c r="A55" s="652">
        <f t="shared" ref="A55:A65" si="3">+A54+1</f>
        <v>31</v>
      </c>
      <c r="B55" s="1" t="s">
        <v>84</v>
      </c>
      <c r="C55" s="882">
        <v>10488985.529999999</v>
      </c>
      <c r="D55" s="897">
        <v>-32700</v>
      </c>
      <c r="E55" s="655">
        <f t="shared" si="2"/>
        <v>10521685.529999999</v>
      </c>
      <c r="L55" s="12"/>
      <c r="M55" s="12"/>
      <c r="N55" s="12"/>
      <c r="O55" s="12"/>
    </row>
    <row r="56" spans="1:15" s="324" customFormat="1">
      <c r="A56" s="652">
        <f t="shared" si="3"/>
        <v>32</v>
      </c>
      <c r="B56" s="1" t="s">
        <v>170</v>
      </c>
      <c r="C56" s="882">
        <v>11659256.300000001</v>
      </c>
      <c r="D56" s="897">
        <v>-32700</v>
      </c>
      <c r="E56" s="655">
        <f t="shared" si="2"/>
        <v>11691956.300000001</v>
      </c>
      <c r="L56" s="12"/>
      <c r="M56" s="12"/>
      <c r="N56" s="12"/>
      <c r="O56" s="12"/>
    </row>
    <row r="57" spans="1:15" s="324" customFormat="1">
      <c r="A57" s="652">
        <f t="shared" si="3"/>
        <v>33</v>
      </c>
      <c r="B57" s="1" t="s">
        <v>76</v>
      </c>
      <c r="C57" s="882">
        <v>13699593.84</v>
      </c>
      <c r="D57" s="897">
        <v>-32700</v>
      </c>
      <c r="E57" s="655">
        <f t="shared" si="2"/>
        <v>13732293.84</v>
      </c>
      <c r="L57" s="12"/>
      <c r="M57" s="12"/>
      <c r="N57" s="12"/>
      <c r="O57" s="12"/>
    </row>
    <row r="58" spans="1:15" s="324" customFormat="1">
      <c r="A58" s="652">
        <f t="shared" si="3"/>
        <v>34</v>
      </c>
      <c r="B58" s="1" t="s">
        <v>75</v>
      </c>
      <c r="C58" s="882">
        <v>16779596.219999999</v>
      </c>
      <c r="D58" s="897">
        <v>-32700</v>
      </c>
      <c r="E58" s="655">
        <f t="shared" si="2"/>
        <v>16812296.219999999</v>
      </c>
      <c r="L58" s="12"/>
      <c r="M58" s="12"/>
      <c r="N58" s="12"/>
      <c r="O58" s="12"/>
    </row>
    <row r="59" spans="1:15" s="324" customFormat="1">
      <c r="A59" s="652">
        <f t="shared" si="3"/>
        <v>35</v>
      </c>
      <c r="B59" s="1" t="s">
        <v>95</v>
      </c>
      <c r="C59" s="882">
        <v>21757068.379999999</v>
      </c>
      <c r="D59" s="897">
        <v>-32700.000000000004</v>
      </c>
      <c r="E59" s="655">
        <f t="shared" si="2"/>
        <v>21789768.379999999</v>
      </c>
      <c r="L59" s="12"/>
      <c r="M59" s="12"/>
      <c r="N59" s="12"/>
      <c r="O59" s="12"/>
    </row>
    <row r="60" spans="1:15" s="324" customFormat="1">
      <c r="A60" s="652">
        <f t="shared" si="3"/>
        <v>36</v>
      </c>
      <c r="B60" s="1" t="s">
        <v>82</v>
      </c>
      <c r="C60" s="882">
        <v>28318833.23</v>
      </c>
      <c r="D60" s="897">
        <v>-32700</v>
      </c>
      <c r="E60" s="655">
        <f t="shared" si="2"/>
        <v>28351533.23</v>
      </c>
      <c r="L60" s="12"/>
      <c r="M60" s="12"/>
      <c r="N60" s="12"/>
      <c r="O60" s="12"/>
    </row>
    <row r="61" spans="1:15" s="324" customFormat="1">
      <c r="A61" s="652">
        <f t="shared" si="3"/>
        <v>37</v>
      </c>
      <c r="B61" s="1" t="s">
        <v>171</v>
      </c>
      <c r="C61" s="882">
        <v>32827829.219999999</v>
      </c>
      <c r="D61" s="897">
        <v>-32700</v>
      </c>
      <c r="E61" s="655">
        <f t="shared" si="2"/>
        <v>32860529.219999999</v>
      </c>
      <c r="L61" s="12"/>
      <c r="M61" s="12"/>
      <c r="N61" s="12"/>
      <c r="O61" s="12"/>
    </row>
    <row r="62" spans="1:15" s="324" customFormat="1">
      <c r="A62" s="652">
        <f t="shared" si="3"/>
        <v>38</v>
      </c>
      <c r="B62" s="1" t="s">
        <v>80</v>
      </c>
      <c r="C62" s="882">
        <v>34665871.640000001</v>
      </c>
      <c r="D62" s="897">
        <v>-32699.999999999996</v>
      </c>
      <c r="E62" s="655">
        <f t="shared" si="2"/>
        <v>34698571.640000001</v>
      </c>
      <c r="L62" s="12"/>
      <c r="M62" s="12"/>
      <c r="N62" s="12"/>
      <c r="O62" s="12"/>
    </row>
    <row r="63" spans="1:15" s="324" customFormat="1">
      <c r="A63" s="652">
        <f t="shared" si="3"/>
        <v>39</v>
      </c>
      <c r="B63" s="1" t="s">
        <v>86</v>
      </c>
      <c r="C63" s="882">
        <v>39991687.659999996</v>
      </c>
      <c r="D63" s="897">
        <v>-32699.999999999993</v>
      </c>
      <c r="E63" s="655">
        <f t="shared" si="2"/>
        <v>40024387.659999996</v>
      </c>
      <c r="L63" s="12"/>
      <c r="M63" s="12"/>
      <c r="N63" s="12"/>
      <c r="O63" s="12"/>
    </row>
    <row r="64" spans="1:15" s="324" customFormat="1">
      <c r="A64" s="652">
        <f t="shared" si="3"/>
        <v>40</v>
      </c>
      <c r="B64" s="1" t="s">
        <v>79</v>
      </c>
      <c r="C64" s="882">
        <v>46647691.280000001</v>
      </c>
      <c r="D64" s="897">
        <v>-32699.999999999982</v>
      </c>
      <c r="E64" s="655">
        <f t="shared" si="2"/>
        <v>46680391.280000001</v>
      </c>
      <c r="L64" s="12"/>
      <c r="M64" s="12"/>
      <c r="N64" s="12"/>
      <c r="O64" s="12"/>
    </row>
    <row r="65" spans="1:16" s="324" customFormat="1">
      <c r="A65" s="652">
        <f t="shared" si="3"/>
        <v>41</v>
      </c>
      <c r="B65" s="1" t="s">
        <v>194</v>
      </c>
      <c r="C65" s="882">
        <v>53495138.240000002</v>
      </c>
      <c r="D65" s="897">
        <v>10660.000000000047</v>
      </c>
      <c r="E65" s="655">
        <f t="shared" si="2"/>
        <v>53484478.240000002</v>
      </c>
      <c r="L65" s="12"/>
      <c r="M65" s="12"/>
      <c r="N65" s="12"/>
      <c r="O65" s="12"/>
    </row>
    <row r="66" spans="1:16" s="324" customFormat="1" ht="13.5" thickBot="1">
      <c r="A66" s="652"/>
      <c r="B66" s="218"/>
      <c r="C66" s="656">
        <f>+E66+D66</f>
        <v>25006892.683076922</v>
      </c>
      <c r="D66" s="656">
        <f>SUM(D53:D65)/13</f>
        <v>-26849.230769230766</v>
      </c>
      <c r="E66" s="656">
        <f>SUM(E53:E65)/13</f>
        <v>25033741.913846154</v>
      </c>
      <c r="L66" s="12"/>
      <c r="M66" s="12"/>
      <c r="N66" s="12"/>
      <c r="O66" s="12"/>
    </row>
    <row r="67" spans="1:16" s="324" customFormat="1" ht="13.5"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3.75">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3" t="s">
        <v>813</v>
      </c>
      <c r="C78" s="903"/>
      <c r="D78" s="903"/>
      <c r="E78" s="903"/>
      <c r="F78" s="903"/>
      <c r="G78" s="903"/>
      <c r="H78" s="903"/>
      <c r="I78" s="903"/>
      <c r="J78" s="853"/>
      <c r="K78" s="446"/>
    </row>
    <row r="79" spans="1:16" ht="27.75" customHeight="1">
      <c r="A79" s="325" t="s">
        <v>64</v>
      </c>
      <c r="B79" s="903" t="s">
        <v>545</v>
      </c>
      <c r="C79" s="903"/>
      <c r="D79" s="903"/>
      <c r="E79" s="903"/>
      <c r="F79" s="903"/>
      <c r="G79" s="903"/>
      <c r="H79" s="903"/>
      <c r="I79" s="903"/>
      <c r="J79" s="853"/>
      <c r="K79" s="853"/>
    </row>
    <row r="80" spans="1:16" ht="12.75" customHeight="1">
      <c r="A80" s="325" t="s">
        <v>65</v>
      </c>
      <c r="B80" s="903" t="s">
        <v>365</v>
      </c>
      <c r="C80" s="903"/>
      <c r="D80" s="903"/>
      <c r="E80" s="903"/>
      <c r="F80" s="903"/>
      <c r="G80" s="903"/>
      <c r="H80" s="903"/>
      <c r="I80" s="903"/>
      <c r="J80" s="853"/>
      <c r="K80" s="853"/>
      <c r="L80" s="219"/>
    </row>
    <row r="81" spans="1:11">
      <c r="A81" s="325" t="s">
        <v>66</v>
      </c>
      <c r="B81" s="903" t="s">
        <v>633</v>
      </c>
      <c r="C81" s="903"/>
      <c r="D81" s="903"/>
      <c r="E81" s="903"/>
      <c r="F81" s="903"/>
      <c r="G81" s="903"/>
      <c r="H81" s="903"/>
      <c r="I81" s="903"/>
      <c r="J81" s="850"/>
      <c r="K81" s="850"/>
    </row>
    <row r="82" spans="1:11" s="217" customFormat="1" ht="60.75" customHeight="1">
      <c r="A82" s="325" t="s">
        <v>67</v>
      </c>
      <c r="B82" s="903" t="s">
        <v>721</v>
      </c>
      <c r="C82" s="903"/>
      <c r="D82" s="903"/>
      <c r="E82" s="903"/>
      <c r="F82" s="903"/>
      <c r="G82" s="903"/>
      <c r="H82" s="903"/>
      <c r="I82" s="903"/>
      <c r="J82" s="854"/>
      <c r="K82" s="854"/>
    </row>
    <row r="83" spans="1:11" ht="24.75" customHeight="1">
      <c r="A83" s="325" t="s">
        <v>68</v>
      </c>
      <c r="B83" s="929" t="s">
        <v>810</v>
      </c>
      <c r="C83" s="929"/>
      <c r="D83" s="929"/>
      <c r="E83" s="929"/>
      <c r="F83" s="929"/>
      <c r="G83" s="929"/>
      <c r="H83" s="929"/>
      <c r="I83" s="929"/>
      <c r="J83" s="854"/>
      <c r="K83" s="849"/>
    </row>
    <row r="84" spans="1:11" ht="18" customHeight="1">
      <c r="A84" s="325" t="s">
        <v>69</v>
      </c>
      <c r="B84" s="922" t="s">
        <v>723</v>
      </c>
      <c r="C84" s="922"/>
      <c r="D84" s="922"/>
      <c r="E84" s="922"/>
      <c r="F84" s="922"/>
      <c r="G84" s="922"/>
      <c r="H84" s="922"/>
      <c r="I84" s="922"/>
      <c r="J84" s="849"/>
      <c r="K84" s="849"/>
    </row>
  </sheetData>
  <customSheetViews>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1"/>
    </customSheetView>
    <customSheetView guid="{F04A2B9A-C6FE-4FEB-AD1E-2CF9AC309BE4}" scale="85" showPageBreaks="1" printArea="1">
      <selection activeCell="E6" sqref="E6"/>
      <pageMargins left="0.7" right="0.7" top="0.75" bottom="0.75" header="0.3" footer="0.3"/>
      <pageSetup scale="55" orientation="landscape" r:id="rId2"/>
    </customSheetView>
  </customSheetViews>
  <mergeCells count="17">
    <mergeCell ref="B1:I1"/>
    <mergeCell ref="B2:I2"/>
    <mergeCell ref="B3:I3"/>
    <mergeCell ref="B82:I82"/>
    <mergeCell ref="B83:I83"/>
    <mergeCell ref="B84:I84"/>
    <mergeCell ref="C25:I25"/>
    <mergeCell ref="I6:J6"/>
    <mergeCell ref="G6:H6"/>
    <mergeCell ref="C6:D6"/>
    <mergeCell ref="C49:C50"/>
    <mergeCell ref="D49:D50"/>
    <mergeCell ref="E49:E50"/>
    <mergeCell ref="B78:I78"/>
    <mergeCell ref="B79:I79"/>
    <mergeCell ref="B80:I80"/>
    <mergeCell ref="B81:I81"/>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G22" sqref="G22"/>
    </sheetView>
  </sheetViews>
  <sheetFormatPr defaultColWidth="14" defaultRowHeight="12.75"/>
  <cols>
    <col min="1" max="1" width="5.77734375" style="99" bestFit="1" customWidth="1"/>
    <col min="2" max="2" width="20.88671875" style="324" customWidth="1"/>
    <col min="3" max="3" width="14.33203125" style="324" customWidth="1"/>
    <col min="4" max="4" width="14" style="324" customWidth="1"/>
    <col min="5" max="5" width="12.5546875" style="324" customWidth="1"/>
    <col min="6" max="6" width="13.33203125" style="324" customWidth="1"/>
    <col min="7" max="7" width="12.77734375" style="324" customWidth="1"/>
    <col min="8" max="9" width="8.5546875" style="324" customWidth="1"/>
    <col min="10" max="10" width="13.6640625" style="324" bestFit="1" customWidth="1"/>
    <col min="11" max="11" width="12.5546875" style="324" bestFit="1" customWidth="1"/>
    <col min="12" max="12" width="11.21875" style="324" bestFit="1" customWidth="1"/>
    <col min="13" max="13" width="12.77734375" style="324" customWidth="1"/>
    <col min="14" max="14" width="14" style="324"/>
    <col min="15" max="15" width="10" style="324" bestFit="1" customWidth="1"/>
    <col min="16" max="16384" width="14" style="324"/>
  </cols>
  <sheetData>
    <row r="1" spans="1:15">
      <c r="A1" s="926" t="s">
        <v>190</v>
      </c>
      <c r="B1" s="926"/>
      <c r="C1" s="926"/>
      <c r="D1" s="926"/>
      <c r="E1" s="926"/>
      <c r="F1" s="926"/>
      <c r="G1" s="926"/>
      <c r="H1" s="926"/>
      <c r="I1" s="926"/>
      <c r="J1" s="926"/>
    </row>
    <row r="2" spans="1:15" ht="15" customHeight="1">
      <c r="A2" s="931" t="s">
        <v>483</v>
      </c>
      <c r="B2" s="931"/>
      <c r="C2" s="931"/>
      <c r="D2" s="931"/>
      <c r="E2" s="931"/>
      <c r="F2" s="931"/>
      <c r="G2" s="931"/>
      <c r="H2" s="931"/>
      <c r="I2" s="931"/>
      <c r="J2" s="931"/>
    </row>
    <row r="3" spans="1:15">
      <c r="A3" s="928" t="str">
        <f>+'Attachment H-26'!$D$5</f>
        <v>Transource West Virginia, LLC</v>
      </c>
      <c r="B3" s="928"/>
      <c r="C3" s="928"/>
      <c r="D3" s="928"/>
      <c r="E3" s="928"/>
      <c r="F3" s="928"/>
      <c r="G3" s="928"/>
      <c r="H3" s="928"/>
      <c r="I3" s="928"/>
      <c r="J3" s="928"/>
      <c r="K3" s="555"/>
      <c r="L3" s="555"/>
      <c r="M3" s="555"/>
      <c r="N3" s="555"/>
    </row>
    <row r="4" spans="1:15">
      <c r="B4" s="553"/>
    </row>
    <row r="5" spans="1:15">
      <c r="A5" s="261"/>
      <c r="B5" s="24" t="s">
        <v>468</v>
      </c>
      <c r="C5" s="553"/>
      <c r="F5" s="553"/>
      <c r="G5" s="553"/>
      <c r="H5" s="553"/>
      <c r="I5" s="553"/>
      <c r="J5" s="553"/>
      <c r="K5" s="272"/>
      <c r="L5" s="553"/>
      <c r="N5" s="102"/>
      <c r="O5" s="102"/>
    </row>
    <row r="6" spans="1:15" ht="16.5" thickBot="1">
      <c r="A6" s="261"/>
      <c r="B6" s="24"/>
      <c r="C6" s="553"/>
      <c r="D6" s="273"/>
      <c r="E6" s="273"/>
      <c r="F6" s="396" t="s">
        <v>48</v>
      </c>
      <c r="G6" s="273"/>
      <c r="H6" s="273"/>
      <c r="I6" s="273"/>
      <c r="K6" s="272"/>
      <c r="L6" s="553"/>
      <c r="N6" s="102"/>
      <c r="O6" s="102"/>
    </row>
    <row r="7" spans="1:15" ht="15.75">
      <c r="A7" s="261">
        <v>1</v>
      </c>
      <c r="B7" s="24" t="s">
        <v>292</v>
      </c>
      <c r="C7" s="24"/>
      <c r="F7" s="147">
        <v>333246.93</v>
      </c>
      <c r="G7" s="273"/>
      <c r="H7" s="273"/>
      <c r="I7" s="273"/>
      <c r="N7" s="103"/>
      <c r="O7" s="103"/>
    </row>
    <row r="8" spans="1:15" ht="15.75">
      <c r="A8" s="261"/>
      <c r="B8" s="24"/>
      <c r="C8" s="24"/>
      <c r="F8" s="159"/>
      <c r="G8" s="273"/>
      <c r="H8" s="273"/>
      <c r="I8" s="273"/>
      <c r="N8" s="103"/>
      <c r="O8" s="103"/>
    </row>
    <row r="9" spans="1:15" ht="15.75">
      <c r="A9" s="261">
        <f>+A7+1</f>
        <v>2</v>
      </c>
      <c r="B9" s="24" t="s">
        <v>293</v>
      </c>
      <c r="C9" s="24"/>
      <c r="F9" s="147">
        <v>0</v>
      </c>
      <c r="G9" s="273"/>
      <c r="H9" s="273"/>
      <c r="I9" s="274"/>
      <c r="N9" s="102"/>
      <c r="O9" s="102"/>
    </row>
    <row r="10" spans="1:15" ht="15.75">
      <c r="A10" s="261"/>
      <c r="B10" s="24"/>
      <c r="C10" s="24"/>
      <c r="F10" s="409"/>
      <c r="G10" s="273"/>
      <c r="H10" s="273"/>
      <c r="I10" s="273"/>
      <c r="N10" s="102"/>
      <c r="O10" s="102"/>
    </row>
    <row r="11" spans="1:15" ht="15.75">
      <c r="A11" s="261">
        <f>+A9+1</f>
        <v>3</v>
      </c>
      <c r="B11" s="24" t="s">
        <v>858</v>
      </c>
      <c r="C11" s="24"/>
      <c r="F11" s="159">
        <f>+E40</f>
        <v>12643680.152923075</v>
      </c>
      <c r="G11" s="273"/>
      <c r="H11" s="273"/>
      <c r="I11" s="273"/>
    </row>
    <row r="12" spans="1:15" ht="15.75">
      <c r="A12" s="261">
        <f t="shared" ref="A12:A22" si="0">+A11+1</f>
        <v>4</v>
      </c>
      <c r="B12" s="24" t="s">
        <v>484</v>
      </c>
      <c r="C12" s="24"/>
      <c r="F12" s="397">
        <f>-D40</f>
        <v>0</v>
      </c>
      <c r="G12" s="273"/>
      <c r="H12" s="273"/>
      <c r="I12" s="273"/>
    </row>
    <row r="13" spans="1:15" ht="15.75">
      <c r="A13" s="261">
        <f t="shared" si="0"/>
        <v>5</v>
      </c>
      <c r="B13" s="24" t="s">
        <v>494</v>
      </c>
      <c r="C13" s="24"/>
      <c r="F13" s="397">
        <f>-F40</f>
        <v>0</v>
      </c>
      <c r="G13" s="273"/>
      <c r="H13" s="273"/>
      <c r="I13" s="273"/>
    </row>
    <row r="14" spans="1:15" ht="16.5" thickBot="1">
      <c r="A14" s="261">
        <f t="shared" si="0"/>
        <v>6</v>
      </c>
      <c r="B14" s="24" t="s">
        <v>495</v>
      </c>
      <c r="C14" s="24"/>
      <c r="F14" s="171">
        <f>-G40</f>
        <v>0</v>
      </c>
      <c r="G14" s="273"/>
      <c r="H14" s="273"/>
      <c r="I14" s="273"/>
    </row>
    <row r="15" spans="1:15" ht="15.75">
      <c r="A15" s="261">
        <f t="shared" si="0"/>
        <v>7</v>
      </c>
      <c r="B15" s="24" t="s">
        <v>295</v>
      </c>
      <c r="C15" s="32" t="s">
        <v>493</v>
      </c>
      <c r="F15" s="557">
        <f>+SUM(F11:F14)</f>
        <v>12643680.152923075</v>
      </c>
      <c r="G15" s="275"/>
      <c r="H15" s="276"/>
      <c r="I15" s="275"/>
    </row>
    <row r="16" spans="1:15">
      <c r="A16" s="261"/>
      <c r="B16" s="24"/>
      <c r="C16" s="553"/>
      <c r="J16" s="409"/>
    </row>
    <row r="17" spans="1:10">
      <c r="A17" s="261"/>
      <c r="B17" s="554"/>
      <c r="C17" s="553"/>
      <c r="F17" s="553"/>
      <c r="G17" s="553"/>
      <c r="I17" s="553"/>
      <c r="J17" s="553"/>
    </row>
    <row r="18" spans="1:10" ht="13.5" thickBot="1">
      <c r="A18" s="261"/>
      <c r="B18" s="554"/>
      <c r="C18" s="553"/>
      <c r="F18" s="29" t="s">
        <v>48</v>
      </c>
      <c r="G18" s="29" t="s">
        <v>58</v>
      </c>
      <c r="H18" s="29" t="s">
        <v>57</v>
      </c>
      <c r="I18" s="29" t="s">
        <v>59</v>
      </c>
      <c r="J18" s="553"/>
    </row>
    <row r="19" spans="1:10">
      <c r="A19" s="261">
        <f>+A15+1</f>
        <v>8</v>
      </c>
      <c r="B19" s="24" t="s">
        <v>236</v>
      </c>
      <c r="C19" s="30" t="s">
        <v>832</v>
      </c>
      <c r="F19" s="194">
        <f>+C40</f>
        <v>10725255.76923077</v>
      </c>
      <c r="G19" s="898">
        <v>0.4</v>
      </c>
      <c r="H19" s="372">
        <f>+'9- Cost of Debt True-up'!D35</f>
        <v>3.076779771972445E-2</v>
      </c>
      <c r="I19" s="215">
        <f>G19*H19</f>
        <v>1.2307119087889781E-2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5" thickBot="1">
      <c r="A21" s="261">
        <f t="shared" si="0"/>
        <v>10</v>
      </c>
      <c r="B21" s="24" t="s">
        <v>278</v>
      </c>
      <c r="C21" s="32" t="s">
        <v>834</v>
      </c>
      <c r="F21" s="281">
        <f>+E40</f>
        <v>12643680.152923075</v>
      </c>
      <c r="G21" s="898">
        <v>0.6</v>
      </c>
      <c r="H21" s="883">
        <f>0.1+0.005</f>
        <v>0.10500000000000001</v>
      </c>
      <c r="I21" s="335">
        <f>G21*H21</f>
        <v>6.3E-2</v>
      </c>
      <c r="J21" s="553"/>
    </row>
    <row r="22" spans="1:10">
      <c r="A22" s="261">
        <f t="shared" si="0"/>
        <v>11</v>
      </c>
      <c r="B22" s="554" t="s">
        <v>228</v>
      </c>
      <c r="C22" s="32" t="s">
        <v>492</v>
      </c>
      <c r="F22" s="194">
        <f>SUM(F19:F21)</f>
        <v>23368935.922153845</v>
      </c>
      <c r="G22" s="553" t="s">
        <v>2</v>
      </c>
      <c r="H22" s="511"/>
      <c r="I22" s="215">
        <f>SUM(I19:I21)</f>
        <v>7.5307119087889784E-2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4956025</v>
      </c>
      <c r="D27" s="295">
        <v>0</v>
      </c>
      <c r="E27" s="295">
        <v>2991857.2460000003</v>
      </c>
      <c r="F27" s="295">
        <v>0</v>
      </c>
      <c r="G27" s="295">
        <v>0</v>
      </c>
    </row>
    <row r="28" spans="1:10">
      <c r="A28" s="374">
        <f>+A27+1</f>
        <v>13</v>
      </c>
      <c r="B28" s="377" t="s">
        <v>85</v>
      </c>
      <c r="C28" s="295">
        <v>6956025</v>
      </c>
      <c r="D28" s="295">
        <v>0</v>
      </c>
      <c r="E28" s="295">
        <v>3108647.3059999999</v>
      </c>
      <c r="F28" s="295">
        <v>0</v>
      </c>
      <c r="G28" s="295">
        <v>0</v>
      </c>
    </row>
    <row r="29" spans="1:10">
      <c r="A29" s="374">
        <f t="shared" ref="A29:A40" si="2">+A28+1</f>
        <v>14</v>
      </c>
      <c r="B29" s="378" t="s">
        <v>84</v>
      </c>
      <c r="C29" s="295">
        <v>7456025</v>
      </c>
      <c r="D29" s="295">
        <v>0</v>
      </c>
      <c r="E29" s="295">
        <v>4215042.9960000003</v>
      </c>
      <c r="F29" s="295">
        <v>0</v>
      </c>
      <c r="G29" s="295">
        <v>0</v>
      </c>
    </row>
    <row r="30" spans="1:10">
      <c r="A30" s="374">
        <f t="shared" si="2"/>
        <v>15</v>
      </c>
      <c r="B30" s="378" t="s">
        <v>83</v>
      </c>
      <c r="C30" s="295">
        <v>7456025</v>
      </c>
      <c r="D30" s="295">
        <v>0</v>
      </c>
      <c r="E30" s="295">
        <v>4333527.5959999999</v>
      </c>
      <c r="F30" s="295">
        <v>0</v>
      </c>
      <c r="G30" s="295">
        <v>0</v>
      </c>
    </row>
    <row r="31" spans="1:10">
      <c r="A31" s="374">
        <f t="shared" si="2"/>
        <v>16</v>
      </c>
      <c r="B31" s="377" t="s">
        <v>76</v>
      </c>
      <c r="C31" s="295">
        <v>9256025</v>
      </c>
      <c r="D31" s="295">
        <v>0</v>
      </c>
      <c r="E31" s="295">
        <v>6453425.6560000004</v>
      </c>
      <c r="F31" s="295">
        <v>0</v>
      </c>
      <c r="G31" s="295">
        <v>0</v>
      </c>
    </row>
    <row r="32" spans="1:10">
      <c r="A32" s="374">
        <f t="shared" si="2"/>
        <v>17</v>
      </c>
      <c r="B32" s="378" t="s">
        <v>75</v>
      </c>
      <c r="C32" s="295">
        <v>9256025</v>
      </c>
      <c r="D32" s="295">
        <v>0</v>
      </c>
      <c r="E32" s="295">
        <v>9500245.0759999994</v>
      </c>
      <c r="F32" s="295">
        <v>0</v>
      </c>
      <c r="G32" s="295">
        <v>0</v>
      </c>
    </row>
    <row r="33" spans="1:13">
      <c r="A33" s="374">
        <f t="shared" si="2"/>
        <v>18</v>
      </c>
      <c r="B33" s="378" t="s">
        <v>480</v>
      </c>
      <c r="C33" s="295">
        <v>11756025</v>
      </c>
      <c r="D33" s="295">
        <v>0</v>
      </c>
      <c r="E33" s="295">
        <v>9583541.1160000004</v>
      </c>
      <c r="F33" s="295">
        <v>0</v>
      </c>
      <c r="G33" s="295">
        <v>0</v>
      </c>
    </row>
    <row r="34" spans="1:13">
      <c r="A34" s="374">
        <f t="shared" si="2"/>
        <v>19</v>
      </c>
      <c r="B34" s="377" t="s">
        <v>82</v>
      </c>
      <c r="C34" s="295">
        <v>11756025</v>
      </c>
      <c r="D34" s="295">
        <v>0</v>
      </c>
      <c r="E34" s="295">
        <v>13763603.456</v>
      </c>
      <c r="F34" s="295">
        <v>0</v>
      </c>
      <c r="G34" s="295">
        <v>0</v>
      </c>
    </row>
    <row r="35" spans="1:13">
      <c r="A35" s="374">
        <f t="shared" si="2"/>
        <v>20</v>
      </c>
      <c r="B35" s="378" t="s">
        <v>81</v>
      </c>
      <c r="C35" s="295">
        <v>11756025</v>
      </c>
      <c r="D35" s="295">
        <v>0</v>
      </c>
      <c r="E35" s="295">
        <v>18270842.585999999</v>
      </c>
      <c r="F35" s="295">
        <v>0</v>
      </c>
      <c r="G35" s="295">
        <v>0</v>
      </c>
    </row>
    <row r="36" spans="1:13">
      <c r="A36" s="374">
        <f t="shared" si="2"/>
        <v>21</v>
      </c>
      <c r="B36" s="378" t="s">
        <v>80</v>
      </c>
      <c r="C36" s="295">
        <v>11756025</v>
      </c>
      <c r="D36" s="295">
        <v>0</v>
      </c>
      <c r="E36" s="295">
        <v>20118691.726</v>
      </c>
      <c r="F36" s="295">
        <v>0</v>
      </c>
      <c r="G36" s="295">
        <v>0</v>
      </c>
    </row>
    <row r="37" spans="1:13">
      <c r="A37" s="374">
        <f t="shared" si="2"/>
        <v>22</v>
      </c>
      <c r="B37" s="377" t="s">
        <v>481</v>
      </c>
      <c r="C37" s="295">
        <v>14456025</v>
      </c>
      <c r="D37" s="295">
        <v>0</v>
      </c>
      <c r="E37" s="295">
        <v>20215158.076000001</v>
      </c>
      <c r="F37" s="295">
        <v>0</v>
      </c>
      <c r="G37" s="295">
        <v>0</v>
      </c>
    </row>
    <row r="38" spans="1:13">
      <c r="A38" s="374">
        <f t="shared" si="2"/>
        <v>23</v>
      </c>
      <c r="B38" s="377" t="s">
        <v>79</v>
      </c>
      <c r="C38" s="295">
        <v>15656025</v>
      </c>
      <c r="D38" s="295">
        <v>0</v>
      </c>
      <c r="E38" s="295">
        <v>23330737.995999999</v>
      </c>
      <c r="F38" s="295">
        <v>0</v>
      </c>
      <c r="G38" s="295">
        <v>0</v>
      </c>
    </row>
    <row r="39" spans="1:13">
      <c r="A39" s="374">
        <f t="shared" si="2"/>
        <v>24</v>
      </c>
      <c r="B39" s="378" t="s">
        <v>78</v>
      </c>
      <c r="C39" s="295">
        <v>16956025</v>
      </c>
      <c r="D39" s="295">
        <v>0</v>
      </c>
      <c r="E39" s="295">
        <v>28482521.155999999</v>
      </c>
      <c r="F39" s="295">
        <v>0</v>
      </c>
      <c r="G39" s="295">
        <v>0</v>
      </c>
    </row>
    <row r="40" spans="1:13">
      <c r="A40" s="374">
        <f t="shared" si="2"/>
        <v>25</v>
      </c>
      <c r="B40" s="379" t="s">
        <v>631</v>
      </c>
      <c r="C40" s="605">
        <f>+SUM(C27:C39)/13</f>
        <v>10725255.76923077</v>
      </c>
      <c r="D40" s="605">
        <f>+SUM(D27:D39)/13</f>
        <v>0</v>
      </c>
      <c r="E40" s="605">
        <f>+SUM(E27:E39)/13</f>
        <v>12643680.152923075</v>
      </c>
      <c r="F40" s="605">
        <f>+SUM(F27:F39)/13</f>
        <v>0</v>
      </c>
      <c r="G40" s="605">
        <f>+SUM(G27:G39)/13</f>
        <v>0</v>
      </c>
    </row>
    <row r="42" spans="1:13">
      <c r="A42" s="703" t="s">
        <v>579</v>
      </c>
    </row>
    <row r="43" spans="1:13" ht="15" customHeight="1">
      <c r="A43" s="262" t="s">
        <v>62</v>
      </c>
      <c r="B43" s="911" t="s">
        <v>491</v>
      </c>
      <c r="C43" s="911"/>
      <c r="D43" s="911"/>
      <c r="E43" s="911"/>
      <c r="F43" s="911"/>
      <c r="G43" s="911"/>
      <c r="H43" s="911"/>
      <c r="I43" s="911"/>
    </row>
    <row r="44" spans="1:13" s="583" customFormat="1">
      <c r="B44" s="911"/>
      <c r="C44" s="911"/>
      <c r="D44" s="911"/>
      <c r="E44" s="911"/>
      <c r="F44" s="911"/>
      <c r="G44" s="911"/>
      <c r="H44" s="911"/>
      <c r="I44" s="911"/>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1"/>
    </customSheetView>
    <customSheetView guid="{F04A2B9A-C6FE-4FEB-AD1E-2CF9AC309BE4}" fitToPage="1">
      <selection activeCell="G20" sqref="G20"/>
      <pageMargins left="0.7" right="0.7"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A9" sqref="A9"/>
    </sheetView>
  </sheetViews>
  <sheetFormatPr defaultColWidth="8.88671875" defaultRowHeight="15"/>
  <cols>
    <col min="1" max="1" width="21.77734375" style="661" customWidth="1"/>
    <col min="2" max="2" width="26.33203125" style="661" customWidth="1"/>
    <col min="3" max="3" width="2.33203125" style="661" customWidth="1"/>
    <col min="4" max="4" width="18.77734375" style="661" customWidth="1"/>
    <col min="5" max="5" width="1.77734375" style="661" customWidth="1"/>
    <col min="6" max="6" width="18.6640625" style="661" customWidth="1"/>
    <col min="7" max="7" width="12.77734375" style="661" customWidth="1"/>
    <col min="8" max="8" width="15" style="661" customWidth="1"/>
    <col min="9" max="9" width="15.77734375" style="661" customWidth="1"/>
    <col min="10" max="10" width="1.44140625" style="661" customWidth="1"/>
    <col min="11" max="11" width="22.109375" style="661" bestFit="1" customWidth="1"/>
    <col min="12" max="12" width="8.88671875" style="661"/>
    <col min="13" max="13" width="8.44140625" style="661" bestFit="1" customWidth="1"/>
    <col min="14" max="16384" width="8.88671875" style="661"/>
  </cols>
  <sheetData>
    <row r="1" spans="1:11" s="659" customFormat="1">
      <c r="A1" s="926" t="s">
        <v>191</v>
      </c>
      <c r="B1" s="926"/>
      <c r="C1" s="926"/>
      <c r="D1" s="926"/>
      <c r="E1" s="926"/>
      <c r="F1" s="926"/>
      <c r="G1" s="926"/>
      <c r="H1" s="926"/>
      <c r="I1" s="926"/>
      <c r="J1" s="926"/>
      <c r="K1" s="926"/>
    </row>
    <row r="2" spans="1:11" s="659" customFormat="1">
      <c r="A2" s="927" t="s">
        <v>706</v>
      </c>
      <c r="B2" s="927"/>
      <c r="C2" s="927"/>
      <c r="D2" s="927"/>
      <c r="E2" s="927"/>
      <c r="F2" s="927"/>
      <c r="G2" s="927"/>
      <c r="H2" s="927"/>
      <c r="I2" s="927"/>
      <c r="J2" s="927"/>
      <c r="K2" s="927"/>
    </row>
    <row r="3" spans="1:11" s="659" customFormat="1" ht="18" customHeight="1">
      <c r="A3" s="928" t="str">
        <f>+'Attachment H-26'!D5</f>
        <v>Transource West Virginia, LLC</v>
      </c>
      <c r="B3" s="928"/>
      <c r="C3" s="928"/>
      <c r="D3" s="928"/>
      <c r="E3" s="928"/>
      <c r="F3" s="928"/>
      <c r="G3" s="928"/>
      <c r="H3" s="928"/>
      <c r="I3" s="928"/>
      <c r="J3" s="928"/>
      <c r="K3" s="928"/>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5" thickBot="1">
      <c r="A6" s="670">
        <v>2018</v>
      </c>
      <c r="B6" s="671"/>
      <c r="C6" s="671"/>
      <c r="D6" s="839">
        <f>+A6</f>
        <v>2018</v>
      </c>
      <c r="E6" s="672"/>
      <c r="F6" s="672"/>
      <c r="G6" s="672"/>
      <c r="H6" s="672"/>
      <c r="J6" s="672"/>
      <c r="K6" s="672"/>
    </row>
    <row r="7" spans="1:11" s="582" customFormat="1" ht="25.5">
      <c r="A7" s="673" t="s">
        <v>793</v>
      </c>
      <c r="B7" s="672"/>
      <c r="C7" s="672"/>
      <c r="D7" s="673" t="s">
        <v>792</v>
      </c>
      <c r="E7" s="672"/>
      <c r="F7" s="672"/>
      <c r="G7" s="673" t="s">
        <v>689</v>
      </c>
      <c r="J7" s="672"/>
      <c r="K7" s="672"/>
    </row>
    <row r="8" spans="1:11" s="582" customFormat="1" ht="12.75">
      <c r="A8" s="674"/>
      <c r="B8" s="672"/>
      <c r="C8" s="672"/>
      <c r="D8" s="674"/>
      <c r="E8" s="672"/>
      <c r="F8" s="672"/>
      <c r="G8" s="675"/>
      <c r="J8" s="672"/>
      <c r="K8" s="672"/>
    </row>
    <row r="9" spans="1:11" s="582" customFormat="1" ht="13.5" thickBot="1">
      <c r="A9" s="836">
        <f>'3-Project True-up'!E19</f>
        <v>2692398.9966039485</v>
      </c>
      <c r="B9" s="677" t="s">
        <v>690</v>
      </c>
      <c r="C9" s="678"/>
      <c r="D9" s="676">
        <f>'3-Project True-up'!H29</f>
        <v>2764068.3598691802</v>
      </c>
      <c r="E9" s="679"/>
      <c r="F9" s="677" t="s">
        <v>691</v>
      </c>
      <c r="G9" s="680">
        <f>IF(D9=0,0,A9-D9)</f>
        <v>-71669.363265231717</v>
      </c>
      <c r="J9" s="672"/>
      <c r="K9" s="672"/>
    </row>
    <row r="10" spans="1:11" s="582" customFormat="1" ht="12.75">
      <c r="A10" s="679"/>
      <c r="B10" s="678"/>
      <c r="C10" s="678"/>
      <c r="D10" s="679"/>
      <c r="E10" s="679"/>
      <c r="F10" s="678"/>
      <c r="G10" s="679"/>
      <c r="H10" s="672"/>
      <c r="I10" s="672"/>
      <c r="J10" s="672"/>
      <c r="K10" s="672"/>
    </row>
    <row r="11" spans="1:11" s="582" customFormat="1" ht="12.75">
      <c r="A11" s="679" t="s">
        <v>835</v>
      </c>
      <c r="B11" s="678"/>
      <c r="C11" s="678"/>
      <c r="D11" s="679"/>
      <c r="E11" s="679"/>
      <c r="F11" s="678"/>
      <c r="G11" s="679"/>
      <c r="H11" s="672"/>
      <c r="I11" s="672"/>
      <c r="J11" s="672"/>
      <c r="K11" s="672"/>
    </row>
    <row r="12" spans="1:11" s="582" customFormat="1" ht="12.75">
      <c r="A12" s="679" t="s">
        <v>836</v>
      </c>
      <c r="B12" s="678"/>
      <c r="C12" s="678"/>
      <c r="D12" s="679"/>
      <c r="E12" s="679"/>
      <c r="F12" s="678"/>
      <c r="G12" s="679"/>
      <c r="H12" s="672"/>
      <c r="I12" s="672"/>
      <c r="J12" s="672"/>
      <c r="K12" s="672"/>
    </row>
    <row r="13" spans="1:11" s="582" customFormat="1" ht="12.75">
      <c r="A13" s="679"/>
      <c r="B13" s="678"/>
      <c r="C13" s="678"/>
      <c r="D13" s="679"/>
      <c r="E13" s="679"/>
      <c r="F13" s="678"/>
      <c r="G13" s="679"/>
      <c r="H13" s="672"/>
      <c r="I13" s="672"/>
      <c r="J13" s="672"/>
      <c r="K13" s="672"/>
    </row>
    <row r="14" spans="1:11" s="582" customFormat="1" ht="13.5"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2.75">
      <c r="A17" s="685"/>
      <c r="B17" s="678"/>
      <c r="C17" s="678"/>
      <c r="D17" s="672"/>
      <c r="E17" s="689"/>
      <c r="F17" s="690">
        <f>+'6a - True-up Interest Rate'!E30</f>
        <v>3.9975490196078418E-3</v>
      </c>
      <c r="G17" s="679"/>
      <c r="H17" s="672"/>
      <c r="I17" s="672"/>
      <c r="J17" s="672"/>
      <c r="K17" s="672"/>
    </row>
    <row r="18" spans="1:11" s="582" customFormat="1" ht="12.75">
      <c r="A18" s="685"/>
      <c r="B18" s="678"/>
      <c r="C18" s="678"/>
      <c r="D18" s="672"/>
      <c r="E18" s="689"/>
      <c r="F18" s="689"/>
      <c r="G18" s="679"/>
      <c r="H18" s="672"/>
      <c r="I18" s="672"/>
      <c r="J18" s="672"/>
      <c r="K18" s="672"/>
    </row>
    <row r="19" spans="1:11" s="582" customFormat="1" ht="12.75">
      <c r="A19" s="685" t="s">
        <v>698</v>
      </c>
      <c r="B19" s="678"/>
      <c r="C19" s="678"/>
      <c r="D19" s="672"/>
      <c r="E19" s="689"/>
      <c r="F19" s="689"/>
      <c r="G19" s="679"/>
      <c r="H19" s="672"/>
      <c r="I19" s="672"/>
      <c r="J19" s="672"/>
      <c r="K19" s="672"/>
    </row>
    <row r="20" spans="1:11" s="582" customFormat="1" ht="12.75">
      <c r="A20" s="691" t="s">
        <v>2</v>
      </c>
      <c r="B20" s="678"/>
      <c r="C20" s="678"/>
      <c r="D20" s="678"/>
      <c r="E20" s="678"/>
      <c r="F20" s="678" t="s">
        <v>2</v>
      </c>
      <c r="G20" s="672"/>
      <c r="H20" s="672"/>
      <c r="I20" s="672"/>
      <c r="J20" s="672"/>
      <c r="K20" s="672"/>
    </row>
    <row r="21" spans="1:11" s="582" customFormat="1" ht="12.75">
      <c r="A21" s="692"/>
      <c r="B21" s="678"/>
      <c r="C21" s="678"/>
      <c r="D21" s="678"/>
      <c r="E21" s="678"/>
      <c r="F21" s="672"/>
      <c r="G21" s="672"/>
      <c r="H21" s="677"/>
      <c r="I21" s="678"/>
      <c r="J21" s="678"/>
      <c r="K21" s="678"/>
    </row>
    <row r="22" spans="1:11" s="582" customFormat="1" ht="12.75">
      <c r="A22" s="692" t="s">
        <v>699</v>
      </c>
      <c r="B22" s="678"/>
      <c r="C22" s="678"/>
      <c r="D22" s="678"/>
      <c r="E22" s="678"/>
      <c r="F22" s="672"/>
      <c r="G22" s="672"/>
      <c r="H22" s="677" t="s">
        <v>700</v>
      </c>
      <c r="I22" s="678"/>
      <c r="J22" s="678"/>
      <c r="K22" s="678"/>
    </row>
    <row r="23" spans="1:11" s="582" customFormat="1" ht="12.75">
      <c r="A23" s="672" t="s">
        <v>85</v>
      </c>
      <c r="B23" s="693" t="str">
        <f>"Year "&amp;A6</f>
        <v>Year 2018</v>
      </c>
      <c r="C23" s="672"/>
      <c r="D23" s="866">
        <f>+G9/12</f>
        <v>-5972.4469387693098</v>
      </c>
      <c r="E23" s="694"/>
      <c r="F23" s="695">
        <f>+F17</f>
        <v>3.9975490196078418E-3</v>
      </c>
      <c r="G23" s="694">
        <v>12</v>
      </c>
      <c r="H23" s="866">
        <f>F23*D23*G23*-1</f>
        <v>286.50179285684533</v>
      </c>
      <c r="I23" s="866"/>
      <c r="J23" s="866"/>
      <c r="K23" s="866">
        <f>(-H23+D23)*-1</f>
        <v>6258.9487316261548</v>
      </c>
    </row>
    <row r="24" spans="1:11" s="582" customFormat="1" ht="12.75">
      <c r="A24" s="672" t="s">
        <v>84</v>
      </c>
      <c r="B24" s="693" t="str">
        <f>+B23</f>
        <v>Year 2018</v>
      </c>
      <c r="C24" s="672"/>
      <c r="D24" s="866">
        <f>+D23</f>
        <v>-5972.4469387693098</v>
      </c>
      <c r="E24" s="694"/>
      <c r="F24" s="695">
        <f>+F23</f>
        <v>3.9975490196078418E-3</v>
      </c>
      <c r="G24" s="367">
        <f t="shared" ref="G24:G34" si="0">+G23-1</f>
        <v>11</v>
      </c>
      <c r="H24" s="866">
        <f t="shared" ref="H24:H34" si="1">F24*D24*G24*-1</f>
        <v>262.62664345210823</v>
      </c>
      <c r="I24" s="866"/>
      <c r="J24" s="866"/>
      <c r="K24" s="866">
        <f t="shared" ref="K24:K34" si="2">(-H24+D24)*-1</f>
        <v>6235.0735822214183</v>
      </c>
    </row>
    <row r="25" spans="1:11" s="582" customFormat="1" ht="12.75">
      <c r="A25" s="672" t="s">
        <v>83</v>
      </c>
      <c r="B25" s="693" t="str">
        <f t="shared" ref="B25:B34" si="3">+B24</f>
        <v>Year 2018</v>
      </c>
      <c r="C25" s="672"/>
      <c r="D25" s="866">
        <f t="shared" ref="D25:D34" si="4">+D24</f>
        <v>-5972.4469387693098</v>
      </c>
      <c r="E25" s="694"/>
      <c r="F25" s="695">
        <f t="shared" ref="F25:F34" si="5">+F24</f>
        <v>3.9975490196078418E-3</v>
      </c>
      <c r="G25" s="367">
        <f t="shared" si="0"/>
        <v>10</v>
      </c>
      <c r="H25" s="866">
        <f t="shared" si="1"/>
        <v>238.75149404737112</v>
      </c>
      <c r="I25" s="866"/>
      <c r="J25" s="866"/>
      <c r="K25" s="866">
        <f t="shared" si="2"/>
        <v>6211.1984328166809</v>
      </c>
    </row>
    <row r="26" spans="1:11" s="582" customFormat="1" ht="12.75">
      <c r="A26" s="672" t="s">
        <v>76</v>
      </c>
      <c r="B26" s="693" t="str">
        <f t="shared" si="3"/>
        <v>Year 2018</v>
      </c>
      <c r="C26" s="672"/>
      <c r="D26" s="866">
        <f t="shared" si="4"/>
        <v>-5972.4469387693098</v>
      </c>
      <c r="E26" s="694"/>
      <c r="F26" s="695">
        <f t="shared" si="5"/>
        <v>3.9975490196078418E-3</v>
      </c>
      <c r="G26" s="367">
        <f t="shared" si="0"/>
        <v>9</v>
      </c>
      <c r="H26" s="866">
        <f t="shared" si="1"/>
        <v>214.876344642634</v>
      </c>
      <c r="I26" s="866"/>
      <c r="J26" s="866"/>
      <c r="K26" s="866">
        <f t="shared" si="2"/>
        <v>6187.3232834119435</v>
      </c>
    </row>
    <row r="27" spans="1:11" s="582" customFormat="1" ht="12.75">
      <c r="A27" s="672" t="s">
        <v>75</v>
      </c>
      <c r="B27" s="693" t="str">
        <f t="shared" si="3"/>
        <v>Year 2018</v>
      </c>
      <c r="C27" s="672"/>
      <c r="D27" s="866">
        <f t="shared" si="4"/>
        <v>-5972.4469387693098</v>
      </c>
      <c r="E27" s="694"/>
      <c r="F27" s="695">
        <f t="shared" si="5"/>
        <v>3.9975490196078418E-3</v>
      </c>
      <c r="G27" s="367">
        <f t="shared" si="0"/>
        <v>8</v>
      </c>
      <c r="H27" s="866">
        <f t="shared" si="1"/>
        <v>191.00119523789689</v>
      </c>
      <c r="I27" s="866"/>
      <c r="J27" s="866"/>
      <c r="K27" s="866">
        <f t="shared" si="2"/>
        <v>6163.448134007207</v>
      </c>
    </row>
    <row r="28" spans="1:11" s="582" customFormat="1" ht="12.75">
      <c r="A28" s="672" t="s">
        <v>95</v>
      </c>
      <c r="B28" s="693" t="str">
        <f t="shared" si="3"/>
        <v>Year 2018</v>
      </c>
      <c r="C28" s="672"/>
      <c r="D28" s="866">
        <f t="shared" si="4"/>
        <v>-5972.4469387693098</v>
      </c>
      <c r="E28" s="694"/>
      <c r="F28" s="695">
        <f t="shared" si="5"/>
        <v>3.9975490196078418E-3</v>
      </c>
      <c r="G28" s="367">
        <f t="shared" si="0"/>
        <v>7</v>
      </c>
      <c r="H28" s="866">
        <f t="shared" si="1"/>
        <v>167.12604583315979</v>
      </c>
      <c r="I28" s="866"/>
      <c r="J28" s="866"/>
      <c r="K28" s="866">
        <f t="shared" si="2"/>
        <v>6139.5729846024697</v>
      </c>
    </row>
    <row r="29" spans="1:11" s="582" customFormat="1" ht="12.75">
      <c r="A29" s="672" t="s">
        <v>82</v>
      </c>
      <c r="B29" s="693" t="str">
        <f t="shared" si="3"/>
        <v>Year 2018</v>
      </c>
      <c r="C29" s="672"/>
      <c r="D29" s="866">
        <f t="shared" si="4"/>
        <v>-5972.4469387693098</v>
      </c>
      <c r="E29" s="694"/>
      <c r="F29" s="695">
        <f t="shared" si="5"/>
        <v>3.9975490196078418E-3</v>
      </c>
      <c r="G29" s="367">
        <f t="shared" si="0"/>
        <v>6</v>
      </c>
      <c r="H29" s="866">
        <f t="shared" si="1"/>
        <v>143.25089642842266</v>
      </c>
      <c r="I29" s="866"/>
      <c r="J29" s="866"/>
      <c r="K29" s="866">
        <f t="shared" si="2"/>
        <v>6115.6978351977323</v>
      </c>
    </row>
    <row r="30" spans="1:11" s="582" customFormat="1" ht="12.75">
      <c r="A30" s="672" t="s">
        <v>81</v>
      </c>
      <c r="B30" s="693" t="str">
        <f t="shared" si="3"/>
        <v>Year 2018</v>
      </c>
      <c r="C30" s="672"/>
      <c r="D30" s="866">
        <f t="shared" si="4"/>
        <v>-5972.4469387693098</v>
      </c>
      <c r="E30" s="694"/>
      <c r="F30" s="695">
        <f t="shared" si="5"/>
        <v>3.9975490196078418E-3</v>
      </c>
      <c r="G30" s="367">
        <f t="shared" si="0"/>
        <v>5</v>
      </c>
      <c r="H30" s="866">
        <f t="shared" si="1"/>
        <v>119.37574702368556</v>
      </c>
      <c r="I30" s="866"/>
      <c r="J30" s="866"/>
      <c r="K30" s="866">
        <f t="shared" si="2"/>
        <v>6091.8226857929949</v>
      </c>
    </row>
    <row r="31" spans="1:11" s="582" customFormat="1" ht="12.75">
      <c r="A31" s="672" t="s">
        <v>80</v>
      </c>
      <c r="B31" s="693" t="str">
        <f t="shared" si="3"/>
        <v>Year 2018</v>
      </c>
      <c r="C31" s="672"/>
      <c r="D31" s="866">
        <f t="shared" si="4"/>
        <v>-5972.4469387693098</v>
      </c>
      <c r="E31" s="694"/>
      <c r="F31" s="695">
        <f t="shared" si="5"/>
        <v>3.9975490196078418E-3</v>
      </c>
      <c r="G31" s="367">
        <f t="shared" si="0"/>
        <v>4</v>
      </c>
      <c r="H31" s="866">
        <f t="shared" si="1"/>
        <v>95.500597618948447</v>
      </c>
      <c r="I31" s="866"/>
      <c r="J31" s="866"/>
      <c r="K31" s="866">
        <f t="shared" si="2"/>
        <v>6067.9475363882584</v>
      </c>
    </row>
    <row r="32" spans="1:11" s="582" customFormat="1" ht="12.75">
      <c r="A32" s="672" t="s">
        <v>86</v>
      </c>
      <c r="B32" s="693" t="str">
        <f t="shared" si="3"/>
        <v>Year 2018</v>
      </c>
      <c r="C32" s="672"/>
      <c r="D32" s="866">
        <f t="shared" si="4"/>
        <v>-5972.4469387693098</v>
      </c>
      <c r="E32" s="694"/>
      <c r="F32" s="695">
        <f t="shared" si="5"/>
        <v>3.9975490196078418E-3</v>
      </c>
      <c r="G32" s="367">
        <f t="shared" si="0"/>
        <v>3</v>
      </c>
      <c r="H32" s="866">
        <f t="shared" si="1"/>
        <v>71.625448214211332</v>
      </c>
      <c r="I32" s="866"/>
      <c r="J32" s="866"/>
      <c r="K32" s="866">
        <f t="shared" si="2"/>
        <v>6044.072386983521</v>
      </c>
    </row>
    <row r="33" spans="1:13" s="582" customFormat="1" ht="12.75">
      <c r="A33" s="672" t="s">
        <v>79</v>
      </c>
      <c r="B33" s="693" t="str">
        <f t="shared" si="3"/>
        <v>Year 2018</v>
      </c>
      <c r="C33" s="672"/>
      <c r="D33" s="866">
        <f>+D32</f>
        <v>-5972.4469387693098</v>
      </c>
      <c r="E33" s="694"/>
      <c r="F33" s="695">
        <f>+F32</f>
        <v>3.9975490196078418E-3</v>
      </c>
      <c r="G33" s="367">
        <f t="shared" si="0"/>
        <v>2</v>
      </c>
      <c r="H33" s="866">
        <f t="shared" si="1"/>
        <v>47.750298809474224</v>
      </c>
      <c r="I33" s="866"/>
      <c r="J33" s="866"/>
      <c r="K33" s="866">
        <f t="shared" si="2"/>
        <v>6020.1972375787836</v>
      </c>
    </row>
    <row r="34" spans="1:13" s="582" customFormat="1" ht="12.75">
      <c r="A34" s="672" t="s">
        <v>78</v>
      </c>
      <c r="B34" s="693" t="str">
        <f t="shared" si="3"/>
        <v>Year 2018</v>
      </c>
      <c r="C34" s="672"/>
      <c r="D34" s="866">
        <f t="shared" si="4"/>
        <v>-5972.4469387693098</v>
      </c>
      <c r="E34" s="694"/>
      <c r="F34" s="695">
        <f t="shared" si="5"/>
        <v>3.9975490196078418E-3</v>
      </c>
      <c r="G34" s="367">
        <f t="shared" si="0"/>
        <v>1</v>
      </c>
      <c r="H34" s="868">
        <f t="shared" si="1"/>
        <v>23.875149404737112</v>
      </c>
      <c r="I34" s="866"/>
      <c r="J34" s="866"/>
      <c r="K34" s="866">
        <f t="shared" si="2"/>
        <v>5996.3220881740472</v>
      </c>
    </row>
    <row r="35" spans="1:13" s="582" customFormat="1" ht="12.75">
      <c r="A35" s="672"/>
      <c r="B35" s="672"/>
      <c r="C35" s="672"/>
      <c r="D35" s="866"/>
      <c r="E35" s="694"/>
      <c r="F35" s="695"/>
      <c r="G35" s="367"/>
      <c r="H35" s="866">
        <f>SUM(H23:H34)</f>
        <v>1862.2616535694947</v>
      </c>
      <c r="I35" s="866"/>
      <c r="J35" s="866"/>
      <c r="K35" s="867">
        <f>SUM(K23:K34)</f>
        <v>73531.624918801201</v>
      </c>
    </row>
    <row r="36" spans="1:13" s="582" customFormat="1" ht="12.75">
      <c r="A36" s="672"/>
      <c r="B36" s="672"/>
      <c r="C36" s="672"/>
      <c r="D36" s="866"/>
      <c r="E36" s="694"/>
      <c r="F36" s="695"/>
      <c r="G36" s="694"/>
      <c r="H36" s="694"/>
      <c r="I36" s="694" t="s">
        <v>2</v>
      </c>
      <c r="J36" s="694"/>
      <c r="K36" s="584"/>
    </row>
    <row r="37" spans="1:13" s="582" customFormat="1" ht="12.75">
      <c r="A37" s="672"/>
      <c r="B37" s="672"/>
      <c r="C37" s="672"/>
      <c r="D37" s="866"/>
      <c r="E37" s="679"/>
      <c r="F37" s="695"/>
      <c r="G37" s="694"/>
      <c r="H37" s="697" t="s">
        <v>701</v>
      </c>
      <c r="I37" s="694"/>
      <c r="J37" s="694"/>
      <c r="K37" s="694"/>
    </row>
    <row r="38" spans="1:13" s="582" customFormat="1" ht="12.75">
      <c r="A38" s="672" t="s">
        <v>853</v>
      </c>
      <c r="B38" s="693" t="str">
        <f>"Year "&amp;$A$6+1</f>
        <v>Year 2019</v>
      </c>
      <c r="C38" s="672"/>
      <c r="D38" s="866">
        <f>K35</f>
        <v>73531.624918801201</v>
      </c>
      <c r="E38" s="679"/>
      <c r="F38" s="695">
        <f>+F34</f>
        <v>3.9975490196078418E-3</v>
      </c>
      <c r="G38" s="694">
        <v>12</v>
      </c>
      <c r="H38" s="694">
        <f>+G38*F38*D38</f>
        <v>3527.3553012519033</v>
      </c>
      <c r="I38" s="694"/>
      <c r="J38" s="694"/>
      <c r="K38" s="696">
        <f>+D38+H38</f>
        <v>77058.980220053098</v>
      </c>
    </row>
    <row r="39" spans="1:13" s="582" customFormat="1" ht="12.75">
      <c r="A39" s="672"/>
      <c r="B39" s="672"/>
      <c r="C39" s="672"/>
      <c r="D39" s="866"/>
      <c r="E39" s="679"/>
      <c r="F39" s="695"/>
      <c r="G39" s="672"/>
      <c r="H39" s="694"/>
      <c r="I39" s="694"/>
      <c r="J39" s="694"/>
      <c r="K39" s="694"/>
    </row>
    <row r="40" spans="1:13" s="582" customFormat="1" ht="12.75">
      <c r="A40" s="698" t="s">
        <v>702</v>
      </c>
      <c r="B40" s="672"/>
      <c r="C40" s="672"/>
      <c r="D40" s="866"/>
      <c r="E40" s="694"/>
      <c r="F40" s="695"/>
      <c r="G40" s="672"/>
      <c r="H40" s="697" t="s">
        <v>700</v>
      </c>
      <c r="I40" s="694"/>
      <c r="J40" s="694"/>
      <c r="K40" s="694"/>
    </row>
    <row r="41" spans="1:13" s="582" customFormat="1" ht="12.75">
      <c r="A41" s="672" t="s">
        <v>85</v>
      </c>
      <c r="B41" s="693" t="str">
        <f>"Year "&amp;$A$6+2</f>
        <v>Year 2020</v>
      </c>
      <c r="C41" s="672"/>
      <c r="D41" s="867">
        <f>-K38</f>
        <v>-77058.980220053098</v>
      </c>
      <c r="E41" s="679"/>
      <c r="F41" s="695">
        <f>+F34</f>
        <v>3.9975490196078418E-3</v>
      </c>
      <c r="G41" s="672"/>
      <c r="H41" s="866">
        <f xml:space="preserve"> -F41*D41</f>
        <v>308.04705083065335</v>
      </c>
      <c r="I41" s="866">
        <f>PMT(F41,12,K$38)</f>
        <v>-6589.6609010587381</v>
      </c>
      <c r="J41" s="866"/>
      <c r="K41" s="866">
        <f>(+D41+D41*F41-I41)*-1</f>
        <v>70777.366369825002</v>
      </c>
      <c r="L41" s="699"/>
      <c r="M41" s="700"/>
    </row>
    <row r="42" spans="1:13" s="582" customFormat="1" ht="12.75">
      <c r="A42" s="672" t="s">
        <v>84</v>
      </c>
      <c r="B42" s="693" t="str">
        <f>+B41</f>
        <v>Year 2020</v>
      </c>
      <c r="C42" s="672"/>
      <c r="D42" s="866">
        <f>-K41</f>
        <v>-70777.366369825002</v>
      </c>
      <c r="E42" s="679"/>
      <c r="F42" s="695">
        <f>+F41</f>
        <v>3.9975490196078418E-3</v>
      </c>
      <c r="G42" s="672"/>
      <c r="H42" s="866">
        <f t="shared" ref="H42:H52" si="6" xml:space="preserve"> -F42*D42</f>
        <v>282.93599154211898</v>
      </c>
      <c r="I42" s="866">
        <f>I41</f>
        <v>-6589.6609010587381</v>
      </c>
      <c r="J42" s="866"/>
      <c r="K42" s="866">
        <f t="shared" ref="K42:K52" si="7">(+D42+D42*F42-I42)*-1</f>
        <v>64470.641460308383</v>
      </c>
      <c r="L42" s="699"/>
      <c r="M42" s="700"/>
    </row>
    <row r="43" spans="1:13" s="582" customFormat="1" ht="12.75">
      <c r="A43" s="672" t="s">
        <v>83</v>
      </c>
      <c r="B43" s="693" t="str">
        <f>+B42</f>
        <v>Year 2020</v>
      </c>
      <c r="C43" s="672"/>
      <c r="D43" s="866">
        <f t="shared" ref="D43:D52" si="8">-K42</f>
        <v>-64470.641460308383</v>
      </c>
      <c r="E43" s="679"/>
      <c r="F43" s="695">
        <f t="shared" ref="F43:F52" si="9">+F42</f>
        <v>3.9975490196078418E-3</v>
      </c>
      <c r="G43" s="672"/>
      <c r="H43" s="866">
        <f t="shared" si="6"/>
        <v>257.72454956314448</v>
      </c>
      <c r="I43" s="866">
        <f t="shared" ref="I43:I52" si="10">I42</f>
        <v>-6589.6609010587381</v>
      </c>
      <c r="J43" s="866"/>
      <c r="K43" s="866">
        <f t="shared" si="7"/>
        <v>58138.705108812792</v>
      </c>
      <c r="L43" s="699"/>
      <c r="M43" s="700"/>
    </row>
    <row r="44" spans="1:13" s="582" customFormat="1" ht="12.75">
      <c r="A44" s="672" t="s">
        <v>76</v>
      </c>
      <c r="B44" s="693" t="str">
        <f>+B43</f>
        <v>Year 2020</v>
      </c>
      <c r="C44" s="672"/>
      <c r="D44" s="866">
        <f t="shared" si="8"/>
        <v>-58138.705108812792</v>
      </c>
      <c r="E44" s="679"/>
      <c r="F44" s="695">
        <f t="shared" si="9"/>
        <v>3.9975490196078418E-3</v>
      </c>
      <c r="G44" s="672"/>
      <c r="H44" s="866">
        <f t="shared" si="6"/>
        <v>232.41232360900401</v>
      </c>
      <c r="I44" s="866">
        <f t="shared" si="10"/>
        <v>-6589.6609010587381</v>
      </c>
      <c r="J44" s="866"/>
      <c r="K44" s="866">
        <f t="shared" si="7"/>
        <v>51781.456531363059</v>
      </c>
      <c r="L44" s="699"/>
      <c r="M44" s="700"/>
    </row>
    <row r="45" spans="1:13" s="582" customFormat="1" ht="12.75">
      <c r="A45" s="672" t="s">
        <v>75</v>
      </c>
      <c r="B45" s="693" t="str">
        <f>+B44</f>
        <v>Year 2020</v>
      </c>
      <c r="C45" s="672"/>
      <c r="D45" s="866">
        <f t="shared" si="8"/>
        <v>-51781.456531363059</v>
      </c>
      <c r="E45" s="679"/>
      <c r="F45" s="695">
        <f t="shared" si="9"/>
        <v>3.9975490196078418E-3</v>
      </c>
      <c r="G45" s="672"/>
      <c r="H45" s="866">
        <f t="shared" si="6"/>
        <v>206.99891079081647</v>
      </c>
      <c r="I45" s="866">
        <f t="shared" si="10"/>
        <v>-6589.6609010587381</v>
      </c>
      <c r="J45" s="866"/>
      <c r="K45" s="866">
        <f t="shared" si="7"/>
        <v>45398.794541095136</v>
      </c>
      <c r="L45" s="699"/>
      <c r="M45" s="700"/>
    </row>
    <row r="46" spans="1:13" s="582" customFormat="1" ht="12.75">
      <c r="A46" s="672" t="s">
        <v>95</v>
      </c>
      <c r="B46" s="693" t="str">
        <f>B45</f>
        <v>Year 2020</v>
      </c>
      <c r="C46" s="672"/>
      <c r="D46" s="866">
        <f t="shared" si="8"/>
        <v>-45398.794541095136</v>
      </c>
      <c r="E46" s="679"/>
      <c r="F46" s="695">
        <f t="shared" si="9"/>
        <v>3.9975490196078418E-3</v>
      </c>
      <c r="G46" s="672"/>
      <c r="H46" s="866">
        <f t="shared" si="6"/>
        <v>181.4839066091327</v>
      </c>
      <c r="I46" s="866">
        <f t="shared" si="10"/>
        <v>-6589.6609010587381</v>
      </c>
      <c r="J46" s="866"/>
      <c r="K46" s="866">
        <f t="shared" si="7"/>
        <v>38990.617546645532</v>
      </c>
      <c r="L46" s="699"/>
      <c r="M46" s="700"/>
    </row>
    <row r="47" spans="1:13" s="582" customFormat="1" ht="12.75">
      <c r="A47" s="672" t="s">
        <v>82</v>
      </c>
      <c r="B47" s="693" t="str">
        <f t="shared" ref="B47:B52" si="11">+B46</f>
        <v>Year 2020</v>
      </c>
      <c r="C47" s="672"/>
      <c r="D47" s="866">
        <f t="shared" si="8"/>
        <v>-38990.617546645532</v>
      </c>
      <c r="E47" s="679"/>
      <c r="F47" s="695">
        <f t="shared" si="9"/>
        <v>3.9975490196078418E-3</v>
      </c>
      <c r="G47" s="672"/>
      <c r="H47" s="866">
        <f t="shared" si="6"/>
        <v>155.86690494749715</v>
      </c>
      <c r="I47" s="866">
        <f t="shared" si="10"/>
        <v>-6589.6609010587381</v>
      </c>
      <c r="J47" s="866"/>
      <c r="K47" s="866">
        <f t="shared" si="7"/>
        <v>32556.823550534293</v>
      </c>
      <c r="L47" s="699"/>
      <c r="M47" s="700"/>
    </row>
    <row r="48" spans="1:13" s="582" customFormat="1" ht="12.75">
      <c r="A48" s="672" t="s">
        <v>81</v>
      </c>
      <c r="B48" s="693" t="str">
        <f t="shared" si="11"/>
        <v>Year 2020</v>
      </c>
      <c r="C48" s="672"/>
      <c r="D48" s="866">
        <f t="shared" si="8"/>
        <v>-32556.823550534293</v>
      </c>
      <c r="E48" s="679"/>
      <c r="F48" s="695">
        <f t="shared" si="9"/>
        <v>3.9975490196078418E-3</v>
      </c>
      <c r="G48" s="672"/>
      <c r="H48" s="866">
        <f t="shared" si="6"/>
        <v>130.14749806598385</v>
      </c>
      <c r="I48" s="866">
        <f t="shared" si="10"/>
        <v>-6589.6609010587381</v>
      </c>
      <c r="J48" s="866"/>
      <c r="K48" s="866">
        <f t="shared" si="7"/>
        <v>26097.310147541539</v>
      </c>
      <c r="L48" s="699"/>
      <c r="M48" s="700"/>
    </row>
    <row r="49" spans="1:13" s="582" customFormat="1" ht="12.75">
      <c r="A49" s="672" t="s">
        <v>80</v>
      </c>
      <c r="B49" s="693" t="str">
        <f t="shared" si="11"/>
        <v>Year 2020</v>
      </c>
      <c r="C49" s="672"/>
      <c r="D49" s="866">
        <f t="shared" si="8"/>
        <v>-26097.310147541539</v>
      </c>
      <c r="E49" s="679"/>
      <c r="F49" s="695">
        <f t="shared" si="9"/>
        <v>3.9975490196078418E-3</v>
      </c>
      <c r="G49" s="672"/>
      <c r="H49" s="866">
        <f t="shared" si="6"/>
        <v>104.32527659470647</v>
      </c>
      <c r="I49" s="866">
        <f t="shared" si="10"/>
        <v>-6589.6609010587381</v>
      </c>
      <c r="J49" s="866"/>
      <c r="K49" s="866">
        <f t="shared" si="7"/>
        <v>19611.974523077508</v>
      </c>
      <c r="L49" s="699"/>
      <c r="M49" s="700"/>
    </row>
    <row r="50" spans="1:13" s="582" customFormat="1" ht="12.75">
      <c r="A50" s="672" t="s">
        <v>86</v>
      </c>
      <c r="B50" s="693" t="str">
        <f t="shared" si="11"/>
        <v>Year 2020</v>
      </c>
      <c r="C50" s="672"/>
      <c r="D50" s="866">
        <f t="shared" si="8"/>
        <v>-19611.974523077508</v>
      </c>
      <c r="E50" s="679"/>
      <c r="F50" s="695">
        <f t="shared" si="9"/>
        <v>3.9975490196078418E-3</v>
      </c>
      <c r="G50" s="672"/>
      <c r="H50" s="866">
        <f t="shared" si="6"/>
        <v>78.399829527302458</v>
      </c>
      <c r="I50" s="866">
        <f t="shared" si="10"/>
        <v>-6589.6609010587381</v>
      </c>
      <c r="J50" s="866"/>
      <c r="K50" s="866">
        <f t="shared" si="7"/>
        <v>13100.713451546071</v>
      </c>
      <c r="L50" s="699"/>
      <c r="M50" s="700"/>
    </row>
    <row r="51" spans="1:13" s="582" customFormat="1" ht="12.75">
      <c r="A51" s="672" t="s">
        <v>79</v>
      </c>
      <c r="B51" s="693" t="str">
        <f t="shared" si="11"/>
        <v>Year 2020</v>
      </c>
      <c r="C51" s="672"/>
      <c r="D51" s="866">
        <f t="shared" si="8"/>
        <v>-13100.713451546071</v>
      </c>
      <c r="E51" s="679"/>
      <c r="F51" s="695">
        <f t="shared" si="9"/>
        <v>3.9975490196078418E-3</v>
      </c>
      <c r="G51" s="672"/>
      <c r="H51" s="866">
        <f t="shared" si="6"/>
        <v>52.370744214391259</v>
      </c>
      <c r="I51" s="866">
        <f t="shared" si="10"/>
        <v>-6589.6609010587381</v>
      </c>
      <c r="J51" s="866"/>
      <c r="K51" s="866">
        <f t="shared" si="7"/>
        <v>6563.4232947017244</v>
      </c>
      <c r="L51" s="699"/>
      <c r="M51" s="700"/>
    </row>
    <row r="52" spans="1:13" s="582" customFormat="1" ht="12.75">
      <c r="A52" s="672" t="s">
        <v>78</v>
      </c>
      <c r="B52" s="693" t="str">
        <f t="shared" si="11"/>
        <v>Year 2020</v>
      </c>
      <c r="C52" s="672"/>
      <c r="D52" s="866">
        <f t="shared" si="8"/>
        <v>-6563.4232947017244</v>
      </c>
      <c r="E52" s="679"/>
      <c r="F52" s="695">
        <f t="shared" si="9"/>
        <v>3.9975490196078418E-3</v>
      </c>
      <c r="G52" s="672"/>
      <c r="H52" s="868">
        <f t="shared" si="6"/>
        <v>26.23760635700615</v>
      </c>
      <c r="I52" s="866">
        <f t="shared" si="10"/>
        <v>-6589.6609010587381</v>
      </c>
      <c r="J52" s="866"/>
      <c r="K52" s="866">
        <f t="shared" si="7"/>
        <v>-7.2759576141834259E-12</v>
      </c>
      <c r="L52" s="699"/>
      <c r="M52" s="700"/>
    </row>
    <row r="53" spans="1:13" s="582" customFormat="1" ht="12.75">
      <c r="A53" s="672"/>
      <c r="B53" s="672"/>
      <c r="C53" s="672"/>
      <c r="D53" s="679"/>
      <c r="E53" s="679"/>
      <c r="F53" s="701"/>
      <c r="G53" s="672"/>
      <c r="H53" s="866">
        <f>SUM(H41:H52)</f>
        <v>2016.9505926517572</v>
      </c>
      <c r="I53" s="866"/>
      <c r="J53" s="866"/>
      <c r="K53" s="866"/>
      <c r="L53" s="699"/>
      <c r="M53" s="700"/>
    </row>
    <row r="54" spans="1:13" s="582" customFormat="1" ht="12.75">
      <c r="A54" s="584"/>
      <c r="B54" s="584"/>
      <c r="C54" s="584"/>
      <c r="D54" s="584"/>
      <c r="E54" s="584"/>
      <c r="F54" s="584"/>
      <c r="G54" s="584"/>
      <c r="H54" s="584"/>
      <c r="I54" s="584"/>
      <c r="J54" s="584"/>
      <c r="K54" s="584"/>
    </row>
    <row r="55" spans="1:13" s="582" customFormat="1" ht="12.75">
      <c r="A55" s="672" t="s">
        <v>703</v>
      </c>
      <c r="B55" s="584"/>
      <c r="C55" s="584"/>
      <c r="D55" s="584"/>
      <c r="E55" s="584"/>
      <c r="F55" s="584"/>
      <c r="G55" s="584"/>
      <c r="H55" s="584"/>
      <c r="I55" s="702">
        <f>SUM(I41:I52)*-1</f>
        <v>79075.930812704886</v>
      </c>
      <c r="J55" s="584"/>
      <c r="K55" s="584"/>
    </row>
    <row r="56" spans="1:13" s="582" customFormat="1" ht="12.75">
      <c r="A56" s="672" t="s">
        <v>704</v>
      </c>
      <c r="B56" s="584"/>
      <c r="C56" s="584"/>
      <c r="D56" s="584"/>
      <c r="E56" s="584"/>
      <c r="F56" s="584"/>
      <c r="G56" s="584"/>
      <c r="H56" s="584"/>
      <c r="I56" s="702">
        <f>+G9</f>
        <v>-71669.363265231717</v>
      </c>
      <c r="J56" s="584"/>
      <c r="K56" s="584"/>
    </row>
    <row r="57" spans="1:13" s="582" customFormat="1" ht="12.75">
      <c r="A57" s="672" t="s">
        <v>705</v>
      </c>
      <c r="B57" s="584"/>
      <c r="C57" s="584"/>
      <c r="D57" s="584"/>
      <c r="E57" s="584"/>
      <c r="F57" s="584"/>
      <c r="G57" s="584"/>
      <c r="H57" s="584"/>
      <c r="I57" s="702">
        <f>(I55+I56)</f>
        <v>7406.5675474731688</v>
      </c>
      <c r="J57" s="584"/>
      <c r="K57" s="584"/>
    </row>
    <row r="59" spans="1:13" ht="16.5">
      <c r="A59" s="663"/>
      <c r="B59" s="630"/>
      <c r="C59" s="630"/>
      <c r="D59" s="630"/>
      <c r="E59" s="630"/>
      <c r="F59" s="664"/>
      <c r="G59" s="630"/>
      <c r="H59" s="630"/>
      <c r="I59" s="665"/>
      <c r="J59" s="630"/>
      <c r="K59" s="630"/>
    </row>
    <row r="60" spans="1:13" ht="15.75">
      <c r="A60" s="662"/>
      <c r="B60" s="630"/>
      <c r="C60" s="630"/>
      <c r="D60" s="630"/>
      <c r="E60" s="630"/>
      <c r="F60" s="630"/>
      <c r="G60" s="630"/>
      <c r="H60" s="630"/>
      <c r="I60" s="630"/>
      <c r="J60" s="630"/>
      <c r="K60" s="630"/>
    </row>
    <row r="61" spans="1:13" ht="15.75">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5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E11" sqref="E11"/>
    </sheetView>
  </sheetViews>
  <sheetFormatPr defaultColWidth="8.88671875" defaultRowHeight="12.75"/>
  <cols>
    <col min="1" max="1" width="8.77734375" style="596" customWidth="1"/>
    <col min="2" max="2" width="9.109375" style="596" bestFit="1" customWidth="1"/>
    <col min="3" max="3" width="8.88671875" style="596"/>
    <col min="4" max="4" width="16.33203125" style="596" customWidth="1"/>
    <col min="5" max="5" width="8.88671875" style="596"/>
    <col min="6" max="6" width="9.33203125" style="596" bestFit="1" customWidth="1"/>
    <col min="7" max="7" width="14.21875" style="596" bestFit="1" customWidth="1"/>
    <col min="8" max="8" width="9.88671875" style="596" customWidth="1"/>
    <col min="9" max="9" width="20.44140625" style="596" bestFit="1" customWidth="1"/>
    <col min="10" max="16384" width="8.8867187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4.2500000000000003E-2</v>
      </c>
      <c r="F11" s="415"/>
      <c r="G11" s="415"/>
      <c r="H11" s="415"/>
    </row>
    <row r="12" spans="1:8">
      <c r="A12" s="810">
        <v>2</v>
      </c>
      <c r="C12" s="774" t="s">
        <v>457</v>
      </c>
      <c r="D12" s="324"/>
      <c r="E12" s="898">
        <v>4.2500000000000003E-2</v>
      </c>
      <c r="F12" s="415"/>
      <c r="G12" s="415"/>
      <c r="H12" s="415"/>
    </row>
    <row r="13" spans="1:8">
      <c r="A13" s="810">
        <v>3</v>
      </c>
      <c r="C13" s="774" t="s">
        <v>458</v>
      </c>
      <c r="D13" s="324"/>
      <c r="E13" s="898">
        <v>4.2500000000000003E-2</v>
      </c>
      <c r="F13" s="415"/>
      <c r="G13" s="415"/>
      <c r="H13" s="415"/>
    </row>
    <row r="14" spans="1:8">
      <c r="A14" s="810">
        <v>4</v>
      </c>
      <c r="C14" s="774" t="s">
        <v>459</v>
      </c>
      <c r="D14" s="324"/>
      <c r="E14" s="898">
        <v>4.4699999999999997E-2</v>
      </c>
      <c r="F14" s="415"/>
      <c r="G14" s="415"/>
      <c r="H14" s="415"/>
    </row>
    <row r="15" spans="1:8">
      <c r="A15" s="810">
        <v>5</v>
      </c>
      <c r="C15" s="774" t="s">
        <v>460</v>
      </c>
      <c r="D15" s="324"/>
      <c r="E15" s="898">
        <v>4.4699999999999997E-2</v>
      </c>
      <c r="F15" s="415"/>
      <c r="G15" s="415"/>
      <c r="H15" s="415"/>
    </row>
    <row r="16" spans="1:8">
      <c r="A16" s="810">
        <v>6</v>
      </c>
      <c r="C16" s="774" t="s">
        <v>461</v>
      </c>
      <c r="D16" s="324"/>
      <c r="E16" s="898">
        <v>4.4699999999999997E-2</v>
      </c>
      <c r="F16" s="415"/>
      <c r="G16" s="415"/>
      <c r="H16" s="415"/>
    </row>
    <row r="17" spans="1:8">
      <c r="A17" s="810">
        <v>7</v>
      </c>
      <c r="C17" s="774" t="s">
        <v>462</v>
      </c>
      <c r="D17" s="324"/>
      <c r="E17" s="898">
        <v>4.6899999999999997E-2</v>
      </c>
      <c r="F17" s="415"/>
      <c r="G17" s="415"/>
      <c r="H17" s="415"/>
    </row>
    <row r="18" spans="1:8">
      <c r="A18" s="810">
        <v>8</v>
      </c>
      <c r="C18" s="774" t="s">
        <v>463</v>
      </c>
      <c r="D18" s="324"/>
      <c r="E18" s="898">
        <v>4.6899999999999997E-2</v>
      </c>
      <c r="F18" s="415"/>
      <c r="G18" s="415"/>
      <c r="H18" s="415"/>
    </row>
    <row r="19" spans="1:8">
      <c r="A19" s="810">
        <v>9</v>
      </c>
      <c r="C19" s="774" t="s">
        <v>464</v>
      </c>
      <c r="D19" s="324"/>
      <c r="E19" s="898">
        <v>4.6899999999999997E-2</v>
      </c>
      <c r="F19" s="415"/>
      <c r="G19" s="415"/>
      <c r="H19" s="415"/>
    </row>
    <row r="20" spans="1:8">
      <c r="A20" s="810">
        <v>10</v>
      </c>
      <c r="C20" s="774" t="s">
        <v>465</v>
      </c>
      <c r="D20" s="324"/>
      <c r="E20" s="898">
        <v>4.9599999999999998E-2</v>
      </c>
      <c r="F20" s="415"/>
      <c r="G20" s="415"/>
      <c r="H20" s="415"/>
    </row>
    <row r="21" spans="1:8">
      <c r="A21" s="810">
        <v>11</v>
      </c>
      <c r="C21" s="774" t="s">
        <v>466</v>
      </c>
      <c r="D21" s="324"/>
      <c r="E21" s="898">
        <v>4.9599999999999998E-2</v>
      </c>
      <c r="F21" s="415"/>
      <c r="G21" s="415"/>
      <c r="H21" s="415"/>
    </row>
    <row r="22" spans="1:8">
      <c r="A22" s="810">
        <v>12</v>
      </c>
      <c r="C22" s="774" t="s">
        <v>467</v>
      </c>
      <c r="D22" s="324"/>
      <c r="E22" s="898">
        <v>4.9599999999999998E-2</v>
      </c>
      <c r="F22" s="415"/>
      <c r="G22" s="415"/>
      <c r="H22" s="415"/>
    </row>
    <row r="23" spans="1:8">
      <c r="A23" s="810">
        <f>+A22+1</f>
        <v>13</v>
      </c>
      <c r="C23" s="774" t="s">
        <v>638</v>
      </c>
      <c r="D23" s="324"/>
      <c r="E23" s="898">
        <v>5.1799999999999999E-2</v>
      </c>
      <c r="F23" s="415"/>
      <c r="G23" s="415"/>
      <c r="H23" s="415"/>
    </row>
    <row r="24" spans="1:8">
      <c r="A24" s="810">
        <f t="shared" ref="A24:A27" si="0">+A23+1</f>
        <v>14</v>
      </c>
      <c r="C24" s="774" t="s">
        <v>639</v>
      </c>
      <c r="D24" s="324"/>
      <c r="E24" s="898">
        <v>5.1799999999999999E-2</v>
      </c>
      <c r="F24" s="415"/>
      <c r="G24" s="415"/>
      <c r="H24" s="415"/>
    </row>
    <row r="25" spans="1:8">
      <c r="A25" s="810">
        <f t="shared" si="0"/>
        <v>15</v>
      </c>
      <c r="C25" s="774" t="s">
        <v>640</v>
      </c>
      <c r="D25" s="324"/>
      <c r="E25" s="898">
        <v>5.1799999999999999E-2</v>
      </c>
      <c r="F25" s="415"/>
      <c r="G25" s="415"/>
      <c r="H25" s="415"/>
    </row>
    <row r="26" spans="1:8">
      <c r="A26" s="810">
        <f t="shared" si="0"/>
        <v>16</v>
      </c>
      <c r="C26" s="774" t="s">
        <v>641</v>
      </c>
      <c r="D26" s="324"/>
      <c r="E26" s="898">
        <v>5.45E-2</v>
      </c>
      <c r="F26" s="415"/>
      <c r="G26" s="415"/>
      <c r="H26" s="415"/>
    </row>
    <row r="27" spans="1:8">
      <c r="A27" s="810">
        <f t="shared" si="0"/>
        <v>17</v>
      </c>
      <c r="C27" s="774" t="s">
        <v>642</v>
      </c>
      <c r="D27" s="324"/>
      <c r="E27" s="898">
        <v>5.45E-2</v>
      </c>
      <c r="F27" s="415"/>
      <c r="G27" s="415"/>
      <c r="H27" s="415"/>
    </row>
    <row r="28" spans="1:8">
      <c r="A28" s="810"/>
      <c r="C28" s="770"/>
      <c r="D28" s="775"/>
      <c r="E28" s="775"/>
      <c r="F28" s="415"/>
      <c r="G28" s="415"/>
      <c r="H28" s="324"/>
    </row>
    <row r="29" spans="1:8">
      <c r="A29" s="810">
        <f>+A27+1</f>
        <v>18</v>
      </c>
      <c r="B29" s="776" t="s">
        <v>637</v>
      </c>
      <c r="C29" s="769"/>
      <c r="D29" s="775"/>
      <c r="E29" s="777">
        <f>+AVERAGE(E11:E27)</f>
        <v>4.7970588235294105E-2</v>
      </c>
      <c r="F29" s="415"/>
      <c r="G29" s="415"/>
      <c r="H29" s="324"/>
    </row>
    <row r="30" spans="1:8">
      <c r="A30" s="810">
        <f>+A29+1</f>
        <v>19</v>
      </c>
      <c r="B30" s="596" t="s">
        <v>513</v>
      </c>
      <c r="E30" s="215">
        <f>+E29/12</f>
        <v>3.9975490196078418E-3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14" sqref="D14"/>
    </sheetView>
  </sheetViews>
  <sheetFormatPr defaultColWidth="8.88671875" defaultRowHeight="15.75"/>
  <cols>
    <col min="1" max="1" width="8.88671875" style="227"/>
    <col min="2" max="2" width="43.77734375" style="227" customWidth="1"/>
    <col min="3" max="3" width="20.6640625" style="227" bestFit="1" customWidth="1"/>
    <col min="4" max="5" width="13.6640625" style="227" customWidth="1"/>
    <col min="6" max="6" width="12.109375" style="227" customWidth="1"/>
    <col min="7" max="8" width="11.88671875" style="227" bestFit="1" customWidth="1"/>
    <col min="9" max="16384" width="8.8867187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971561.93000000634</v>
      </c>
      <c r="E14" s="508">
        <v>81.52</v>
      </c>
      <c r="F14" s="319"/>
      <c r="G14" s="551"/>
      <c r="H14" s="551"/>
      <c r="I14" s="280"/>
    </row>
    <row r="15" spans="1:9">
      <c r="A15" s="305">
        <v>8</v>
      </c>
      <c r="B15" s="308" t="s">
        <v>413</v>
      </c>
      <c r="C15" s="308" t="s">
        <v>348</v>
      </c>
      <c r="D15" s="754">
        <f>D13*D14</f>
        <v>-24426.326754215286</v>
      </c>
      <c r="E15" s="754">
        <f>E13*E14</f>
        <v>2.478714486472982</v>
      </c>
      <c r="F15" s="548">
        <f>SUM(D15:E15)</f>
        <v>-24423.848039728815</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2" t="s">
        <v>808</v>
      </c>
      <c r="C24" s="922"/>
      <c r="D24" s="922"/>
      <c r="E24" s="922"/>
      <c r="F24" s="922"/>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B88923D9-CEFB-4823-8072-E092A61639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2019-11-06T14:46:09Z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