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rp\Rates\Akr\Rates\FERC Transmission\TrAIL\Rate Updates\2018\"/>
    </mc:Choice>
  </mc:AlternateContent>
  <xr:revisionPtr revIDLastSave="0" documentId="8_{EBB91263-3BD7-4BBD-899C-15E69BD2EEFE}" xr6:coauthVersionLast="28" xr6:coauthVersionMax="28" xr10:uidLastSave="{00000000-0000-0000-0000-000000000000}"/>
  <bookViews>
    <workbookView xWindow="0" yWindow="0" windowWidth="24000" windowHeight="9645" firstSheet="1" activeTab="1" xr2:uid="{00000000-000D-0000-FFFF-FFFF00000000}"/>
  </bookViews>
  <sheets>
    <sheet name="Attachment 3 2016" sheetId="1" state="hidden" r:id="rId1"/>
    <sheet name="Attachment 3 2017" sheetId="2" r:id="rId2"/>
  </sheets>
  <externalReferences>
    <externalReference r:id="rId3"/>
  </externalReferences>
  <definedNames>
    <definedName name="_502_Jct_SS" localSheetId="1">'[1]Transmission Plant'!#REF!</definedName>
    <definedName name="_502_Jct_SS">'[1]Transmission Plant'!#REF!</definedName>
    <definedName name="Altoona" localSheetId="1">'[1]Transmission Plant'!#REF!</definedName>
    <definedName name="Altoona">'[1]Transmission Plant'!#REF!</definedName>
    <definedName name="_xlnm.Print_Area" localSheetId="0">'Attachment 3 2016'!$A$1:$G$538</definedName>
    <definedName name="_xlnm.Print_Area" localSheetId="1">'Attachment 3 2017'!$A$1:$G$509</definedName>
    <definedName name="_xlnm.Print_Titles" localSheetId="0">'Attachment 3 2016'!$1:$9</definedName>
    <definedName name="_xlnm.Print_Titles" localSheetId="1">'Attachment 3 2017'!$1:$9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E107" i="2"/>
  <c r="E492" i="2" l="1"/>
  <c r="E488" i="2"/>
  <c r="E478" i="2"/>
  <c r="E474" i="2"/>
  <c r="E470" i="2"/>
  <c r="E463" i="2"/>
  <c r="E455" i="2"/>
  <c r="E447" i="2"/>
  <c r="E443" i="2"/>
  <c r="E435" i="2"/>
  <c r="E424" i="2"/>
  <c r="E414" i="2"/>
  <c r="E403" i="2"/>
  <c r="E391" i="2"/>
  <c r="E279" i="2"/>
  <c r="E355" i="2"/>
  <c r="E94" i="2" l="1"/>
  <c r="E90" i="2"/>
  <c r="E80" i="2"/>
  <c r="E69" i="2"/>
  <c r="E32" i="2"/>
  <c r="E49" i="2"/>
  <c r="E46" i="2"/>
  <c r="E102" i="2"/>
  <c r="E103" i="2" s="1"/>
  <c r="E60" i="2"/>
  <c r="E27" i="2"/>
  <c r="E59" i="2"/>
  <c r="E26" i="2"/>
  <c r="E58" i="2" l="1"/>
  <c r="E25" i="2"/>
  <c r="E24" i="2"/>
  <c r="E98" i="2"/>
  <c r="E96" i="2"/>
  <c r="E57" i="2"/>
  <c r="E23" i="2"/>
  <c r="E13" i="2"/>
  <c r="E61" i="2" l="1"/>
  <c r="E379" i="2" l="1"/>
  <c r="E369" i="2"/>
  <c r="E341" i="2"/>
  <c r="E308" i="2"/>
  <c r="E297" i="2"/>
  <c r="E283" i="2"/>
  <c r="E268" i="2"/>
  <c r="E254" i="2"/>
  <c r="E222" i="2"/>
  <c r="E213" i="2"/>
  <c r="E184" i="2"/>
  <c r="E167" i="2"/>
  <c r="E143" i="2"/>
  <c r="E139" i="2"/>
  <c r="E134" i="2"/>
  <c r="E121" i="2"/>
  <c r="E55" i="2"/>
  <c r="E47" i="2"/>
  <c r="E36" i="2"/>
  <c r="E28" i="2"/>
  <c r="E14" i="2"/>
  <c r="E667" i="2" l="1"/>
  <c r="E157" i="2"/>
  <c r="E171" i="2"/>
  <c r="E192" i="2"/>
  <c r="E240" i="2"/>
  <c r="E127" i="2"/>
  <c r="E199" i="2"/>
  <c r="E228" i="2"/>
  <c r="E315" i="2"/>
  <c r="E329" i="2"/>
  <c r="E103" i="1"/>
  <c r="E101" i="1"/>
  <c r="E73" i="1"/>
  <c r="E496" i="2" l="1"/>
  <c r="E498" i="2" s="1"/>
  <c r="E526" i="1"/>
  <c r="E522" i="1"/>
  <c r="E516" i="1"/>
  <c r="E509" i="1"/>
  <c r="E508" i="1"/>
  <c r="E510" i="1" s="1"/>
  <c r="E505" i="1"/>
  <c r="E504" i="1"/>
  <c r="E503" i="1"/>
  <c r="E502" i="1"/>
  <c r="E506" i="1" s="1"/>
  <c r="E499" i="1"/>
  <c r="E498" i="1"/>
  <c r="E497" i="1"/>
  <c r="E496" i="1"/>
  <c r="E500" i="1" s="1"/>
  <c r="E494" i="1"/>
  <c r="E488" i="1"/>
  <c r="E482" i="1"/>
  <c r="E476" i="1"/>
  <c r="E474" i="1"/>
  <c r="E472" i="1"/>
  <c r="E461" i="1"/>
  <c r="E451" i="1"/>
  <c r="E440" i="1"/>
  <c r="E439" i="1"/>
  <c r="E438" i="1"/>
  <c r="E437" i="1"/>
  <c r="E436" i="1"/>
  <c r="E428" i="1"/>
  <c r="E424" i="1"/>
  <c r="E418" i="1"/>
  <c r="E419" i="1" s="1"/>
  <c r="E417" i="1"/>
  <c r="E416" i="1"/>
  <c r="E401" i="1"/>
  <c r="E396" i="1"/>
  <c r="E384" i="1"/>
  <c r="E383" i="1"/>
  <c r="E382" i="1"/>
  <c r="E381" i="1"/>
  <c r="E380" i="1"/>
  <c r="E367" i="1"/>
  <c r="E365" i="1"/>
  <c r="E359" i="1"/>
  <c r="E352" i="1"/>
  <c r="E339" i="1"/>
  <c r="E328" i="1"/>
  <c r="E313" i="1"/>
  <c r="E312" i="1"/>
  <c r="E311" i="1"/>
  <c r="E310" i="1"/>
  <c r="E309" i="1"/>
  <c r="E314" i="1" s="1"/>
  <c r="E297" i="1"/>
  <c r="E296" i="1"/>
  <c r="E295" i="1"/>
  <c r="E294" i="1"/>
  <c r="E298" i="1" s="1"/>
  <c r="E293" i="1"/>
  <c r="E284" i="1"/>
  <c r="E280" i="1"/>
  <c r="E266" i="1"/>
  <c r="E265" i="1"/>
  <c r="E264" i="1"/>
  <c r="E251" i="1"/>
  <c r="E250" i="1"/>
  <c r="E249" i="1"/>
  <c r="E248" i="1"/>
  <c r="E247" i="1"/>
  <c r="E238" i="1"/>
  <c r="E224" i="1"/>
  <c r="E217" i="1"/>
  <c r="E207" i="1"/>
  <c r="E206" i="1"/>
  <c r="E205" i="1"/>
  <c r="E204" i="1"/>
  <c r="E203" i="1"/>
  <c r="E194" i="1"/>
  <c r="E186" i="1"/>
  <c r="E182" i="1"/>
  <c r="E176" i="1"/>
  <c r="E164" i="1"/>
  <c r="E163" i="1"/>
  <c r="E157" i="1"/>
  <c r="E156" i="1"/>
  <c r="E155" i="1"/>
  <c r="E154" i="1"/>
  <c r="E153" i="1"/>
  <c r="E144" i="1"/>
  <c r="E135" i="1"/>
  <c r="E124" i="1"/>
  <c r="E125" i="1" s="1"/>
  <c r="E115" i="1"/>
  <c r="E114" i="1"/>
  <c r="E111" i="1"/>
  <c r="E83" i="1"/>
  <c r="E75" i="1"/>
  <c r="E68" i="1"/>
  <c r="E61" i="1"/>
  <c r="E56" i="1"/>
  <c r="E47" i="1"/>
  <c r="E38" i="1"/>
  <c r="E28" i="1"/>
  <c r="E14" i="1"/>
  <c r="E707" i="1" l="1"/>
  <c r="E252" i="1"/>
  <c r="E49" i="1"/>
  <c r="E116" i="1"/>
  <c r="E536" i="1" s="1"/>
  <c r="E538" i="1" s="1"/>
  <c r="E158" i="1"/>
  <c r="E208" i="1"/>
  <c r="E368" i="1"/>
  <c r="E165" i="1"/>
  <c r="E385" i="1"/>
  <c r="E441" i="1"/>
</calcChain>
</file>

<file path=xl/sharedStrings.xml><?xml version="1.0" encoding="utf-8"?>
<sst xmlns="http://schemas.openxmlformats.org/spreadsheetml/2006/main" count="1128" uniqueCount="197">
  <si>
    <t>Trans-Allegheny Interstate Line Company</t>
  </si>
  <si>
    <t>Detail Transfers from CWIP to Plant in Service</t>
  </si>
  <si>
    <t>2016 Reconciliation of Transmission Revenue Requirement Formula Rate</t>
  </si>
  <si>
    <t>Work Order ID</t>
  </si>
  <si>
    <t>Work Order Number</t>
  </si>
  <si>
    <t>FERC Account 101/106                       Sub-Account</t>
  </si>
  <si>
    <t>Project / Description</t>
  </si>
  <si>
    <t>Amount</t>
  </si>
  <si>
    <t>Date of Transfer from CWIP to Plant in Service</t>
  </si>
  <si>
    <t>TrAIL Projects</t>
  </si>
  <si>
    <t>502 Junction to Territorial Line</t>
  </si>
  <si>
    <t>Line Construction 1</t>
  </si>
  <si>
    <t>Total</t>
  </si>
  <si>
    <t>13412255</t>
  </si>
  <si>
    <t>Line Construction 2</t>
  </si>
  <si>
    <t>14083631</t>
  </si>
  <si>
    <t>TREP TrAIL Engineering</t>
  </si>
  <si>
    <t>13420168</t>
  </si>
  <si>
    <t>Appalachian TrAIL - Loudoun Line</t>
  </si>
  <si>
    <t>D-01458.1426C</t>
  </si>
  <si>
    <t>TrAIL - VA TL 500 kv</t>
  </si>
  <si>
    <t>D-01458.1427C</t>
  </si>
  <si>
    <t>D-01458.1403C</t>
  </si>
  <si>
    <t>Const 500kv line 502J-MTS (WV)</t>
  </si>
  <si>
    <t>D-01458.3411C</t>
  </si>
  <si>
    <t>14692817</t>
  </si>
  <si>
    <t>14732069</t>
  </si>
  <si>
    <t>502 Jct - Mt Storm 500kV</t>
  </si>
  <si>
    <t>14732988</t>
  </si>
  <si>
    <t>Mt Storm-Mdwbrk 500kV</t>
  </si>
  <si>
    <t>14692838</t>
  </si>
  <si>
    <t>Mt Storm-Meadowbrook 500kv WV</t>
  </si>
  <si>
    <t>14733093</t>
  </si>
  <si>
    <t>Loundon-Meadowbrook 500kv repl bells</t>
  </si>
  <si>
    <t>Meadowbrook Loudon 500kv VA</t>
  </si>
  <si>
    <t>Line Construction 16</t>
  </si>
  <si>
    <t xml:space="preserve">502 Jct. Mt Storm 500kv </t>
  </si>
  <si>
    <t>536 502 Junction Mt Storm 500kv</t>
  </si>
  <si>
    <t>502 Jct - Mt Storm #536 Repl OPGW</t>
  </si>
  <si>
    <t>Total 502 Junction to Territorial Line</t>
  </si>
  <si>
    <t>Other Projects</t>
  </si>
  <si>
    <t>Altoona Sub - Install 250 MVAR SVC</t>
  </si>
  <si>
    <t>13744988</t>
  </si>
  <si>
    <t>Handsome Lake - Homer City 345kV</t>
  </si>
  <si>
    <t>35022, 35400, 35500, 35610</t>
  </si>
  <si>
    <t>35400, 35500, 35610</t>
  </si>
  <si>
    <t>Armstrong SS: New 345-138 kv Yard</t>
  </si>
  <si>
    <t>35210, 35220, 35300</t>
  </si>
  <si>
    <t>35220, 35300, 35210, 35220</t>
  </si>
  <si>
    <t>14265429</t>
  </si>
  <si>
    <t>Bartonville 138 kV 32.4 Cap Topside</t>
  </si>
  <si>
    <t>14505976</t>
  </si>
  <si>
    <t>Black Oak SVC - Purchase Grounds</t>
  </si>
  <si>
    <t>14710199</t>
  </si>
  <si>
    <t>Black Oak SVC: Replace Arresters</t>
  </si>
  <si>
    <t>13625256</t>
  </si>
  <si>
    <t>Buffalo Road 115kV SN -Install a 50</t>
  </si>
  <si>
    <t>14097794</t>
  </si>
  <si>
    <t>SS - Claysburg 115 kV Ring Bus - RT</t>
  </si>
  <si>
    <t>35210, 35300</t>
  </si>
  <si>
    <t>13123150</t>
  </si>
  <si>
    <t>35500, 35610</t>
  </si>
  <si>
    <t>Build 230kV Line - Conemaugh to Sew</t>
  </si>
  <si>
    <t>14521947</t>
  </si>
  <si>
    <t>CIP IT Conemaugh - PSP Card Reader Equip</t>
  </si>
  <si>
    <t>D-01455.1303C</t>
  </si>
  <si>
    <t>Doubs Replace T2 Transformer</t>
  </si>
  <si>
    <t>14754065</t>
  </si>
  <si>
    <t>Land Purchase-Pierce Brook Substati</t>
  </si>
  <si>
    <t>14010237</t>
  </si>
  <si>
    <t>SS - Conemaugh-Seward 230 kV - Cons</t>
  </si>
  <si>
    <t>14560598</t>
  </si>
  <si>
    <t>Grover Sub - Install a 47.7 MVAR 24</t>
  </si>
  <si>
    <t>13631917</t>
  </si>
  <si>
    <t>SS - Johnstown 230kV - Install a 11</t>
  </si>
  <si>
    <t>13526185</t>
  </si>
  <si>
    <t>Kammer SS:T2 Xfmr Trans Maint</t>
  </si>
  <si>
    <t>13302963</t>
  </si>
  <si>
    <t>Mansfield-Everts Dr-Build new 345/1</t>
  </si>
  <si>
    <t>13448261</t>
  </si>
  <si>
    <t>Meadowbrook SS - Install SVC (TrAIL</t>
  </si>
  <si>
    <t>14542470</t>
  </si>
  <si>
    <t>Meadowbrook SS Replace CTs</t>
  </si>
  <si>
    <t>14918464</t>
  </si>
  <si>
    <t>Meadobrook SS Replace CVT</t>
  </si>
  <si>
    <t>14203423</t>
  </si>
  <si>
    <t>Monocacy SS - Install SVC (TrAIL)</t>
  </si>
  <si>
    <t>14203470</t>
  </si>
  <si>
    <t>Monocacy SS - Inst. SVC Facilities</t>
  </si>
  <si>
    <t>13609744</t>
  </si>
  <si>
    <t>Moshannon 230 kV - Construct 4 brea</t>
  </si>
  <si>
    <t>D-01290.1702C</t>
  </si>
  <si>
    <t>N Shenandoah SS: Replace Transformer</t>
  </si>
  <si>
    <t>14492232</t>
  </si>
  <si>
    <t>Nyswaner - Install a 51.8 MVAR (47.</t>
  </si>
  <si>
    <t>14258663</t>
  </si>
  <si>
    <t>Oak Mound Terminal Addition</t>
  </si>
  <si>
    <t>13432501</t>
  </si>
  <si>
    <t>Potter 115kV (WP)-Install two 12.5</t>
  </si>
  <si>
    <t>13722767</t>
  </si>
  <si>
    <t>TrAIL -Rider SS Ring Bus</t>
  </si>
  <si>
    <t>14516970</t>
  </si>
  <si>
    <t>138-kV Loop to Rider Sub</t>
  </si>
  <si>
    <t>13469732</t>
  </si>
  <si>
    <t>Rider 138kV Line ext</t>
  </si>
  <si>
    <t>13722842</t>
  </si>
  <si>
    <t>Rider SS:   Ring Bus &amp; 138 kV Line</t>
  </si>
  <si>
    <t>13721318</t>
  </si>
  <si>
    <t>Trail ROW-Rider SS Ring Bus &amp; 138 k</t>
  </si>
  <si>
    <t>13646434</t>
  </si>
  <si>
    <t>SN - Shawville: Install 2-39.7 MVAR</t>
  </si>
  <si>
    <t>13956791</t>
  </si>
  <si>
    <t>Shingletown SS:Inst 75MVAR 230kV Ca</t>
  </si>
  <si>
    <t>14057705</t>
  </si>
  <si>
    <t>Squab Hollow SS:  TrAILCo CIAC/230-</t>
  </si>
  <si>
    <t>14506973</t>
  </si>
  <si>
    <t>Squab Hollow:Install 230kv breaker</t>
  </si>
  <si>
    <t>14058080</t>
  </si>
  <si>
    <t>Squab Hollow SS: TrAILCo/CIAC 250MV</t>
  </si>
  <si>
    <t>14019830</t>
  </si>
  <si>
    <t>35300, 35220, 35210</t>
  </si>
  <si>
    <t>TREP work at new Waldo Run substati</t>
  </si>
  <si>
    <t>13701262</t>
  </si>
  <si>
    <t>Yeagertown 230 kV - Install new 230</t>
  </si>
  <si>
    <t>14020629</t>
  </si>
  <si>
    <t>TREP Purchase Land Waldo Run sub</t>
  </si>
  <si>
    <t>14082160</t>
  </si>
  <si>
    <t>35400, 35610</t>
  </si>
  <si>
    <t>Glenn Falls Lamberton Loop 138kv</t>
  </si>
  <si>
    <t>14651143</t>
  </si>
  <si>
    <t>Joffre SS Land Purchase</t>
  </si>
  <si>
    <t>October , 2016</t>
  </si>
  <si>
    <t>14197715</t>
  </si>
  <si>
    <t>Erie South: Install +250/-100 MVAR</t>
  </si>
  <si>
    <t>13547208</t>
  </si>
  <si>
    <t>Pierce Brook Sub: Install 345/230 kV</t>
  </si>
  <si>
    <t>PW-004396-TRS</t>
  </si>
  <si>
    <t>Four Mile Junction Substation</t>
  </si>
  <si>
    <t>14716425</t>
  </si>
  <si>
    <t>Mainsburg Substation</t>
  </si>
  <si>
    <t>Grand Point Sub</t>
  </si>
  <si>
    <t>Shawville Trans Sub</t>
  </si>
  <si>
    <t>Conemaugh Sub</t>
  </si>
  <si>
    <t>Oak Mound - Waldo Run #1</t>
  </si>
  <si>
    <t>Waldo Run Sub</t>
  </si>
  <si>
    <t>Oak Mound - Rider 138kv</t>
  </si>
  <si>
    <t>Oak Mound - Waldo Run 138 kv</t>
  </si>
  <si>
    <t>Joffre Substation - Construct 138kv</t>
  </si>
  <si>
    <t>Const New Richwood Hill SS</t>
  </si>
  <si>
    <t>Richwood Hill SVC-Inst a +90/-30 Mv</t>
  </si>
  <si>
    <t>Hunterstown SVC: reactor TCR11</t>
  </si>
  <si>
    <t>Joffre SS: Construct 138kv Switch</t>
  </si>
  <si>
    <t>Equip Investigate / Repair Misc</t>
  </si>
  <si>
    <t>New Richwood Hill Substation Proper</t>
  </si>
  <si>
    <t>Total Other Projects</t>
  </si>
  <si>
    <t>Total Additions</t>
  </si>
  <si>
    <t>Various</t>
  </si>
  <si>
    <t xml:space="preserve">Vegetation Management </t>
  </si>
  <si>
    <t>2017 Reconciliation of Transmission Revenue Requirement Formula Rate</t>
  </si>
  <si>
    <t>October , 2017</t>
  </si>
  <si>
    <t>35022, 35400, 35610, 35500</t>
  </si>
  <si>
    <t>35022, 35400, 35610</t>
  </si>
  <si>
    <t>D-01458.1301C</t>
  </si>
  <si>
    <t>D-01458.1429C</t>
  </si>
  <si>
    <t>Line Construction 13</t>
  </si>
  <si>
    <t>Line Construction 14</t>
  </si>
  <si>
    <t>35220, 35300</t>
  </si>
  <si>
    <t>35500, 35610, 35900</t>
  </si>
  <si>
    <t>Property Purchase</t>
  </si>
  <si>
    <t xml:space="preserve">Meadow Brook - Mt. Storm </t>
  </si>
  <si>
    <t>502 Junction - Mt. Storm 500k</t>
  </si>
  <si>
    <t>FE South Trans HQ-Inst MPLS Router</t>
  </si>
  <si>
    <t>TRAIL PID for time MTS</t>
  </si>
  <si>
    <t>ROW - 230kV Line Conemaugh to Sewar</t>
  </si>
  <si>
    <t xml:space="preserve">Erie South - Relay Replc-Four Mile </t>
  </si>
  <si>
    <t>Osage-Whiteley(MP) - 5.8-mi new 138</t>
  </si>
  <si>
    <t>Trail - Belmont SS: 500/138Kv Spare</t>
  </si>
  <si>
    <t xml:space="preserve">MPDC Mon Power Delivery </t>
  </si>
  <si>
    <t>Warren: Install 4 breaker 230Kv</t>
  </si>
  <si>
    <t xml:space="preserve">Damascus SS-Inst 230Kv Capacitor </t>
  </si>
  <si>
    <t>Mainsburg SS-Inst 2nd Pilot Commun</t>
  </si>
  <si>
    <t>Construct SVC portion of Joffre SS</t>
  </si>
  <si>
    <t>502 Junction-Inst DWDM Node</t>
  </si>
  <si>
    <t>Meadow Brook -Inst DWDM Node</t>
  </si>
  <si>
    <t>502 Junction-Inst MPLS Router</t>
  </si>
  <si>
    <t>Joffe-Inst Microwave Tower at Joff</t>
  </si>
  <si>
    <t>Kammer- T200 Xfmr repair</t>
  </si>
  <si>
    <t>Meadow Brook SS: Replace Bushings</t>
  </si>
  <si>
    <t>Meadow Brook SS: Storage Building</t>
  </si>
  <si>
    <t>TREP - Waldo Run-Repairs along main</t>
  </si>
  <si>
    <t xml:space="preserve">Richwood Hill 138KV Line CCVT </t>
  </si>
  <si>
    <t xml:space="preserve">Meadow Brook SS: Replace Minitor </t>
  </si>
  <si>
    <t xml:space="preserve">Joffre Sub-Inst fence within substation </t>
  </si>
  <si>
    <t>Real Estate for Pierce Brook Shunt</t>
  </si>
  <si>
    <t>Meadow Brook SVC-Repl Cooper SMP-16</t>
  </si>
  <si>
    <t xml:space="preserve">Osage - Transmission </t>
  </si>
  <si>
    <t>Black Oak MD- Trail EHV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</si>
</sst>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3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9" fontId="0" fillId="0" borderId="0" xfId="0" applyNumberForma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39" fontId="1" fillId="0" borderId="0" xfId="0" applyNumberFormat="1" applyFont="1" applyFill="1" applyProtection="1">
      <protection locked="0"/>
    </xf>
    <xf numFmtId="3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left"/>
    </xf>
    <xf numFmtId="39" fontId="4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0" fontId="5" fillId="0" borderId="0" xfId="0" applyFont="1" applyBorder="1"/>
    <xf numFmtId="39" fontId="1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 applyProtection="1">
      <protection locked="0"/>
    </xf>
    <xf numFmtId="43" fontId="5" fillId="0" borderId="0" xfId="1" applyFont="1" applyFill="1" applyBorder="1"/>
    <xf numFmtId="0" fontId="1" fillId="0" borderId="0" xfId="0" applyFont="1" applyFill="1"/>
    <xf numFmtId="43" fontId="1" fillId="0" borderId="0" xfId="1" applyFont="1" applyFill="1" applyAlignment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3" fontId="1" fillId="0" borderId="0" xfId="1" applyFont="1" applyFill="1"/>
    <xf numFmtId="39" fontId="1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9" fontId="4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>
      <alignment horizontal="center"/>
    </xf>
    <xf numFmtId="0" fontId="1" fillId="0" borderId="0" xfId="0" applyFont="1"/>
    <xf numFmtId="43" fontId="1" fillId="0" borderId="0" xfId="0" applyNumberFormat="1" applyFont="1" applyFill="1"/>
    <xf numFmtId="39" fontId="4" fillId="0" borderId="0" xfId="0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43" fontId="5" fillId="0" borderId="0" xfId="1" applyFont="1" applyBorder="1"/>
    <xf numFmtId="39" fontId="1" fillId="0" borderId="0" xfId="0" applyNumberFormat="1" applyFont="1" applyFill="1"/>
    <xf numFmtId="39" fontId="1" fillId="0" borderId="4" xfId="0" applyNumberFormat="1" applyFont="1" applyFill="1" applyBorder="1" applyAlignment="1">
      <alignment horizontal="right"/>
    </xf>
    <xf numFmtId="43" fontId="0" fillId="0" borderId="0" xfId="1" applyFont="1" applyFill="1"/>
    <xf numFmtId="43" fontId="0" fillId="0" borderId="0" xfId="0" applyNumberFormat="1" applyFill="1"/>
    <xf numFmtId="43" fontId="0" fillId="0" borderId="4" xfId="1" applyFont="1" applyFill="1" applyBorder="1"/>
    <xf numFmtId="43" fontId="2" fillId="0" borderId="5" xfId="1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39" fontId="0" fillId="0" borderId="0" xfId="0" applyNumberFormat="1" applyFill="1" applyBorder="1" applyProtection="1">
      <protection locked="0"/>
    </xf>
    <xf numFmtId="0" fontId="1" fillId="0" borderId="0" xfId="0" applyFont="1" applyFill="1" applyBorder="1"/>
    <xf numFmtId="43" fontId="5" fillId="0" borderId="0" xfId="0" applyNumberFormat="1" applyFont="1" applyBorder="1"/>
    <xf numFmtId="39" fontId="4" fillId="0" borderId="0" xfId="0" applyNumberFormat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3" fontId="5" fillId="0" borderId="0" xfId="0" applyNumberFormat="1" applyFont="1" applyFill="1" applyBorder="1"/>
    <xf numFmtId="39" fontId="1" fillId="0" borderId="0" xfId="0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/>
    <xf numFmtId="39" fontId="0" fillId="0" borderId="5" xfId="0" applyNumberFormat="1" applyFont="1" applyFill="1" applyBorder="1" applyAlignment="1">
      <alignment horizontal="right"/>
    </xf>
    <xf numFmtId="39" fontId="1" fillId="0" borderId="6" xfId="0" applyNumberFormat="1" applyFont="1" applyFill="1" applyBorder="1" applyProtection="1">
      <protection locked="0"/>
    </xf>
    <xf numFmtId="39" fontId="1" fillId="0" borderId="5" xfId="0" applyNumberFormat="1" applyFont="1" applyFill="1" applyBorder="1" applyProtection="1">
      <protection locked="0"/>
    </xf>
    <xf numFmtId="43" fontId="1" fillId="0" borderId="0" xfId="2" applyFont="1" applyFill="1" applyAlignment="1">
      <alignment horizontal="left"/>
    </xf>
    <xf numFmtId="39" fontId="0" fillId="0" borderId="0" xfId="0" applyNumberFormat="1" applyFont="1" applyFill="1" applyBorder="1" applyProtection="1">
      <protection locked="0"/>
    </xf>
    <xf numFmtId="43" fontId="0" fillId="0" borderId="0" xfId="0" applyNumberFormat="1" applyFill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39" fontId="0" fillId="0" borderId="6" xfId="0" applyNumberFormat="1" applyFont="1" applyFill="1" applyBorder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 applyAlignment="1">
      <alignment horizontal="left"/>
    </xf>
    <xf numFmtId="0" fontId="0" fillId="0" borderId="0" xfId="0" applyFont="1"/>
    <xf numFmtId="0" fontId="2" fillId="0" borderId="0" xfId="0" applyFont="1" applyFill="1" applyProtection="1">
      <protection locked="0"/>
    </xf>
    <xf numFmtId="43" fontId="2" fillId="0" borderId="0" xfId="1" applyFont="1" applyFill="1" applyProtection="1">
      <protection locked="0"/>
    </xf>
    <xf numFmtId="39" fontId="2" fillId="0" borderId="0" xfId="0" applyNumberFormat="1" applyFont="1" applyFill="1" applyProtection="1">
      <protection locked="0"/>
    </xf>
    <xf numFmtId="39" fontId="0" fillId="0" borderId="0" xfId="0" applyNumberFormat="1" applyFont="1" applyFill="1" applyBorder="1" applyAlignment="1">
      <alignment horizontal="right"/>
    </xf>
    <xf numFmtId="43" fontId="0" fillId="0" borderId="0" xfId="1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Rates/Akr/Rates/FERC%20Transmission/TrAIL/Rate%20Updates/2017/Support/Attachment%203/Attachment%203%20Detail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from PowerPlant"/>
      <sheetName val="Transmission Plant"/>
      <sheetName val="Transmission Pivot"/>
      <sheetName val="AUG &quot;LINE&quot; ADDS"/>
      <sheetName val="YTD Summary"/>
      <sheetName val="YTD Check"/>
      <sheetName val="Jan Adds"/>
      <sheetName val="Feb Adds"/>
      <sheetName val="Mar Adds"/>
      <sheetName val="Apr Adds"/>
      <sheetName val="May Adds"/>
      <sheetName val="Jun Adds"/>
      <sheetName val="Jul Adds"/>
      <sheetName val="Aug Adds"/>
      <sheetName val="Sep Adds"/>
      <sheetName val="Oct Adds"/>
      <sheetName val="Nov Adds"/>
      <sheetName val="Dec Adds"/>
      <sheetName val="Attachment 3 2016"/>
      <sheetName val="2015 for reference only"/>
      <sheetName val="Transmission plant Lists"/>
      <sheetName val="Gen &amp; Intang Pl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8"/>
  <sheetViews>
    <sheetView zoomScaleNormal="100" workbookViewId="0">
      <selection activeCell="B4" sqref="B4"/>
    </sheetView>
  </sheetViews>
  <sheetFormatPr defaultRowHeight="12.75" x14ac:dyDescent="0.2"/>
  <cols>
    <col min="1" max="1" width="16.85546875" style="14" customWidth="1"/>
    <col min="2" max="2" width="18.28515625" style="39" customWidth="1"/>
    <col min="3" max="3" width="25.140625" style="1" customWidth="1"/>
    <col min="4" max="4" width="38.85546875" style="1" customWidth="1"/>
    <col min="5" max="5" width="18.7109375" style="47" customWidth="1"/>
    <col min="6" max="6" width="1.5703125" style="1" customWidth="1"/>
    <col min="7" max="8" width="18.42578125" style="1" customWidth="1"/>
    <col min="9" max="9" width="16.5703125" style="1" customWidth="1"/>
    <col min="10" max="10" width="3.7109375" style="1" customWidth="1"/>
    <col min="11" max="11" width="4.85546875" style="1" customWidth="1"/>
    <col min="12" max="12" width="32.28515625" style="1" customWidth="1"/>
    <col min="13" max="13" width="3.85546875" style="1" customWidth="1"/>
    <col min="14" max="14" width="9.140625" style="1"/>
    <col min="15" max="15" width="2.85546875" style="1" customWidth="1"/>
    <col min="16" max="16" width="5.5703125" style="1" customWidth="1"/>
    <col min="17" max="17" width="3.85546875" style="1" customWidth="1"/>
    <col min="18" max="18" width="14.5703125" style="1" customWidth="1"/>
    <col min="19" max="19" width="14.42578125" style="1" customWidth="1"/>
    <col min="20" max="256" width="9.140625" style="1"/>
    <col min="257" max="257" width="11.85546875" style="1" customWidth="1"/>
    <col min="258" max="258" width="18.28515625" style="1" customWidth="1"/>
    <col min="259" max="259" width="23.140625" style="1" customWidth="1"/>
    <col min="260" max="260" width="38.85546875" style="1" customWidth="1"/>
    <col min="261" max="261" width="18.7109375" style="1" customWidth="1"/>
    <col min="262" max="262" width="1.5703125" style="1" customWidth="1"/>
    <col min="263" max="264" width="18.42578125" style="1" customWidth="1"/>
    <col min="265" max="265" width="16.5703125" style="1" customWidth="1"/>
    <col min="266" max="266" width="3.7109375" style="1" customWidth="1"/>
    <col min="267" max="267" width="4.85546875" style="1" customWidth="1"/>
    <col min="268" max="268" width="32.28515625" style="1" customWidth="1"/>
    <col min="269" max="269" width="3.85546875" style="1" customWidth="1"/>
    <col min="270" max="270" width="9.140625" style="1"/>
    <col min="271" max="271" width="2.85546875" style="1" customWidth="1"/>
    <col min="272" max="272" width="5.5703125" style="1" customWidth="1"/>
    <col min="273" max="273" width="3.85546875" style="1" customWidth="1"/>
    <col min="274" max="274" width="14.5703125" style="1" customWidth="1"/>
    <col min="275" max="275" width="14.42578125" style="1" customWidth="1"/>
    <col min="276" max="512" width="9.140625" style="1"/>
    <col min="513" max="513" width="11.85546875" style="1" customWidth="1"/>
    <col min="514" max="514" width="18.28515625" style="1" customWidth="1"/>
    <col min="515" max="515" width="23.140625" style="1" customWidth="1"/>
    <col min="516" max="516" width="38.85546875" style="1" customWidth="1"/>
    <col min="517" max="517" width="18.7109375" style="1" customWidth="1"/>
    <col min="518" max="518" width="1.5703125" style="1" customWidth="1"/>
    <col min="519" max="520" width="18.42578125" style="1" customWidth="1"/>
    <col min="521" max="521" width="16.5703125" style="1" customWidth="1"/>
    <col min="522" max="522" width="3.7109375" style="1" customWidth="1"/>
    <col min="523" max="523" width="4.85546875" style="1" customWidth="1"/>
    <col min="524" max="524" width="32.28515625" style="1" customWidth="1"/>
    <col min="525" max="525" width="3.85546875" style="1" customWidth="1"/>
    <col min="526" max="526" width="9.140625" style="1"/>
    <col min="527" max="527" width="2.85546875" style="1" customWidth="1"/>
    <col min="528" max="528" width="5.5703125" style="1" customWidth="1"/>
    <col min="529" max="529" width="3.85546875" style="1" customWidth="1"/>
    <col min="530" max="530" width="14.5703125" style="1" customWidth="1"/>
    <col min="531" max="531" width="14.42578125" style="1" customWidth="1"/>
    <col min="532" max="768" width="9.140625" style="1"/>
    <col min="769" max="769" width="11.85546875" style="1" customWidth="1"/>
    <col min="770" max="770" width="18.28515625" style="1" customWidth="1"/>
    <col min="771" max="771" width="23.140625" style="1" customWidth="1"/>
    <col min="772" max="772" width="38.85546875" style="1" customWidth="1"/>
    <col min="773" max="773" width="18.7109375" style="1" customWidth="1"/>
    <col min="774" max="774" width="1.5703125" style="1" customWidth="1"/>
    <col min="775" max="776" width="18.42578125" style="1" customWidth="1"/>
    <col min="777" max="777" width="16.5703125" style="1" customWidth="1"/>
    <col min="778" max="778" width="3.7109375" style="1" customWidth="1"/>
    <col min="779" max="779" width="4.85546875" style="1" customWidth="1"/>
    <col min="780" max="780" width="32.28515625" style="1" customWidth="1"/>
    <col min="781" max="781" width="3.85546875" style="1" customWidth="1"/>
    <col min="782" max="782" width="9.140625" style="1"/>
    <col min="783" max="783" width="2.85546875" style="1" customWidth="1"/>
    <col min="784" max="784" width="5.5703125" style="1" customWidth="1"/>
    <col min="785" max="785" width="3.85546875" style="1" customWidth="1"/>
    <col min="786" max="786" width="14.5703125" style="1" customWidth="1"/>
    <col min="787" max="787" width="14.42578125" style="1" customWidth="1"/>
    <col min="788" max="1024" width="9.140625" style="1"/>
    <col min="1025" max="1025" width="11.85546875" style="1" customWidth="1"/>
    <col min="1026" max="1026" width="18.28515625" style="1" customWidth="1"/>
    <col min="1027" max="1027" width="23.140625" style="1" customWidth="1"/>
    <col min="1028" max="1028" width="38.85546875" style="1" customWidth="1"/>
    <col min="1029" max="1029" width="18.7109375" style="1" customWidth="1"/>
    <col min="1030" max="1030" width="1.5703125" style="1" customWidth="1"/>
    <col min="1031" max="1032" width="18.42578125" style="1" customWidth="1"/>
    <col min="1033" max="1033" width="16.5703125" style="1" customWidth="1"/>
    <col min="1034" max="1034" width="3.7109375" style="1" customWidth="1"/>
    <col min="1035" max="1035" width="4.85546875" style="1" customWidth="1"/>
    <col min="1036" max="1036" width="32.28515625" style="1" customWidth="1"/>
    <col min="1037" max="1037" width="3.85546875" style="1" customWidth="1"/>
    <col min="1038" max="1038" width="9.140625" style="1"/>
    <col min="1039" max="1039" width="2.85546875" style="1" customWidth="1"/>
    <col min="1040" max="1040" width="5.5703125" style="1" customWidth="1"/>
    <col min="1041" max="1041" width="3.85546875" style="1" customWidth="1"/>
    <col min="1042" max="1042" width="14.5703125" style="1" customWidth="1"/>
    <col min="1043" max="1043" width="14.42578125" style="1" customWidth="1"/>
    <col min="1044" max="1280" width="9.140625" style="1"/>
    <col min="1281" max="1281" width="11.85546875" style="1" customWidth="1"/>
    <col min="1282" max="1282" width="18.28515625" style="1" customWidth="1"/>
    <col min="1283" max="1283" width="23.140625" style="1" customWidth="1"/>
    <col min="1284" max="1284" width="38.85546875" style="1" customWidth="1"/>
    <col min="1285" max="1285" width="18.7109375" style="1" customWidth="1"/>
    <col min="1286" max="1286" width="1.5703125" style="1" customWidth="1"/>
    <col min="1287" max="1288" width="18.42578125" style="1" customWidth="1"/>
    <col min="1289" max="1289" width="16.5703125" style="1" customWidth="1"/>
    <col min="1290" max="1290" width="3.7109375" style="1" customWidth="1"/>
    <col min="1291" max="1291" width="4.85546875" style="1" customWidth="1"/>
    <col min="1292" max="1292" width="32.28515625" style="1" customWidth="1"/>
    <col min="1293" max="1293" width="3.85546875" style="1" customWidth="1"/>
    <col min="1294" max="1294" width="9.140625" style="1"/>
    <col min="1295" max="1295" width="2.85546875" style="1" customWidth="1"/>
    <col min="1296" max="1296" width="5.5703125" style="1" customWidth="1"/>
    <col min="1297" max="1297" width="3.85546875" style="1" customWidth="1"/>
    <col min="1298" max="1298" width="14.5703125" style="1" customWidth="1"/>
    <col min="1299" max="1299" width="14.42578125" style="1" customWidth="1"/>
    <col min="1300" max="1536" width="9.140625" style="1"/>
    <col min="1537" max="1537" width="11.85546875" style="1" customWidth="1"/>
    <col min="1538" max="1538" width="18.28515625" style="1" customWidth="1"/>
    <col min="1539" max="1539" width="23.140625" style="1" customWidth="1"/>
    <col min="1540" max="1540" width="38.85546875" style="1" customWidth="1"/>
    <col min="1541" max="1541" width="18.7109375" style="1" customWidth="1"/>
    <col min="1542" max="1542" width="1.5703125" style="1" customWidth="1"/>
    <col min="1543" max="1544" width="18.42578125" style="1" customWidth="1"/>
    <col min="1545" max="1545" width="16.5703125" style="1" customWidth="1"/>
    <col min="1546" max="1546" width="3.7109375" style="1" customWidth="1"/>
    <col min="1547" max="1547" width="4.85546875" style="1" customWidth="1"/>
    <col min="1548" max="1548" width="32.28515625" style="1" customWidth="1"/>
    <col min="1549" max="1549" width="3.85546875" style="1" customWidth="1"/>
    <col min="1550" max="1550" width="9.140625" style="1"/>
    <col min="1551" max="1551" width="2.85546875" style="1" customWidth="1"/>
    <col min="1552" max="1552" width="5.5703125" style="1" customWidth="1"/>
    <col min="1553" max="1553" width="3.85546875" style="1" customWidth="1"/>
    <col min="1554" max="1554" width="14.5703125" style="1" customWidth="1"/>
    <col min="1555" max="1555" width="14.42578125" style="1" customWidth="1"/>
    <col min="1556" max="1792" width="9.140625" style="1"/>
    <col min="1793" max="1793" width="11.85546875" style="1" customWidth="1"/>
    <col min="1794" max="1794" width="18.28515625" style="1" customWidth="1"/>
    <col min="1795" max="1795" width="23.140625" style="1" customWidth="1"/>
    <col min="1796" max="1796" width="38.85546875" style="1" customWidth="1"/>
    <col min="1797" max="1797" width="18.7109375" style="1" customWidth="1"/>
    <col min="1798" max="1798" width="1.5703125" style="1" customWidth="1"/>
    <col min="1799" max="1800" width="18.42578125" style="1" customWidth="1"/>
    <col min="1801" max="1801" width="16.5703125" style="1" customWidth="1"/>
    <col min="1802" max="1802" width="3.7109375" style="1" customWidth="1"/>
    <col min="1803" max="1803" width="4.85546875" style="1" customWidth="1"/>
    <col min="1804" max="1804" width="32.28515625" style="1" customWidth="1"/>
    <col min="1805" max="1805" width="3.85546875" style="1" customWidth="1"/>
    <col min="1806" max="1806" width="9.140625" style="1"/>
    <col min="1807" max="1807" width="2.85546875" style="1" customWidth="1"/>
    <col min="1808" max="1808" width="5.5703125" style="1" customWidth="1"/>
    <col min="1809" max="1809" width="3.85546875" style="1" customWidth="1"/>
    <col min="1810" max="1810" width="14.5703125" style="1" customWidth="1"/>
    <col min="1811" max="1811" width="14.42578125" style="1" customWidth="1"/>
    <col min="1812" max="2048" width="9.140625" style="1"/>
    <col min="2049" max="2049" width="11.85546875" style="1" customWidth="1"/>
    <col min="2050" max="2050" width="18.28515625" style="1" customWidth="1"/>
    <col min="2051" max="2051" width="23.140625" style="1" customWidth="1"/>
    <col min="2052" max="2052" width="38.85546875" style="1" customWidth="1"/>
    <col min="2053" max="2053" width="18.7109375" style="1" customWidth="1"/>
    <col min="2054" max="2054" width="1.5703125" style="1" customWidth="1"/>
    <col min="2055" max="2056" width="18.42578125" style="1" customWidth="1"/>
    <col min="2057" max="2057" width="16.5703125" style="1" customWidth="1"/>
    <col min="2058" max="2058" width="3.7109375" style="1" customWidth="1"/>
    <col min="2059" max="2059" width="4.85546875" style="1" customWidth="1"/>
    <col min="2060" max="2060" width="32.28515625" style="1" customWidth="1"/>
    <col min="2061" max="2061" width="3.85546875" style="1" customWidth="1"/>
    <col min="2062" max="2062" width="9.140625" style="1"/>
    <col min="2063" max="2063" width="2.85546875" style="1" customWidth="1"/>
    <col min="2064" max="2064" width="5.5703125" style="1" customWidth="1"/>
    <col min="2065" max="2065" width="3.85546875" style="1" customWidth="1"/>
    <col min="2066" max="2066" width="14.5703125" style="1" customWidth="1"/>
    <col min="2067" max="2067" width="14.42578125" style="1" customWidth="1"/>
    <col min="2068" max="2304" width="9.140625" style="1"/>
    <col min="2305" max="2305" width="11.85546875" style="1" customWidth="1"/>
    <col min="2306" max="2306" width="18.28515625" style="1" customWidth="1"/>
    <col min="2307" max="2307" width="23.140625" style="1" customWidth="1"/>
    <col min="2308" max="2308" width="38.85546875" style="1" customWidth="1"/>
    <col min="2309" max="2309" width="18.7109375" style="1" customWidth="1"/>
    <col min="2310" max="2310" width="1.5703125" style="1" customWidth="1"/>
    <col min="2311" max="2312" width="18.42578125" style="1" customWidth="1"/>
    <col min="2313" max="2313" width="16.5703125" style="1" customWidth="1"/>
    <col min="2314" max="2314" width="3.7109375" style="1" customWidth="1"/>
    <col min="2315" max="2315" width="4.85546875" style="1" customWidth="1"/>
    <col min="2316" max="2316" width="32.28515625" style="1" customWidth="1"/>
    <col min="2317" max="2317" width="3.85546875" style="1" customWidth="1"/>
    <col min="2318" max="2318" width="9.140625" style="1"/>
    <col min="2319" max="2319" width="2.85546875" style="1" customWidth="1"/>
    <col min="2320" max="2320" width="5.5703125" style="1" customWidth="1"/>
    <col min="2321" max="2321" width="3.85546875" style="1" customWidth="1"/>
    <col min="2322" max="2322" width="14.5703125" style="1" customWidth="1"/>
    <col min="2323" max="2323" width="14.42578125" style="1" customWidth="1"/>
    <col min="2324" max="2560" width="9.140625" style="1"/>
    <col min="2561" max="2561" width="11.85546875" style="1" customWidth="1"/>
    <col min="2562" max="2562" width="18.28515625" style="1" customWidth="1"/>
    <col min="2563" max="2563" width="23.140625" style="1" customWidth="1"/>
    <col min="2564" max="2564" width="38.85546875" style="1" customWidth="1"/>
    <col min="2565" max="2565" width="18.7109375" style="1" customWidth="1"/>
    <col min="2566" max="2566" width="1.5703125" style="1" customWidth="1"/>
    <col min="2567" max="2568" width="18.42578125" style="1" customWidth="1"/>
    <col min="2569" max="2569" width="16.5703125" style="1" customWidth="1"/>
    <col min="2570" max="2570" width="3.7109375" style="1" customWidth="1"/>
    <col min="2571" max="2571" width="4.85546875" style="1" customWidth="1"/>
    <col min="2572" max="2572" width="32.28515625" style="1" customWidth="1"/>
    <col min="2573" max="2573" width="3.85546875" style="1" customWidth="1"/>
    <col min="2574" max="2574" width="9.140625" style="1"/>
    <col min="2575" max="2575" width="2.85546875" style="1" customWidth="1"/>
    <col min="2576" max="2576" width="5.5703125" style="1" customWidth="1"/>
    <col min="2577" max="2577" width="3.85546875" style="1" customWidth="1"/>
    <col min="2578" max="2578" width="14.5703125" style="1" customWidth="1"/>
    <col min="2579" max="2579" width="14.42578125" style="1" customWidth="1"/>
    <col min="2580" max="2816" width="9.140625" style="1"/>
    <col min="2817" max="2817" width="11.85546875" style="1" customWidth="1"/>
    <col min="2818" max="2818" width="18.28515625" style="1" customWidth="1"/>
    <col min="2819" max="2819" width="23.140625" style="1" customWidth="1"/>
    <col min="2820" max="2820" width="38.85546875" style="1" customWidth="1"/>
    <col min="2821" max="2821" width="18.7109375" style="1" customWidth="1"/>
    <col min="2822" max="2822" width="1.5703125" style="1" customWidth="1"/>
    <col min="2823" max="2824" width="18.42578125" style="1" customWidth="1"/>
    <col min="2825" max="2825" width="16.5703125" style="1" customWidth="1"/>
    <col min="2826" max="2826" width="3.7109375" style="1" customWidth="1"/>
    <col min="2827" max="2827" width="4.85546875" style="1" customWidth="1"/>
    <col min="2828" max="2828" width="32.28515625" style="1" customWidth="1"/>
    <col min="2829" max="2829" width="3.85546875" style="1" customWidth="1"/>
    <col min="2830" max="2830" width="9.140625" style="1"/>
    <col min="2831" max="2831" width="2.85546875" style="1" customWidth="1"/>
    <col min="2832" max="2832" width="5.5703125" style="1" customWidth="1"/>
    <col min="2833" max="2833" width="3.85546875" style="1" customWidth="1"/>
    <col min="2834" max="2834" width="14.5703125" style="1" customWidth="1"/>
    <col min="2835" max="2835" width="14.42578125" style="1" customWidth="1"/>
    <col min="2836" max="3072" width="9.140625" style="1"/>
    <col min="3073" max="3073" width="11.85546875" style="1" customWidth="1"/>
    <col min="3074" max="3074" width="18.28515625" style="1" customWidth="1"/>
    <col min="3075" max="3075" width="23.140625" style="1" customWidth="1"/>
    <col min="3076" max="3076" width="38.85546875" style="1" customWidth="1"/>
    <col min="3077" max="3077" width="18.7109375" style="1" customWidth="1"/>
    <col min="3078" max="3078" width="1.5703125" style="1" customWidth="1"/>
    <col min="3079" max="3080" width="18.42578125" style="1" customWidth="1"/>
    <col min="3081" max="3081" width="16.5703125" style="1" customWidth="1"/>
    <col min="3082" max="3082" width="3.7109375" style="1" customWidth="1"/>
    <col min="3083" max="3083" width="4.85546875" style="1" customWidth="1"/>
    <col min="3084" max="3084" width="32.28515625" style="1" customWidth="1"/>
    <col min="3085" max="3085" width="3.85546875" style="1" customWidth="1"/>
    <col min="3086" max="3086" width="9.140625" style="1"/>
    <col min="3087" max="3087" width="2.85546875" style="1" customWidth="1"/>
    <col min="3088" max="3088" width="5.5703125" style="1" customWidth="1"/>
    <col min="3089" max="3089" width="3.85546875" style="1" customWidth="1"/>
    <col min="3090" max="3090" width="14.5703125" style="1" customWidth="1"/>
    <col min="3091" max="3091" width="14.42578125" style="1" customWidth="1"/>
    <col min="3092" max="3328" width="9.140625" style="1"/>
    <col min="3329" max="3329" width="11.85546875" style="1" customWidth="1"/>
    <col min="3330" max="3330" width="18.28515625" style="1" customWidth="1"/>
    <col min="3331" max="3331" width="23.140625" style="1" customWidth="1"/>
    <col min="3332" max="3332" width="38.85546875" style="1" customWidth="1"/>
    <col min="3333" max="3333" width="18.7109375" style="1" customWidth="1"/>
    <col min="3334" max="3334" width="1.5703125" style="1" customWidth="1"/>
    <col min="3335" max="3336" width="18.42578125" style="1" customWidth="1"/>
    <col min="3337" max="3337" width="16.5703125" style="1" customWidth="1"/>
    <col min="3338" max="3338" width="3.7109375" style="1" customWidth="1"/>
    <col min="3339" max="3339" width="4.85546875" style="1" customWidth="1"/>
    <col min="3340" max="3340" width="32.28515625" style="1" customWidth="1"/>
    <col min="3341" max="3341" width="3.85546875" style="1" customWidth="1"/>
    <col min="3342" max="3342" width="9.140625" style="1"/>
    <col min="3343" max="3343" width="2.85546875" style="1" customWidth="1"/>
    <col min="3344" max="3344" width="5.5703125" style="1" customWidth="1"/>
    <col min="3345" max="3345" width="3.85546875" style="1" customWidth="1"/>
    <col min="3346" max="3346" width="14.5703125" style="1" customWidth="1"/>
    <col min="3347" max="3347" width="14.42578125" style="1" customWidth="1"/>
    <col min="3348" max="3584" width="9.140625" style="1"/>
    <col min="3585" max="3585" width="11.85546875" style="1" customWidth="1"/>
    <col min="3586" max="3586" width="18.28515625" style="1" customWidth="1"/>
    <col min="3587" max="3587" width="23.140625" style="1" customWidth="1"/>
    <col min="3588" max="3588" width="38.85546875" style="1" customWidth="1"/>
    <col min="3589" max="3589" width="18.7109375" style="1" customWidth="1"/>
    <col min="3590" max="3590" width="1.5703125" style="1" customWidth="1"/>
    <col min="3591" max="3592" width="18.42578125" style="1" customWidth="1"/>
    <col min="3593" max="3593" width="16.5703125" style="1" customWidth="1"/>
    <col min="3594" max="3594" width="3.7109375" style="1" customWidth="1"/>
    <col min="3595" max="3595" width="4.85546875" style="1" customWidth="1"/>
    <col min="3596" max="3596" width="32.28515625" style="1" customWidth="1"/>
    <col min="3597" max="3597" width="3.85546875" style="1" customWidth="1"/>
    <col min="3598" max="3598" width="9.140625" style="1"/>
    <col min="3599" max="3599" width="2.85546875" style="1" customWidth="1"/>
    <col min="3600" max="3600" width="5.5703125" style="1" customWidth="1"/>
    <col min="3601" max="3601" width="3.85546875" style="1" customWidth="1"/>
    <col min="3602" max="3602" width="14.5703125" style="1" customWidth="1"/>
    <col min="3603" max="3603" width="14.42578125" style="1" customWidth="1"/>
    <col min="3604" max="3840" width="9.140625" style="1"/>
    <col min="3841" max="3841" width="11.85546875" style="1" customWidth="1"/>
    <col min="3842" max="3842" width="18.28515625" style="1" customWidth="1"/>
    <col min="3843" max="3843" width="23.140625" style="1" customWidth="1"/>
    <col min="3844" max="3844" width="38.85546875" style="1" customWidth="1"/>
    <col min="3845" max="3845" width="18.7109375" style="1" customWidth="1"/>
    <col min="3846" max="3846" width="1.5703125" style="1" customWidth="1"/>
    <col min="3847" max="3848" width="18.42578125" style="1" customWidth="1"/>
    <col min="3849" max="3849" width="16.5703125" style="1" customWidth="1"/>
    <col min="3850" max="3850" width="3.7109375" style="1" customWidth="1"/>
    <col min="3851" max="3851" width="4.85546875" style="1" customWidth="1"/>
    <col min="3852" max="3852" width="32.28515625" style="1" customWidth="1"/>
    <col min="3853" max="3853" width="3.85546875" style="1" customWidth="1"/>
    <col min="3854" max="3854" width="9.140625" style="1"/>
    <col min="3855" max="3855" width="2.85546875" style="1" customWidth="1"/>
    <col min="3856" max="3856" width="5.5703125" style="1" customWidth="1"/>
    <col min="3857" max="3857" width="3.85546875" style="1" customWidth="1"/>
    <col min="3858" max="3858" width="14.5703125" style="1" customWidth="1"/>
    <col min="3859" max="3859" width="14.42578125" style="1" customWidth="1"/>
    <col min="3860" max="4096" width="9.140625" style="1"/>
    <col min="4097" max="4097" width="11.85546875" style="1" customWidth="1"/>
    <col min="4098" max="4098" width="18.28515625" style="1" customWidth="1"/>
    <col min="4099" max="4099" width="23.140625" style="1" customWidth="1"/>
    <col min="4100" max="4100" width="38.85546875" style="1" customWidth="1"/>
    <col min="4101" max="4101" width="18.7109375" style="1" customWidth="1"/>
    <col min="4102" max="4102" width="1.5703125" style="1" customWidth="1"/>
    <col min="4103" max="4104" width="18.42578125" style="1" customWidth="1"/>
    <col min="4105" max="4105" width="16.5703125" style="1" customWidth="1"/>
    <col min="4106" max="4106" width="3.7109375" style="1" customWidth="1"/>
    <col min="4107" max="4107" width="4.85546875" style="1" customWidth="1"/>
    <col min="4108" max="4108" width="32.28515625" style="1" customWidth="1"/>
    <col min="4109" max="4109" width="3.85546875" style="1" customWidth="1"/>
    <col min="4110" max="4110" width="9.140625" style="1"/>
    <col min="4111" max="4111" width="2.85546875" style="1" customWidth="1"/>
    <col min="4112" max="4112" width="5.5703125" style="1" customWidth="1"/>
    <col min="4113" max="4113" width="3.85546875" style="1" customWidth="1"/>
    <col min="4114" max="4114" width="14.5703125" style="1" customWidth="1"/>
    <col min="4115" max="4115" width="14.42578125" style="1" customWidth="1"/>
    <col min="4116" max="4352" width="9.140625" style="1"/>
    <col min="4353" max="4353" width="11.85546875" style="1" customWidth="1"/>
    <col min="4354" max="4354" width="18.28515625" style="1" customWidth="1"/>
    <col min="4355" max="4355" width="23.140625" style="1" customWidth="1"/>
    <col min="4356" max="4356" width="38.85546875" style="1" customWidth="1"/>
    <col min="4357" max="4357" width="18.7109375" style="1" customWidth="1"/>
    <col min="4358" max="4358" width="1.5703125" style="1" customWidth="1"/>
    <col min="4359" max="4360" width="18.42578125" style="1" customWidth="1"/>
    <col min="4361" max="4361" width="16.5703125" style="1" customWidth="1"/>
    <col min="4362" max="4362" width="3.7109375" style="1" customWidth="1"/>
    <col min="4363" max="4363" width="4.85546875" style="1" customWidth="1"/>
    <col min="4364" max="4364" width="32.28515625" style="1" customWidth="1"/>
    <col min="4365" max="4365" width="3.85546875" style="1" customWidth="1"/>
    <col min="4366" max="4366" width="9.140625" style="1"/>
    <col min="4367" max="4367" width="2.85546875" style="1" customWidth="1"/>
    <col min="4368" max="4368" width="5.5703125" style="1" customWidth="1"/>
    <col min="4369" max="4369" width="3.85546875" style="1" customWidth="1"/>
    <col min="4370" max="4370" width="14.5703125" style="1" customWidth="1"/>
    <col min="4371" max="4371" width="14.42578125" style="1" customWidth="1"/>
    <col min="4372" max="4608" width="9.140625" style="1"/>
    <col min="4609" max="4609" width="11.85546875" style="1" customWidth="1"/>
    <col min="4610" max="4610" width="18.28515625" style="1" customWidth="1"/>
    <col min="4611" max="4611" width="23.140625" style="1" customWidth="1"/>
    <col min="4612" max="4612" width="38.85546875" style="1" customWidth="1"/>
    <col min="4613" max="4613" width="18.7109375" style="1" customWidth="1"/>
    <col min="4614" max="4614" width="1.5703125" style="1" customWidth="1"/>
    <col min="4615" max="4616" width="18.42578125" style="1" customWidth="1"/>
    <col min="4617" max="4617" width="16.5703125" style="1" customWidth="1"/>
    <col min="4618" max="4618" width="3.7109375" style="1" customWidth="1"/>
    <col min="4619" max="4619" width="4.85546875" style="1" customWidth="1"/>
    <col min="4620" max="4620" width="32.28515625" style="1" customWidth="1"/>
    <col min="4621" max="4621" width="3.85546875" style="1" customWidth="1"/>
    <col min="4622" max="4622" width="9.140625" style="1"/>
    <col min="4623" max="4623" width="2.85546875" style="1" customWidth="1"/>
    <col min="4624" max="4624" width="5.5703125" style="1" customWidth="1"/>
    <col min="4625" max="4625" width="3.85546875" style="1" customWidth="1"/>
    <col min="4626" max="4626" width="14.5703125" style="1" customWidth="1"/>
    <col min="4627" max="4627" width="14.42578125" style="1" customWidth="1"/>
    <col min="4628" max="4864" width="9.140625" style="1"/>
    <col min="4865" max="4865" width="11.85546875" style="1" customWidth="1"/>
    <col min="4866" max="4866" width="18.28515625" style="1" customWidth="1"/>
    <col min="4867" max="4867" width="23.140625" style="1" customWidth="1"/>
    <col min="4868" max="4868" width="38.85546875" style="1" customWidth="1"/>
    <col min="4869" max="4869" width="18.7109375" style="1" customWidth="1"/>
    <col min="4870" max="4870" width="1.5703125" style="1" customWidth="1"/>
    <col min="4871" max="4872" width="18.42578125" style="1" customWidth="1"/>
    <col min="4873" max="4873" width="16.5703125" style="1" customWidth="1"/>
    <col min="4874" max="4874" width="3.7109375" style="1" customWidth="1"/>
    <col min="4875" max="4875" width="4.85546875" style="1" customWidth="1"/>
    <col min="4876" max="4876" width="32.28515625" style="1" customWidth="1"/>
    <col min="4877" max="4877" width="3.85546875" style="1" customWidth="1"/>
    <col min="4878" max="4878" width="9.140625" style="1"/>
    <col min="4879" max="4879" width="2.85546875" style="1" customWidth="1"/>
    <col min="4880" max="4880" width="5.5703125" style="1" customWidth="1"/>
    <col min="4881" max="4881" width="3.85546875" style="1" customWidth="1"/>
    <col min="4882" max="4882" width="14.5703125" style="1" customWidth="1"/>
    <col min="4883" max="4883" width="14.42578125" style="1" customWidth="1"/>
    <col min="4884" max="5120" width="9.140625" style="1"/>
    <col min="5121" max="5121" width="11.85546875" style="1" customWidth="1"/>
    <col min="5122" max="5122" width="18.28515625" style="1" customWidth="1"/>
    <col min="5123" max="5123" width="23.140625" style="1" customWidth="1"/>
    <col min="5124" max="5124" width="38.85546875" style="1" customWidth="1"/>
    <col min="5125" max="5125" width="18.7109375" style="1" customWidth="1"/>
    <col min="5126" max="5126" width="1.5703125" style="1" customWidth="1"/>
    <col min="5127" max="5128" width="18.42578125" style="1" customWidth="1"/>
    <col min="5129" max="5129" width="16.5703125" style="1" customWidth="1"/>
    <col min="5130" max="5130" width="3.7109375" style="1" customWidth="1"/>
    <col min="5131" max="5131" width="4.85546875" style="1" customWidth="1"/>
    <col min="5132" max="5132" width="32.28515625" style="1" customWidth="1"/>
    <col min="5133" max="5133" width="3.85546875" style="1" customWidth="1"/>
    <col min="5134" max="5134" width="9.140625" style="1"/>
    <col min="5135" max="5135" width="2.85546875" style="1" customWidth="1"/>
    <col min="5136" max="5136" width="5.5703125" style="1" customWidth="1"/>
    <col min="5137" max="5137" width="3.85546875" style="1" customWidth="1"/>
    <col min="5138" max="5138" width="14.5703125" style="1" customWidth="1"/>
    <col min="5139" max="5139" width="14.42578125" style="1" customWidth="1"/>
    <col min="5140" max="5376" width="9.140625" style="1"/>
    <col min="5377" max="5377" width="11.85546875" style="1" customWidth="1"/>
    <col min="5378" max="5378" width="18.28515625" style="1" customWidth="1"/>
    <col min="5379" max="5379" width="23.140625" style="1" customWidth="1"/>
    <col min="5380" max="5380" width="38.85546875" style="1" customWidth="1"/>
    <col min="5381" max="5381" width="18.7109375" style="1" customWidth="1"/>
    <col min="5382" max="5382" width="1.5703125" style="1" customWidth="1"/>
    <col min="5383" max="5384" width="18.42578125" style="1" customWidth="1"/>
    <col min="5385" max="5385" width="16.5703125" style="1" customWidth="1"/>
    <col min="5386" max="5386" width="3.7109375" style="1" customWidth="1"/>
    <col min="5387" max="5387" width="4.85546875" style="1" customWidth="1"/>
    <col min="5388" max="5388" width="32.28515625" style="1" customWidth="1"/>
    <col min="5389" max="5389" width="3.85546875" style="1" customWidth="1"/>
    <col min="5390" max="5390" width="9.140625" style="1"/>
    <col min="5391" max="5391" width="2.85546875" style="1" customWidth="1"/>
    <col min="5392" max="5392" width="5.5703125" style="1" customWidth="1"/>
    <col min="5393" max="5393" width="3.85546875" style="1" customWidth="1"/>
    <col min="5394" max="5394" width="14.5703125" style="1" customWidth="1"/>
    <col min="5395" max="5395" width="14.42578125" style="1" customWidth="1"/>
    <col min="5396" max="5632" width="9.140625" style="1"/>
    <col min="5633" max="5633" width="11.85546875" style="1" customWidth="1"/>
    <col min="5634" max="5634" width="18.28515625" style="1" customWidth="1"/>
    <col min="5635" max="5635" width="23.140625" style="1" customWidth="1"/>
    <col min="5636" max="5636" width="38.85546875" style="1" customWidth="1"/>
    <col min="5637" max="5637" width="18.7109375" style="1" customWidth="1"/>
    <col min="5638" max="5638" width="1.5703125" style="1" customWidth="1"/>
    <col min="5639" max="5640" width="18.42578125" style="1" customWidth="1"/>
    <col min="5641" max="5641" width="16.5703125" style="1" customWidth="1"/>
    <col min="5642" max="5642" width="3.7109375" style="1" customWidth="1"/>
    <col min="5643" max="5643" width="4.85546875" style="1" customWidth="1"/>
    <col min="5644" max="5644" width="32.28515625" style="1" customWidth="1"/>
    <col min="5645" max="5645" width="3.85546875" style="1" customWidth="1"/>
    <col min="5646" max="5646" width="9.140625" style="1"/>
    <col min="5647" max="5647" width="2.85546875" style="1" customWidth="1"/>
    <col min="5648" max="5648" width="5.5703125" style="1" customWidth="1"/>
    <col min="5649" max="5649" width="3.85546875" style="1" customWidth="1"/>
    <col min="5650" max="5650" width="14.5703125" style="1" customWidth="1"/>
    <col min="5651" max="5651" width="14.42578125" style="1" customWidth="1"/>
    <col min="5652" max="5888" width="9.140625" style="1"/>
    <col min="5889" max="5889" width="11.85546875" style="1" customWidth="1"/>
    <col min="5890" max="5890" width="18.28515625" style="1" customWidth="1"/>
    <col min="5891" max="5891" width="23.140625" style="1" customWidth="1"/>
    <col min="5892" max="5892" width="38.85546875" style="1" customWidth="1"/>
    <col min="5893" max="5893" width="18.7109375" style="1" customWidth="1"/>
    <col min="5894" max="5894" width="1.5703125" style="1" customWidth="1"/>
    <col min="5895" max="5896" width="18.42578125" style="1" customWidth="1"/>
    <col min="5897" max="5897" width="16.5703125" style="1" customWidth="1"/>
    <col min="5898" max="5898" width="3.7109375" style="1" customWidth="1"/>
    <col min="5899" max="5899" width="4.85546875" style="1" customWidth="1"/>
    <col min="5900" max="5900" width="32.28515625" style="1" customWidth="1"/>
    <col min="5901" max="5901" width="3.85546875" style="1" customWidth="1"/>
    <col min="5902" max="5902" width="9.140625" style="1"/>
    <col min="5903" max="5903" width="2.85546875" style="1" customWidth="1"/>
    <col min="5904" max="5904" width="5.5703125" style="1" customWidth="1"/>
    <col min="5905" max="5905" width="3.85546875" style="1" customWidth="1"/>
    <col min="5906" max="5906" width="14.5703125" style="1" customWidth="1"/>
    <col min="5907" max="5907" width="14.42578125" style="1" customWidth="1"/>
    <col min="5908" max="6144" width="9.140625" style="1"/>
    <col min="6145" max="6145" width="11.85546875" style="1" customWidth="1"/>
    <col min="6146" max="6146" width="18.28515625" style="1" customWidth="1"/>
    <col min="6147" max="6147" width="23.140625" style="1" customWidth="1"/>
    <col min="6148" max="6148" width="38.85546875" style="1" customWidth="1"/>
    <col min="6149" max="6149" width="18.7109375" style="1" customWidth="1"/>
    <col min="6150" max="6150" width="1.5703125" style="1" customWidth="1"/>
    <col min="6151" max="6152" width="18.42578125" style="1" customWidth="1"/>
    <col min="6153" max="6153" width="16.5703125" style="1" customWidth="1"/>
    <col min="6154" max="6154" width="3.7109375" style="1" customWidth="1"/>
    <col min="6155" max="6155" width="4.85546875" style="1" customWidth="1"/>
    <col min="6156" max="6156" width="32.28515625" style="1" customWidth="1"/>
    <col min="6157" max="6157" width="3.85546875" style="1" customWidth="1"/>
    <col min="6158" max="6158" width="9.140625" style="1"/>
    <col min="6159" max="6159" width="2.85546875" style="1" customWidth="1"/>
    <col min="6160" max="6160" width="5.5703125" style="1" customWidth="1"/>
    <col min="6161" max="6161" width="3.85546875" style="1" customWidth="1"/>
    <col min="6162" max="6162" width="14.5703125" style="1" customWidth="1"/>
    <col min="6163" max="6163" width="14.42578125" style="1" customWidth="1"/>
    <col min="6164" max="6400" width="9.140625" style="1"/>
    <col min="6401" max="6401" width="11.85546875" style="1" customWidth="1"/>
    <col min="6402" max="6402" width="18.28515625" style="1" customWidth="1"/>
    <col min="6403" max="6403" width="23.140625" style="1" customWidth="1"/>
    <col min="6404" max="6404" width="38.85546875" style="1" customWidth="1"/>
    <col min="6405" max="6405" width="18.7109375" style="1" customWidth="1"/>
    <col min="6406" max="6406" width="1.5703125" style="1" customWidth="1"/>
    <col min="6407" max="6408" width="18.42578125" style="1" customWidth="1"/>
    <col min="6409" max="6409" width="16.5703125" style="1" customWidth="1"/>
    <col min="6410" max="6410" width="3.7109375" style="1" customWidth="1"/>
    <col min="6411" max="6411" width="4.85546875" style="1" customWidth="1"/>
    <col min="6412" max="6412" width="32.28515625" style="1" customWidth="1"/>
    <col min="6413" max="6413" width="3.85546875" style="1" customWidth="1"/>
    <col min="6414" max="6414" width="9.140625" style="1"/>
    <col min="6415" max="6415" width="2.85546875" style="1" customWidth="1"/>
    <col min="6416" max="6416" width="5.5703125" style="1" customWidth="1"/>
    <col min="6417" max="6417" width="3.85546875" style="1" customWidth="1"/>
    <col min="6418" max="6418" width="14.5703125" style="1" customWidth="1"/>
    <col min="6419" max="6419" width="14.42578125" style="1" customWidth="1"/>
    <col min="6420" max="6656" width="9.140625" style="1"/>
    <col min="6657" max="6657" width="11.85546875" style="1" customWidth="1"/>
    <col min="6658" max="6658" width="18.28515625" style="1" customWidth="1"/>
    <col min="6659" max="6659" width="23.140625" style="1" customWidth="1"/>
    <col min="6660" max="6660" width="38.85546875" style="1" customWidth="1"/>
    <col min="6661" max="6661" width="18.7109375" style="1" customWidth="1"/>
    <col min="6662" max="6662" width="1.5703125" style="1" customWidth="1"/>
    <col min="6663" max="6664" width="18.42578125" style="1" customWidth="1"/>
    <col min="6665" max="6665" width="16.5703125" style="1" customWidth="1"/>
    <col min="6666" max="6666" width="3.7109375" style="1" customWidth="1"/>
    <col min="6667" max="6667" width="4.85546875" style="1" customWidth="1"/>
    <col min="6668" max="6668" width="32.28515625" style="1" customWidth="1"/>
    <col min="6669" max="6669" width="3.85546875" style="1" customWidth="1"/>
    <col min="6670" max="6670" width="9.140625" style="1"/>
    <col min="6671" max="6671" width="2.85546875" style="1" customWidth="1"/>
    <col min="6672" max="6672" width="5.5703125" style="1" customWidth="1"/>
    <col min="6673" max="6673" width="3.85546875" style="1" customWidth="1"/>
    <col min="6674" max="6674" width="14.5703125" style="1" customWidth="1"/>
    <col min="6675" max="6675" width="14.42578125" style="1" customWidth="1"/>
    <col min="6676" max="6912" width="9.140625" style="1"/>
    <col min="6913" max="6913" width="11.85546875" style="1" customWidth="1"/>
    <col min="6914" max="6914" width="18.28515625" style="1" customWidth="1"/>
    <col min="6915" max="6915" width="23.140625" style="1" customWidth="1"/>
    <col min="6916" max="6916" width="38.85546875" style="1" customWidth="1"/>
    <col min="6917" max="6917" width="18.7109375" style="1" customWidth="1"/>
    <col min="6918" max="6918" width="1.5703125" style="1" customWidth="1"/>
    <col min="6919" max="6920" width="18.42578125" style="1" customWidth="1"/>
    <col min="6921" max="6921" width="16.5703125" style="1" customWidth="1"/>
    <col min="6922" max="6922" width="3.7109375" style="1" customWidth="1"/>
    <col min="6923" max="6923" width="4.85546875" style="1" customWidth="1"/>
    <col min="6924" max="6924" width="32.28515625" style="1" customWidth="1"/>
    <col min="6925" max="6925" width="3.85546875" style="1" customWidth="1"/>
    <col min="6926" max="6926" width="9.140625" style="1"/>
    <col min="6927" max="6927" width="2.85546875" style="1" customWidth="1"/>
    <col min="6928" max="6928" width="5.5703125" style="1" customWidth="1"/>
    <col min="6929" max="6929" width="3.85546875" style="1" customWidth="1"/>
    <col min="6930" max="6930" width="14.5703125" style="1" customWidth="1"/>
    <col min="6931" max="6931" width="14.42578125" style="1" customWidth="1"/>
    <col min="6932" max="7168" width="9.140625" style="1"/>
    <col min="7169" max="7169" width="11.85546875" style="1" customWidth="1"/>
    <col min="7170" max="7170" width="18.28515625" style="1" customWidth="1"/>
    <col min="7171" max="7171" width="23.140625" style="1" customWidth="1"/>
    <col min="7172" max="7172" width="38.85546875" style="1" customWidth="1"/>
    <col min="7173" max="7173" width="18.7109375" style="1" customWidth="1"/>
    <col min="7174" max="7174" width="1.5703125" style="1" customWidth="1"/>
    <col min="7175" max="7176" width="18.42578125" style="1" customWidth="1"/>
    <col min="7177" max="7177" width="16.5703125" style="1" customWidth="1"/>
    <col min="7178" max="7178" width="3.7109375" style="1" customWidth="1"/>
    <col min="7179" max="7179" width="4.85546875" style="1" customWidth="1"/>
    <col min="7180" max="7180" width="32.28515625" style="1" customWidth="1"/>
    <col min="7181" max="7181" width="3.85546875" style="1" customWidth="1"/>
    <col min="7182" max="7182" width="9.140625" style="1"/>
    <col min="7183" max="7183" width="2.85546875" style="1" customWidth="1"/>
    <col min="7184" max="7184" width="5.5703125" style="1" customWidth="1"/>
    <col min="7185" max="7185" width="3.85546875" style="1" customWidth="1"/>
    <col min="7186" max="7186" width="14.5703125" style="1" customWidth="1"/>
    <col min="7187" max="7187" width="14.42578125" style="1" customWidth="1"/>
    <col min="7188" max="7424" width="9.140625" style="1"/>
    <col min="7425" max="7425" width="11.85546875" style="1" customWidth="1"/>
    <col min="7426" max="7426" width="18.28515625" style="1" customWidth="1"/>
    <col min="7427" max="7427" width="23.140625" style="1" customWidth="1"/>
    <col min="7428" max="7428" width="38.85546875" style="1" customWidth="1"/>
    <col min="7429" max="7429" width="18.7109375" style="1" customWidth="1"/>
    <col min="7430" max="7430" width="1.5703125" style="1" customWidth="1"/>
    <col min="7431" max="7432" width="18.42578125" style="1" customWidth="1"/>
    <col min="7433" max="7433" width="16.5703125" style="1" customWidth="1"/>
    <col min="7434" max="7434" width="3.7109375" style="1" customWidth="1"/>
    <col min="7435" max="7435" width="4.85546875" style="1" customWidth="1"/>
    <col min="7436" max="7436" width="32.28515625" style="1" customWidth="1"/>
    <col min="7437" max="7437" width="3.85546875" style="1" customWidth="1"/>
    <col min="7438" max="7438" width="9.140625" style="1"/>
    <col min="7439" max="7439" width="2.85546875" style="1" customWidth="1"/>
    <col min="7440" max="7440" width="5.5703125" style="1" customWidth="1"/>
    <col min="7441" max="7441" width="3.85546875" style="1" customWidth="1"/>
    <col min="7442" max="7442" width="14.5703125" style="1" customWidth="1"/>
    <col min="7443" max="7443" width="14.42578125" style="1" customWidth="1"/>
    <col min="7444" max="7680" width="9.140625" style="1"/>
    <col min="7681" max="7681" width="11.85546875" style="1" customWidth="1"/>
    <col min="7682" max="7682" width="18.28515625" style="1" customWidth="1"/>
    <col min="7683" max="7683" width="23.140625" style="1" customWidth="1"/>
    <col min="7684" max="7684" width="38.85546875" style="1" customWidth="1"/>
    <col min="7685" max="7685" width="18.7109375" style="1" customWidth="1"/>
    <col min="7686" max="7686" width="1.5703125" style="1" customWidth="1"/>
    <col min="7687" max="7688" width="18.42578125" style="1" customWidth="1"/>
    <col min="7689" max="7689" width="16.5703125" style="1" customWidth="1"/>
    <col min="7690" max="7690" width="3.7109375" style="1" customWidth="1"/>
    <col min="7691" max="7691" width="4.85546875" style="1" customWidth="1"/>
    <col min="7692" max="7692" width="32.28515625" style="1" customWidth="1"/>
    <col min="7693" max="7693" width="3.85546875" style="1" customWidth="1"/>
    <col min="7694" max="7694" width="9.140625" style="1"/>
    <col min="7695" max="7695" width="2.85546875" style="1" customWidth="1"/>
    <col min="7696" max="7696" width="5.5703125" style="1" customWidth="1"/>
    <col min="7697" max="7697" width="3.85546875" style="1" customWidth="1"/>
    <col min="7698" max="7698" width="14.5703125" style="1" customWidth="1"/>
    <col min="7699" max="7699" width="14.42578125" style="1" customWidth="1"/>
    <col min="7700" max="7936" width="9.140625" style="1"/>
    <col min="7937" max="7937" width="11.85546875" style="1" customWidth="1"/>
    <col min="7938" max="7938" width="18.28515625" style="1" customWidth="1"/>
    <col min="7939" max="7939" width="23.140625" style="1" customWidth="1"/>
    <col min="7940" max="7940" width="38.85546875" style="1" customWidth="1"/>
    <col min="7941" max="7941" width="18.7109375" style="1" customWidth="1"/>
    <col min="7942" max="7942" width="1.5703125" style="1" customWidth="1"/>
    <col min="7943" max="7944" width="18.42578125" style="1" customWidth="1"/>
    <col min="7945" max="7945" width="16.5703125" style="1" customWidth="1"/>
    <col min="7946" max="7946" width="3.7109375" style="1" customWidth="1"/>
    <col min="7947" max="7947" width="4.85546875" style="1" customWidth="1"/>
    <col min="7948" max="7948" width="32.28515625" style="1" customWidth="1"/>
    <col min="7949" max="7949" width="3.85546875" style="1" customWidth="1"/>
    <col min="7950" max="7950" width="9.140625" style="1"/>
    <col min="7951" max="7951" width="2.85546875" style="1" customWidth="1"/>
    <col min="7952" max="7952" width="5.5703125" style="1" customWidth="1"/>
    <col min="7953" max="7953" width="3.85546875" style="1" customWidth="1"/>
    <col min="7954" max="7954" width="14.5703125" style="1" customWidth="1"/>
    <col min="7955" max="7955" width="14.42578125" style="1" customWidth="1"/>
    <col min="7956" max="8192" width="9.140625" style="1"/>
    <col min="8193" max="8193" width="11.85546875" style="1" customWidth="1"/>
    <col min="8194" max="8194" width="18.28515625" style="1" customWidth="1"/>
    <col min="8195" max="8195" width="23.140625" style="1" customWidth="1"/>
    <col min="8196" max="8196" width="38.85546875" style="1" customWidth="1"/>
    <col min="8197" max="8197" width="18.7109375" style="1" customWidth="1"/>
    <col min="8198" max="8198" width="1.5703125" style="1" customWidth="1"/>
    <col min="8199" max="8200" width="18.42578125" style="1" customWidth="1"/>
    <col min="8201" max="8201" width="16.5703125" style="1" customWidth="1"/>
    <col min="8202" max="8202" width="3.7109375" style="1" customWidth="1"/>
    <col min="8203" max="8203" width="4.85546875" style="1" customWidth="1"/>
    <col min="8204" max="8204" width="32.28515625" style="1" customWidth="1"/>
    <col min="8205" max="8205" width="3.85546875" style="1" customWidth="1"/>
    <col min="8206" max="8206" width="9.140625" style="1"/>
    <col min="8207" max="8207" width="2.85546875" style="1" customWidth="1"/>
    <col min="8208" max="8208" width="5.5703125" style="1" customWidth="1"/>
    <col min="8209" max="8209" width="3.85546875" style="1" customWidth="1"/>
    <col min="8210" max="8210" width="14.5703125" style="1" customWidth="1"/>
    <col min="8211" max="8211" width="14.42578125" style="1" customWidth="1"/>
    <col min="8212" max="8448" width="9.140625" style="1"/>
    <col min="8449" max="8449" width="11.85546875" style="1" customWidth="1"/>
    <col min="8450" max="8450" width="18.28515625" style="1" customWidth="1"/>
    <col min="8451" max="8451" width="23.140625" style="1" customWidth="1"/>
    <col min="8452" max="8452" width="38.85546875" style="1" customWidth="1"/>
    <col min="8453" max="8453" width="18.7109375" style="1" customWidth="1"/>
    <col min="8454" max="8454" width="1.5703125" style="1" customWidth="1"/>
    <col min="8455" max="8456" width="18.42578125" style="1" customWidth="1"/>
    <col min="8457" max="8457" width="16.5703125" style="1" customWidth="1"/>
    <col min="8458" max="8458" width="3.7109375" style="1" customWidth="1"/>
    <col min="8459" max="8459" width="4.85546875" style="1" customWidth="1"/>
    <col min="8460" max="8460" width="32.28515625" style="1" customWidth="1"/>
    <col min="8461" max="8461" width="3.85546875" style="1" customWidth="1"/>
    <col min="8462" max="8462" width="9.140625" style="1"/>
    <col min="8463" max="8463" width="2.85546875" style="1" customWidth="1"/>
    <col min="8464" max="8464" width="5.5703125" style="1" customWidth="1"/>
    <col min="8465" max="8465" width="3.85546875" style="1" customWidth="1"/>
    <col min="8466" max="8466" width="14.5703125" style="1" customWidth="1"/>
    <col min="8467" max="8467" width="14.42578125" style="1" customWidth="1"/>
    <col min="8468" max="8704" width="9.140625" style="1"/>
    <col min="8705" max="8705" width="11.85546875" style="1" customWidth="1"/>
    <col min="8706" max="8706" width="18.28515625" style="1" customWidth="1"/>
    <col min="8707" max="8707" width="23.140625" style="1" customWidth="1"/>
    <col min="8708" max="8708" width="38.85546875" style="1" customWidth="1"/>
    <col min="8709" max="8709" width="18.7109375" style="1" customWidth="1"/>
    <col min="8710" max="8710" width="1.5703125" style="1" customWidth="1"/>
    <col min="8711" max="8712" width="18.42578125" style="1" customWidth="1"/>
    <col min="8713" max="8713" width="16.5703125" style="1" customWidth="1"/>
    <col min="8714" max="8714" width="3.7109375" style="1" customWidth="1"/>
    <col min="8715" max="8715" width="4.85546875" style="1" customWidth="1"/>
    <col min="8716" max="8716" width="32.28515625" style="1" customWidth="1"/>
    <col min="8717" max="8717" width="3.85546875" style="1" customWidth="1"/>
    <col min="8718" max="8718" width="9.140625" style="1"/>
    <col min="8719" max="8719" width="2.85546875" style="1" customWidth="1"/>
    <col min="8720" max="8720" width="5.5703125" style="1" customWidth="1"/>
    <col min="8721" max="8721" width="3.85546875" style="1" customWidth="1"/>
    <col min="8722" max="8722" width="14.5703125" style="1" customWidth="1"/>
    <col min="8723" max="8723" width="14.42578125" style="1" customWidth="1"/>
    <col min="8724" max="8960" width="9.140625" style="1"/>
    <col min="8961" max="8961" width="11.85546875" style="1" customWidth="1"/>
    <col min="8962" max="8962" width="18.28515625" style="1" customWidth="1"/>
    <col min="8963" max="8963" width="23.140625" style="1" customWidth="1"/>
    <col min="8964" max="8964" width="38.85546875" style="1" customWidth="1"/>
    <col min="8965" max="8965" width="18.7109375" style="1" customWidth="1"/>
    <col min="8966" max="8966" width="1.5703125" style="1" customWidth="1"/>
    <col min="8967" max="8968" width="18.42578125" style="1" customWidth="1"/>
    <col min="8969" max="8969" width="16.5703125" style="1" customWidth="1"/>
    <col min="8970" max="8970" width="3.7109375" style="1" customWidth="1"/>
    <col min="8971" max="8971" width="4.85546875" style="1" customWidth="1"/>
    <col min="8972" max="8972" width="32.28515625" style="1" customWidth="1"/>
    <col min="8973" max="8973" width="3.85546875" style="1" customWidth="1"/>
    <col min="8974" max="8974" width="9.140625" style="1"/>
    <col min="8975" max="8975" width="2.85546875" style="1" customWidth="1"/>
    <col min="8976" max="8976" width="5.5703125" style="1" customWidth="1"/>
    <col min="8977" max="8977" width="3.85546875" style="1" customWidth="1"/>
    <col min="8978" max="8978" width="14.5703125" style="1" customWidth="1"/>
    <col min="8979" max="8979" width="14.42578125" style="1" customWidth="1"/>
    <col min="8980" max="9216" width="9.140625" style="1"/>
    <col min="9217" max="9217" width="11.85546875" style="1" customWidth="1"/>
    <col min="9218" max="9218" width="18.28515625" style="1" customWidth="1"/>
    <col min="9219" max="9219" width="23.140625" style="1" customWidth="1"/>
    <col min="9220" max="9220" width="38.85546875" style="1" customWidth="1"/>
    <col min="9221" max="9221" width="18.7109375" style="1" customWidth="1"/>
    <col min="9222" max="9222" width="1.5703125" style="1" customWidth="1"/>
    <col min="9223" max="9224" width="18.42578125" style="1" customWidth="1"/>
    <col min="9225" max="9225" width="16.5703125" style="1" customWidth="1"/>
    <col min="9226" max="9226" width="3.7109375" style="1" customWidth="1"/>
    <col min="9227" max="9227" width="4.85546875" style="1" customWidth="1"/>
    <col min="9228" max="9228" width="32.28515625" style="1" customWidth="1"/>
    <col min="9229" max="9229" width="3.85546875" style="1" customWidth="1"/>
    <col min="9230" max="9230" width="9.140625" style="1"/>
    <col min="9231" max="9231" width="2.85546875" style="1" customWidth="1"/>
    <col min="9232" max="9232" width="5.5703125" style="1" customWidth="1"/>
    <col min="9233" max="9233" width="3.85546875" style="1" customWidth="1"/>
    <col min="9234" max="9234" width="14.5703125" style="1" customWidth="1"/>
    <col min="9235" max="9235" width="14.42578125" style="1" customWidth="1"/>
    <col min="9236" max="9472" width="9.140625" style="1"/>
    <col min="9473" max="9473" width="11.85546875" style="1" customWidth="1"/>
    <col min="9474" max="9474" width="18.28515625" style="1" customWidth="1"/>
    <col min="9475" max="9475" width="23.140625" style="1" customWidth="1"/>
    <col min="9476" max="9476" width="38.85546875" style="1" customWidth="1"/>
    <col min="9477" max="9477" width="18.7109375" style="1" customWidth="1"/>
    <col min="9478" max="9478" width="1.5703125" style="1" customWidth="1"/>
    <col min="9479" max="9480" width="18.42578125" style="1" customWidth="1"/>
    <col min="9481" max="9481" width="16.5703125" style="1" customWidth="1"/>
    <col min="9482" max="9482" width="3.7109375" style="1" customWidth="1"/>
    <col min="9483" max="9483" width="4.85546875" style="1" customWidth="1"/>
    <col min="9484" max="9484" width="32.28515625" style="1" customWidth="1"/>
    <col min="9485" max="9485" width="3.85546875" style="1" customWidth="1"/>
    <col min="9486" max="9486" width="9.140625" style="1"/>
    <col min="9487" max="9487" width="2.85546875" style="1" customWidth="1"/>
    <col min="9488" max="9488" width="5.5703125" style="1" customWidth="1"/>
    <col min="9489" max="9489" width="3.85546875" style="1" customWidth="1"/>
    <col min="9490" max="9490" width="14.5703125" style="1" customWidth="1"/>
    <col min="9491" max="9491" width="14.42578125" style="1" customWidth="1"/>
    <col min="9492" max="9728" width="9.140625" style="1"/>
    <col min="9729" max="9729" width="11.85546875" style="1" customWidth="1"/>
    <col min="9730" max="9730" width="18.28515625" style="1" customWidth="1"/>
    <col min="9731" max="9731" width="23.140625" style="1" customWidth="1"/>
    <col min="9732" max="9732" width="38.85546875" style="1" customWidth="1"/>
    <col min="9733" max="9733" width="18.7109375" style="1" customWidth="1"/>
    <col min="9734" max="9734" width="1.5703125" style="1" customWidth="1"/>
    <col min="9735" max="9736" width="18.42578125" style="1" customWidth="1"/>
    <col min="9737" max="9737" width="16.5703125" style="1" customWidth="1"/>
    <col min="9738" max="9738" width="3.7109375" style="1" customWidth="1"/>
    <col min="9739" max="9739" width="4.85546875" style="1" customWidth="1"/>
    <col min="9740" max="9740" width="32.28515625" style="1" customWidth="1"/>
    <col min="9741" max="9741" width="3.85546875" style="1" customWidth="1"/>
    <col min="9742" max="9742" width="9.140625" style="1"/>
    <col min="9743" max="9743" width="2.85546875" style="1" customWidth="1"/>
    <col min="9744" max="9744" width="5.5703125" style="1" customWidth="1"/>
    <col min="9745" max="9745" width="3.85546875" style="1" customWidth="1"/>
    <col min="9746" max="9746" width="14.5703125" style="1" customWidth="1"/>
    <col min="9747" max="9747" width="14.42578125" style="1" customWidth="1"/>
    <col min="9748" max="9984" width="9.140625" style="1"/>
    <col min="9985" max="9985" width="11.85546875" style="1" customWidth="1"/>
    <col min="9986" max="9986" width="18.28515625" style="1" customWidth="1"/>
    <col min="9987" max="9987" width="23.140625" style="1" customWidth="1"/>
    <col min="9988" max="9988" width="38.85546875" style="1" customWidth="1"/>
    <col min="9989" max="9989" width="18.7109375" style="1" customWidth="1"/>
    <col min="9990" max="9990" width="1.5703125" style="1" customWidth="1"/>
    <col min="9991" max="9992" width="18.42578125" style="1" customWidth="1"/>
    <col min="9993" max="9993" width="16.5703125" style="1" customWidth="1"/>
    <col min="9994" max="9994" width="3.7109375" style="1" customWidth="1"/>
    <col min="9995" max="9995" width="4.85546875" style="1" customWidth="1"/>
    <col min="9996" max="9996" width="32.28515625" style="1" customWidth="1"/>
    <col min="9997" max="9997" width="3.85546875" style="1" customWidth="1"/>
    <col min="9998" max="9998" width="9.140625" style="1"/>
    <col min="9999" max="9999" width="2.85546875" style="1" customWidth="1"/>
    <col min="10000" max="10000" width="5.5703125" style="1" customWidth="1"/>
    <col min="10001" max="10001" width="3.85546875" style="1" customWidth="1"/>
    <col min="10002" max="10002" width="14.5703125" style="1" customWidth="1"/>
    <col min="10003" max="10003" width="14.42578125" style="1" customWidth="1"/>
    <col min="10004" max="10240" width="9.140625" style="1"/>
    <col min="10241" max="10241" width="11.85546875" style="1" customWidth="1"/>
    <col min="10242" max="10242" width="18.28515625" style="1" customWidth="1"/>
    <col min="10243" max="10243" width="23.140625" style="1" customWidth="1"/>
    <col min="10244" max="10244" width="38.85546875" style="1" customWidth="1"/>
    <col min="10245" max="10245" width="18.7109375" style="1" customWidth="1"/>
    <col min="10246" max="10246" width="1.5703125" style="1" customWidth="1"/>
    <col min="10247" max="10248" width="18.42578125" style="1" customWidth="1"/>
    <col min="10249" max="10249" width="16.5703125" style="1" customWidth="1"/>
    <col min="10250" max="10250" width="3.7109375" style="1" customWidth="1"/>
    <col min="10251" max="10251" width="4.85546875" style="1" customWidth="1"/>
    <col min="10252" max="10252" width="32.28515625" style="1" customWidth="1"/>
    <col min="10253" max="10253" width="3.85546875" style="1" customWidth="1"/>
    <col min="10254" max="10254" width="9.140625" style="1"/>
    <col min="10255" max="10255" width="2.85546875" style="1" customWidth="1"/>
    <col min="10256" max="10256" width="5.5703125" style="1" customWidth="1"/>
    <col min="10257" max="10257" width="3.85546875" style="1" customWidth="1"/>
    <col min="10258" max="10258" width="14.5703125" style="1" customWidth="1"/>
    <col min="10259" max="10259" width="14.42578125" style="1" customWidth="1"/>
    <col min="10260" max="10496" width="9.140625" style="1"/>
    <col min="10497" max="10497" width="11.85546875" style="1" customWidth="1"/>
    <col min="10498" max="10498" width="18.28515625" style="1" customWidth="1"/>
    <col min="10499" max="10499" width="23.140625" style="1" customWidth="1"/>
    <col min="10500" max="10500" width="38.85546875" style="1" customWidth="1"/>
    <col min="10501" max="10501" width="18.7109375" style="1" customWidth="1"/>
    <col min="10502" max="10502" width="1.5703125" style="1" customWidth="1"/>
    <col min="10503" max="10504" width="18.42578125" style="1" customWidth="1"/>
    <col min="10505" max="10505" width="16.5703125" style="1" customWidth="1"/>
    <col min="10506" max="10506" width="3.7109375" style="1" customWidth="1"/>
    <col min="10507" max="10507" width="4.85546875" style="1" customWidth="1"/>
    <col min="10508" max="10508" width="32.28515625" style="1" customWidth="1"/>
    <col min="10509" max="10509" width="3.85546875" style="1" customWidth="1"/>
    <col min="10510" max="10510" width="9.140625" style="1"/>
    <col min="10511" max="10511" width="2.85546875" style="1" customWidth="1"/>
    <col min="10512" max="10512" width="5.5703125" style="1" customWidth="1"/>
    <col min="10513" max="10513" width="3.85546875" style="1" customWidth="1"/>
    <col min="10514" max="10514" width="14.5703125" style="1" customWidth="1"/>
    <col min="10515" max="10515" width="14.42578125" style="1" customWidth="1"/>
    <col min="10516" max="10752" width="9.140625" style="1"/>
    <col min="10753" max="10753" width="11.85546875" style="1" customWidth="1"/>
    <col min="10754" max="10754" width="18.28515625" style="1" customWidth="1"/>
    <col min="10755" max="10755" width="23.140625" style="1" customWidth="1"/>
    <col min="10756" max="10756" width="38.85546875" style="1" customWidth="1"/>
    <col min="10757" max="10757" width="18.7109375" style="1" customWidth="1"/>
    <col min="10758" max="10758" width="1.5703125" style="1" customWidth="1"/>
    <col min="10759" max="10760" width="18.42578125" style="1" customWidth="1"/>
    <col min="10761" max="10761" width="16.5703125" style="1" customWidth="1"/>
    <col min="10762" max="10762" width="3.7109375" style="1" customWidth="1"/>
    <col min="10763" max="10763" width="4.85546875" style="1" customWidth="1"/>
    <col min="10764" max="10764" width="32.28515625" style="1" customWidth="1"/>
    <col min="10765" max="10765" width="3.85546875" style="1" customWidth="1"/>
    <col min="10766" max="10766" width="9.140625" style="1"/>
    <col min="10767" max="10767" width="2.85546875" style="1" customWidth="1"/>
    <col min="10768" max="10768" width="5.5703125" style="1" customWidth="1"/>
    <col min="10769" max="10769" width="3.85546875" style="1" customWidth="1"/>
    <col min="10770" max="10770" width="14.5703125" style="1" customWidth="1"/>
    <col min="10771" max="10771" width="14.42578125" style="1" customWidth="1"/>
    <col min="10772" max="11008" width="9.140625" style="1"/>
    <col min="11009" max="11009" width="11.85546875" style="1" customWidth="1"/>
    <col min="11010" max="11010" width="18.28515625" style="1" customWidth="1"/>
    <col min="11011" max="11011" width="23.140625" style="1" customWidth="1"/>
    <col min="11012" max="11012" width="38.85546875" style="1" customWidth="1"/>
    <col min="11013" max="11013" width="18.7109375" style="1" customWidth="1"/>
    <col min="11014" max="11014" width="1.5703125" style="1" customWidth="1"/>
    <col min="11015" max="11016" width="18.42578125" style="1" customWidth="1"/>
    <col min="11017" max="11017" width="16.5703125" style="1" customWidth="1"/>
    <col min="11018" max="11018" width="3.7109375" style="1" customWidth="1"/>
    <col min="11019" max="11019" width="4.85546875" style="1" customWidth="1"/>
    <col min="11020" max="11020" width="32.28515625" style="1" customWidth="1"/>
    <col min="11021" max="11021" width="3.85546875" style="1" customWidth="1"/>
    <col min="11022" max="11022" width="9.140625" style="1"/>
    <col min="11023" max="11023" width="2.85546875" style="1" customWidth="1"/>
    <col min="11024" max="11024" width="5.5703125" style="1" customWidth="1"/>
    <col min="11025" max="11025" width="3.85546875" style="1" customWidth="1"/>
    <col min="11026" max="11026" width="14.5703125" style="1" customWidth="1"/>
    <col min="11027" max="11027" width="14.42578125" style="1" customWidth="1"/>
    <col min="11028" max="11264" width="9.140625" style="1"/>
    <col min="11265" max="11265" width="11.85546875" style="1" customWidth="1"/>
    <col min="11266" max="11266" width="18.28515625" style="1" customWidth="1"/>
    <col min="11267" max="11267" width="23.140625" style="1" customWidth="1"/>
    <col min="11268" max="11268" width="38.85546875" style="1" customWidth="1"/>
    <col min="11269" max="11269" width="18.7109375" style="1" customWidth="1"/>
    <col min="11270" max="11270" width="1.5703125" style="1" customWidth="1"/>
    <col min="11271" max="11272" width="18.42578125" style="1" customWidth="1"/>
    <col min="11273" max="11273" width="16.5703125" style="1" customWidth="1"/>
    <col min="11274" max="11274" width="3.7109375" style="1" customWidth="1"/>
    <col min="11275" max="11275" width="4.85546875" style="1" customWidth="1"/>
    <col min="11276" max="11276" width="32.28515625" style="1" customWidth="1"/>
    <col min="11277" max="11277" width="3.85546875" style="1" customWidth="1"/>
    <col min="11278" max="11278" width="9.140625" style="1"/>
    <col min="11279" max="11279" width="2.85546875" style="1" customWidth="1"/>
    <col min="11280" max="11280" width="5.5703125" style="1" customWidth="1"/>
    <col min="11281" max="11281" width="3.85546875" style="1" customWidth="1"/>
    <col min="11282" max="11282" width="14.5703125" style="1" customWidth="1"/>
    <col min="11283" max="11283" width="14.42578125" style="1" customWidth="1"/>
    <col min="11284" max="11520" width="9.140625" style="1"/>
    <col min="11521" max="11521" width="11.85546875" style="1" customWidth="1"/>
    <col min="11522" max="11522" width="18.28515625" style="1" customWidth="1"/>
    <col min="11523" max="11523" width="23.140625" style="1" customWidth="1"/>
    <col min="11524" max="11524" width="38.85546875" style="1" customWidth="1"/>
    <col min="11525" max="11525" width="18.7109375" style="1" customWidth="1"/>
    <col min="11526" max="11526" width="1.5703125" style="1" customWidth="1"/>
    <col min="11527" max="11528" width="18.42578125" style="1" customWidth="1"/>
    <col min="11529" max="11529" width="16.5703125" style="1" customWidth="1"/>
    <col min="11530" max="11530" width="3.7109375" style="1" customWidth="1"/>
    <col min="11531" max="11531" width="4.85546875" style="1" customWidth="1"/>
    <col min="11532" max="11532" width="32.28515625" style="1" customWidth="1"/>
    <col min="11533" max="11533" width="3.85546875" style="1" customWidth="1"/>
    <col min="11534" max="11534" width="9.140625" style="1"/>
    <col min="11535" max="11535" width="2.85546875" style="1" customWidth="1"/>
    <col min="11536" max="11536" width="5.5703125" style="1" customWidth="1"/>
    <col min="11537" max="11537" width="3.85546875" style="1" customWidth="1"/>
    <col min="11538" max="11538" width="14.5703125" style="1" customWidth="1"/>
    <col min="11539" max="11539" width="14.42578125" style="1" customWidth="1"/>
    <col min="11540" max="11776" width="9.140625" style="1"/>
    <col min="11777" max="11777" width="11.85546875" style="1" customWidth="1"/>
    <col min="11778" max="11778" width="18.28515625" style="1" customWidth="1"/>
    <col min="11779" max="11779" width="23.140625" style="1" customWidth="1"/>
    <col min="11780" max="11780" width="38.85546875" style="1" customWidth="1"/>
    <col min="11781" max="11781" width="18.7109375" style="1" customWidth="1"/>
    <col min="11782" max="11782" width="1.5703125" style="1" customWidth="1"/>
    <col min="11783" max="11784" width="18.42578125" style="1" customWidth="1"/>
    <col min="11785" max="11785" width="16.5703125" style="1" customWidth="1"/>
    <col min="11786" max="11786" width="3.7109375" style="1" customWidth="1"/>
    <col min="11787" max="11787" width="4.85546875" style="1" customWidth="1"/>
    <col min="11788" max="11788" width="32.28515625" style="1" customWidth="1"/>
    <col min="11789" max="11789" width="3.85546875" style="1" customWidth="1"/>
    <col min="11790" max="11790" width="9.140625" style="1"/>
    <col min="11791" max="11791" width="2.85546875" style="1" customWidth="1"/>
    <col min="11792" max="11792" width="5.5703125" style="1" customWidth="1"/>
    <col min="11793" max="11793" width="3.85546875" style="1" customWidth="1"/>
    <col min="11794" max="11794" width="14.5703125" style="1" customWidth="1"/>
    <col min="11795" max="11795" width="14.42578125" style="1" customWidth="1"/>
    <col min="11796" max="12032" width="9.140625" style="1"/>
    <col min="12033" max="12033" width="11.85546875" style="1" customWidth="1"/>
    <col min="12034" max="12034" width="18.28515625" style="1" customWidth="1"/>
    <col min="12035" max="12035" width="23.140625" style="1" customWidth="1"/>
    <col min="12036" max="12036" width="38.85546875" style="1" customWidth="1"/>
    <col min="12037" max="12037" width="18.7109375" style="1" customWidth="1"/>
    <col min="12038" max="12038" width="1.5703125" style="1" customWidth="1"/>
    <col min="12039" max="12040" width="18.42578125" style="1" customWidth="1"/>
    <col min="12041" max="12041" width="16.5703125" style="1" customWidth="1"/>
    <col min="12042" max="12042" width="3.7109375" style="1" customWidth="1"/>
    <col min="12043" max="12043" width="4.85546875" style="1" customWidth="1"/>
    <col min="12044" max="12044" width="32.28515625" style="1" customWidth="1"/>
    <col min="12045" max="12045" width="3.85546875" style="1" customWidth="1"/>
    <col min="12046" max="12046" width="9.140625" style="1"/>
    <col min="12047" max="12047" width="2.85546875" style="1" customWidth="1"/>
    <col min="12048" max="12048" width="5.5703125" style="1" customWidth="1"/>
    <col min="12049" max="12049" width="3.85546875" style="1" customWidth="1"/>
    <col min="12050" max="12050" width="14.5703125" style="1" customWidth="1"/>
    <col min="12051" max="12051" width="14.42578125" style="1" customWidth="1"/>
    <col min="12052" max="12288" width="9.140625" style="1"/>
    <col min="12289" max="12289" width="11.85546875" style="1" customWidth="1"/>
    <col min="12290" max="12290" width="18.28515625" style="1" customWidth="1"/>
    <col min="12291" max="12291" width="23.140625" style="1" customWidth="1"/>
    <col min="12292" max="12292" width="38.85546875" style="1" customWidth="1"/>
    <col min="12293" max="12293" width="18.7109375" style="1" customWidth="1"/>
    <col min="12294" max="12294" width="1.5703125" style="1" customWidth="1"/>
    <col min="12295" max="12296" width="18.42578125" style="1" customWidth="1"/>
    <col min="12297" max="12297" width="16.5703125" style="1" customWidth="1"/>
    <col min="12298" max="12298" width="3.7109375" style="1" customWidth="1"/>
    <col min="12299" max="12299" width="4.85546875" style="1" customWidth="1"/>
    <col min="12300" max="12300" width="32.28515625" style="1" customWidth="1"/>
    <col min="12301" max="12301" width="3.85546875" style="1" customWidth="1"/>
    <col min="12302" max="12302" width="9.140625" style="1"/>
    <col min="12303" max="12303" width="2.85546875" style="1" customWidth="1"/>
    <col min="12304" max="12304" width="5.5703125" style="1" customWidth="1"/>
    <col min="12305" max="12305" width="3.85546875" style="1" customWidth="1"/>
    <col min="12306" max="12306" width="14.5703125" style="1" customWidth="1"/>
    <col min="12307" max="12307" width="14.42578125" style="1" customWidth="1"/>
    <col min="12308" max="12544" width="9.140625" style="1"/>
    <col min="12545" max="12545" width="11.85546875" style="1" customWidth="1"/>
    <col min="12546" max="12546" width="18.28515625" style="1" customWidth="1"/>
    <col min="12547" max="12547" width="23.140625" style="1" customWidth="1"/>
    <col min="12548" max="12548" width="38.85546875" style="1" customWidth="1"/>
    <col min="12549" max="12549" width="18.7109375" style="1" customWidth="1"/>
    <col min="12550" max="12550" width="1.5703125" style="1" customWidth="1"/>
    <col min="12551" max="12552" width="18.42578125" style="1" customWidth="1"/>
    <col min="12553" max="12553" width="16.5703125" style="1" customWidth="1"/>
    <col min="12554" max="12554" width="3.7109375" style="1" customWidth="1"/>
    <col min="12555" max="12555" width="4.85546875" style="1" customWidth="1"/>
    <col min="12556" max="12556" width="32.28515625" style="1" customWidth="1"/>
    <col min="12557" max="12557" width="3.85546875" style="1" customWidth="1"/>
    <col min="12558" max="12558" width="9.140625" style="1"/>
    <col min="12559" max="12559" width="2.85546875" style="1" customWidth="1"/>
    <col min="12560" max="12560" width="5.5703125" style="1" customWidth="1"/>
    <col min="12561" max="12561" width="3.85546875" style="1" customWidth="1"/>
    <col min="12562" max="12562" width="14.5703125" style="1" customWidth="1"/>
    <col min="12563" max="12563" width="14.42578125" style="1" customWidth="1"/>
    <col min="12564" max="12800" width="9.140625" style="1"/>
    <col min="12801" max="12801" width="11.85546875" style="1" customWidth="1"/>
    <col min="12802" max="12802" width="18.28515625" style="1" customWidth="1"/>
    <col min="12803" max="12803" width="23.140625" style="1" customWidth="1"/>
    <col min="12804" max="12804" width="38.85546875" style="1" customWidth="1"/>
    <col min="12805" max="12805" width="18.7109375" style="1" customWidth="1"/>
    <col min="12806" max="12806" width="1.5703125" style="1" customWidth="1"/>
    <col min="12807" max="12808" width="18.42578125" style="1" customWidth="1"/>
    <col min="12809" max="12809" width="16.5703125" style="1" customWidth="1"/>
    <col min="12810" max="12810" width="3.7109375" style="1" customWidth="1"/>
    <col min="12811" max="12811" width="4.85546875" style="1" customWidth="1"/>
    <col min="12812" max="12812" width="32.28515625" style="1" customWidth="1"/>
    <col min="12813" max="12813" width="3.85546875" style="1" customWidth="1"/>
    <col min="12814" max="12814" width="9.140625" style="1"/>
    <col min="12815" max="12815" width="2.85546875" style="1" customWidth="1"/>
    <col min="12816" max="12816" width="5.5703125" style="1" customWidth="1"/>
    <col min="12817" max="12817" width="3.85546875" style="1" customWidth="1"/>
    <col min="12818" max="12818" width="14.5703125" style="1" customWidth="1"/>
    <col min="12819" max="12819" width="14.42578125" style="1" customWidth="1"/>
    <col min="12820" max="13056" width="9.140625" style="1"/>
    <col min="13057" max="13057" width="11.85546875" style="1" customWidth="1"/>
    <col min="13058" max="13058" width="18.28515625" style="1" customWidth="1"/>
    <col min="13059" max="13059" width="23.140625" style="1" customWidth="1"/>
    <col min="13060" max="13060" width="38.85546875" style="1" customWidth="1"/>
    <col min="13061" max="13061" width="18.7109375" style="1" customWidth="1"/>
    <col min="13062" max="13062" width="1.5703125" style="1" customWidth="1"/>
    <col min="13063" max="13064" width="18.42578125" style="1" customWidth="1"/>
    <col min="13065" max="13065" width="16.5703125" style="1" customWidth="1"/>
    <col min="13066" max="13066" width="3.7109375" style="1" customWidth="1"/>
    <col min="13067" max="13067" width="4.85546875" style="1" customWidth="1"/>
    <col min="13068" max="13068" width="32.28515625" style="1" customWidth="1"/>
    <col min="13069" max="13069" width="3.85546875" style="1" customWidth="1"/>
    <col min="13070" max="13070" width="9.140625" style="1"/>
    <col min="13071" max="13071" width="2.85546875" style="1" customWidth="1"/>
    <col min="13072" max="13072" width="5.5703125" style="1" customWidth="1"/>
    <col min="13073" max="13073" width="3.85546875" style="1" customWidth="1"/>
    <col min="13074" max="13074" width="14.5703125" style="1" customWidth="1"/>
    <col min="13075" max="13075" width="14.42578125" style="1" customWidth="1"/>
    <col min="13076" max="13312" width="9.140625" style="1"/>
    <col min="13313" max="13313" width="11.85546875" style="1" customWidth="1"/>
    <col min="13314" max="13314" width="18.28515625" style="1" customWidth="1"/>
    <col min="13315" max="13315" width="23.140625" style="1" customWidth="1"/>
    <col min="13316" max="13316" width="38.85546875" style="1" customWidth="1"/>
    <col min="13317" max="13317" width="18.7109375" style="1" customWidth="1"/>
    <col min="13318" max="13318" width="1.5703125" style="1" customWidth="1"/>
    <col min="13319" max="13320" width="18.42578125" style="1" customWidth="1"/>
    <col min="13321" max="13321" width="16.5703125" style="1" customWidth="1"/>
    <col min="13322" max="13322" width="3.7109375" style="1" customWidth="1"/>
    <col min="13323" max="13323" width="4.85546875" style="1" customWidth="1"/>
    <col min="13324" max="13324" width="32.28515625" style="1" customWidth="1"/>
    <col min="13325" max="13325" width="3.85546875" style="1" customWidth="1"/>
    <col min="13326" max="13326" width="9.140625" style="1"/>
    <col min="13327" max="13327" width="2.85546875" style="1" customWidth="1"/>
    <col min="13328" max="13328" width="5.5703125" style="1" customWidth="1"/>
    <col min="13329" max="13329" width="3.85546875" style="1" customWidth="1"/>
    <col min="13330" max="13330" width="14.5703125" style="1" customWidth="1"/>
    <col min="13331" max="13331" width="14.42578125" style="1" customWidth="1"/>
    <col min="13332" max="13568" width="9.140625" style="1"/>
    <col min="13569" max="13569" width="11.85546875" style="1" customWidth="1"/>
    <col min="13570" max="13570" width="18.28515625" style="1" customWidth="1"/>
    <col min="13571" max="13571" width="23.140625" style="1" customWidth="1"/>
    <col min="13572" max="13572" width="38.85546875" style="1" customWidth="1"/>
    <col min="13573" max="13573" width="18.7109375" style="1" customWidth="1"/>
    <col min="13574" max="13574" width="1.5703125" style="1" customWidth="1"/>
    <col min="13575" max="13576" width="18.42578125" style="1" customWidth="1"/>
    <col min="13577" max="13577" width="16.5703125" style="1" customWidth="1"/>
    <col min="13578" max="13578" width="3.7109375" style="1" customWidth="1"/>
    <col min="13579" max="13579" width="4.85546875" style="1" customWidth="1"/>
    <col min="13580" max="13580" width="32.28515625" style="1" customWidth="1"/>
    <col min="13581" max="13581" width="3.85546875" style="1" customWidth="1"/>
    <col min="13582" max="13582" width="9.140625" style="1"/>
    <col min="13583" max="13583" width="2.85546875" style="1" customWidth="1"/>
    <col min="13584" max="13584" width="5.5703125" style="1" customWidth="1"/>
    <col min="13585" max="13585" width="3.85546875" style="1" customWidth="1"/>
    <col min="13586" max="13586" width="14.5703125" style="1" customWidth="1"/>
    <col min="13587" max="13587" width="14.42578125" style="1" customWidth="1"/>
    <col min="13588" max="13824" width="9.140625" style="1"/>
    <col min="13825" max="13825" width="11.85546875" style="1" customWidth="1"/>
    <col min="13826" max="13826" width="18.28515625" style="1" customWidth="1"/>
    <col min="13827" max="13827" width="23.140625" style="1" customWidth="1"/>
    <col min="13828" max="13828" width="38.85546875" style="1" customWidth="1"/>
    <col min="13829" max="13829" width="18.7109375" style="1" customWidth="1"/>
    <col min="13830" max="13830" width="1.5703125" style="1" customWidth="1"/>
    <col min="13831" max="13832" width="18.42578125" style="1" customWidth="1"/>
    <col min="13833" max="13833" width="16.5703125" style="1" customWidth="1"/>
    <col min="13834" max="13834" width="3.7109375" style="1" customWidth="1"/>
    <col min="13835" max="13835" width="4.85546875" style="1" customWidth="1"/>
    <col min="13836" max="13836" width="32.28515625" style="1" customWidth="1"/>
    <col min="13837" max="13837" width="3.85546875" style="1" customWidth="1"/>
    <col min="13838" max="13838" width="9.140625" style="1"/>
    <col min="13839" max="13839" width="2.85546875" style="1" customWidth="1"/>
    <col min="13840" max="13840" width="5.5703125" style="1" customWidth="1"/>
    <col min="13841" max="13841" width="3.85546875" style="1" customWidth="1"/>
    <col min="13842" max="13842" width="14.5703125" style="1" customWidth="1"/>
    <col min="13843" max="13843" width="14.42578125" style="1" customWidth="1"/>
    <col min="13844" max="14080" width="9.140625" style="1"/>
    <col min="14081" max="14081" width="11.85546875" style="1" customWidth="1"/>
    <col min="14082" max="14082" width="18.28515625" style="1" customWidth="1"/>
    <col min="14083" max="14083" width="23.140625" style="1" customWidth="1"/>
    <col min="14084" max="14084" width="38.85546875" style="1" customWidth="1"/>
    <col min="14085" max="14085" width="18.7109375" style="1" customWidth="1"/>
    <col min="14086" max="14086" width="1.5703125" style="1" customWidth="1"/>
    <col min="14087" max="14088" width="18.42578125" style="1" customWidth="1"/>
    <col min="14089" max="14089" width="16.5703125" style="1" customWidth="1"/>
    <col min="14090" max="14090" width="3.7109375" style="1" customWidth="1"/>
    <col min="14091" max="14091" width="4.85546875" style="1" customWidth="1"/>
    <col min="14092" max="14092" width="32.28515625" style="1" customWidth="1"/>
    <col min="14093" max="14093" width="3.85546875" style="1" customWidth="1"/>
    <col min="14094" max="14094" width="9.140625" style="1"/>
    <col min="14095" max="14095" width="2.85546875" style="1" customWidth="1"/>
    <col min="14096" max="14096" width="5.5703125" style="1" customWidth="1"/>
    <col min="14097" max="14097" width="3.85546875" style="1" customWidth="1"/>
    <col min="14098" max="14098" width="14.5703125" style="1" customWidth="1"/>
    <col min="14099" max="14099" width="14.42578125" style="1" customWidth="1"/>
    <col min="14100" max="14336" width="9.140625" style="1"/>
    <col min="14337" max="14337" width="11.85546875" style="1" customWidth="1"/>
    <col min="14338" max="14338" width="18.28515625" style="1" customWidth="1"/>
    <col min="14339" max="14339" width="23.140625" style="1" customWidth="1"/>
    <col min="14340" max="14340" width="38.85546875" style="1" customWidth="1"/>
    <col min="14341" max="14341" width="18.7109375" style="1" customWidth="1"/>
    <col min="14342" max="14342" width="1.5703125" style="1" customWidth="1"/>
    <col min="14343" max="14344" width="18.42578125" style="1" customWidth="1"/>
    <col min="14345" max="14345" width="16.5703125" style="1" customWidth="1"/>
    <col min="14346" max="14346" width="3.7109375" style="1" customWidth="1"/>
    <col min="14347" max="14347" width="4.85546875" style="1" customWidth="1"/>
    <col min="14348" max="14348" width="32.28515625" style="1" customWidth="1"/>
    <col min="14349" max="14349" width="3.85546875" style="1" customWidth="1"/>
    <col min="14350" max="14350" width="9.140625" style="1"/>
    <col min="14351" max="14351" width="2.85546875" style="1" customWidth="1"/>
    <col min="14352" max="14352" width="5.5703125" style="1" customWidth="1"/>
    <col min="14353" max="14353" width="3.85546875" style="1" customWidth="1"/>
    <col min="14354" max="14354" width="14.5703125" style="1" customWidth="1"/>
    <col min="14355" max="14355" width="14.42578125" style="1" customWidth="1"/>
    <col min="14356" max="14592" width="9.140625" style="1"/>
    <col min="14593" max="14593" width="11.85546875" style="1" customWidth="1"/>
    <col min="14594" max="14594" width="18.28515625" style="1" customWidth="1"/>
    <col min="14595" max="14595" width="23.140625" style="1" customWidth="1"/>
    <col min="14596" max="14596" width="38.85546875" style="1" customWidth="1"/>
    <col min="14597" max="14597" width="18.7109375" style="1" customWidth="1"/>
    <col min="14598" max="14598" width="1.5703125" style="1" customWidth="1"/>
    <col min="14599" max="14600" width="18.42578125" style="1" customWidth="1"/>
    <col min="14601" max="14601" width="16.5703125" style="1" customWidth="1"/>
    <col min="14602" max="14602" width="3.7109375" style="1" customWidth="1"/>
    <col min="14603" max="14603" width="4.85546875" style="1" customWidth="1"/>
    <col min="14604" max="14604" width="32.28515625" style="1" customWidth="1"/>
    <col min="14605" max="14605" width="3.85546875" style="1" customWidth="1"/>
    <col min="14606" max="14606" width="9.140625" style="1"/>
    <col min="14607" max="14607" width="2.85546875" style="1" customWidth="1"/>
    <col min="14608" max="14608" width="5.5703125" style="1" customWidth="1"/>
    <col min="14609" max="14609" width="3.85546875" style="1" customWidth="1"/>
    <col min="14610" max="14610" width="14.5703125" style="1" customWidth="1"/>
    <col min="14611" max="14611" width="14.42578125" style="1" customWidth="1"/>
    <col min="14612" max="14848" width="9.140625" style="1"/>
    <col min="14849" max="14849" width="11.85546875" style="1" customWidth="1"/>
    <col min="14850" max="14850" width="18.28515625" style="1" customWidth="1"/>
    <col min="14851" max="14851" width="23.140625" style="1" customWidth="1"/>
    <col min="14852" max="14852" width="38.85546875" style="1" customWidth="1"/>
    <col min="14853" max="14853" width="18.7109375" style="1" customWidth="1"/>
    <col min="14854" max="14854" width="1.5703125" style="1" customWidth="1"/>
    <col min="14855" max="14856" width="18.42578125" style="1" customWidth="1"/>
    <col min="14857" max="14857" width="16.5703125" style="1" customWidth="1"/>
    <col min="14858" max="14858" width="3.7109375" style="1" customWidth="1"/>
    <col min="14859" max="14859" width="4.85546875" style="1" customWidth="1"/>
    <col min="14860" max="14860" width="32.28515625" style="1" customWidth="1"/>
    <col min="14861" max="14861" width="3.85546875" style="1" customWidth="1"/>
    <col min="14862" max="14862" width="9.140625" style="1"/>
    <col min="14863" max="14863" width="2.85546875" style="1" customWidth="1"/>
    <col min="14864" max="14864" width="5.5703125" style="1" customWidth="1"/>
    <col min="14865" max="14865" width="3.85546875" style="1" customWidth="1"/>
    <col min="14866" max="14866" width="14.5703125" style="1" customWidth="1"/>
    <col min="14867" max="14867" width="14.42578125" style="1" customWidth="1"/>
    <col min="14868" max="15104" width="9.140625" style="1"/>
    <col min="15105" max="15105" width="11.85546875" style="1" customWidth="1"/>
    <col min="15106" max="15106" width="18.28515625" style="1" customWidth="1"/>
    <col min="15107" max="15107" width="23.140625" style="1" customWidth="1"/>
    <col min="15108" max="15108" width="38.85546875" style="1" customWidth="1"/>
    <col min="15109" max="15109" width="18.7109375" style="1" customWidth="1"/>
    <col min="15110" max="15110" width="1.5703125" style="1" customWidth="1"/>
    <col min="15111" max="15112" width="18.42578125" style="1" customWidth="1"/>
    <col min="15113" max="15113" width="16.5703125" style="1" customWidth="1"/>
    <col min="15114" max="15114" width="3.7109375" style="1" customWidth="1"/>
    <col min="15115" max="15115" width="4.85546875" style="1" customWidth="1"/>
    <col min="15116" max="15116" width="32.28515625" style="1" customWidth="1"/>
    <col min="15117" max="15117" width="3.85546875" style="1" customWidth="1"/>
    <col min="15118" max="15118" width="9.140625" style="1"/>
    <col min="15119" max="15119" width="2.85546875" style="1" customWidth="1"/>
    <col min="15120" max="15120" width="5.5703125" style="1" customWidth="1"/>
    <col min="15121" max="15121" width="3.85546875" style="1" customWidth="1"/>
    <col min="15122" max="15122" width="14.5703125" style="1" customWidth="1"/>
    <col min="15123" max="15123" width="14.42578125" style="1" customWidth="1"/>
    <col min="15124" max="15360" width="9.140625" style="1"/>
    <col min="15361" max="15361" width="11.85546875" style="1" customWidth="1"/>
    <col min="15362" max="15362" width="18.28515625" style="1" customWidth="1"/>
    <col min="15363" max="15363" width="23.140625" style="1" customWidth="1"/>
    <col min="15364" max="15364" width="38.85546875" style="1" customWidth="1"/>
    <col min="15365" max="15365" width="18.7109375" style="1" customWidth="1"/>
    <col min="15366" max="15366" width="1.5703125" style="1" customWidth="1"/>
    <col min="15367" max="15368" width="18.42578125" style="1" customWidth="1"/>
    <col min="15369" max="15369" width="16.5703125" style="1" customWidth="1"/>
    <col min="15370" max="15370" width="3.7109375" style="1" customWidth="1"/>
    <col min="15371" max="15371" width="4.85546875" style="1" customWidth="1"/>
    <col min="15372" max="15372" width="32.28515625" style="1" customWidth="1"/>
    <col min="15373" max="15373" width="3.85546875" style="1" customWidth="1"/>
    <col min="15374" max="15374" width="9.140625" style="1"/>
    <col min="15375" max="15375" width="2.85546875" style="1" customWidth="1"/>
    <col min="15376" max="15376" width="5.5703125" style="1" customWidth="1"/>
    <col min="15377" max="15377" width="3.85546875" style="1" customWidth="1"/>
    <col min="15378" max="15378" width="14.5703125" style="1" customWidth="1"/>
    <col min="15379" max="15379" width="14.42578125" style="1" customWidth="1"/>
    <col min="15380" max="15616" width="9.140625" style="1"/>
    <col min="15617" max="15617" width="11.85546875" style="1" customWidth="1"/>
    <col min="15618" max="15618" width="18.28515625" style="1" customWidth="1"/>
    <col min="15619" max="15619" width="23.140625" style="1" customWidth="1"/>
    <col min="15620" max="15620" width="38.85546875" style="1" customWidth="1"/>
    <col min="15621" max="15621" width="18.7109375" style="1" customWidth="1"/>
    <col min="15622" max="15622" width="1.5703125" style="1" customWidth="1"/>
    <col min="15623" max="15624" width="18.42578125" style="1" customWidth="1"/>
    <col min="15625" max="15625" width="16.5703125" style="1" customWidth="1"/>
    <col min="15626" max="15626" width="3.7109375" style="1" customWidth="1"/>
    <col min="15627" max="15627" width="4.85546875" style="1" customWidth="1"/>
    <col min="15628" max="15628" width="32.28515625" style="1" customWidth="1"/>
    <col min="15629" max="15629" width="3.85546875" style="1" customWidth="1"/>
    <col min="15630" max="15630" width="9.140625" style="1"/>
    <col min="15631" max="15631" width="2.85546875" style="1" customWidth="1"/>
    <col min="15632" max="15632" width="5.5703125" style="1" customWidth="1"/>
    <col min="15633" max="15633" width="3.85546875" style="1" customWidth="1"/>
    <col min="15634" max="15634" width="14.5703125" style="1" customWidth="1"/>
    <col min="15635" max="15635" width="14.42578125" style="1" customWidth="1"/>
    <col min="15636" max="15872" width="9.140625" style="1"/>
    <col min="15873" max="15873" width="11.85546875" style="1" customWidth="1"/>
    <col min="15874" max="15874" width="18.28515625" style="1" customWidth="1"/>
    <col min="15875" max="15875" width="23.140625" style="1" customWidth="1"/>
    <col min="15876" max="15876" width="38.85546875" style="1" customWidth="1"/>
    <col min="15877" max="15877" width="18.7109375" style="1" customWidth="1"/>
    <col min="15878" max="15878" width="1.5703125" style="1" customWidth="1"/>
    <col min="15879" max="15880" width="18.42578125" style="1" customWidth="1"/>
    <col min="15881" max="15881" width="16.5703125" style="1" customWidth="1"/>
    <col min="15882" max="15882" width="3.7109375" style="1" customWidth="1"/>
    <col min="15883" max="15883" width="4.85546875" style="1" customWidth="1"/>
    <col min="15884" max="15884" width="32.28515625" style="1" customWidth="1"/>
    <col min="15885" max="15885" width="3.85546875" style="1" customWidth="1"/>
    <col min="15886" max="15886" width="9.140625" style="1"/>
    <col min="15887" max="15887" width="2.85546875" style="1" customWidth="1"/>
    <col min="15888" max="15888" width="5.5703125" style="1" customWidth="1"/>
    <col min="15889" max="15889" width="3.85546875" style="1" customWidth="1"/>
    <col min="15890" max="15890" width="14.5703125" style="1" customWidth="1"/>
    <col min="15891" max="15891" width="14.42578125" style="1" customWidth="1"/>
    <col min="15892" max="16128" width="9.140625" style="1"/>
    <col min="16129" max="16129" width="11.85546875" style="1" customWidth="1"/>
    <col min="16130" max="16130" width="18.28515625" style="1" customWidth="1"/>
    <col min="16131" max="16131" width="23.140625" style="1" customWidth="1"/>
    <col min="16132" max="16132" width="38.85546875" style="1" customWidth="1"/>
    <col min="16133" max="16133" width="18.7109375" style="1" customWidth="1"/>
    <col min="16134" max="16134" width="1.5703125" style="1" customWidth="1"/>
    <col min="16135" max="16136" width="18.42578125" style="1" customWidth="1"/>
    <col min="16137" max="16137" width="16.5703125" style="1" customWidth="1"/>
    <col min="16138" max="16138" width="3.7109375" style="1" customWidth="1"/>
    <col min="16139" max="16139" width="4.85546875" style="1" customWidth="1"/>
    <col min="16140" max="16140" width="32.28515625" style="1" customWidth="1"/>
    <col min="16141" max="16141" width="3.85546875" style="1" customWidth="1"/>
    <col min="16142" max="16142" width="9.140625" style="1"/>
    <col min="16143" max="16143" width="2.85546875" style="1" customWidth="1"/>
    <col min="16144" max="16144" width="5.5703125" style="1" customWidth="1"/>
    <col min="16145" max="16145" width="3.85546875" style="1" customWidth="1"/>
    <col min="16146" max="16146" width="14.5703125" style="1" customWidth="1"/>
    <col min="16147" max="16147" width="14.42578125" style="1" customWidth="1"/>
    <col min="16148" max="16384" width="9.140625" style="1"/>
  </cols>
  <sheetData>
    <row r="1" spans="1:19" x14ac:dyDescent="0.2">
      <c r="A1" s="1"/>
      <c r="B1" s="85" t="s">
        <v>0</v>
      </c>
      <c r="C1" s="85"/>
      <c r="D1" s="85"/>
      <c r="E1" s="85"/>
      <c r="F1" s="85"/>
      <c r="G1" s="85"/>
    </row>
    <row r="2" spans="1:19" x14ac:dyDescent="0.2">
      <c r="A2" s="1"/>
      <c r="B2" s="85" t="s">
        <v>1</v>
      </c>
      <c r="C2" s="85"/>
      <c r="D2" s="85"/>
      <c r="E2" s="85"/>
      <c r="F2" s="85"/>
      <c r="G2" s="85"/>
    </row>
    <row r="3" spans="1:19" x14ac:dyDescent="0.2">
      <c r="A3" s="1"/>
      <c r="B3" s="85" t="s">
        <v>2</v>
      </c>
      <c r="C3" s="85"/>
      <c r="D3" s="85"/>
      <c r="E3" s="85"/>
      <c r="F3" s="85"/>
      <c r="G3" s="85"/>
    </row>
    <row r="4" spans="1:19" x14ac:dyDescent="0.2">
      <c r="A4" s="1"/>
      <c r="B4" s="2"/>
      <c r="C4" s="2"/>
      <c r="D4" s="2"/>
      <c r="E4" s="2"/>
      <c r="F4" s="2"/>
      <c r="G4" s="2"/>
    </row>
    <row r="5" spans="1:19" x14ac:dyDescent="0.2">
      <c r="A5" s="1"/>
      <c r="B5" s="2"/>
      <c r="C5" s="2"/>
      <c r="D5" s="2"/>
      <c r="E5" s="2"/>
      <c r="F5" s="2"/>
      <c r="G5" s="2"/>
    </row>
    <row r="6" spans="1:19" ht="53.25" customHeight="1" x14ac:dyDescent="0.2">
      <c r="A6" s="3" t="s">
        <v>3</v>
      </c>
      <c r="B6" s="4" t="s">
        <v>4</v>
      </c>
      <c r="C6" s="4" t="s">
        <v>5</v>
      </c>
      <c r="D6" s="5" t="s">
        <v>6</v>
      </c>
      <c r="E6" s="6" t="s">
        <v>7</v>
      </c>
      <c r="F6" s="6"/>
      <c r="G6" s="7" t="s">
        <v>8</v>
      </c>
    </row>
    <row r="7" spans="1:19" x14ac:dyDescent="0.2">
      <c r="A7" s="1"/>
      <c r="B7" s="8"/>
      <c r="C7" s="8"/>
      <c r="D7" s="8"/>
      <c r="E7" s="9"/>
      <c r="F7" s="9"/>
      <c r="G7" s="10"/>
    </row>
    <row r="8" spans="1:19" ht="15.75" x14ac:dyDescent="0.25">
      <c r="A8" s="1"/>
      <c r="B8" s="8"/>
      <c r="C8" s="8"/>
      <c r="D8" s="11" t="s">
        <v>9</v>
      </c>
      <c r="E8" s="9"/>
      <c r="F8" s="9"/>
      <c r="G8" s="10"/>
    </row>
    <row r="9" spans="1:19" ht="15.75" x14ac:dyDescent="0.25">
      <c r="A9" s="1"/>
      <c r="B9" s="8"/>
      <c r="C9" s="8"/>
      <c r="D9" s="11"/>
      <c r="E9" s="9"/>
      <c r="F9" s="9"/>
      <c r="G9" s="10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2"/>
    </row>
    <row r="10" spans="1:19" ht="15.75" x14ac:dyDescent="0.25">
      <c r="B10" s="8"/>
      <c r="C10" s="8"/>
      <c r="D10" s="11" t="s">
        <v>10</v>
      </c>
      <c r="E10" s="9"/>
      <c r="F10" s="9"/>
      <c r="G10" s="10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2"/>
    </row>
    <row r="11" spans="1:19" x14ac:dyDescent="0.2">
      <c r="A11" s="15">
        <v>13418596</v>
      </c>
      <c r="B11" s="16">
        <v>478437863</v>
      </c>
      <c r="C11" s="17">
        <v>35500</v>
      </c>
      <c r="D11" s="18" t="s">
        <v>11</v>
      </c>
      <c r="E11" s="19">
        <v>185.19999999995343</v>
      </c>
      <c r="F11" s="20"/>
      <c r="G11" s="21">
        <v>42522</v>
      </c>
      <c r="H11" s="13"/>
      <c r="I11" s="69"/>
      <c r="J11" s="12"/>
      <c r="K11" s="12"/>
      <c r="L11" s="12"/>
      <c r="M11" s="12"/>
      <c r="N11" s="12"/>
      <c r="O11" s="13"/>
      <c r="P11" s="13"/>
      <c r="Q11" s="13"/>
      <c r="R11" s="13"/>
      <c r="S11" s="12"/>
    </row>
    <row r="12" spans="1:19" x14ac:dyDescent="0.2">
      <c r="A12" s="15"/>
      <c r="B12" s="16">
        <v>478437863</v>
      </c>
      <c r="C12" s="17">
        <v>35500</v>
      </c>
      <c r="D12" s="18" t="s">
        <v>11</v>
      </c>
      <c r="E12" s="19">
        <v>104.62000000011176</v>
      </c>
      <c r="F12" s="20"/>
      <c r="G12" s="21">
        <v>42552</v>
      </c>
      <c r="H12" s="13"/>
      <c r="I12" s="69"/>
      <c r="J12" s="12"/>
      <c r="K12" s="12"/>
      <c r="L12" s="12"/>
      <c r="M12" s="12"/>
      <c r="N12" s="12"/>
      <c r="O12" s="13"/>
      <c r="P12" s="13"/>
      <c r="Q12" s="13"/>
      <c r="R12" s="13"/>
      <c r="S12" s="12"/>
    </row>
    <row r="13" spans="1:19" x14ac:dyDescent="0.2">
      <c r="A13" s="15"/>
      <c r="B13" s="16">
        <v>478437863</v>
      </c>
      <c r="C13" s="17">
        <v>35500</v>
      </c>
      <c r="D13" s="18" t="s">
        <v>11</v>
      </c>
      <c r="E13" s="22">
        <v>-0.27</v>
      </c>
      <c r="F13" s="20"/>
      <c r="G13" s="21">
        <v>42583</v>
      </c>
      <c r="H13" s="13"/>
      <c r="I13" s="69"/>
      <c r="J13" s="12"/>
      <c r="K13" s="12"/>
      <c r="L13" s="12"/>
      <c r="M13" s="12"/>
      <c r="N13" s="12"/>
      <c r="O13" s="13"/>
      <c r="P13" s="13"/>
      <c r="Q13" s="13"/>
      <c r="R13" s="13"/>
      <c r="S13" s="12"/>
    </row>
    <row r="14" spans="1:19" x14ac:dyDescent="0.2">
      <c r="A14" s="15"/>
      <c r="B14" s="16"/>
      <c r="C14" s="17"/>
      <c r="D14" s="18" t="s">
        <v>12</v>
      </c>
      <c r="E14" s="19">
        <f>SUM(E11:E13)</f>
        <v>289.55000000006521</v>
      </c>
      <c r="F14" s="20"/>
      <c r="G14" s="21"/>
      <c r="H14" s="13"/>
      <c r="I14" s="69"/>
      <c r="J14" s="12"/>
      <c r="K14" s="12"/>
      <c r="L14" s="12"/>
      <c r="M14" s="12"/>
      <c r="N14" s="12"/>
      <c r="O14" s="13"/>
      <c r="P14" s="13"/>
      <c r="Q14" s="13"/>
      <c r="R14" s="13"/>
      <c r="S14" s="12"/>
    </row>
    <row r="15" spans="1:19" x14ac:dyDescent="0.2">
      <c r="A15" s="15"/>
      <c r="B15" s="16"/>
      <c r="C15" s="17"/>
      <c r="D15" s="18"/>
      <c r="E15" s="19"/>
      <c r="F15" s="20"/>
      <c r="G15" s="21"/>
      <c r="H15" s="13"/>
      <c r="I15" s="69"/>
      <c r="J15" s="12"/>
      <c r="K15" s="12"/>
      <c r="L15" s="12"/>
      <c r="M15" s="12"/>
      <c r="N15" s="12"/>
      <c r="O15" s="13"/>
      <c r="P15" s="13"/>
      <c r="Q15" s="13"/>
      <c r="R15" s="13"/>
      <c r="S15" s="12"/>
    </row>
    <row r="16" spans="1:19" x14ac:dyDescent="0.2">
      <c r="A16" s="25" t="s">
        <v>13</v>
      </c>
      <c r="B16" s="23">
        <v>478229242</v>
      </c>
      <c r="C16" s="17">
        <v>35500</v>
      </c>
      <c r="D16" s="18" t="s">
        <v>14</v>
      </c>
      <c r="E16" s="19">
        <v>401.65999999991601</v>
      </c>
      <c r="F16" s="20"/>
      <c r="G16" s="21">
        <v>42370</v>
      </c>
      <c r="H16" s="13"/>
      <c r="I16" s="69"/>
      <c r="J16" s="12"/>
      <c r="K16" s="12"/>
      <c r="L16" s="12"/>
      <c r="M16" s="12"/>
      <c r="N16" s="12"/>
      <c r="O16" s="13"/>
      <c r="P16" s="13"/>
      <c r="Q16" s="13"/>
      <c r="R16" s="13"/>
      <c r="S16" s="12"/>
    </row>
    <row r="17" spans="1:19" x14ac:dyDescent="0.2">
      <c r="A17" s="25"/>
      <c r="B17" s="23">
        <v>478229242</v>
      </c>
      <c r="C17" s="17">
        <v>35500</v>
      </c>
      <c r="D17" s="18" t="s">
        <v>14</v>
      </c>
      <c r="E17" s="19">
        <v>-0.62999999988824096</v>
      </c>
      <c r="F17" s="20"/>
      <c r="G17" s="21">
        <v>42401</v>
      </c>
      <c r="H17" s="13"/>
      <c r="I17" s="69"/>
      <c r="J17" s="12"/>
      <c r="K17" s="12"/>
      <c r="L17" s="12"/>
      <c r="M17" s="12"/>
      <c r="N17" s="12"/>
      <c r="O17" s="13"/>
      <c r="P17" s="13"/>
      <c r="Q17" s="13"/>
      <c r="R17" s="13"/>
      <c r="S17" s="12"/>
    </row>
    <row r="18" spans="1:19" x14ac:dyDescent="0.2">
      <c r="A18" s="25"/>
      <c r="B18" s="23">
        <v>478229242</v>
      </c>
      <c r="C18" s="17">
        <v>35500</v>
      </c>
      <c r="D18" s="18" t="s">
        <v>14</v>
      </c>
      <c r="E18" s="19">
        <v>24046.129999999888</v>
      </c>
      <c r="F18" s="20"/>
      <c r="G18" s="21">
        <v>42430</v>
      </c>
      <c r="H18" s="13"/>
      <c r="I18" s="69"/>
      <c r="J18" s="12"/>
      <c r="K18" s="12"/>
      <c r="L18" s="12"/>
      <c r="M18" s="12"/>
      <c r="N18" s="12"/>
      <c r="O18" s="13"/>
      <c r="P18" s="13"/>
      <c r="Q18" s="13"/>
      <c r="R18" s="13"/>
      <c r="S18" s="12"/>
    </row>
    <row r="19" spans="1:19" x14ac:dyDescent="0.2">
      <c r="A19" s="25"/>
      <c r="B19" s="23">
        <v>478229242</v>
      </c>
      <c r="C19" s="17">
        <v>35500</v>
      </c>
      <c r="D19" s="18" t="s">
        <v>14</v>
      </c>
      <c r="E19" s="19">
        <v>45792.070000000065</v>
      </c>
      <c r="F19" s="20"/>
      <c r="G19" s="21">
        <v>42461</v>
      </c>
      <c r="H19" s="13"/>
      <c r="I19" s="69"/>
      <c r="J19" s="12"/>
      <c r="K19" s="12"/>
      <c r="L19" s="12"/>
      <c r="M19" s="12"/>
      <c r="N19" s="12"/>
      <c r="O19" s="13"/>
      <c r="P19" s="13"/>
      <c r="Q19" s="13"/>
      <c r="R19" s="13"/>
      <c r="S19" s="12"/>
    </row>
    <row r="20" spans="1:19" x14ac:dyDescent="0.2">
      <c r="A20" s="25"/>
      <c r="B20" s="23">
        <v>478229242</v>
      </c>
      <c r="C20" s="17">
        <v>35500</v>
      </c>
      <c r="D20" s="18" t="s">
        <v>14</v>
      </c>
      <c r="E20" s="19">
        <v>12825.179999999935</v>
      </c>
      <c r="F20" s="20"/>
      <c r="G20" s="21">
        <v>42491</v>
      </c>
      <c r="H20" s="13"/>
      <c r="I20" s="69"/>
      <c r="J20" s="12"/>
      <c r="K20" s="12"/>
      <c r="L20" s="12"/>
      <c r="M20" s="12"/>
      <c r="N20" s="12"/>
      <c r="O20" s="13"/>
      <c r="P20" s="13"/>
      <c r="Q20" s="13"/>
      <c r="R20" s="13"/>
      <c r="S20" s="12"/>
    </row>
    <row r="21" spans="1:19" x14ac:dyDescent="0.2">
      <c r="A21" s="25"/>
      <c r="B21" s="23">
        <v>478229242</v>
      </c>
      <c r="C21" s="17">
        <v>35500</v>
      </c>
      <c r="D21" s="18" t="s">
        <v>14</v>
      </c>
      <c r="E21" s="19">
        <v>2004.0300000000279</v>
      </c>
      <c r="F21" s="20"/>
      <c r="G21" s="21">
        <v>42522</v>
      </c>
      <c r="H21" s="13"/>
      <c r="I21" s="69"/>
      <c r="J21" s="12"/>
      <c r="K21" s="12"/>
      <c r="L21" s="12"/>
      <c r="M21" s="12"/>
      <c r="N21" s="12"/>
      <c r="O21" s="13"/>
      <c r="P21" s="13"/>
      <c r="Q21" s="13"/>
      <c r="R21" s="13"/>
      <c r="S21" s="12"/>
    </row>
    <row r="22" spans="1:19" x14ac:dyDescent="0.2">
      <c r="A22" s="25"/>
      <c r="B22" s="23">
        <v>478229242</v>
      </c>
      <c r="C22" s="17">
        <v>35500</v>
      </c>
      <c r="D22" s="18" t="s">
        <v>14</v>
      </c>
      <c r="E22" s="19">
        <v>21691.370000000112</v>
      </c>
      <c r="F22" s="20"/>
      <c r="G22" s="21">
        <v>42552</v>
      </c>
      <c r="H22" s="13"/>
      <c r="I22" s="69"/>
      <c r="J22" s="12"/>
      <c r="K22" s="12"/>
      <c r="L22" s="12"/>
      <c r="M22" s="12"/>
      <c r="N22" s="12"/>
      <c r="O22" s="13"/>
      <c r="P22" s="13"/>
      <c r="Q22" s="13"/>
      <c r="R22" s="13"/>
      <c r="S22" s="12"/>
    </row>
    <row r="23" spans="1:19" x14ac:dyDescent="0.2">
      <c r="A23" s="25"/>
      <c r="B23" s="23">
        <v>478229242</v>
      </c>
      <c r="C23" s="17">
        <v>35500</v>
      </c>
      <c r="D23" s="18" t="s">
        <v>14</v>
      </c>
      <c r="E23" s="19">
        <v>83459.13</v>
      </c>
      <c r="F23" s="20"/>
      <c r="G23" s="21">
        <v>42583</v>
      </c>
      <c r="H23" s="12"/>
      <c r="I23" s="24"/>
      <c r="J23" s="12"/>
      <c r="K23" s="12"/>
      <c r="L23" s="12"/>
      <c r="M23" s="12"/>
      <c r="N23" s="12"/>
      <c r="O23" s="13"/>
      <c r="P23" s="13"/>
      <c r="Q23" s="13"/>
      <c r="R23" s="13"/>
      <c r="S23" s="12"/>
    </row>
    <row r="24" spans="1:19" x14ac:dyDescent="0.2">
      <c r="A24" s="25"/>
      <c r="B24" s="23">
        <v>478229242</v>
      </c>
      <c r="C24" s="17">
        <v>35500</v>
      </c>
      <c r="D24" s="18" t="s">
        <v>14</v>
      </c>
      <c r="E24" s="19">
        <v>1759298.24</v>
      </c>
      <c r="F24" s="20"/>
      <c r="G24" s="21">
        <v>42614</v>
      </c>
      <c r="H24" s="12"/>
      <c r="I24" s="24"/>
      <c r="J24" s="12"/>
      <c r="K24" s="12"/>
      <c r="L24" s="12"/>
      <c r="M24" s="12"/>
      <c r="N24" s="12"/>
      <c r="O24" s="13"/>
      <c r="P24" s="13"/>
      <c r="Q24" s="13"/>
      <c r="R24" s="13"/>
      <c r="S24" s="12"/>
    </row>
    <row r="25" spans="1:19" x14ac:dyDescent="0.2">
      <c r="A25" s="25"/>
      <c r="B25" s="23">
        <v>478229242</v>
      </c>
      <c r="C25" s="17">
        <v>35500</v>
      </c>
      <c r="D25" s="18" t="s">
        <v>14</v>
      </c>
      <c r="E25" s="19">
        <v>-6121.23</v>
      </c>
      <c r="F25" s="20"/>
      <c r="G25" s="21">
        <v>42644</v>
      </c>
      <c r="H25" s="12"/>
      <c r="I25" s="24"/>
      <c r="J25" s="12"/>
      <c r="K25" s="12"/>
      <c r="L25" s="12"/>
      <c r="M25" s="12"/>
      <c r="N25" s="12"/>
      <c r="O25" s="13"/>
      <c r="P25" s="13"/>
      <c r="Q25" s="13"/>
      <c r="R25" s="13"/>
      <c r="S25" s="12"/>
    </row>
    <row r="26" spans="1:19" x14ac:dyDescent="0.2">
      <c r="A26" s="25"/>
      <c r="B26" s="23">
        <v>478229242</v>
      </c>
      <c r="C26" s="17">
        <v>35500</v>
      </c>
      <c r="D26" s="18" t="s">
        <v>14</v>
      </c>
      <c r="E26" s="19">
        <v>3905.38</v>
      </c>
      <c r="F26" s="20"/>
      <c r="G26" s="21">
        <v>42675</v>
      </c>
      <c r="H26" s="12"/>
      <c r="I26" s="24"/>
      <c r="J26" s="12"/>
      <c r="K26" s="12"/>
      <c r="L26" s="12"/>
      <c r="M26" s="12"/>
      <c r="N26" s="12"/>
      <c r="O26" s="13"/>
      <c r="P26" s="13"/>
      <c r="Q26" s="13"/>
      <c r="R26" s="13"/>
      <c r="S26" s="12"/>
    </row>
    <row r="27" spans="1:19" x14ac:dyDescent="0.2">
      <c r="A27" s="25"/>
      <c r="B27" s="23">
        <v>478229242</v>
      </c>
      <c r="C27" s="17">
        <v>35500</v>
      </c>
      <c r="D27" s="18" t="s">
        <v>14</v>
      </c>
      <c r="E27" s="22">
        <v>-2756.82</v>
      </c>
      <c r="F27" s="20"/>
      <c r="G27" s="21">
        <v>42705</v>
      </c>
      <c r="H27" s="12"/>
      <c r="I27" s="24"/>
      <c r="J27" s="12"/>
      <c r="K27" s="12"/>
      <c r="L27" s="12"/>
      <c r="M27" s="12"/>
      <c r="N27" s="12"/>
      <c r="O27" s="13"/>
      <c r="P27" s="13"/>
      <c r="Q27" s="13"/>
      <c r="R27" s="13"/>
      <c r="S27" s="12"/>
    </row>
    <row r="28" spans="1:19" x14ac:dyDescent="0.2">
      <c r="A28" s="25"/>
      <c r="B28" s="23"/>
      <c r="C28" s="17"/>
      <c r="D28" s="18" t="s">
        <v>12</v>
      </c>
      <c r="E28" s="19">
        <f>SUM(E16:E27)</f>
        <v>1944544.51</v>
      </c>
      <c r="F28" s="20"/>
      <c r="G28" s="21"/>
      <c r="H28" s="12"/>
      <c r="I28" s="24"/>
      <c r="J28" s="12"/>
      <c r="K28" s="12"/>
      <c r="L28" s="12"/>
      <c r="M28" s="12"/>
      <c r="N28" s="12"/>
      <c r="O28" s="13"/>
      <c r="P28" s="13"/>
      <c r="Q28" s="13"/>
      <c r="R28" s="13"/>
      <c r="S28" s="12"/>
    </row>
    <row r="29" spans="1:19" x14ac:dyDescent="0.2">
      <c r="A29" s="25"/>
      <c r="B29" s="23"/>
      <c r="C29" s="17"/>
      <c r="D29" s="18"/>
      <c r="E29" s="19"/>
      <c r="F29" s="20"/>
      <c r="G29" s="21"/>
      <c r="H29" s="12"/>
      <c r="I29" s="24"/>
      <c r="J29" s="12"/>
      <c r="K29" s="12"/>
      <c r="L29" s="12"/>
      <c r="M29" s="12"/>
      <c r="N29" s="12"/>
      <c r="O29" s="13"/>
      <c r="P29" s="13"/>
      <c r="Q29" s="13"/>
      <c r="R29" s="13"/>
      <c r="S29" s="12"/>
    </row>
    <row r="30" spans="1:19" x14ac:dyDescent="0.2">
      <c r="A30" s="51" t="s">
        <v>15</v>
      </c>
      <c r="B30" s="23">
        <v>686847146</v>
      </c>
      <c r="C30" s="17">
        <v>35620</v>
      </c>
      <c r="D30" s="18" t="s">
        <v>16</v>
      </c>
      <c r="E30" s="19">
        <v>-34113.24</v>
      </c>
      <c r="F30" s="20"/>
      <c r="G30" s="21">
        <v>42430</v>
      </c>
      <c r="H30" s="12"/>
      <c r="I30" s="24"/>
      <c r="J30" s="12"/>
      <c r="K30" s="12"/>
      <c r="L30" s="12"/>
      <c r="M30" s="12"/>
      <c r="N30" s="12"/>
      <c r="O30" s="13"/>
      <c r="P30" s="13"/>
      <c r="Q30" s="13"/>
      <c r="R30" s="13"/>
      <c r="S30" s="12"/>
    </row>
    <row r="31" spans="1:19" x14ac:dyDescent="0.2">
      <c r="A31" s="52"/>
      <c r="B31" s="23"/>
      <c r="C31" s="17"/>
      <c r="D31" s="18"/>
      <c r="E31" s="19"/>
      <c r="F31" s="20"/>
      <c r="G31" s="21"/>
      <c r="H31" s="12"/>
      <c r="I31" s="24"/>
      <c r="J31" s="12"/>
      <c r="K31" s="12"/>
      <c r="L31" s="12"/>
      <c r="M31" s="12"/>
      <c r="N31" s="12"/>
      <c r="O31" s="13"/>
      <c r="P31" s="13"/>
      <c r="Q31" s="13"/>
      <c r="R31" s="13"/>
      <c r="S31" s="12"/>
    </row>
    <row r="32" spans="1:19" x14ac:dyDescent="0.2">
      <c r="A32" s="51" t="s">
        <v>17</v>
      </c>
      <c r="B32" s="23">
        <v>478541516</v>
      </c>
      <c r="C32" s="17">
        <v>35400</v>
      </c>
      <c r="D32" s="18" t="s">
        <v>18</v>
      </c>
      <c r="E32" s="19">
        <v>5146.5200000000104</v>
      </c>
      <c r="F32" s="20"/>
      <c r="G32" s="21">
        <v>42370</v>
      </c>
      <c r="H32" s="12"/>
      <c r="I32" s="24"/>
      <c r="J32" s="12"/>
      <c r="K32" s="12"/>
      <c r="L32" s="12"/>
      <c r="M32" s="12"/>
      <c r="N32" s="12"/>
      <c r="O32" s="13"/>
      <c r="P32" s="13"/>
      <c r="Q32" s="13"/>
      <c r="R32" s="13"/>
      <c r="S32" s="12"/>
    </row>
    <row r="33" spans="1:19" x14ac:dyDescent="0.2">
      <c r="A33" s="52"/>
      <c r="B33" s="23">
        <v>478541516</v>
      </c>
      <c r="C33" s="17">
        <v>35400</v>
      </c>
      <c r="D33" s="18" t="s">
        <v>18</v>
      </c>
      <c r="E33" s="26">
        <v>-15.859999999869601</v>
      </c>
      <c r="F33" s="20"/>
      <c r="G33" s="21">
        <v>42401</v>
      </c>
      <c r="H33" s="12"/>
      <c r="I33" s="24"/>
      <c r="J33" s="12"/>
      <c r="K33" s="12"/>
      <c r="L33" s="12"/>
      <c r="M33" s="12"/>
      <c r="N33" s="12"/>
      <c r="O33" s="13"/>
      <c r="P33" s="13"/>
      <c r="Q33" s="13"/>
      <c r="R33" s="13"/>
      <c r="S33" s="12"/>
    </row>
    <row r="34" spans="1:19" x14ac:dyDescent="0.2">
      <c r="A34" s="52"/>
      <c r="B34" s="23">
        <v>478541516</v>
      </c>
      <c r="C34" s="17">
        <v>35400</v>
      </c>
      <c r="D34" s="18" t="s">
        <v>18</v>
      </c>
      <c r="E34" s="26">
        <v>135000</v>
      </c>
      <c r="F34" s="20"/>
      <c r="G34" s="21">
        <v>42461</v>
      </c>
      <c r="H34" s="12"/>
      <c r="I34" s="24"/>
      <c r="J34" s="12"/>
      <c r="K34" s="12"/>
      <c r="L34" s="12"/>
      <c r="M34" s="12"/>
      <c r="N34" s="12"/>
      <c r="O34" s="13"/>
      <c r="P34" s="13"/>
      <c r="Q34" s="13"/>
      <c r="R34" s="13"/>
      <c r="S34" s="12"/>
    </row>
    <row r="35" spans="1:19" x14ac:dyDescent="0.2">
      <c r="A35" s="52"/>
      <c r="B35" s="23">
        <v>478541516</v>
      </c>
      <c r="C35" s="17">
        <v>35400</v>
      </c>
      <c r="D35" s="18" t="s">
        <v>18</v>
      </c>
      <c r="E35" s="26">
        <v>-135000</v>
      </c>
      <c r="F35" s="20"/>
      <c r="G35" s="21">
        <v>42491</v>
      </c>
      <c r="H35" s="12"/>
      <c r="I35" s="24"/>
      <c r="J35" s="12"/>
      <c r="K35" s="12"/>
      <c r="L35" s="12"/>
      <c r="M35" s="12"/>
      <c r="N35" s="12"/>
      <c r="O35" s="13"/>
      <c r="P35" s="13"/>
      <c r="Q35" s="13"/>
      <c r="R35" s="13"/>
      <c r="S35" s="12"/>
    </row>
    <row r="36" spans="1:19" x14ac:dyDescent="0.2">
      <c r="A36" s="52"/>
      <c r="B36" s="23">
        <v>478541516</v>
      </c>
      <c r="C36" s="17">
        <v>35400</v>
      </c>
      <c r="D36" s="18" t="s">
        <v>18</v>
      </c>
      <c r="E36" s="26">
        <v>184361.10999999987</v>
      </c>
      <c r="F36" s="20"/>
      <c r="G36" s="21">
        <v>42552</v>
      </c>
      <c r="H36" s="12"/>
      <c r="I36" s="24"/>
      <c r="J36" s="12"/>
      <c r="K36" s="12"/>
      <c r="L36" s="12"/>
      <c r="M36" s="12"/>
      <c r="N36" s="12"/>
      <c r="O36" s="13"/>
      <c r="P36" s="13"/>
      <c r="Q36" s="13"/>
      <c r="R36" s="13"/>
      <c r="S36" s="12"/>
    </row>
    <row r="37" spans="1:19" x14ac:dyDescent="0.2">
      <c r="A37" s="52"/>
      <c r="B37" s="23">
        <v>478541516</v>
      </c>
      <c r="C37" s="17">
        <v>35400</v>
      </c>
      <c r="D37" s="18" t="s">
        <v>18</v>
      </c>
      <c r="E37" s="27">
        <v>-305.89</v>
      </c>
      <c r="F37" s="20"/>
      <c r="G37" s="21">
        <v>42583</v>
      </c>
      <c r="H37" s="12"/>
      <c r="I37" s="24"/>
      <c r="J37" s="12"/>
      <c r="K37" s="12"/>
      <c r="L37" s="12"/>
      <c r="M37" s="12"/>
      <c r="N37" s="12"/>
      <c r="O37" s="13"/>
      <c r="P37" s="13"/>
      <c r="Q37" s="13"/>
      <c r="R37" s="13"/>
      <c r="S37" s="12"/>
    </row>
    <row r="38" spans="1:19" x14ac:dyDescent="0.2">
      <c r="A38" s="52"/>
      <c r="B38" s="23"/>
      <c r="C38" s="17"/>
      <c r="D38" s="18" t="s">
        <v>12</v>
      </c>
      <c r="E38" s="26">
        <f>SUM(E32:E37)</f>
        <v>189185.88</v>
      </c>
      <c r="F38" s="20"/>
      <c r="G38" s="21"/>
      <c r="H38" s="12"/>
      <c r="I38" s="24"/>
      <c r="J38" s="12"/>
      <c r="K38" s="12"/>
      <c r="L38" s="12"/>
      <c r="M38" s="12"/>
      <c r="N38" s="12"/>
      <c r="O38" s="13"/>
      <c r="P38" s="13"/>
      <c r="Q38" s="13"/>
      <c r="R38" s="13"/>
      <c r="S38" s="12"/>
    </row>
    <row r="39" spans="1:19" x14ac:dyDescent="0.2">
      <c r="A39" s="52"/>
      <c r="B39" s="23"/>
      <c r="C39" s="17"/>
      <c r="D39" s="18"/>
      <c r="E39" s="26"/>
      <c r="F39" s="20"/>
      <c r="G39" s="21"/>
      <c r="H39" s="12"/>
      <c r="I39" s="24"/>
      <c r="J39" s="12"/>
      <c r="K39" s="12"/>
      <c r="L39" s="12"/>
      <c r="M39" s="12"/>
      <c r="N39" s="12"/>
      <c r="O39" s="13"/>
      <c r="P39" s="13"/>
      <c r="Q39" s="13"/>
      <c r="R39" s="13"/>
      <c r="S39" s="12"/>
    </row>
    <row r="40" spans="1:19" x14ac:dyDescent="0.2">
      <c r="A40" s="51" t="s">
        <v>19</v>
      </c>
      <c r="B40" s="23">
        <v>4409525</v>
      </c>
      <c r="C40" s="17">
        <v>35011</v>
      </c>
      <c r="D40" s="18" t="s">
        <v>20</v>
      </c>
      <c r="E40" s="26">
        <v>-562055.73</v>
      </c>
      <c r="F40" s="20"/>
      <c r="G40" s="21">
        <v>42461</v>
      </c>
      <c r="H40" s="12"/>
      <c r="I40" s="24"/>
      <c r="J40" s="12"/>
      <c r="K40" s="12"/>
      <c r="L40" s="12"/>
      <c r="M40" s="12"/>
      <c r="N40" s="12"/>
      <c r="O40" s="13"/>
      <c r="P40" s="13"/>
      <c r="Q40" s="13"/>
      <c r="R40" s="13"/>
      <c r="S40" s="12"/>
    </row>
    <row r="41" spans="1:19" x14ac:dyDescent="0.2">
      <c r="A41" s="52"/>
      <c r="B41" s="23"/>
      <c r="C41" s="17"/>
      <c r="D41" s="18"/>
      <c r="E41" s="26"/>
      <c r="F41" s="20"/>
      <c r="G41" s="21"/>
      <c r="H41" s="12"/>
      <c r="I41" s="24"/>
      <c r="J41" s="12"/>
      <c r="K41" s="12"/>
      <c r="L41" s="12"/>
      <c r="M41" s="12"/>
      <c r="N41" s="12"/>
      <c r="O41" s="13"/>
      <c r="P41" s="13"/>
      <c r="Q41" s="13"/>
      <c r="R41" s="13"/>
      <c r="S41" s="12"/>
    </row>
    <row r="42" spans="1:19" x14ac:dyDescent="0.2">
      <c r="A42" s="51" t="s">
        <v>21</v>
      </c>
      <c r="B42" s="23">
        <v>4409526</v>
      </c>
      <c r="C42" s="17">
        <v>35011</v>
      </c>
      <c r="D42" s="18" t="s">
        <v>20</v>
      </c>
      <c r="E42" s="26">
        <v>-381542.62</v>
      </c>
      <c r="F42" s="20"/>
      <c r="G42" s="21">
        <v>42461</v>
      </c>
      <c r="H42" s="12"/>
      <c r="I42" s="24"/>
      <c r="J42" s="12"/>
      <c r="K42" s="12"/>
      <c r="L42" s="12"/>
      <c r="M42" s="12"/>
      <c r="N42" s="12"/>
      <c r="O42" s="13"/>
      <c r="P42" s="13"/>
      <c r="Q42" s="13"/>
      <c r="R42" s="13"/>
      <c r="S42" s="12"/>
    </row>
    <row r="43" spans="1:19" x14ac:dyDescent="0.2">
      <c r="A43" s="52"/>
      <c r="B43" s="23"/>
      <c r="C43" s="17"/>
      <c r="D43" s="18"/>
      <c r="E43" s="26"/>
      <c r="F43" s="20"/>
      <c r="G43" s="21"/>
      <c r="H43" s="12"/>
      <c r="I43" s="24"/>
      <c r="J43" s="12"/>
      <c r="K43" s="12"/>
      <c r="L43" s="12"/>
      <c r="M43" s="12"/>
      <c r="N43" s="12"/>
      <c r="O43" s="13"/>
      <c r="P43" s="13"/>
      <c r="Q43" s="13"/>
      <c r="R43" s="13"/>
      <c r="S43" s="12"/>
    </row>
    <row r="44" spans="1:19" x14ac:dyDescent="0.2">
      <c r="A44" s="25" t="s">
        <v>22</v>
      </c>
      <c r="B44" s="23">
        <v>4401479</v>
      </c>
      <c r="C44" s="17">
        <v>35500</v>
      </c>
      <c r="D44" s="18" t="s">
        <v>23</v>
      </c>
      <c r="E44" s="26">
        <v>1357.4900000095299</v>
      </c>
      <c r="F44" s="20"/>
      <c r="G44" s="21">
        <v>42401</v>
      </c>
      <c r="H44" s="12"/>
      <c r="I44" s="24"/>
      <c r="J44" s="12"/>
      <c r="K44" s="12"/>
      <c r="L44" s="12"/>
      <c r="M44" s="12"/>
      <c r="N44" s="12"/>
      <c r="O44" s="13"/>
      <c r="P44" s="13"/>
      <c r="Q44" s="13"/>
      <c r="R44" s="13"/>
      <c r="S44" s="12"/>
    </row>
    <row r="45" spans="1:19" x14ac:dyDescent="0.2">
      <c r="A45" s="52"/>
      <c r="B45" s="23"/>
      <c r="C45" s="17"/>
      <c r="D45" s="18"/>
      <c r="E45" s="26"/>
      <c r="F45" s="20"/>
      <c r="G45" s="21"/>
      <c r="H45" s="12"/>
      <c r="I45" s="24"/>
      <c r="J45" s="12"/>
      <c r="K45" s="12"/>
      <c r="L45" s="12"/>
      <c r="M45" s="12"/>
      <c r="N45" s="12"/>
      <c r="O45" s="13"/>
      <c r="P45" s="13"/>
      <c r="Q45" s="13"/>
      <c r="R45" s="13"/>
      <c r="S45" s="12"/>
    </row>
    <row r="46" spans="1:19" x14ac:dyDescent="0.2">
      <c r="A46" s="25" t="s">
        <v>24</v>
      </c>
      <c r="B46" s="23">
        <v>4405648</v>
      </c>
      <c r="C46" s="17">
        <v>35610</v>
      </c>
      <c r="D46" s="18" t="s">
        <v>20</v>
      </c>
      <c r="E46" s="26">
        <v>1642.5099999904601</v>
      </c>
      <c r="F46" s="20"/>
      <c r="G46" s="21">
        <v>42401</v>
      </c>
      <c r="H46" s="12"/>
      <c r="I46" s="24"/>
      <c r="J46" s="12"/>
      <c r="K46" s="12"/>
      <c r="L46" s="12"/>
      <c r="M46" s="12"/>
      <c r="N46" s="12"/>
      <c r="O46" s="13"/>
      <c r="P46" s="13"/>
      <c r="Q46" s="13"/>
      <c r="R46" s="13"/>
      <c r="S46" s="12"/>
    </row>
    <row r="47" spans="1:19" x14ac:dyDescent="0.2">
      <c r="A47" s="52"/>
      <c r="B47" s="23">
        <v>4405648</v>
      </c>
      <c r="C47" s="17">
        <v>35610</v>
      </c>
      <c r="D47" s="18" t="s">
        <v>20</v>
      </c>
      <c r="E47" s="26">
        <f>-568.08-3694.44-1103.76-4047.1</f>
        <v>-9413.380000000001</v>
      </c>
      <c r="F47" s="20"/>
      <c r="G47" s="21">
        <v>42583</v>
      </c>
      <c r="H47" s="12"/>
      <c r="I47" s="24"/>
      <c r="J47" s="12"/>
      <c r="K47" s="12"/>
      <c r="L47" s="12"/>
      <c r="M47" s="12"/>
      <c r="N47" s="12"/>
      <c r="O47" s="13"/>
      <c r="P47" s="13"/>
      <c r="Q47" s="13"/>
      <c r="R47" s="13"/>
      <c r="S47" s="12"/>
    </row>
    <row r="48" spans="1:19" x14ac:dyDescent="0.2">
      <c r="A48" s="52"/>
      <c r="B48" s="23">
        <v>4405648</v>
      </c>
      <c r="C48" s="17">
        <v>35610</v>
      </c>
      <c r="D48" s="18" t="s">
        <v>20</v>
      </c>
      <c r="E48" s="27">
        <v>-198.98</v>
      </c>
      <c r="F48" s="20"/>
      <c r="G48" s="21">
        <v>42705</v>
      </c>
      <c r="H48" s="12"/>
      <c r="I48" s="24"/>
      <c r="J48" s="12"/>
      <c r="K48" s="12"/>
      <c r="L48" s="12"/>
      <c r="M48" s="12"/>
      <c r="N48" s="12"/>
      <c r="O48" s="13"/>
      <c r="P48" s="13"/>
      <c r="Q48" s="13"/>
      <c r="R48" s="13"/>
      <c r="S48" s="12"/>
    </row>
    <row r="49" spans="1:19" x14ac:dyDescent="0.2">
      <c r="A49" s="52"/>
      <c r="B49" s="23"/>
      <c r="C49" s="17"/>
      <c r="D49" s="18" t="s">
        <v>12</v>
      </c>
      <c r="E49" s="26">
        <f>SUM(E46:E48)</f>
        <v>-7969.850000009541</v>
      </c>
      <c r="F49" s="20"/>
      <c r="G49" s="21"/>
      <c r="H49" s="12"/>
      <c r="I49" s="24"/>
      <c r="J49" s="12"/>
      <c r="K49" s="12"/>
      <c r="L49" s="12"/>
      <c r="M49" s="12"/>
      <c r="N49" s="12"/>
      <c r="O49" s="13"/>
      <c r="P49" s="13"/>
      <c r="Q49" s="13"/>
      <c r="R49" s="13"/>
      <c r="S49" s="12"/>
    </row>
    <row r="50" spans="1:19" x14ac:dyDescent="0.2">
      <c r="A50" s="52"/>
      <c r="B50" s="23"/>
      <c r="C50" s="17"/>
      <c r="D50" s="18"/>
      <c r="E50" s="26"/>
      <c r="F50" s="20"/>
      <c r="G50" s="21"/>
      <c r="H50" s="12"/>
      <c r="I50" s="24"/>
      <c r="J50" s="12"/>
      <c r="K50" s="12"/>
      <c r="L50" s="12"/>
      <c r="M50" s="12"/>
      <c r="N50" s="12"/>
      <c r="O50" s="13"/>
      <c r="P50" s="13"/>
      <c r="Q50" s="13"/>
      <c r="R50" s="13"/>
      <c r="S50" s="12"/>
    </row>
    <row r="51" spans="1:19" x14ac:dyDescent="0.2">
      <c r="A51" s="51" t="s">
        <v>25</v>
      </c>
      <c r="B51" s="23">
        <v>759166158</v>
      </c>
      <c r="C51" s="17">
        <v>35610</v>
      </c>
      <c r="D51" s="18" t="s">
        <v>20</v>
      </c>
      <c r="E51" s="26">
        <v>52998.87</v>
      </c>
      <c r="F51" s="20"/>
      <c r="G51" s="21">
        <v>42491</v>
      </c>
      <c r="H51" s="12"/>
      <c r="I51" s="24"/>
      <c r="J51" s="12"/>
      <c r="K51" s="12"/>
      <c r="L51" s="12"/>
      <c r="M51" s="12"/>
      <c r="N51" s="12"/>
      <c r="O51" s="13"/>
      <c r="P51" s="13"/>
      <c r="Q51" s="13"/>
      <c r="R51" s="13"/>
      <c r="S51" s="12"/>
    </row>
    <row r="52" spans="1:19" x14ac:dyDescent="0.2">
      <c r="A52" s="52"/>
      <c r="B52" s="23">
        <v>759166158</v>
      </c>
      <c r="C52" s="17">
        <v>35610</v>
      </c>
      <c r="D52" s="18" t="s">
        <v>20</v>
      </c>
      <c r="E52" s="28">
        <v>-10.17000000000553</v>
      </c>
      <c r="F52" s="20"/>
      <c r="G52" s="21">
        <v>42522</v>
      </c>
      <c r="H52" s="12"/>
      <c r="I52" s="24"/>
      <c r="J52" s="12"/>
      <c r="K52" s="12"/>
      <c r="L52" s="12"/>
      <c r="M52" s="12"/>
      <c r="N52" s="12"/>
      <c r="O52" s="13"/>
      <c r="P52" s="13"/>
      <c r="Q52" s="13"/>
      <c r="R52" s="13"/>
      <c r="S52" s="12"/>
    </row>
    <row r="53" spans="1:19" x14ac:dyDescent="0.2">
      <c r="A53" s="52"/>
      <c r="B53" s="23">
        <v>759166158</v>
      </c>
      <c r="C53" s="17">
        <v>35610</v>
      </c>
      <c r="D53" s="18" t="s">
        <v>20</v>
      </c>
      <c r="E53" s="28">
        <v>-53.930000000000291</v>
      </c>
      <c r="F53" s="20"/>
      <c r="G53" s="21">
        <v>42552</v>
      </c>
      <c r="H53" s="12"/>
      <c r="I53" s="24"/>
      <c r="J53" s="12"/>
      <c r="K53" s="12"/>
      <c r="L53" s="12"/>
      <c r="M53" s="12"/>
      <c r="N53" s="12"/>
      <c r="O53" s="13"/>
      <c r="P53" s="13"/>
      <c r="Q53" s="13"/>
      <c r="R53" s="13"/>
      <c r="S53" s="12"/>
    </row>
    <row r="54" spans="1:19" x14ac:dyDescent="0.2">
      <c r="A54" s="52"/>
      <c r="B54" s="23">
        <v>759166158</v>
      </c>
      <c r="C54" s="17">
        <v>35610</v>
      </c>
      <c r="D54" s="18" t="s">
        <v>20</v>
      </c>
      <c r="E54" s="28">
        <v>4122.67</v>
      </c>
      <c r="F54" s="20"/>
      <c r="G54" s="21">
        <v>42583</v>
      </c>
      <c r="H54" s="12"/>
      <c r="I54" s="24"/>
      <c r="J54" s="12"/>
      <c r="K54" s="12"/>
      <c r="L54" s="12"/>
      <c r="M54" s="12"/>
      <c r="N54" s="12"/>
      <c r="O54" s="13"/>
      <c r="P54" s="13"/>
      <c r="Q54" s="13"/>
      <c r="R54" s="13"/>
      <c r="S54" s="12"/>
    </row>
    <row r="55" spans="1:19" x14ac:dyDescent="0.2">
      <c r="A55" s="52"/>
      <c r="B55" s="23">
        <v>759166158</v>
      </c>
      <c r="C55" s="17">
        <v>35610</v>
      </c>
      <c r="D55" s="18" t="s">
        <v>20</v>
      </c>
      <c r="E55" s="27">
        <v>-1710.2</v>
      </c>
      <c r="F55" s="20"/>
      <c r="G55" s="21">
        <v>42614</v>
      </c>
      <c r="H55" s="12"/>
      <c r="I55" s="24"/>
      <c r="J55" s="12"/>
      <c r="K55" s="12"/>
      <c r="L55" s="12"/>
      <c r="M55" s="12"/>
      <c r="N55" s="12"/>
      <c r="O55" s="13"/>
      <c r="P55" s="13"/>
      <c r="Q55" s="13"/>
      <c r="R55" s="13"/>
      <c r="S55" s="12"/>
    </row>
    <row r="56" spans="1:19" x14ac:dyDescent="0.2">
      <c r="A56" s="52"/>
      <c r="B56" s="23"/>
      <c r="C56" s="17"/>
      <c r="D56" s="18" t="s">
        <v>12</v>
      </c>
      <c r="E56" s="28">
        <f>SUM(E51:E55)</f>
        <v>55347.24</v>
      </c>
      <c r="F56" s="20"/>
      <c r="G56" s="21"/>
      <c r="H56" s="12"/>
      <c r="I56" s="24"/>
      <c r="J56" s="12"/>
      <c r="K56" s="12"/>
      <c r="L56" s="12"/>
      <c r="M56" s="12"/>
      <c r="N56" s="12"/>
      <c r="O56" s="13"/>
      <c r="P56" s="13"/>
      <c r="Q56" s="13"/>
      <c r="R56" s="13"/>
      <c r="S56" s="12"/>
    </row>
    <row r="57" spans="1:19" x14ac:dyDescent="0.2">
      <c r="A57" s="52"/>
      <c r="B57" s="23"/>
      <c r="C57" s="17"/>
      <c r="D57" s="18"/>
      <c r="E57" s="26"/>
      <c r="F57" s="20"/>
      <c r="G57" s="21"/>
      <c r="H57" s="12"/>
      <c r="I57" s="24"/>
      <c r="J57" s="12"/>
      <c r="K57" s="12"/>
      <c r="L57" s="12"/>
      <c r="M57" s="12"/>
      <c r="N57" s="12"/>
      <c r="O57" s="13"/>
      <c r="P57" s="13"/>
      <c r="Q57" s="13"/>
      <c r="R57" s="13"/>
      <c r="S57" s="12"/>
    </row>
    <row r="58" spans="1:19" x14ac:dyDescent="0.2">
      <c r="A58" s="51" t="s">
        <v>26</v>
      </c>
      <c r="B58" s="23">
        <v>770275175</v>
      </c>
      <c r="C58" s="17">
        <v>35610</v>
      </c>
      <c r="D58" s="18" t="s">
        <v>27</v>
      </c>
      <c r="E58" s="26">
        <v>43313</v>
      </c>
      <c r="F58" s="20"/>
      <c r="G58" s="21">
        <v>42491</v>
      </c>
      <c r="H58" s="12"/>
      <c r="I58" s="24"/>
      <c r="J58" s="12"/>
      <c r="K58" s="12"/>
      <c r="L58" s="12"/>
      <c r="M58" s="12"/>
      <c r="N58" s="12"/>
      <c r="O58" s="13"/>
      <c r="P58" s="13"/>
      <c r="Q58" s="13"/>
      <c r="R58" s="13"/>
      <c r="S58" s="12"/>
    </row>
    <row r="59" spans="1:19" x14ac:dyDescent="0.2">
      <c r="A59" s="52"/>
      <c r="B59" s="23">
        <v>770275175</v>
      </c>
      <c r="C59" s="17">
        <v>35610</v>
      </c>
      <c r="D59" s="18" t="s">
        <v>27</v>
      </c>
      <c r="E59" s="26">
        <v>1021.3499999999985</v>
      </c>
      <c r="F59" s="20"/>
      <c r="G59" s="21">
        <v>42552</v>
      </c>
      <c r="H59" s="12"/>
      <c r="I59" s="24"/>
      <c r="J59" s="12"/>
      <c r="K59" s="12"/>
      <c r="L59" s="12"/>
      <c r="M59" s="12"/>
      <c r="N59" s="12"/>
      <c r="O59" s="13"/>
      <c r="P59" s="13"/>
      <c r="Q59" s="13"/>
      <c r="R59" s="13"/>
      <c r="S59" s="12"/>
    </row>
    <row r="60" spans="1:19" x14ac:dyDescent="0.2">
      <c r="A60" s="52"/>
      <c r="B60" s="23">
        <v>770275175</v>
      </c>
      <c r="C60" s="17">
        <v>35610</v>
      </c>
      <c r="D60" s="18" t="s">
        <v>27</v>
      </c>
      <c r="E60" s="27">
        <v>-2.5499999999999998</v>
      </c>
      <c r="F60" s="20"/>
      <c r="G60" s="21">
        <v>42583</v>
      </c>
      <c r="H60" s="12"/>
      <c r="I60" s="24"/>
      <c r="J60" s="12"/>
      <c r="K60" s="12"/>
      <c r="L60" s="12"/>
      <c r="M60" s="12"/>
      <c r="N60" s="12"/>
      <c r="O60" s="13"/>
      <c r="P60" s="13"/>
      <c r="Q60" s="13"/>
      <c r="R60" s="13"/>
      <c r="S60" s="12"/>
    </row>
    <row r="61" spans="1:19" x14ac:dyDescent="0.2">
      <c r="A61" s="52"/>
      <c r="B61" s="23"/>
      <c r="C61" s="17"/>
      <c r="D61" s="18" t="s">
        <v>12</v>
      </c>
      <c r="E61" s="26">
        <f>SUM(E58:E60)</f>
        <v>44331.799999999996</v>
      </c>
      <c r="F61" s="20"/>
      <c r="G61" s="21"/>
      <c r="H61" s="12"/>
      <c r="I61" s="24"/>
      <c r="J61" s="12"/>
      <c r="K61" s="12"/>
      <c r="L61" s="12"/>
      <c r="M61" s="12"/>
      <c r="N61" s="12"/>
      <c r="O61" s="13"/>
      <c r="P61" s="13"/>
      <c r="Q61" s="13"/>
      <c r="R61" s="13"/>
      <c r="S61" s="12"/>
    </row>
    <row r="62" spans="1:19" x14ac:dyDescent="0.2">
      <c r="A62" s="52"/>
      <c r="B62" s="23"/>
      <c r="C62" s="17"/>
      <c r="D62" s="18"/>
      <c r="E62" s="26"/>
      <c r="F62" s="20"/>
      <c r="G62" s="21"/>
      <c r="H62" s="12"/>
      <c r="I62" s="24"/>
      <c r="J62" s="12"/>
      <c r="K62" s="12"/>
      <c r="L62" s="12"/>
      <c r="M62" s="12"/>
      <c r="N62" s="12"/>
      <c r="O62" s="13"/>
      <c r="P62" s="13"/>
      <c r="Q62" s="13"/>
      <c r="R62" s="13"/>
      <c r="S62" s="12"/>
    </row>
    <row r="63" spans="1:19" x14ac:dyDescent="0.2">
      <c r="A63" s="25" t="s">
        <v>28</v>
      </c>
      <c r="B63" s="23">
        <v>770346587</v>
      </c>
      <c r="C63" s="17">
        <v>35610</v>
      </c>
      <c r="D63" s="18" t="s">
        <v>29</v>
      </c>
      <c r="E63" s="26">
        <v>8693.93</v>
      </c>
      <c r="F63" s="20"/>
      <c r="G63" s="21">
        <v>42491</v>
      </c>
      <c r="H63" s="12"/>
      <c r="I63" s="24"/>
      <c r="J63" s="12"/>
      <c r="K63" s="12"/>
      <c r="L63" s="12"/>
      <c r="M63" s="12"/>
      <c r="N63" s="12"/>
      <c r="O63" s="13"/>
      <c r="P63" s="13"/>
      <c r="Q63" s="13"/>
      <c r="R63" s="13"/>
      <c r="S63" s="12"/>
    </row>
    <row r="64" spans="1:19" x14ac:dyDescent="0.2">
      <c r="A64" s="52"/>
      <c r="B64" s="23"/>
      <c r="C64" s="17"/>
      <c r="D64" s="18"/>
      <c r="E64" s="26"/>
      <c r="F64" s="20"/>
      <c r="G64" s="21"/>
      <c r="H64" s="12"/>
      <c r="I64" s="24"/>
      <c r="J64" s="12"/>
      <c r="K64" s="12"/>
      <c r="L64" s="12"/>
      <c r="M64" s="12"/>
      <c r="N64" s="12"/>
      <c r="O64" s="13"/>
      <c r="P64" s="13"/>
      <c r="Q64" s="13"/>
      <c r="R64" s="13"/>
      <c r="S64" s="12"/>
    </row>
    <row r="65" spans="1:19" x14ac:dyDescent="0.2">
      <c r="A65" s="51" t="s">
        <v>30</v>
      </c>
      <c r="B65" s="23">
        <v>759166143</v>
      </c>
      <c r="C65" s="17">
        <v>35610</v>
      </c>
      <c r="D65" s="18" t="s">
        <v>31</v>
      </c>
      <c r="E65" s="28">
        <v>106065.46</v>
      </c>
      <c r="F65" s="20"/>
      <c r="G65" s="21">
        <v>42522</v>
      </c>
      <c r="H65" s="12"/>
      <c r="I65" s="24"/>
      <c r="J65" s="12"/>
      <c r="K65" s="12"/>
      <c r="L65" s="12"/>
      <c r="M65" s="12"/>
      <c r="N65" s="12"/>
      <c r="O65" s="13"/>
      <c r="P65" s="13"/>
      <c r="Q65" s="13"/>
      <c r="R65" s="13"/>
      <c r="S65" s="12"/>
    </row>
    <row r="66" spans="1:19" x14ac:dyDescent="0.2">
      <c r="A66" s="51"/>
      <c r="B66" s="23">
        <v>759166143</v>
      </c>
      <c r="C66" s="17">
        <v>35610</v>
      </c>
      <c r="D66" s="18" t="s">
        <v>31</v>
      </c>
      <c r="E66" s="28">
        <v>-36.260000000009313</v>
      </c>
      <c r="F66" s="20"/>
      <c r="G66" s="21">
        <v>42552</v>
      </c>
      <c r="H66" s="12"/>
      <c r="I66" s="24"/>
      <c r="J66" s="12"/>
      <c r="K66" s="12"/>
      <c r="L66" s="12"/>
      <c r="M66" s="12"/>
      <c r="N66" s="12"/>
      <c r="O66" s="13"/>
      <c r="P66" s="13"/>
      <c r="Q66" s="13"/>
      <c r="R66" s="13"/>
      <c r="S66" s="12"/>
    </row>
    <row r="67" spans="1:19" x14ac:dyDescent="0.2">
      <c r="A67" s="51"/>
      <c r="B67" s="23">
        <v>759166143</v>
      </c>
      <c r="C67" s="17">
        <v>35610</v>
      </c>
      <c r="D67" s="18" t="s">
        <v>31</v>
      </c>
      <c r="E67" s="27">
        <v>-8543.48</v>
      </c>
      <c r="F67" s="20"/>
      <c r="G67" s="21">
        <v>42614</v>
      </c>
      <c r="H67" s="12"/>
      <c r="I67" s="24"/>
      <c r="J67" s="12"/>
      <c r="K67" s="12"/>
      <c r="L67" s="12"/>
      <c r="M67" s="12"/>
      <c r="N67" s="12"/>
      <c r="O67" s="13"/>
      <c r="P67" s="13"/>
      <c r="Q67" s="13"/>
      <c r="R67" s="13"/>
      <c r="S67" s="12"/>
    </row>
    <row r="68" spans="1:19" x14ac:dyDescent="0.2">
      <c r="A68" s="25"/>
      <c r="B68" s="23"/>
      <c r="C68" s="17"/>
      <c r="D68" s="18" t="s">
        <v>12</v>
      </c>
      <c r="E68" s="26">
        <f>SUM(E65:E67)</f>
        <v>97485.72</v>
      </c>
      <c r="F68" s="20"/>
      <c r="G68" s="21"/>
      <c r="H68" s="12"/>
      <c r="I68" s="24"/>
      <c r="J68" s="12"/>
      <c r="K68" s="12"/>
      <c r="L68" s="12"/>
      <c r="M68" s="12"/>
      <c r="N68" s="12"/>
      <c r="O68" s="13"/>
      <c r="P68" s="13"/>
      <c r="Q68" s="13"/>
      <c r="R68" s="13"/>
      <c r="S68" s="12"/>
    </row>
    <row r="69" spans="1:19" x14ac:dyDescent="0.2">
      <c r="A69" s="52"/>
      <c r="B69" s="23"/>
      <c r="C69" s="17"/>
      <c r="D69" s="18"/>
      <c r="E69" s="26"/>
      <c r="F69" s="20"/>
      <c r="G69" s="21"/>
      <c r="H69" s="12"/>
      <c r="I69" s="24"/>
      <c r="J69" s="12"/>
      <c r="K69" s="12"/>
      <c r="L69" s="12"/>
      <c r="M69" s="12"/>
      <c r="N69" s="12"/>
      <c r="O69" s="13"/>
      <c r="P69" s="13"/>
      <c r="Q69" s="13"/>
      <c r="R69" s="13"/>
      <c r="S69" s="12"/>
    </row>
    <row r="70" spans="1:19" x14ac:dyDescent="0.2">
      <c r="A70" s="51" t="s">
        <v>32</v>
      </c>
      <c r="B70" s="23">
        <v>770346221</v>
      </c>
      <c r="C70" s="17">
        <v>35610</v>
      </c>
      <c r="D70" s="29" t="s">
        <v>33</v>
      </c>
      <c r="E70" s="28">
        <v>62814.76</v>
      </c>
      <c r="F70" s="20"/>
      <c r="G70" s="21">
        <v>42522</v>
      </c>
      <c r="H70" s="12"/>
      <c r="I70" s="24"/>
      <c r="J70" s="12"/>
      <c r="K70" s="12"/>
      <c r="L70" s="12"/>
      <c r="M70" s="12"/>
      <c r="N70" s="12"/>
      <c r="O70" s="13"/>
      <c r="P70" s="13"/>
      <c r="Q70" s="13"/>
      <c r="R70" s="13"/>
      <c r="S70" s="12"/>
    </row>
    <row r="71" spans="1:19" x14ac:dyDescent="0.2">
      <c r="A71" s="52"/>
      <c r="B71" s="23">
        <v>770346221</v>
      </c>
      <c r="C71" s="17">
        <v>35610</v>
      </c>
      <c r="D71" s="29" t="s">
        <v>33</v>
      </c>
      <c r="E71" s="70">
        <v>-4748.3999999999996</v>
      </c>
      <c r="F71" s="20"/>
      <c r="G71" s="21">
        <v>42614</v>
      </c>
      <c r="H71" s="12"/>
      <c r="I71" s="24"/>
      <c r="J71" s="12"/>
      <c r="K71" s="12"/>
      <c r="L71" s="12"/>
      <c r="M71" s="12"/>
      <c r="N71" s="12"/>
      <c r="O71" s="13"/>
      <c r="P71" s="13"/>
      <c r="Q71" s="13"/>
      <c r="R71" s="13"/>
      <c r="S71" s="12"/>
    </row>
    <row r="72" spans="1:19" x14ac:dyDescent="0.2">
      <c r="A72" s="52"/>
      <c r="B72" s="23">
        <v>770346221</v>
      </c>
      <c r="C72" s="17">
        <v>35610</v>
      </c>
      <c r="D72" s="29" t="s">
        <v>33</v>
      </c>
      <c r="E72" s="27">
        <v>25544.91</v>
      </c>
      <c r="F72" s="20"/>
      <c r="G72" s="21">
        <v>42705</v>
      </c>
      <c r="H72" s="12"/>
      <c r="I72" s="24"/>
      <c r="J72" s="12"/>
      <c r="K72" s="12"/>
      <c r="L72" s="12"/>
      <c r="M72" s="12"/>
      <c r="N72" s="12"/>
      <c r="O72" s="13"/>
      <c r="P72" s="13"/>
      <c r="Q72" s="13"/>
      <c r="R72" s="13"/>
      <c r="S72" s="12"/>
    </row>
    <row r="73" spans="1:19" x14ac:dyDescent="0.2">
      <c r="A73" s="52"/>
      <c r="B73" s="23"/>
      <c r="C73" s="17"/>
      <c r="D73" s="18" t="s">
        <v>12</v>
      </c>
      <c r="E73" s="26">
        <f>SUM(E70:E72)</f>
        <v>83611.27</v>
      </c>
      <c r="F73" s="20"/>
      <c r="G73" s="21"/>
      <c r="H73" s="12"/>
      <c r="I73" s="24"/>
      <c r="J73" s="12"/>
      <c r="K73" s="12"/>
      <c r="L73" s="12"/>
      <c r="M73" s="12"/>
      <c r="N73" s="12"/>
      <c r="O73" s="13"/>
      <c r="P73" s="13"/>
      <c r="Q73" s="13"/>
      <c r="R73" s="13"/>
      <c r="S73" s="12"/>
    </row>
    <row r="74" spans="1:19" x14ac:dyDescent="0.2">
      <c r="A74" s="52"/>
      <c r="B74" s="23"/>
      <c r="C74" s="17"/>
      <c r="D74" s="18"/>
      <c r="E74" s="26"/>
      <c r="F74" s="20"/>
      <c r="G74" s="21"/>
      <c r="H74" s="12"/>
      <c r="I74" s="24"/>
      <c r="J74" s="12"/>
      <c r="K74" s="12"/>
      <c r="L74" s="12"/>
      <c r="M74" s="12"/>
      <c r="N74" s="12"/>
      <c r="O74" s="13"/>
      <c r="P74" s="13"/>
      <c r="Q74" s="13"/>
      <c r="R74" s="13"/>
      <c r="S74" s="12"/>
    </row>
    <row r="75" spans="1:19" x14ac:dyDescent="0.2">
      <c r="A75" s="53">
        <v>15029785</v>
      </c>
      <c r="B75" s="16">
        <v>817389348</v>
      </c>
      <c r="C75" s="17">
        <v>35610</v>
      </c>
      <c r="D75" s="18" t="s">
        <v>34</v>
      </c>
      <c r="E75" s="26">
        <f>16332.16+14998.71</f>
        <v>31330.87</v>
      </c>
      <c r="F75" s="20"/>
      <c r="G75" s="21">
        <v>42583</v>
      </c>
      <c r="H75" s="12"/>
      <c r="I75" s="24"/>
      <c r="J75" s="12"/>
      <c r="K75" s="12"/>
      <c r="L75" s="12"/>
      <c r="M75" s="12"/>
      <c r="N75" s="12"/>
      <c r="O75" s="13"/>
      <c r="P75" s="13"/>
      <c r="Q75" s="13"/>
      <c r="R75" s="13"/>
      <c r="S75" s="12"/>
    </row>
    <row r="76" spans="1:19" x14ac:dyDescent="0.2">
      <c r="A76" s="52"/>
      <c r="B76" s="16"/>
      <c r="C76" s="17"/>
      <c r="D76" s="18"/>
      <c r="E76" s="26"/>
      <c r="F76" s="20"/>
      <c r="G76" s="21"/>
      <c r="H76" s="12"/>
      <c r="I76" s="24"/>
      <c r="J76" s="12"/>
      <c r="K76" s="12"/>
      <c r="L76" s="12"/>
      <c r="M76" s="12"/>
      <c r="N76" s="12"/>
      <c r="O76" s="13"/>
      <c r="P76" s="13"/>
      <c r="Q76" s="13"/>
      <c r="R76" s="13"/>
      <c r="S76" s="12"/>
    </row>
    <row r="77" spans="1:19" x14ac:dyDescent="0.2">
      <c r="A77" s="52">
        <v>13416100</v>
      </c>
      <c r="B77" s="16">
        <v>478316423</v>
      </c>
      <c r="C77" s="17">
        <v>35500</v>
      </c>
      <c r="D77" s="18" t="s">
        <v>35</v>
      </c>
      <c r="E77" s="26">
        <v>261000</v>
      </c>
      <c r="F77" s="20"/>
      <c r="G77" s="21">
        <v>42614</v>
      </c>
      <c r="H77" s="12"/>
      <c r="I77" s="24"/>
      <c r="J77" s="12"/>
      <c r="K77" s="12"/>
      <c r="L77" s="12"/>
      <c r="M77" s="12"/>
      <c r="N77" s="12"/>
      <c r="O77" s="13"/>
      <c r="P77" s="13"/>
      <c r="Q77" s="13"/>
      <c r="R77" s="13"/>
      <c r="S77" s="12"/>
    </row>
    <row r="78" spans="1:19" x14ac:dyDescent="0.2">
      <c r="A78" s="52"/>
      <c r="B78" s="16"/>
      <c r="C78" s="17"/>
      <c r="D78" s="18"/>
      <c r="E78" s="27"/>
      <c r="F78" s="20"/>
      <c r="G78" s="21"/>
      <c r="H78" s="12"/>
      <c r="I78" s="24"/>
      <c r="J78" s="12"/>
      <c r="K78" s="12"/>
      <c r="L78" s="12"/>
      <c r="M78" s="12"/>
      <c r="N78" s="12"/>
      <c r="O78" s="13"/>
      <c r="P78" s="13"/>
      <c r="Q78" s="13"/>
      <c r="R78" s="13"/>
      <c r="S78" s="12"/>
    </row>
    <row r="79" spans="1:19" x14ac:dyDescent="0.2">
      <c r="A79" s="54">
        <v>14620046</v>
      </c>
      <c r="B79" s="23">
        <v>740069164</v>
      </c>
      <c r="C79" s="17">
        <v>35610</v>
      </c>
      <c r="D79" s="29" t="s">
        <v>36</v>
      </c>
      <c r="E79" s="26">
        <v>249588.57</v>
      </c>
      <c r="F79" s="20"/>
      <c r="G79" s="21">
        <v>42614</v>
      </c>
      <c r="H79" s="12"/>
      <c r="I79" s="24"/>
      <c r="J79" s="12"/>
      <c r="K79" s="12"/>
      <c r="L79" s="12"/>
      <c r="M79" s="12"/>
      <c r="N79" s="12"/>
      <c r="O79" s="13"/>
      <c r="P79" s="13"/>
      <c r="Q79" s="13"/>
      <c r="R79" s="13"/>
      <c r="S79" s="12"/>
    </row>
    <row r="80" spans="1:19" x14ac:dyDescent="0.2">
      <c r="A80" s="52"/>
      <c r="B80" s="23">
        <v>740069164</v>
      </c>
      <c r="C80" s="17">
        <v>35610</v>
      </c>
      <c r="D80" s="29" t="s">
        <v>36</v>
      </c>
      <c r="E80" s="26">
        <v>123.67</v>
      </c>
      <c r="F80" s="20"/>
      <c r="G80" s="21">
        <v>42644</v>
      </c>
      <c r="H80" s="12"/>
      <c r="I80" s="24"/>
      <c r="J80" s="12"/>
      <c r="K80" s="12"/>
      <c r="L80" s="12"/>
      <c r="M80" s="12"/>
      <c r="N80" s="12"/>
      <c r="O80" s="13"/>
      <c r="P80" s="13"/>
      <c r="Q80" s="13"/>
      <c r="R80" s="13"/>
      <c r="S80" s="12"/>
    </row>
    <row r="81" spans="1:19" x14ac:dyDescent="0.2">
      <c r="A81" s="52"/>
      <c r="B81" s="23">
        <v>740069164</v>
      </c>
      <c r="C81" s="17">
        <v>35610</v>
      </c>
      <c r="D81" s="29" t="s">
        <v>36</v>
      </c>
      <c r="E81" s="26">
        <v>2.39</v>
      </c>
      <c r="F81" s="20"/>
      <c r="G81" s="21">
        <v>42675</v>
      </c>
      <c r="H81" s="12"/>
      <c r="I81" s="24"/>
      <c r="J81" s="12"/>
      <c r="K81" s="12"/>
      <c r="L81" s="12"/>
      <c r="M81" s="12"/>
      <c r="N81" s="12"/>
      <c r="O81" s="13"/>
      <c r="P81" s="13"/>
      <c r="Q81" s="13"/>
      <c r="R81" s="13"/>
      <c r="S81" s="12"/>
    </row>
    <row r="82" spans="1:19" x14ac:dyDescent="0.2">
      <c r="A82" s="52"/>
      <c r="B82" s="23">
        <v>740069164</v>
      </c>
      <c r="C82" s="17">
        <v>35610</v>
      </c>
      <c r="D82" s="29" t="s">
        <v>36</v>
      </c>
      <c r="E82" s="27">
        <v>4557.6400000000003</v>
      </c>
      <c r="F82" s="20"/>
      <c r="G82" s="21">
        <v>42705</v>
      </c>
      <c r="H82" s="12"/>
      <c r="I82" s="24"/>
      <c r="J82" s="12"/>
      <c r="K82" s="12"/>
      <c r="L82" s="12"/>
      <c r="M82" s="12"/>
      <c r="N82" s="12"/>
      <c r="O82" s="13"/>
      <c r="P82" s="13"/>
      <c r="Q82" s="13"/>
      <c r="R82" s="13"/>
      <c r="S82" s="12"/>
    </row>
    <row r="83" spans="1:19" x14ac:dyDescent="0.2">
      <c r="A83" s="52"/>
      <c r="B83" s="16"/>
      <c r="C83" s="17"/>
      <c r="D83" s="18" t="s">
        <v>12</v>
      </c>
      <c r="E83" s="26">
        <f>SUM(E79:E82)</f>
        <v>254272.27000000005</v>
      </c>
      <c r="F83" s="20"/>
      <c r="G83" s="21"/>
      <c r="H83" s="12"/>
      <c r="I83" s="24"/>
      <c r="J83" s="12"/>
      <c r="K83" s="12"/>
      <c r="L83" s="12"/>
      <c r="M83" s="12"/>
      <c r="N83" s="12"/>
      <c r="O83" s="13"/>
      <c r="P83" s="13"/>
      <c r="Q83" s="13"/>
      <c r="R83" s="13"/>
      <c r="S83" s="12"/>
    </row>
    <row r="84" spans="1:19" x14ac:dyDescent="0.2">
      <c r="A84" s="52"/>
      <c r="B84" s="16"/>
      <c r="C84" s="17"/>
      <c r="D84" s="18"/>
      <c r="E84" s="26"/>
      <c r="F84" s="20"/>
      <c r="G84" s="21"/>
      <c r="H84" s="12"/>
      <c r="I84" s="24"/>
      <c r="J84" s="12"/>
      <c r="K84" s="12"/>
      <c r="L84" s="12"/>
      <c r="M84" s="12"/>
      <c r="N84" s="12"/>
      <c r="O84" s="13"/>
      <c r="P84" s="13"/>
      <c r="Q84" s="13"/>
      <c r="R84" s="13"/>
      <c r="S84" s="12"/>
    </row>
    <row r="85" spans="1:19" x14ac:dyDescent="0.2">
      <c r="A85" s="52">
        <v>14908310</v>
      </c>
      <c r="B85" s="16">
        <v>801737170</v>
      </c>
      <c r="C85" s="17">
        <v>35610</v>
      </c>
      <c r="D85" s="18" t="s">
        <v>37</v>
      </c>
      <c r="E85" s="26">
        <v>16296.27</v>
      </c>
      <c r="F85" s="20"/>
      <c r="G85" s="21">
        <v>42705</v>
      </c>
      <c r="H85" s="12"/>
      <c r="I85" s="24"/>
      <c r="J85" s="12"/>
      <c r="K85" s="12"/>
      <c r="L85" s="12"/>
      <c r="M85" s="12"/>
      <c r="N85" s="12"/>
      <c r="O85" s="13"/>
      <c r="P85" s="13"/>
      <c r="Q85" s="13"/>
      <c r="R85" s="13"/>
      <c r="S85" s="12"/>
    </row>
    <row r="86" spans="1:19" x14ac:dyDescent="0.2">
      <c r="A86" s="52"/>
      <c r="B86" s="16"/>
      <c r="C86" s="17"/>
      <c r="D86" s="18"/>
      <c r="E86" s="26"/>
      <c r="F86" s="20"/>
      <c r="G86" s="21"/>
      <c r="H86" s="12"/>
      <c r="I86" s="24"/>
      <c r="J86" s="12"/>
      <c r="K86" s="12"/>
      <c r="L86" s="12"/>
      <c r="M86" s="12"/>
      <c r="N86" s="12"/>
      <c r="O86" s="13"/>
      <c r="P86" s="13"/>
      <c r="Q86" s="13"/>
      <c r="R86" s="13"/>
      <c r="S86" s="12"/>
    </row>
    <row r="87" spans="1:19" x14ac:dyDescent="0.2">
      <c r="A87" s="52">
        <v>14936079</v>
      </c>
      <c r="B87" s="16">
        <v>804969618</v>
      </c>
      <c r="C87" s="17">
        <v>35610</v>
      </c>
      <c r="D87" s="18" t="s">
        <v>38</v>
      </c>
      <c r="E87" s="67">
        <v>483402.36</v>
      </c>
      <c r="F87" s="20"/>
      <c r="G87" s="21">
        <v>42705</v>
      </c>
      <c r="H87" s="13"/>
      <c r="I87" s="24"/>
      <c r="J87" s="12"/>
      <c r="K87" s="12"/>
      <c r="L87" s="12"/>
      <c r="M87" s="12"/>
      <c r="N87" s="12"/>
      <c r="O87" s="13"/>
      <c r="P87" s="13"/>
      <c r="Q87" s="13"/>
      <c r="R87" s="13"/>
      <c r="S87" s="12"/>
    </row>
    <row r="88" spans="1:19" x14ac:dyDescent="0.2">
      <c r="A88" s="52"/>
      <c r="B88" s="16"/>
      <c r="C88" s="17"/>
      <c r="D88" s="18"/>
      <c r="E88" s="26"/>
      <c r="F88" s="20"/>
      <c r="G88" s="21"/>
      <c r="H88" s="13"/>
      <c r="I88" s="24"/>
      <c r="J88" s="12"/>
      <c r="K88" s="12"/>
      <c r="L88" s="12"/>
      <c r="M88" s="12"/>
      <c r="N88" s="12"/>
      <c r="O88" s="13"/>
      <c r="P88" s="13"/>
      <c r="Q88" s="13"/>
      <c r="R88" s="13"/>
      <c r="S88" s="12"/>
    </row>
    <row r="89" spans="1:19" x14ac:dyDescent="0.2">
      <c r="A89" s="72" t="s">
        <v>156</v>
      </c>
      <c r="B89" s="73" t="s">
        <v>156</v>
      </c>
      <c r="C89" s="17">
        <v>35620</v>
      </c>
      <c r="D89" s="74" t="s">
        <v>157</v>
      </c>
      <c r="E89" s="26">
        <v>3678.0400000000054</v>
      </c>
      <c r="F89" s="20"/>
      <c r="G89" s="21">
        <v>42370</v>
      </c>
      <c r="H89" s="13"/>
      <c r="I89" s="24"/>
      <c r="J89" s="12"/>
      <c r="K89" s="12"/>
      <c r="L89" s="12"/>
      <c r="M89" s="12"/>
      <c r="N89" s="12"/>
      <c r="O89" s="13"/>
      <c r="P89" s="13"/>
      <c r="Q89" s="13"/>
      <c r="R89" s="13"/>
      <c r="S89" s="12"/>
    </row>
    <row r="90" spans="1:19" x14ac:dyDescent="0.2">
      <c r="A90" s="72"/>
      <c r="B90" s="73" t="s">
        <v>156</v>
      </c>
      <c r="C90" s="17">
        <v>35620</v>
      </c>
      <c r="D90" s="74" t="s">
        <v>157</v>
      </c>
      <c r="E90" s="26">
        <v>4427.7100000000028</v>
      </c>
      <c r="F90" s="20"/>
      <c r="G90" s="21">
        <v>42401</v>
      </c>
      <c r="H90" s="13"/>
      <c r="I90" s="24"/>
      <c r="J90" s="12"/>
      <c r="K90" s="12"/>
      <c r="L90" s="12"/>
      <c r="M90" s="12"/>
      <c r="N90" s="12"/>
      <c r="O90" s="13"/>
      <c r="P90" s="13"/>
      <c r="Q90" s="13"/>
      <c r="R90" s="13"/>
      <c r="S90" s="12"/>
    </row>
    <row r="91" spans="1:19" x14ac:dyDescent="0.2">
      <c r="A91" s="72"/>
      <c r="B91" s="73" t="s">
        <v>156</v>
      </c>
      <c r="C91" s="17">
        <v>35620</v>
      </c>
      <c r="D91" s="74" t="s">
        <v>157</v>
      </c>
      <c r="E91" s="26">
        <v>4259.9000000000196</v>
      </c>
      <c r="F91" s="20"/>
      <c r="G91" s="21">
        <v>42430</v>
      </c>
      <c r="H91" s="13"/>
      <c r="I91" s="24"/>
      <c r="J91" s="12"/>
      <c r="K91" s="12"/>
      <c r="L91" s="12"/>
      <c r="M91" s="12"/>
      <c r="N91" s="12"/>
      <c r="O91" s="13"/>
      <c r="P91" s="13"/>
      <c r="Q91" s="13"/>
      <c r="R91" s="13"/>
      <c r="S91" s="12"/>
    </row>
    <row r="92" spans="1:19" x14ac:dyDescent="0.2">
      <c r="A92" s="72"/>
      <c r="B92" s="73" t="s">
        <v>156</v>
      </c>
      <c r="C92" s="17">
        <v>35620</v>
      </c>
      <c r="D92" s="74" t="s">
        <v>157</v>
      </c>
      <c r="E92" s="26">
        <v>-116.19000000000233</v>
      </c>
      <c r="F92" s="20"/>
      <c r="G92" s="21">
        <v>42461</v>
      </c>
      <c r="H92" s="13"/>
      <c r="I92" s="24"/>
      <c r="J92" s="12"/>
      <c r="K92" s="12"/>
      <c r="L92" s="12"/>
      <c r="M92" s="12"/>
      <c r="N92" s="12"/>
      <c r="O92" s="13"/>
      <c r="P92" s="13"/>
      <c r="Q92" s="13"/>
      <c r="R92" s="13"/>
      <c r="S92" s="12"/>
    </row>
    <row r="93" spans="1:19" x14ac:dyDescent="0.2">
      <c r="A93" s="72"/>
      <c r="B93" s="73" t="s">
        <v>156</v>
      </c>
      <c r="C93" s="17">
        <v>35620</v>
      </c>
      <c r="D93" s="74" t="s">
        <v>157</v>
      </c>
      <c r="E93" s="26">
        <v>-117.01000000001295</v>
      </c>
      <c r="F93" s="20"/>
      <c r="G93" s="21">
        <v>42491</v>
      </c>
      <c r="H93" s="13"/>
      <c r="I93" s="24"/>
      <c r="J93" s="12"/>
      <c r="K93" s="12"/>
      <c r="L93" s="12"/>
      <c r="M93" s="12"/>
      <c r="N93" s="12"/>
      <c r="O93" s="13"/>
      <c r="P93" s="13"/>
      <c r="Q93" s="13"/>
      <c r="R93" s="13"/>
      <c r="S93" s="12"/>
    </row>
    <row r="94" spans="1:19" x14ac:dyDescent="0.2">
      <c r="A94" s="72"/>
      <c r="B94" s="73" t="s">
        <v>156</v>
      </c>
      <c r="C94" s="17">
        <v>35620</v>
      </c>
      <c r="D94" s="74" t="s">
        <v>157</v>
      </c>
      <c r="E94" s="26">
        <v>-128493.70999999999</v>
      </c>
      <c r="F94" s="20"/>
      <c r="G94" s="21">
        <v>42522</v>
      </c>
      <c r="H94" s="13"/>
      <c r="I94" s="24"/>
      <c r="J94" s="12"/>
      <c r="K94" s="12"/>
      <c r="L94" s="12"/>
      <c r="M94" s="12"/>
      <c r="N94" s="12"/>
      <c r="O94" s="13"/>
      <c r="P94" s="13"/>
      <c r="Q94" s="13"/>
      <c r="R94" s="13"/>
      <c r="S94" s="12"/>
    </row>
    <row r="95" spans="1:19" x14ac:dyDescent="0.2">
      <c r="A95" s="72"/>
      <c r="B95" s="73" t="s">
        <v>156</v>
      </c>
      <c r="C95" s="17">
        <v>35620</v>
      </c>
      <c r="D95" s="74" t="s">
        <v>157</v>
      </c>
      <c r="E95" s="26">
        <v>-145.93000000000757</v>
      </c>
      <c r="F95" s="20"/>
      <c r="G95" s="21">
        <v>42552</v>
      </c>
      <c r="H95" s="13"/>
      <c r="I95" s="24"/>
      <c r="J95" s="12"/>
      <c r="K95" s="12"/>
      <c r="L95" s="12"/>
      <c r="M95" s="12"/>
      <c r="N95" s="12"/>
      <c r="O95" s="13"/>
      <c r="P95" s="13"/>
      <c r="Q95" s="13"/>
      <c r="R95" s="13"/>
      <c r="S95" s="12"/>
    </row>
    <row r="96" spans="1:19" x14ac:dyDescent="0.2">
      <c r="A96" s="72"/>
      <c r="B96" s="73" t="s">
        <v>156</v>
      </c>
      <c r="C96" s="17">
        <v>35620</v>
      </c>
      <c r="D96" s="74" t="s">
        <v>157</v>
      </c>
      <c r="E96" s="26">
        <v>4378.0600000000095</v>
      </c>
      <c r="F96" s="20"/>
      <c r="G96" s="21">
        <v>42583</v>
      </c>
      <c r="H96" s="13"/>
      <c r="I96" s="24"/>
      <c r="J96" s="12"/>
      <c r="K96" s="12"/>
      <c r="L96" s="12"/>
      <c r="M96" s="12"/>
      <c r="N96" s="12"/>
      <c r="O96" s="13"/>
      <c r="P96" s="13"/>
      <c r="Q96" s="13"/>
      <c r="R96" s="13"/>
      <c r="S96" s="12"/>
    </row>
    <row r="97" spans="1:19" x14ac:dyDescent="0.2">
      <c r="A97" s="72"/>
      <c r="B97" s="73" t="s">
        <v>156</v>
      </c>
      <c r="C97" s="17">
        <v>35620</v>
      </c>
      <c r="D97" s="74" t="s">
        <v>157</v>
      </c>
      <c r="E97" s="26">
        <v>-122.66000000001804</v>
      </c>
      <c r="F97" s="20"/>
      <c r="G97" s="21">
        <v>42614</v>
      </c>
      <c r="H97" s="13"/>
      <c r="I97" s="24"/>
      <c r="J97" s="12"/>
      <c r="K97" s="12"/>
      <c r="L97" s="12"/>
      <c r="M97" s="12"/>
      <c r="N97" s="12"/>
      <c r="O97" s="13"/>
      <c r="P97" s="13"/>
      <c r="Q97" s="13"/>
      <c r="R97" s="13"/>
      <c r="S97" s="12"/>
    </row>
    <row r="98" spans="1:19" x14ac:dyDescent="0.2">
      <c r="A98" s="72"/>
      <c r="B98" s="73" t="s">
        <v>156</v>
      </c>
      <c r="C98" s="17">
        <v>35620</v>
      </c>
      <c r="D98" s="74" t="s">
        <v>157</v>
      </c>
      <c r="E98" s="26">
        <v>-123.51999999998043</v>
      </c>
      <c r="F98" s="20"/>
      <c r="G98" s="21">
        <v>42644</v>
      </c>
      <c r="H98" s="13"/>
      <c r="I98" s="24"/>
      <c r="J98" s="12"/>
      <c r="K98" s="12"/>
      <c r="L98" s="12"/>
      <c r="M98" s="12"/>
      <c r="N98" s="12"/>
      <c r="O98" s="13"/>
      <c r="P98" s="13"/>
      <c r="Q98" s="13"/>
      <c r="R98" s="13"/>
      <c r="S98" s="12"/>
    </row>
    <row r="99" spans="1:19" x14ac:dyDescent="0.2">
      <c r="A99" s="72"/>
      <c r="B99" s="73" t="s">
        <v>156</v>
      </c>
      <c r="C99" s="17">
        <v>35620</v>
      </c>
      <c r="D99" s="74" t="s">
        <v>157</v>
      </c>
      <c r="E99" s="26">
        <v>-124.39000000000124</v>
      </c>
      <c r="F99" s="20"/>
      <c r="G99" s="21">
        <v>42675</v>
      </c>
      <c r="H99" s="13"/>
      <c r="I99" s="24"/>
      <c r="J99" s="12"/>
      <c r="K99" s="12"/>
      <c r="L99" s="12"/>
      <c r="M99" s="12"/>
      <c r="N99" s="12"/>
      <c r="O99" s="13"/>
      <c r="P99" s="13"/>
      <c r="Q99" s="13"/>
      <c r="R99" s="13"/>
      <c r="S99" s="12"/>
    </row>
    <row r="100" spans="1:19" x14ac:dyDescent="0.2">
      <c r="A100" s="72"/>
      <c r="B100" s="73" t="s">
        <v>156</v>
      </c>
      <c r="C100" s="17">
        <v>35620</v>
      </c>
      <c r="D100" s="74" t="s">
        <v>157</v>
      </c>
      <c r="E100" s="27">
        <v>-125.27000000000771</v>
      </c>
      <c r="F100" s="20"/>
      <c r="G100" s="21">
        <v>42705</v>
      </c>
      <c r="H100" s="13"/>
      <c r="I100" s="24"/>
      <c r="J100" s="12"/>
      <c r="K100" s="12"/>
      <c r="L100" s="12"/>
      <c r="M100" s="12"/>
      <c r="N100" s="12"/>
      <c r="O100" s="13"/>
      <c r="P100" s="13"/>
      <c r="Q100" s="13"/>
      <c r="R100" s="13"/>
      <c r="S100" s="12"/>
    </row>
    <row r="101" spans="1:19" x14ac:dyDescent="0.2">
      <c r="A101" s="52"/>
      <c r="B101" s="16"/>
      <c r="C101" s="17"/>
      <c r="D101" s="74" t="s">
        <v>12</v>
      </c>
      <c r="E101" s="75">
        <f>SUM(E89:E100)</f>
        <v>-112624.96999999997</v>
      </c>
      <c r="F101" s="20"/>
      <c r="G101" s="21"/>
      <c r="H101" s="13"/>
      <c r="I101" s="24"/>
      <c r="J101" s="12"/>
      <c r="K101" s="12"/>
      <c r="L101" s="12"/>
      <c r="M101" s="12"/>
      <c r="N101" s="12"/>
      <c r="O101" s="13"/>
      <c r="P101" s="13"/>
      <c r="Q101" s="13"/>
      <c r="R101" s="13"/>
      <c r="S101" s="12"/>
    </row>
    <row r="102" spans="1:19" x14ac:dyDescent="0.2">
      <c r="A102" s="52"/>
      <c r="B102" s="16"/>
      <c r="C102" s="17"/>
      <c r="D102" s="18"/>
      <c r="E102" s="26"/>
      <c r="F102" s="20"/>
      <c r="G102" s="21"/>
      <c r="H102" s="12"/>
      <c r="I102" s="24"/>
      <c r="J102" s="12"/>
      <c r="K102" s="12"/>
      <c r="L102" s="12"/>
      <c r="M102" s="12"/>
      <c r="N102" s="12"/>
      <c r="O102" s="13"/>
      <c r="P102" s="13"/>
      <c r="Q102" s="13"/>
      <c r="R102" s="13"/>
      <c r="S102" s="12"/>
    </row>
    <row r="103" spans="1:19" ht="13.5" thickBot="1" x14ac:dyDescent="0.25">
      <c r="A103" s="52"/>
      <c r="B103" s="23"/>
      <c r="C103" s="17"/>
      <c r="D103" s="18" t="s">
        <v>39</v>
      </c>
      <c r="E103" s="68">
        <f>E14+E28+E30+E38+E40+E42+E44+E49+E56+E61+E63+E68+E73+E75+E77+E83+E85+E87+E101</f>
        <v>2372842.75</v>
      </c>
      <c r="F103" s="20"/>
      <c r="G103" s="30"/>
      <c r="H103" s="71"/>
      <c r="I103" s="24"/>
      <c r="J103" s="12"/>
      <c r="K103" s="12"/>
      <c r="L103" s="12"/>
      <c r="M103" s="12"/>
      <c r="N103" s="12"/>
      <c r="O103" s="13"/>
      <c r="P103" s="13"/>
      <c r="Q103" s="13"/>
      <c r="R103" s="13"/>
      <c r="S103" s="12"/>
    </row>
    <row r="104" spans="1:19" ht="13.5" thickTop="1" x14ac:dyDescent="0.2">
      <c r="A104" s="10"/>
      <c r="B104" s="31"/>
      <c r="C104" s="32"/>
      <c r="D104" s="12"/>
      <c r="E104" s="57"/>
      <c r="F104" s="20"/>
      <c r="G104" s="30"/>
      <c r="H104" s="12"/>
      <c r="I104" s="24"/>
      <c r="J104" s="12"/>
      <c r="K104" s="12"/>
      <c r="L104" s="12"/>
      <c r="M104" s="12"/>
      <c r="N104" s="12"/>
      <c r="O104" s="13"/>
      <c r="P104" s="13"/>
      <c r="Q104" s="13"/>
      <c r="R104" s="13"/>
      <c r="S104" s="12"/>
    </row>
    <row r="105" spans="1:19" ht="15.75" x14ac:dyDescent="0.25">
      <c r="A105" s="55"/>
      <c r="B105" s="17"/>
      <c r="C105" s="17"/>
      <c r="D105" s="34" t="s">
        <v>40</v>
      </c>
      <c r="E105" s="58"/>
      <c r="F105" s="29"/>
      <c r="G105" s="29"/>
      <c r="I105" s="35"/>
      <c r="J105" s="29"/>
      <c r="K105" s="29"/>
      <c r="L105" s="29"/>
    </row>
    <row r="106" spans="1:19" x14ac:dyDescent="0.2">
      <c r="A106" s="55"/>
      <c r="B106" s="16"/>
      <c r="C106" s="16"/>
      <c r="D106" s="12"/>
      <c r="E106" s="36"/>
      <c r="F106" s="36"/>
      <c r="G106" s="21"/>
      <c r="H106" s="29"/>
      <c r="I106" s="35"/>
      <c r="J106" s="29"/>
      <c r="K106" s="29"/>
      <c r="L106" s="29"/>
    </row>
    <row r="107" spans="1:19" x14ac:dyDescent="0.2">
      <c r="A107" s="55">
        <v>13356601</v>
      </c>
      <c r="B107" s="37">
        <v>506387055</v>
      </c>
      <c r="C107" s="17">
        <v>35300</v>
      </c>
      <c r="D107" s="29" t="s">
        <v>41</v>
      </c>
      <c r="E107" s="36">
        <v>25368.35000000149</v>
      </c>
      <c r="F107" s="36"/>
      <c r="G107" s="21">
        <v>42370</v>
      </c>
      <c r="H107" s="29"/>
      <c r="I107" s="35"/>
      <c r="J107" s="29"/>
      <c r="K107" s="29"/>
      <c r="L107" s="29"/>
    </row>
    <row r="108" spans="1:19" x14ac:dyDescent="0.2">
      <c r="A108" s="55"/>
      <c r="B108" s="37">
        <v>506387055</v>
      </c>
      <c r="C108" s="17">
        <v>35300</v>
      </c>
      <c r="D108" s="29" t="s">
        <v>41</v>
      </c>
      <c r="E108" s="36">
        <v>69.48</v>
      </c>
      <c r="F108" s="36"/>
      <c r="G108" s="21">
        <v>42401</v>
      </c>
      <c r="H108" s="29"/>
      <c r="I108" s="35"/>
      <c r="J108" s="29"/>
      <c r="K108" s="29"/>
      <c r="L108" s="29"/>
    </row>
    <row r="109" spans="1:19" x14ac:dyDescent="0.2">
      <c r="A109" s="55"/>
      <c r="B109" s="37">
        <v>506387055</v>
      </c>
      <c r="C109" s="17">
        <v>35300</v>
      </c>
      <c r="D109" s="29" t="s">
        <v>41</v>
      </c>
      <c r="E109" s="36">
        <v>4637.6599999964237</v>
      </c>
      <c r="F109" s="36"/>
      <c r="G109" s="21">
        <v>42430</v>
      </c>
      <c r="H109" s="29"/>
      <c r="I109" s="35"/>
      <c r="J109" s="29"/>
      <c r="K109" s="29"/>
      <c r="L109" s="29"/>
    </row>
    <row r="110" spans="1:19" x14ac:dyDescent="0.2">
      <c r="A110" s="55"/>
      <c r="B110" s="37">
        <v>506387055</v>
      </c>
      <c r="C110" s="17">
        <v>35300</v>
      </c>
      <c r="D110" s="29" t="s">
        <v>41</v>
      </c>
      <c r="E110" s="38">
        <v>277.91000000000003</v>
      </c>
      <c r="F110" s="36"/>
      <c r="G110" s="21">
        <v>42491</v>
      </c>
      <c r="H110" s="29"/>
      <c r="I110" s="35"/>
      <c r="J110" s="29"/>
      <c r="K110" s="29"/>
      <c r="L110" s="29"/>
    </row>
    <row r="111" spans="1:19" x14ac:dyDescent="0.2">
      <c r="A111" s="55"/>
      <c r="B111" s="37"/>
      <c r="C111" s="17"/>
      <c r="D111" s="29" t="s">
        <v>12</v>
      </c>
      <c r="E111" s="36">
        <f>SUM(E107:E110)</f>
        <v>30353.399999997913</v>
      </c>
      <c r="F111" s="36"/>
      <c r="G111" s="21"/>
      <c r="H111" s="29"/>
      <c r="I111" s="35"/>
      <c r="J111" s="29"/>
      <c r="K111" s="29"/>
      <c r="L111" s="29"/>
    </row>
    <row r="112" spans="1:19" x14ac:dyDescent="0.2">
      <c r="A112" s="55"/>
      <c r="B112" s="37"/>
      <c r="C112" s="17"/>
      <c r="D112" s="29"/>
      <c r="E112" s="36"/>
      <c r="F112" s="36"/>
      <c r="G112" s="21"/>
      <c r="H112" s="29"/>
      <c r="I112" s="35"/>
      <c r="J112" s="29"/>
      <c r="K112" s="29"/>
      <c r="L112" s="29"/>
    </row>
    <row r="113" spans="1:12" x14ac:dyDescent="0.2">
      <c r="A113" s="25" t="s">
        <v>42</v>
      </c>
      <c r="B113" s="37">
        <v>514254724</v>
      </c>
      <c r="C113" s="17">
        <v>35610</v>
      </c>
      <c r="D113" t="s">
        <v>43</v>
      </c>
      <c r="E113" s="36">
        <v>7145.14</v>
      </c>
      <c r="F113" s="36"/>
      <c r="G113" s="21">
        <v>42430</v>
      </c>
      <c r="H113" s="29"/>
      <c r="I113" s="35"/>
      <c r="J113" s="29"/>
      <c r="K113" s="29"/>
      <c r="L113" s="29"/>
    </row>
    <row r="114" spans="1:12" x14ac:dyDescent="0.2">
      <c r="A114" s="55"/>
      <c r="B114" s="37">
        <v>514254724</v>
      </c>
      <c r="C114" s="17" t="s">
        <v>44</v>
      </c>
      <c r="D114" t="s">
        <v>43</v>
      </c>
      <c r="E114" s="36">
        <f>-17206.17-32512.2-158688.5-29171.94</f>
        <v>-237578.81</v>
      </c>
      <c r="F114" s="36"/>
      <c r="G114" s="21">
        <v>42583</v>
      </c>
      <c r="H114" s="29"/>
      <c r="I114" s="35"/>
      <c r="J114" s="29"/>
      <c r="K114" s="29"/>
      <c r="L114" s="29"/>
    </row>
    <row r="115" spans="1:12" x14ac:dyDescent="0.2">
      <c r="A115" s="55"/>
      <c r="B115" s="37">
        <v>514254724</v>
      </c>
      <c r="C115" s="17" t="s">
        <v>45</v>
      </c>
      <c r="D115" t="s">
        <v>43</v>
      </c>
      <c r="E115" s="38">
        <f>-587.59-2869.84-527.57+715.83</f>
        <v>-3269.1700000000005</v>
      </c>
      <c r="F115" s="36"/>
      <c r="G115" s="21">
        <v>42644</v>
      </c>
      <c r="H115" s="29"/>
      <c r="I115" s="35"/>
      <c r="J115" s="29"/>
      <c r="K115" s="29"/>
      <c r="L115" s="29"/>
    </row>
    <row r="116" spans="1:12" x14ac:dyDescent="0.2">
      <c r="A116" s="55"/>
      <c r="B116" s="37"/>
      <c r="C116" s="17"/>
      <c r="D116" s="29" t="s">
        <v>12</v>
      </c>
      <c r="E116" s="36">
        <f>SUM(E113:E115)</f>
        <v>-233702.84</v>
      </c>
      <c r="F116" s="36"/>
      <c r="G116" s="21"/>
      <c r="H116" s="29"/>
      <c r="I116" s="35"/>
      <c r="J116" s="29"/>
      <c r="K116" s="29"/>
      <c r="L116" s="29"/>
    </row>
    <row r="117" spans="1:12" x14ac:dyDescent="0.2">
      <c r="A117" s="55"/>
      <c r="B117" s="37"/>
      <c r="C117" s="17"/>
      <c r="D117" s="29"/>
      <c r="E117" s="36"/>
      <c r="F117" s="36"/>
      <c r="G117" s="21"/>
      <c r="H117" s="29"/>
      <c r="I117" s="35"/>
      <c r="J117" s="29"/>
      <c r="K117" s="29"/>
      <c r="L117" s="29"/>
    </row>
    <row r="118" spans="1:12" x14ac:dyDescent="0.2">
      <c r="A118" s="55">
        <v>13806707</v>
      </c>
      <c r="B118" s="37">
        <v>519318731</v>
      </c>
      <c r="C118" s="17">
        <v>35300</v>
      </c>
      <c r="D118" s="29" t="s">
        <v>46</v>
      </c>
      <c r="E118" s="36">
        <v>568.61000000312924</v>
      </c>
      <c r="F118" s="36"/>
      <c r="G118" s="21">
        <v>42461</v>
      </c>
      <c r="H118" s="29"/>
      <c r="I118" s="35"/>
      <c r="J118" s="29"/>
      <c r="K118" s="29"/>
      <c r="L118" s="29"/>
    </row>
    <row r="119" spans="1:12" x14ac:dyDescent="0.2">
      <c r="A119" s="55"/>
      <c r="B119" s="37">
        <v>519318731</v>
      </c>
      <c r="C119" s="17">
        <v>35220</v>
      </c>
      <c r="D119" s="29" t="s">
        <v>46</v>
      </c>
      <c r="E119" s="36">
        <v>2.9799999999959255</v>
      </c>
      <c r="F119" s="36"/>
      <c r="G119" s="21">
        <v>42522</v>
      </c>
      <c r="H119" s="29"/>
      <c r="I119" s="35"/>
      <c r="J119" s="29"/>
      <c r="K119" s="29"/>
      <c r="L119" s="29"/>
    </row>
    <row r="120" spans="1:12" x14ac:dyDescent="0.2">
      <c r="A120" s="55"/>
      <c r="B120" s="37">
        <v>519318731</v>
      </c>
      <c r="C120" s="17">
        <v>35300</v>
      </c>
      <c r="D120" s="29" t="s">
        <v>46</v>
      </c>
      <c r="E120" s="36">
        <v>1.59</v>
      </c>
      <c r="F120" s="36"/>
      <c r="G120" s="21">
        <v>42522</v>
      </c>
      <c r="H120" s="29"/>
      <c r="I120" s="35"/>
      <c r="J120" s="29"/>
      <c r="K120" s="29"/>
      <c r="L120" s="29"/>
    </row>
    <row r="121" spans="1:12" x14ac:dyDescent="0.2">
      <c r="A121" s="55"/>
      <c r="B121" s="37">
        <v>519318731</v>
      </c>
      <c r="C121" s="17">
        <v>35220</v>
      </c>
      <c r="D121" s="29" t="s">
        <v>46</v>
      </c>
      <c r="E121" s="36">
        <v>0.01</v>
      </c>
      <c r="F121" s="36"/>
      <c r="G121" s="21">
        <v>42522</v>
      </c>
      <c r="H121" s="29"/>
      <c r="I121" s="35"/>
      <c r="J121" s="29"/>
      <c r="K121" s="29"/>
      <c r="L121" s="29"/>
    </row>
    <row r="122" spans="1:12" x14ac:dyDescent="0.2">
      <c r="A122" s="55"/>
      <c r="B122" s="37">
        <v>519318731</v>
      </c>
      <c r="C122" s="17">
        <v>35300</v>
      </c>
      <c r="D122" s="29" t="s">
        <v>46</v>
      </c>
      <c r="E122" s="36">
        <v>122.02</v>
      </c>
      <c r="F122" s="36"/>
      <c r="G122" s="21">
        <v>42522</v>
      </c>
      <c r="H122" s="29"/>
      <c r="I122" s="35"/>
      <c r="J122" s="29"/>
      <c r="K122" s="29"/>
      <c r="L122" s="29"/>
    </row>
    <row r="123" spans="1:12" x14ac:dyDescent="0.2">
      <c r="A123" s="55"/>
      <c r="B123" s="37">
        <v>519318731</v>
      </c>
      <c r="C123" s="17" t="s">
        <v>47</v>
      </c>
      <c r="D123" s="29" t="s">
        <v>46</v>
      </c>
      <c r="E123" s="36">
        <v>211</v>
      </c>
      <c r="F123" s="36"/>
      <c r="G123" s="21">
        <v>42552</v>
      </c>
      <c r="H123" s="29"/>
      <c r="I123" s="35"/>
      <c r="J123" s="29"/>
      <c r="K123" s="29"/>
      <c r="L123" s="29"/>
    </row>
    <row r="124" spans="1:12" x14ac:dyDescent="0.2">
      <c r="A124" s="55"/>
      <c r="B124" s="37">
        <v>519318731</v>
      </c>
      <c r="C124" s="17" t="s">
        <v>48</v>
      </c>
      <c r="D124" s="29" t="s">
        <v>46</v>
      </c>
      <c r="E124" s="38">
        <f>2.98+124.69+-0.17+-1.36+-210.54</f>
        <v>-84.399999999999991</v>
      </c>
      <c r="F124" s="36"/>
      <c r="G124" s="21">
        <v>42583</v>
      </c>
      <c r="H124" s="29"/>
      <c r="I124" s="35"/>
      <c r="J124" s="29"/>
      <c r="K124" s="29"/>
      <c r="L124" s="29"/>
    </row>
    <row r="125" spans="1:12" x14ac:dyDescent="0.2">
      <c r="A125" s="55"/>
      <c r="B125" s="37"/>
      <c r="C125" s="17"/>
      <c r="D125" s="29" t="s">
        <v>12</v>
      </c>
      <c r="E125" s="36">
        <f>SUM(E118:E124)</f>
        <v>821.8100000031252</v>
      </c>
      <c r="F125" s="36"/>
      <c r="G125" s="21"/>
      <c r="H125" s="29"/>
      <c r="I125" s="35"/>
      <c r="J125" s="29"/>
      <c r="K125" s="29"/>
      <c r="L125" s="29"/>
    </row>
    <row r="126" spans="1:12" x14ac:dyDescent="0.2">
      <c r="A126" s="55"/>
      <c r="B126" s="37"/>
      <c r="C126" s="17"/>
      <c r="D126" s="29"/>
      <c r="E126" s="36"/>
      <c r="F126" s="36"/>
      <c r="G126" s="21"/>
      <c r="H126" s="29"/>
      <c r="I126" s="35"/>
      <c r="J126" s="29"/>
      <c r="K126" s="29"/>
      <c r="L126" s="29"/>
    </row>
    <row r="127" spans="1:12" x14ac:dyDescent="0.2">
      <c r="A127" s="25" t="s">
        <v>49</v>
      </c>
      <c r="B127" s="37">
        <v>654797117</v>
      </c>
      <c r="C127" s="17">
        <v>35300</v>
      </c>
      <c r="D127" s="29" t="s">
        <v>50</v>
      </c>
      <c r="E127" s="59">
        <v>-41203.670000000042</v>
      </c>
      <c r="F127" s="36"/>
      <c r="G127" s="21">
        <v>42370</v>
      </c>
      <c r="H127" s="29"/>
      <c r="I127" s="35"/>
      <c r="J127" s="29"/>
      <c r="K127" s="29"/>
      <c r="L127" s="29"/>
    </row>
    <row r="128" spans="1:12" x14ac:dyDescent="0.2">
      <c r="A128" s="55"/>
      <c r="B128" s="37">
        <v>654797117</v>
      </c>
      <c r="C128" s="17">
        <v>35300</v>
      </c>
      <c r="D128" s="29" t="s">
        <v>50</v>
      </c>
      <c r="E128" s="36">
        <v>-2640.820000000007</v>
      </c>
      <c r="F128" s="36"/>
      <c r="G128" s="21">
        <v>42401</v>
      </c>
      <c r="H128" s="29"/>
      <c r="I128" s="35"/>
      <c r="J128" s="29"/>
      <c r="K128" s="29"/>
      <c r="L128" s="29"/>
    </row>
    <row r="129" spans="1:12" x14ac:dyDescent="0.2">
      <c r="A129" s="55"/>
      <c r="B129" s="37">
        <v>654797117</v>
      </c>
      <c r="C129" s="17">
        <v>35300</v>
      </c>
      <c r="D129" s="29" t="s">
        <v>50</v>
      </c>
      <c r="E129" s="36">
        <v>3.4400000000023283</v>
      </c>
      <c r="F129" s="36"/>
      <c r="G129" s="21">
        <v>42430</v>
      </c>
      <c r="H129" s="29"/>
      <c r="I129" s="35"/>
      <c r="J129" s="29"/>
      <c r="K129" s="29"/>
      <c r="L129" s="29"/>
    </row>
    <row r="130" spans="1:12" x14ac:dyDescent="0.2">
      <c r="A130" s="55"/>
      <c r="B130" s="37">
        <v>654797117</v>
      </c>
      <c r="C130" s="17">
        <v>35300</v>
      </c>
      <c r="D130" s="29" t="s">
        <v>50</v>
      </c>
      <c r="E130" s="36">
        <v>19.5</v>
      </c>
      <c r="F130" s="36"/>
      <c r="G130" s="21">
        <v>42461</v>
      </c>
      <c r="H130" s="29"/>
      <c r="I130" s="35"/>
      <c r="J130" s="29"/>
      <c r="K130" s="29"/>
      <c r="L130" s="29"/>
    </row>
    <row r="131" spans="1:12" x14ac:dyDescent="0.2">
      <c r="A131" s="55"/>
      <c r="B131" s="37">
        <v>654797117</v>
      </c>
      <c r="C131" s="17">
        <v>35300</v>
      </c>
      <c r="D131" s="29" t="s">
        <v>50</v>
      </c>
      <c r="E131" s="36">
        <v>3291.1699999999837</v>
      </c>
      <c r="F131" s="36"/>
      <c r="G131" s="21">
        <v>42491</v>
      </c>
      <c r="H131" s="29"/>
      <c r="I131" s="35"/>
      <c r="J131" s="29"/>
      <c r="K131" s="29"/>
      <c r="L131" s="29"/>
    </row>
    <row r="132" spans="1:12" x14ac:dyDescent="0.2">
      <c r="A132" s="55"/>
      <c r="B132" s="37">
        <v>654797117</v>
      </c>
      <c r="C132" s="17">
        <v>35300</v>
      </c>
      <c r="D132" s="29" t="s">
        <v>50</v>
      </c>
      <c r="E132" s="36">
        <v>-210.90999999997399</v>
      </c>
      <c r="F132" s="36"/>
      <c r="G132" s="21">
        <v>42522</v>
      </c>
      <c r="H132" s="29"/>
      <c r="I132" s="35"/>
      <c r="J132" s="29"/>
      <c r="K132" s="29"/>
      <c r="L132" s="29"/>
    </row>
    <row r="133" spans="1:12" x14ac:dyDescent="0.2">
      <c r="A133" s="55"/>
      <c r="B133" s="37">
        <v>654797117</v>
      </c>
      <c r="C133" s="17">
        <v>35300</v>
      </c>
      <c r="D133" s="29" t="s">
        <v>50</v>
      </c>
      <c r="E133" s="36">
        <v>5.82</v>
      </c>
      <c r="F133" s="36"/>
      <c r="G133" s="21">
        <v>42644</v>
      </c>
      <c r="H133" s="29"/>
      <c r="I133" s="35"/>
      <c r="J133" s="29"/>
      <c r="K133" s="29"/>
      <c r="L133" s="29"/>
    </row>
    <row r="134" spans="1:12" x14ac:dyDescent="0.2">
      <c r="A134" s="55"/>
      <c r="B134" s="37">
        <v>654797117</v>
      </c>
      <c r="C134" s="17">
        <v>35300</v>
      </c>
      <c r="D134" s="29" t="s">
        <v>50</v>
      </c>
      <c r="E134" s="38">
        <v>0.62</v>
      </c>
      <c r="F134" s="36"/>
      <c r="G134" s="21">
        <v>42675</v>
      </c>
      <c r="H134" s="29"/>
      <c r="I134" s="35"/>
      <c r="J134" s="29"/>
      <c r="K134" s="29"/>
      <c r="L134" s="29"/>
    </row>
    <row r="135" spans="1:12" x14ac:dyDescent="0.2">
      <c r="A135" s="55"/>
      <c r="B135" s="16"/>
      <c r="C135" s="16"/>
      <c r="D135" s="18" t="s">
        <v>12</v>
      </c>
      <c r="E135" s="36">
        <f>SUM(E127:E134)</f>
        <v>-40734.850000000035</v>
      </c>
      <c r="F135" s="36"/>
      <c r="G135" s="21"/>
      <c r="H135" s="29"/>
      <c r="I135" s="35"/>
      <c r="J135" s="29"/>
      <c r="K135" s="29"/>
      <c r="L135" s="29"/>
    </row>
    <row r="136" spans="1:12" x14ac:dyDescent="0.2">
      <c r="A136" s="55"/>
      <c r="B136" s="37"/>
      <c r="C136" s="17"/>
      <c r="D136" s="29"/>
      <c r="E136" s="36"/>
      <c r="F136" s="36"/>
      <c r="G136" s="21"/>
      <c r="H136" s="29"/>
      <c r="I136" s="35"/>
      <c r="J136" s="29"/>
      <c r="K136" s="29"/>
      <c r="L136" s="29"/>
    </row>
    <row r="137" spans="1:12" x14ac:dyDescent="0.2">
      <c r="A137" s="51" t="s">
        <v>51</v>
      </c>
      <c r="B137" s="39">
        <v>708084787</v>
      </c>
      <c r="C137" s="17">
        <v>35300</v>
      </c>
      <c r="D137" s="29" t="s">
        <v>52</v>
      </c>
      <c r="E137" s="36">
        <v>171638.64</v>
      </c>
      <c r="F137" s="36"/>
      <c r="G137" s="21">
        <v>42370</v>
      </c>
      <c r="H137" s="29"/>
      <c r="I137" s="35"/>
      <c r="J137" s="29"/>
      <c r="K137" s="29"/>
      <c r="L137" s="29"/>
    </row>
    <row r="138" spans="1:12" x14ac:dyDescent="0.2">
      <c r="A138" s="55"/>
      <c r="B138" s="37"/>
      <c r="C138" s="17"/>
      <c r="D138" s="29"/>
      <c r="E138" s="36"/>
      <c r="F138" s="36"/>
      <c r="G138" s="21"/>
      <c r="H138" s="29"/>
      <c r="I138" s="35"/>
      <c r="J138" s="29"/>
      <c r="K138" s="29"/>
      <c r="L138" s="29"/>
    </row>
    <row r="139" spans="1:12" x14ac:dyDescent="0.2">
      <c r="A139" s="55" t="s">
        <v>53</v>
      </c>
      <c r="B139" s="39">
        <v>764629018</v>
      </c>
      <c r="C139" s="17">
        <v>35300</v>
      </c>
      <c r="D139" s="29" t="s">
        <v>54</v>
      </c>
      <c r="E139" s="36">
        <v>12709.14</v>
      </c>
      <c r="F139" s="36"/>
      <c r="G139" s="21">
        <v>42370</v>
      </c>
      <c r="H139" s="29"/>
      <c r="I139" s="35"/>
      <c r="J139" s="29"/>
      <c r="K139" s="29"/>
      <c r="L139" s="29"/>
    </row>
    <row r="140" spans="1:12" x14ac:dyDescent="0.2">
      <c r="A140" s="55"/>
      <c r="B140" s="37"/>
      <c r="C140" s="17"/>
      <c r="D140" s="29"/>
      <c r="E140" s="36"/>
      <c r="F140" s="36"/>
      <c r="G140" s="21"/>
      <c r="H140" s="29"/>
      <c r="I140" s="35"/>
      <c r="J140" s="29"/>
      <c r="K140" s="29"/>
      <c r="L140" s="29"/>
    </row>
    <row r="141" spans="1:12" x14ac:dyDescent="0.2">
      <c r="A141" s="51" t="s">
        <v>55</v>
      </c>
      <c r="B141" s="37">
        <v>504032903</v>
      </c>
      <c r="C141" s="17">
        <v>35300</v>
      </c>
      <c r="D141" t="s">
        <v>56</v>
      </c>
      <c r="E141" s="36">
        <v>355820.23</v>
      </c>
      <c r="F141" s="36"/>
      <c r="G141" s="21">
        <v>42401</v>
      </c>
      <c r="H141" s="29"/>
      <c r="I141" s="35"/>
      <c r="J141" s="29"/>
      <c r="K141" s="29"/>
      <c r="L141" s="29"/>
    </row>
    <row r="142" spans="1:12" x14ac:dyDescent="0.2">
      <c r="A142" s="55"/>
      <c r="B142" s="37">
        <v>504032903</v>
      </c>
      <c r="C142" s="17">
        <v>35300</v>
      </c>
      <c r="D142" t="s">
        <v>56</v>
      </c>
      <c r="E142" s="36">
        <v>0.44000000006053597</v>
      </c>
      <c r="F142" s="36"/>
      <c r="G142" s="21">
        <v>42430</v>
      </c>
      <c r="H142" s="29"/>
      <c r="I142" s="35"/>
      <c r="J142" s="29"/>
      <c r="K142" s="29"/>
      <c r="L142" s="29"/>
    </row>
    <row r="143" spans="1:12" x14ac:dyDescent="0.2">
      <c r="A143" s="55"/>
      <c r="B143" s="37">
        <v>504032903</v>
      </c>
      <c r="C143" s="17">
        <v>35300</v>
      </c>
      <c r="D143" t="s">
        <v>56</v>
      </c>
      <c r="E143" s="38">
        <v>-357951.32000000007</v>
      </c>
      <c r="F143" s="36"/>
      <c r="G143" s="21">
        <v>42522</v>
      </c>
      <c r="H143" s="29"/>
      <c r="I143" s="35"/>
      <c r="J143" s="29"/>
      <c r="K143" s="29"/>
      <c r="L143" s="29"/>
    </row>
    <row r="144" spans="1:12" x14ac:dyDescent="0.2">
      <c r="A144" s="55"/>
      <c r="B144" s="37"/>
      <c r="C144" s="17"/>
      <c r="D144" s="29" t="s">
        <v>12</v>
      </c>
      <c r="E144" s="36">
        <f>SUM(E141:E143)</f>
        <v>-2130.6500000000233</v>
      </c>
      <c r="F144" s="36"/>
      <c r="G144" s="21"/>
      <c r="H144" s="29"/>
      <c r="I144" s="35"/>
      <c r="J144" s="29"/>
      <c r="K144" s="29"/>
      <c r="L144" s="29"/>
    </row>
    <row r="145" spans="1:12" x14ac:dyDescent="0.2">
      <c r="A145" s="55"/>
      <c r="B145" s="37"/>
      <c r="C145" s="17"/>
      <c r="D145" s="29"/>
      <c r="E145" s="38"/>
      <c r="F145" s="36"/>
      <c r="G145" s="21"/>
      <c r="H145" s="29"/>
      <c r="I145" s="35"/>
      <c r="J145" s="29"/>
      <c r="K145" s="29"/>
      <c r="L145" s="29"/>
    </row>
    <row r="146" spans="1:12" x14ac:dyDescent="0.2">
      <c r="A146" s="55" t="s">
        <v>57</v>
      </c>
      <c r="B146" s="37">
        <v>536139128</v>
      </c>
      <c r="C146" s="17">
        <v>35300</v>
      </c>
      <c r="D146" t="s">
        <v>58</v>
      </c>
      <c r="E146" s="36">
        <v>41781.110000000335</v>
      </c>
      <c r="F146" s="36"/>
      <c r="G146" s="21">
        <v>42370</v>
      </c>
      <c r="H146" s="29"/>
      <c r="I146" s="35"/>
      <c r="J146" s="29"/>
      <c r="K146" s="29"/>
      <c r="L146" s="29"/>
    </row>
    <row r="147" spans="1:12" x14ac:dyDescent="0.2">
      <c r="A147" s="55"/>
      <c r="B147" s="37">
        <v>536139128</v>
      </c>
      <c r="C147" s="17">
        <v>35300</v>
      </c>
      <c r="D147" t="s">
        <v>58</v>
      </c>
      <c r="E147" s="26">
        <v>218009</v>
      </c>
      <c r="F147" s="36"/>
      <c r="G147" s="21">
        <v>42401</v>
      </c>
      <c r="H147" s="29"/>
      <c r="I147" s="35"/>
      <c r="J147" s="29"/>
      <c r="K147" s="29"/>
      <c r="L147" s="29"/>
    </row>
    <row r="148" spans="1:12" x14ac:dyDescent="0.2">
      <c r="A148" s="52"/>
      <c r="B148" s="37">
        <v>536139128</v>
      </c>
      <c r="C148" s="17">
        <v>35300</v>
      </c>
      <c r="D148" t="s">
        <v>58</v>
      </c>
      <c r="E148" s="26">
        <v>47344.55999999959</v>
      </c>
      <c r="F148" s="20"/>
      <c r="G148" s="21">
        <v>42430</v>
      </c>
      <c r="H148" s="29"/>
      <c r="I148" s="35"/>
      <c r="J148" s="29"/>
      <c r="K148" s="29"/>
      <c r="L148" s="29"/>
    </row>
    <row r="149" spans="1:12" x14ac:dyDescent="0.2">
      <c r="A149" s="52"/>
      <c r="B149" s="37">
        <v>536139128</v>
      </c>
      <c r="C149" s="17">
        <v>35300</v>
      </c>
      <c r="D149" t="s">
        <v>58</v>
      </c>
      <c r="E149" s="26">
        <v>10040.820000000298</v>
      </c>
      <c r="F149" s="20"/>
      <c r="G149" s="21">
        <v>42461</v>
      </c>
      <c r="H149" s="29"/>
      <c r="I149" s="35"/>
      <c r="J149" s="29"/>
      <c r="K149" s="29"/>
      <c r="L149" s="29"/>
    </row>
    <row r="150" spans="1:12" x14ac:dyDescent="0.2">
      <c r="A150" s="52"/>
      <c r="B150" s="37">
        <v>536139128</v>
      </c>
      <c r="C150" s="17">
        <v>35300</v>
      </c>
      <c r="D150" t="s">
        <v>58</v>
      </c>
      <c r="E150" s="26">
        <v>2282.9400000004098</v>
      </c>
      <c r="F150" s="20"/>
      <c r="G150" s="21">
        <v>42491</v>
      </c>
      <c r="H150" s="29"/>
      <c r="I150" s="35"/>
      <c r="J150" s="29"/>
      <c r="K150" s="29"/>
      <c r="L150" s="29"/>
    </row>
    <row r="151" spans="1:12" x14ac:dyDescent="0.2">
      <c r="A151" s="52"/>
      <c r="B151" s="37">
        <v>536139128</v>
      </c>
      <c r="C151" s="17">
        <v>35300</v>
      </c>
      <c r="D151" t="s">
        <v>58</v>
      </c>
      <c r="E151" s="26">
        <v>7059.0499999998137</v>
      </c>
      <c r="F151" s="20"/>
      <c r="G151" s="21">
        <v>42522</v>
      </c>
      <c r="H151" s="29"/>
      <c r="I151" s="35"/>
      <c r="J151" s="29"/>
      <c r="K151" s="29"/>
      <c r="L151" s="29"/>
    </row>
    <row r="152" spans="1:12" x14ac:dyDescent="0.2">
      <c r="A152" s="52"/>
      <c r="B152" s="37">
        <v>536139128</v>
      </c>
      <c r="C152" s="17">
        <v>35300</v>
      </c>
      <c r="D152" t="s">
        <v>58</v>
      </c>
      <c r="E152" s="26">
        <v>4039.83</v>
      </c>
      <c r="F152" s="20"/>
      <c r="G152" s="21">
        <v>42552</v>
      </c>
      <c r="H152" s="29"/>
      <c r="I152" s="35"/>
      <c r="J152" s="29"/>
      <c r="K152" s="29"/>
      <c r="L152" s="29"/>
    </row>
    <row r="153" spans="1:12" x14ac:dyDescent="0.2">
      <c r="A153" s="52"/>
      <c r="B153" s="37">
        <v>536139128</v>
      </c>
      <c r="C153" s="17" t="s">
        <v>59</v>
      </c>
      <c r="D153" t="s">
        <v>58</v>
      </c>
      <c r="E153" s="26">
        <f>598.65+4935.88</f>
        <v>5534.53</v>
      </c>
      <c r="F153" s="20"/>
      <c r="G153" s="21">
        <v>42583</v>
      </c>
      <c r="H153" s="29"/>
      <c r="I153" s="35"/>
      <c r="J153" s="29"/>
      <c r="K153" s="29"/>
      <c r="L153" s="29"/>
    </row>
    <row r="154" spans="1:12" x14ac:dyDescent="0.2">
      <c r="A154" s="52"/>
      <c r="B154" s="37">
        <v>536139128</v>
      </c>
      <c r="C154" s="17" t="s">
        <v>59</v>
      </c>
      <c r="D154" t="s">
        <v>58</v>
      </c>
      <c r="E154" s="26">
        <f>488.18+4024.97</f>
        <v>4513.1499999999996</v>
      </c>
      <c r="F154" s="20"/>
      <c r="G154" s="21">
        <v>42614</v>
      </c>
      <c r="H154" s="29"/>
      <c r="I154" s="35"/>
      <c r="J154" s="29"/>
      <c r="K154" s="29"/>
      <c r="L154" s="29"/>
    </row>
    <row r="155" spans="1:12" x14ac:dyDescent="0.2">
      <c r="A155" s="52"/>
      <c r="B155" s="37">
        <v>536139128</v>
      </c>
      <c r="C155" s="17" t="s">
        <v>59</v>
      </c>
      <c r="D155" t="s">
        <v>58</v>
      </c>
      <c r="E155" s="26">
        <f>271.2+2235.98</f>
        <v>2507.1799999999998</v>
      </c>
      <c r="F155" s="20"/>
      <c r="G155" s="21">
        <v>42644</v>
      </c>
      <c r="H155" s="29"/>
      <c r="I155" s="35"/>
      <c r="J155" s="29"/>
      <c r="K155" s="29"/>
      <c r="L155" s="29"/>
    </row>
    <row r="156" spans="1:12" x14ac:dyDescent="0.2">
      <c r="A156" s="52"/>
      <c r="B156" s="37">
        <v>536139128</v>
      </c>
      <c r="C156" s="17" t="s">
        <v>59</v>
      </c>
      <c r="D156" t="s">
        <v>58</v>
      </c>
      <c r="E156" s="26">
        <f>212.73+1753.94</f>
        <v>1966.67</v>
      </c>
      <c r="F156" s="20"/>
      <c r="G156" s="21">
        <v>42675</v>
      </c>
      <c r="H156" s="29"/>
      <c r="I156" s="35"/>
      <c r="J156" s="29"/>
      <c r="K156" s="29"/>
      <c r="L156" s="29"/>
    </row>
    <row r="157" spans="1:12" x14ac:dyDescent="0.2">
      <c r="A157" s="52"/>
      <c r="B157" s="37">
        <v>536139128</v>
      </c>
      <c r="C157" s="17" t="s">
        <v>59</v>
      </c>
      <c r="D157" t="s">
        <v>58</v>
      </c>
      <c r="E157" s="27">
        <f>309.49+2551.7</f>
        <v>2861.1899999999996</v>
      </c>
      <c r="F157" s="20"/>
      <c r="G157" s="21">
        <v>42705</v>
      </c>
      <c r="H157" s="29"/>
      <c r="I157" s="35"/>
      <c r="J157" s="29"/>
      <c r="K157" s="29"/>
      <c r="L157" s="29"/>
    </row>
    <row r="158" spans="1:12" x14ac:dyDescent="0.2">
      <c r="A158" s="52"/>
      <c r="B158" s="37"/>
      <c r="C158" s="17"/>
      <c r="D158" s="40" t="s">
        <v>12</v>
      </c>
      <c r="E158" s="26">
        <f>SUM(E146:E157)</f>
        <v>347940.03000000049</v>
      </c>
      <c r="F158" s="20"/>
      <c r="G158" s="21"/>
      <c r="H158" s="29"/>
      <c r="I158" s="35"/>
      <c r="J158" s="29"/>
      <c r="K158" s="29"/>
      <c r="L158" s="29"/>
    </row>
    <row r="159" spans="1:12" x14ac:dyDescent="0.2">
      <c r="A159" s="52"/>
      <c r="B159" s="37"/>
      <c r="C159" s="17"/>
      <c r="D159" s="29"/>
      <c r="E159" s="26"/>
      <c r="F159" s="20"/>
      <c r="G159" s="21"/>
      <c r="H159" s="29"/>
      <c r="I159" s="35"/>
      <c r="J159" s="29"/>
      <c r="K159" s="29"/>
      <c r="L159" s="29"/>
    </row>
    <row r="160" spans="1:12" x14ac:dyDescent="0.2">
      <c r="A160" s="25" t="s">
        <v>60</v>
      </c>
      <c r="B160" s="37">
        <v>511281973</v>
      </c>
      <c r="C160" s="17" t="s">
        <v>61</v>
      </c>
      <c r="D160" t="s">
        <v>62</v>
      </c>
      <c r="E160" s="26">
        <v>241.2</v>
      </c>
      <c r="F160" s="20"/>
      <c r="G160" s="21">
        <v>42370</v>
      </c>
      <c r="H160" s="29"/>
      <c r="I160" s="35"/>
      <c r="J160" s="29"/>
      <c r="K160" s="29"/>
      <c r="L160" s="29"/>
    </row>
    <row r="161" spans="1:12" x14ac:dyDescent="0.2">
      <c r="A161" s="25"/>
      <c r="B161" s="37">
        <v>511281973</v>
      </c>
      <c r="C161" s="17" t="s">
        <v>61</v>
      </c>
      <c r="D161" t="s">
        <v>62</v>
      </c>
      <c r="E161" s="26">
        <v>559.45000000000005</v>
      </c>
      <c r="F161" s="20"/>
      <c r="G161" s="21">
        <v>42401</v>
      </c>
      <c r="H161" s="29"/>
      <c r="I161" s="35"/>
      <c r="J161" s="29"/>
      <c r="K161" s="29"/>
      <c r="L161" s="29"/>
    </row>
    <row r="162" spans="1:12" x14ac:dyDescent="0.2">
      <c r="A162" s="25"/>
      <c r="B162" s="37">
        <v>511281973</v>
      </c>
      <c r="C162" s="17" t="s">
        <v>61</v>
      </c>
      <c r="D162" t="s">
        <v>62</v>
      </c>
      <c r="E162" s="26">
        <v>-268.89999999999998</v>
      </c>
      <c r="F162" s="20"/>
      <c r="G162" s="21">
        <v>42552</v>
      </c>
      <c r="H162" s="29"/>
      <c r="I162" s="35"/>
      <c r="J162" s="29"/>
      <c r="K162" s="29"/>
      <c r="L162" s="29"/>
    </row>
    <row r="163" spans="1:12" x14ac:dyDescent="0.2">
      <c r="A163" s="25"/>
      <c r="B163" s="37">
        <v>511281973</v>
      </c>
      <c r="C163" s="17" t="s">
        <v>61</v>
      </c>
      <c r="D163" t="s">
        <v>62</v>
      </c>
      <c r="E163" s="26">
        <f>-6.13-239.74+6.72+262.47</f>
        <v>23.320000000000022</v>
      </c>
      <c r="F163" s="20"/>
      <c r="G163" s="21">
        <v>42583</v>
      </c>
      <c r="H163" s="29"/>
      <c r="I163" s="35"/>
      <c r="J163" s="29"/>
      <c r="K163" s="29"/>
      <c r="L163" s="29"/>
    </row>
    <row r="164" spans="1:12" x14ac:dyDescent="0.2">
      <c r="A164" s="25"/>
      <c r="B164" s="37">
        <v>511281973</v>
      </c>
      <c r="C164" s="17" t="s">
        <v>61</v>
      </c>
      <c r="D164" t="s">
        <v>62</v>
      </c>
      <c r="E164" s="27">
        <f>-15.04-587.69-0.2-7.81</f>
        <v>-610.74</v>
      </c>
      <c r="F164" s="20"/>
      <c r="G164" s="21">
        <v>42614</v>
      </c>
      <c r="H164" s="29"/>
      <c r="I164" s="35"/>
      <c r="J164" s="29"/>
      <c r="K164" s="29"/>
      <c r="L164" s="29"/>
    </row>
    <row r="165" spans="1:12" x14ac:dyDescent="0.2">
      <c r="A165" s="25"/>
      <c r="B165" s="37"/>
      <c r="C165" s="17"/>
      <c r="D165" s="40" t="s">
        <v>12</v>
      </c>
      <c r="E165" s="26">
        <f>SUM(E160:E164)</f>
        <v>-55.669999999999845</v>
      </c>
      <c r="F165" s="20"/>
      <c r="G165" s="21"/>
      <c r="H165" s="29"/>
      <c r="I165" s="35"/>
      <c r="J165" s="29"/>
      <c r="K165" s="29"/>
      <c r="L165" s="29"/>
    </row>
    <row r="166" spans="1:12" x14ac:dyDescent="0.2">
      <c r="A166" s="25"/>
      <c r="B166" s="37"/>
      <c r="C166" s="17"/>
      <c r="D166"/>
      <c r="E166" s="26"/>
      <c r="F166" s="20"/>
      <c r="G166" s="21"/>
      <c r="H166" s="29"/>
      <c r="I166" s="35"/>
      <c r="J166" s="29"/>
      <c r="K166" s="29"/>
      <c r="L166" s="29"/>
    </row>
    <row r="167" spans="1:12" x14ac:dyDescent="0.2">
      <c r="A167" s="51" t="s">
        <v>63</v>
      </c>
      <c r="B167" s="39">
        <v>710542810</v>
      </c>
      <c r="C167" s="17">
        <v>35300</v>
      </c>
      <c r="D167" s="40" t="s">
        <v>64</v>
      </c>
      <c r="E167" s="26">
        <v>17312.53</v>
      </c>
      <c r="F167" s="20"/>
      <c r="G167" s="21">
        <v>42401</v>
      </c>
      <c r="H167" s="29"/>
      <c r="I167" s="35"/>
      <c r="J167" s="29"/>
      <c r="K167" s="29"/>
      <c r="L167" s="29"/>
    </row>
    <row r="168" spans="1:12" x14ac:dyDescent="0.2">
      <c r="A168" s="25"/>
      <c r="B168" s="37"/>
      <c r="C168" s="17"/>
      <c r="D168"/>
      <c r="E168" s="26"/>
      <c r="F168" s="20"/>
      <c r="G168" s="21"/>
      <c r="H168" s="29"/>
      <c r="I168" s="35"/>
      <c r="J168" s="29"/>
      <c r="K168" s="29"/>
      <c r="L168" s="29"/>
    </row>
    <row r="169" spans="1:12" x14ac:dyDescent="0.2">
      <c r="A169" s="25" t="s">
        <v>65</v>
      </c>
      <c r="B169" s="39">
        <v>4402628</v>
      </c>
      <c r="C169" s="17">
        <v>35300</v>
      </c>
      <c r="D169" s="40" t="s">
        <v>66</v>
      </c>
      <c r="E169" s="26">
        <v>30725.97</v>
      </c>
      <c r="F169" s="20"/>
      <c r="G169" s="21">
        <v>42430</v>
      </c>
      <c r="H169" s="29"/>
      <c r="I169" s="35"/>
      <c r="J169" s="29"/>
      <c r="K169" s="29"/>
      <c r="L169" s="29"/>
    </row>
    <row r="170" spans="1:12" x14ac:dyDescent="0.2">
      <c r="A170" s="25"/>
      <c r="B170" s="37"/>
      <c r="C170" s="17"/>
      <c r="D170"/>
      <c r="E170" s="26"/>
      <c r="F170" s="20"/>
      <c r="G170" s="21"/>
      <c r="H170" s="29"/>
      <c r="I170" s="35"/>
      <c r="J170" s="29"/>
      <c r="K170" s="29"/>
      <c r="L170" s="29"/>
    </row>
    <row r="171" spans="1:12" x14ac:dyDescent="0.2">
      <c r="A171" s="25" t="s">
        <v>67</v>
      </c>
      <c r="B171" s="37">
        <v>775778834</v>
      </c>
      <c r="C171" s="17">
        <v>35011</v>
      </c>
      <c r="D171" t="s">
        <v>68</v>
      </c>
      <c r="E171" s="26">
        <v>8570.8799999999992</v>
      </c>
      <c r="F171" s="20"/>
      <c r="G171" s="21">
        <v>42430</v>
      </c>
      <c r="H171" s="29"/>
      <c r="I171" s="35"/>
      <c r="J171" s="29"/>
      <c r="K171" s="29"/>
      <c r="L171" s="29"/>
    </row>
    <row r="172" spans="1:12" x14ac:dyDescent="0.2">
      <c r="A172" s="25"/>
      <c r="B172" s="37">
        <v>775778834</v>
      </c>
      <c r="C172" s="17">
        <v>35011</v>
      </c>
      <c r="D172" t="s">
        <v>68</v>
      </c>
      <c r="E172" s="26">
        <v>4896.4899999997579</v>
      </c>
      <c r="F172" s="20"/>
      <c r="G172" s="21">
        <v>42461</v>
      </c>
      <c r="H172" s="29"/>
      <c r="I172" s="35"/>
      <c r="J172" s="29"/>
      <c r="K172" s="29"/>
      <c r="L172" s="29"/>
    </row>
    <row r="173" spans="1:12" x14ac:dyDescent="0.2">
      <c r="A173" s="52"/>
      <c r="B173" s="37">
        <v>775778834</v>
      </c>
      <c r="C173" s="17">
        <v>35011</v>
      </c>
      <c r="D173" t="s">
        <v>68</v>
      </c>
      <c r="E173" s="26">
        <v>5287.1</v>
      </c>
      <c r="F173" s="20"/>
      <c r="G173" s="21">
        <v>42491</v>
      </c>
      <c r="H173" s="41"/>
      <c r="I173" s="35"/>
      <c r="J173" s="29"/>
      <c r="K173" s="29"/>
      <c r="L173" s="29"/>
    </row>
    <row r="174" spans="1:12" x14ac:dyDescent="0.2">
      <c r="A174" s="52"/>
      <c r="B174" s="37">
        <v>775778834</v>
      </c>
      <c r="C174" s="17">
        <v>35011</v>
      </c>
      <c r="D174" t="s">
        <v>68</v>
      </c>
      <c r="E174" s="26">
        <v>1520.22</v>
      </c>
      <c r="F174" s="20"/>
      <c r="G174" s="21">
        <v>42522</v>
      </c>
      <c r="H174" s="29"/>
      <c r="I174" s="35"/>
      <c r="J174" s="29"/>
      <c r="K174" s="29"/>
      <c r="L174" s="29"/>
    </row>
    <row r="175" spans="1:12" x14ac:dyDescent="0.2">
      <c r="A175" s="52"/>
      <c r="B175" s="37">
        <v>775778834</v>
      </c>
      <c r="C175" s="17">
        <v>35011</v>
      </c>
      <c r="D175" t="s">
        <v>68</v>
      </c>
      <c r="E175" s="27">
        <v>-433.1</v>
      </c>
      <c r="F175" s="20"/>
      <c r="G175" s="21">
        <v>42552</v>
      </c>
      <c r="H175" s="29"/>
      <c r="I175" s="35"/>
      <c r="J175" s="29"/>
      <c r="K175" s="29"/>
      <c r="L175" s="29"/>
    </row>
    <row r="176" spans="1:12" x14ac:dyDescent="0.2">
      <c r="A176" s="52"/>
      <c r="B176" s="37"/>
      <c r="C176" s="17"/>
      <c r="D176" s="29" t="s">
        <v>12</v>
      </c>
      <c r="E176" s="26">
        <f>SUM(E171:E175)</f>
        <v>19841.58999999976</v>
      </c>
      <c r="F176" s="20"/>
      <c r="G176" s="21"/>
      <c r="H176" s="29"/>
      <c r="I176" s="35"/>
      <c r="J176" s="29"/>
      <c r="K176" s="29"/>
      <c r="L176" s="29"/>
    </row>
    <row r="177" spans="1:12" x14ac:dyDescent="0.2">
      <c r="A177" s="52"/>
      <c r="B177" s="37"/>
      <c r="C177" s="17"/>
      <c r="D177" s="29"/>
      <c r="E177" s="26"/>
      <c r="F177" s="20"/>
      <c r="G177" s="21"/>
      <c r="H177" s="29"/>
      <c r="I177" s="35"/>
      <c r="J177" s="29"/>
      <c r="K177" s="29"/>
      <c r="L177" s="29"/>
    </row>
    <row r="178" spans="1:12" x14ac:dyDescent="0.2">
      <c r="A178" s="51" t="s">
        <v>69</v>
      </c>
      <c r="B178" s="37">
        <v>542480815</v>
      </c>
      <c r="C178" s="39">
        <v>35300</v>
      </c>
      <c r="D178" t="s">
        <v>70</v>
      </c>
      <c r="E178" s="26">
        <v>10.75</v>
      </c>
      <c r="F178" s="20"/>
      <c r="G178" s="21">
        <v>42370</v>
      </c>
      <c r="H178" s="29"/>
      <c r="I178" s="35"/>
      <c r="J178" s="29"/>
      <c r="K178" s="29"/>
      <c r="L178" s="29"/>
    </row>
    <row r="179" spans="1:12" x14ac:dyDescent="0.2">
      <c r="A179" s="52"/>
      <c r="B179" s="23"/>
      <c r="C179" s="17"/>
      <c r="D179" s="29"/>
      <c r="E179" s="26"/>
      <c r="F179" s="20"/>
      <c r="G179" s="30"/>
      <c r="H179" s="29"/>
      <c r="I179" s="35"/>
      <c r="J179" s="29"/>
      <c r="K179" s="29"/>
      <c r="L179" s="29"/>
    </row>
    <row r="180" spans="1:12" x14ac:dyDescent="0.2">
      <c r="A180" s="51" t="s">
        <v>71</v>
      </c>
      <c r="B180" s="37">
        <v>719157878</v>
      </c>
      <c r="C180" s="17">
        <v>35300</v>
      </c>
      <c r="D180" t="s">
        <v>72</v>
      </c>
      <c r="E180" s="26">
        <v>12753.089999999967</v>
      </c>
      <c r="F180" s="20"/>
      <c r="G180" s="21">
        <v>42370</v>
      </c>
      <c r="H180" s="29"/>
      <c r="I180" s="35"/>
      <c r="J180" s="29"/>
      <c r="K180" s="29"/>
      <c r="L180" s="29"/>
    </row>
    <row r="181" spans="1:12" x14ac:dyDescent="0.2">
      <c r="A181" s="52"/>
      <c r="B181" s="37">
        <v>719157878</v>
      </c>
      <c r="C181" s="17">
        <v>35300</v>
      </c>
      <c r="D181" t="s">
        <v>72</v>
      </c>
      <c r="E181" s="60">
        <v>-1.1799999999348074</v>
      </c>
      <c r="F181" s="43"/>
      <c r="G181" s="21">
        <v>42401</v>
      </c>
      <c r="H181" s="29"/>
      <c r="I181" s="35"/>
      <c r="J181" s="29"/>
      <c r="K181" s="29"/>
      <c r="L181" s="29"/>
    </row>
    <row r="182" spans="1:12" x14ac:dyDescent="0.2">
      <c r="A182" s="52"/>
      <c r="B182" s="37"/>
      <c r="C182" s="17"/>
      <c r="D182" s="40" t="s">
        <v>12</v>
      </c>
      <c r="E182" s="20">
        <f>SUM(E180:E181)</f>
        <v>12751.910000000033</v>
      </c>
      <c r="F182" s="43"/>
      <c r="G182" s="21"/>
      <c r="H182" s="29"/>
      <c r="I182" s="35"/>
      <c r="J182" s="29"/>
      <c r="K182" s="29"/>
      <c r="L182" s="29"/>
    </row>
    <row r="183" spans="1:12" x14ac:dyDescent="0.2">
      <c r="A183" s="52"/>
      <c r="B183" s="37"/>
      <c r="C183" s="17"/>
      <c r="D183"/>
      <c r="E183" s="20"/>
      <c r="F183" s="43"/>
      <c r="G183" s="21"/>
      <c r="H183" s="29"/>
      <c r="I183" s="35"/>
      <c r="J183" s="29"/>
      <c r="K183" s="29"/>
      <c r="L183" s="29"/>
    </row>
    <row r="184" spans="1:12" x14ac:dyDescent="0.2">
      <c r="A184" s="25" t="s">
        <v>73</v>
      </c>
      <c r="B184" s="37">
        <v>504740949</v>
      </c>
      <c r="C184" s="17">
        <v>35300</v>
      </c>
      <c r="D184" t="s">
        <v>74</v>
      </c>
      <c r="E184" s="20">
        <v>26075.5899999998</v>
      </c>
      <c r="F184" s="43"/>
      <c r="G184" s="21">
        <v>42370</v>
      </c>
      <c r="H184" s="29"/>
      <c r="I184" s="35"/>
      <c r="J184" s="29"/>
      <c r="K184" s="29"/>
      <c r="L184" s="29"/>
    </row>
    <row r="185" spans="1:12" x14ac:dyDescent="0.2">
      <c r="A185" s="52"/>
      <c r="B185" s="37">
        <v>504740949</v>
      </c>
      <c r="C185" s="17">
        <v>35300</v>
      </c>
      <c r="D185" t="s">
        <v>74</v>
      </c>
      <c r="E185" s="60">
        <v>-8.0700000000651926</v>
      </c>
      <c r="F185" s="43"/>
      <c r="G185" s="21">
        <v>42401</v>
      </c>
      <c r="H185" s="29"/>
      <c r="I185" s="35"/>
      <c r="J185" s="29"/>
      <c r="K185" s="29"/>
      <c r="L185" s="29"/>
    </row>
    <row r="186" spans="1:12" x14ac:dyDescent="0.2">
      <c r="A186" s="52"/>
      <c r="B186" s="23"/>
      <c r="C186" s="17"/>
      <c r="D186" s="29" t="s">
        <v>12</v>
      </c>
      <c r="E186" s="20">
        <f>SUM(E184:E185)</f>
        <v>26067.519999999735</v>
      </c>
      <c r="F186" s="43"/>
      <c r="G186" s="21"/>
      <c r="H186" s="29"/>
      <c r="I186" s="35"/>
      <c r="J186" s="29"/>
      <c r="K186" s="29"/>
      <c r="L186" s="29"/>
    </row>
    <row r="187" spans="1:12" x14ac:dyDescent="0.2">
      <c r="A187" s="52"/>
      <c r="B187" s="23"/>
      <c r="C187" s="17"/>
      <c r="D187" s="29"/>
      <c r="E187" s="20"/>
      <c r="F187" s="43"/>
      <c r="G187" s="21"/>
      <c r="H187" s="29"/>
      <c r="I187" s="35"/>
      <c r="J187" s="29"/>
      <c r="K187" s="29"/>
      <c r="L187" s="29"/>
    </row>
    <row r="188" spans="1:12" x14ac:dyDescent="0.2">
      <c r="A188" s="51" t="s">
        <v>75</v>
      </c>
      <c r="B188" s="37">
        <v>495300103</v>
      </c>
      <c r="C188" s="17">
        <v>35300</v>
      </c>
      <c r="D188" t="s">
        <v>76</v>
      </c>
      <c r="E188" s="20">
        <v>200.79999999998799</v>
      </c>
      <c r="F188" s="43"/>
      <c r="G188" s="21">
        <v>42370</v>
      </c>
      <c r="H188" s="29"/>
      <c r="I188" s="35"/>
      <c r="J188" s="29"/>
      <c r="K188" s="29"/>
      <c r="L188" s="29"/>
    </row>
    <row r="189" spans="1:12" x14ac:dyDescent="0.2">
      <c r="A189" s="52"/>
      <c r="B189" s="37">
        <v>495300103</v>
      </c>
      <c r="C189" s="17">
        <v>35300</v>
      </c>
      <c r="D189" t="s">
        <v>76</v>
      </c>
      <c r="E189" s="20">
        <v>-0.61000000000058208</v>
      </c>
      <c r="F189" s="43"/>
      <c r="G189" s="21">
        <v>42401</v>
      </c>
      <c r="H189" s="29"/>
      <c r="I189" s="35"/>
      <c r="J189" s="29"/>
      <c r="K189" s="29"/>
      <c r="L189" s="29"/>
    </row>
    <row r="190" spans="1:12" x14ac:dyDescent="0.2">
      <c r="A190" s="52"/>
      <c r="B190" s="37">
        <v>495300103</v>
      </c>
      <c r="C190" s="17">
        <v>35300</v>
      </c>
      <c r="D190" t="s">
        <v>76</v>
      </c>
      <c r="E190" s="20">
        <v>420.80000000000291</v>
      </c>
      <c r="F190" s="43"/>
      <c r="G190" s="21">
        <v>42430</v>
      </c>
      <c r="H190" s="29"/>
      <c r="I190" s="35"/>
      <c r="J190" s="29"/>
      <c r="K190" s="29"/>
      <c r="L190" s="29"/>
    </row>
    <row r="191" spans="1:12" x14ac:dyDescent="0.2">
      <c r="A191" s="52"/>
      <c r="B191" s="37">
        <v>495300103</v>
      </c>
      <c r="C191" s="17">
        <v>35300</v>
      </c>
      <c r="D191" t="s">
        <v>76</v>
      </c>
      <c r="E191" s="20">
        <v>-25.810000002384186</v>
      </c>
      <c r="F191" s="43"/>
      <c r="G191" s="21">
        <v>42461</v>
      </c>
      <c r="H191" s="29"/>
      <c r="I191" s="35"/>
      <c r="J191" s="29"/>
      <c r="K191" s="29"/>
      <c r="L191" s="29"/>
    </row>
    <row r="192" spans="1:12" x14ac:dyDescent="0.2">
      <c r="A192" s="52"/>
      <c r="B192" s="37">
        <v>495300103</v>
      </c>
      <c r="C192" s="17">
        <v>35300</v>
      </c>
      <c r="D192" t="s">
        <v>76</v>
      </c>
      <c r="E192" s="20">
        <v>-103483.6799999997</v>
      </c>
      <c r="F192" s="43"/>
      <c r="G192" s="21">
        <v>42491</v>
      </c>
      <c r="H192" s="29"/>
      <c r="I192" s="35"/>
      <c r="J192" s="29"/>
      <c r="K192" s="29"/>
      <c r="L192" s="29"/>
    </row>
    <row r="193" spans="1:12" x14ac:dyDescent="0.2">
      <c r="A193" s="52"/>
      <c r="B193" s="37">
        <v>495300103</v>
      </c>
      <c r="C193" s="17">
        <v>35300</v>
      </c>
      <c r="D193" t="s">
        <v>76</v>
      </c>
      <c r="E193" s="60">
        <v>6638.7299999967217</v>
      </c>
      <c r="F193" s="43"/>
      <c r="G193" s="21">
        <v>42522</v>
      </c>
      <c r="H193" s="29"/>
      <c r="I193" s="35"/>
      <c r="J193" s="29"/>
      <c r="K193" s="29"/>
      <c r="L193" s="29"/>
    </row>
    <row r="194" spans="1:12" x14ac:dyDescent="0.2">
      <c r="A194" s="52"/>
      <c r="B194" s="37"/>
      <c r="C194" s="17"/>
      <c r="D194" s="40" t="s">
        <v>12</v>
      </c>
      <c r="E194" s="20">
        <f>SUM(E188:E193)</f>
        <v>-96249.770000005374</v>
      </c>
      <c r="F194" s="43"/>
      <c r="G194" s="21"/>
      <c r="H194" s="29"/>
      <c r="I194" s="35"/>
      <c r="J194" s="29"/>
      <c r="K194" s="29"/>
      <c r="L194" s="29"/>
    </row>
    <row r="195" spans="1:12" x14ac:dyDescent="0.2">
      <c r="A195" s="52"/>
      <c r="B195" s="37"/>
      <c r="C195" s="17"/>
      <c r="D195"/>
      <c r="E195" s="20"/>
      <c r="F195" s="43"/>
      <c r="G195" s="21"/>
      <c r="H195" s="29"/>
      <c r="I195" s="35"/>
      <c r="J195" s="29"/>
      <c r="K195" s="29"/>
      <c r="L195" s="29"/>
    </row>
    <row r="196" spans="1:12" x14ac:dyDescent="0.2">
      <c r="A196" s="25" t="s">
        <v>77</v>
      </c>
      <c r="B196" s="37">
        <v>511281437</v>
      </c>
      <c r="C196" s="17">
        <v>35300</v>
      </c>
      <c r="D196" t="s">
        <v>78</v>
      </c>
      <c r="E196" s="20">
        <v>211102.23999999801</v>
      </c>
      <c r="F196" s="43"/>
      <c r="G196" s="21">
        <v>42370</v>
      </c>
      <c r="H196" s="29"/>
      <c r="I196" s="35"/>
      <c r="J196" s="29"/>
      <c r="K196" s="29"/>
      <c r="L196" s="29"/>
    </row>
    <row r="197" spans="1:12" x14ac:dyDescent="0.2">
      <c r="A197" s="52"/>
      <c r="B197" s="37">
        <v>511281437</v>
      </c>
      <c r="C197" s="17">
        <v>35300</v>
      </c>
      <c r="D197" t="s">
        <v>78</v>
      </c>
      <c r="E197" s="20">
        <v>130011.14999999851</v>
      </c>
      <c r="F197" s="43"/>
      <c r="G197" s="21">
        <v>42401</v>
      </c>
      <c r="H197" s="29"/>
      <c r="I197" s="35"/>
      <c r="J197" s="29"/>
      <c r="K197" s="29"/>
      <c r="L197" s="29"/>
    </row>
    <row r="198" spans="1:12" x14ac:dyDescent="0.2">
      <c r="A198" s="52"/>
      <c r="B198" s="37">
        <v>511281437</v>
      </c>
      <c r="C198" s="17">
        <v>35300</v>
      </c>
      <c r="D198" t="s">
        <v>78</v>
      </c>
      <c r="E198" s="20">
        <v>106223.92000000179</v>
      </c>
      <c r="F198" s="43"/>
      <c r="G198" s="21">
        <v>42430</v>
      </c>
      <c r="H198" s="29"/>
      <c r="I198" s="35"/>
      <c r="J198" s="29"/>
      <c r="K198" s="29"/>
      <c r="L198" s="29"/>
    </row>
    <row r="199" spans="1:12" x14ac:dyDescent="0.2">
      <c r="A199" s="52"/>
      <c r="B199" s="37">
        <v>511281437</v>
      </c>
      <c r="C199" s="17">
        <v>35300</v>
      </c>
      <c r="D199" t="s">
        <v>78</v>
      </c>
      <c r="E199" s="20">
        <v>92732.809999998659</v>
      </c>
      <c r="F199" s="43"/>
      <c r="G199" s="21">
        <v>42461</v>
      </c>
      <c r="H199" s="29"/>
      <c r="I199" s="35"/>
      <c r="J199" s="29"/>
      <c r="K199" s="29"/>
      <c r="L199" s="29"/>
    </row>
    <row r="200" spans="1:12" x14ac:dyDescent="0.2">
      <c r="A200" s="52"/>
      <c r="B200" s="37">
        <v>511281437</v>
      </c>
      <c r="C200" s="17">
        <v>35300</v>
      </c>
      <c r="D200" t="s">
        <v>78</v>
      </c>
      <c r="E200" s="20">
        <v>43294.510000001639</v>
      </c>
      <c r="F200" s="43"/>
      <c r="G200" s="21">
        <v>42491</v>
      </c>
      <c r="H200" s="29"/>
      <c r="I200" s="35"/>
      <c r="J200" s="29"/>
      <c r="K200" s="29"/>
      <c r="L200" s="29"/>
    </row>
    <row r="201" spans="1:12" x14ac:dyDescent="0.2">
      <c r="A201" s="52"/>
      <c r="B201" s="37">
        <v>511281437</v>
      </c>
      <c r="C201" s="17">
        <v>35300</v>
      </c>
      <c r="D201" t="s">
        <v>78</v>
      </c>
      <c r="E201" s="20">
        <v>44716.849999997765</v>
      </c>
      <c r="F201" s="43"/>
      <c r="G201" s="21">
        <v>42522</v>
      </c>
      <c r="H201" s="29"/>
      <c r="I201" s="35"/>
      <c r="J201" s="29"/>
      <c r="K201" s="29"/>
      <c r="L201" s="29"/>
    </row>
    <row r="202" spans="1:12" x14ac:dyDescent="0.2">
      <c r="A202" s="52"/>
      <c r="B202" s="37">
        <v>511281437</v>
      </c>
      <c r="C202" s="17">
        <v>35300</v>
      </c>
      <c r="D202" t="s">
        <v>78</v>
      </c>
      <c r="E202" s="20">
        <v>10018.560000002384</v>
      </c>
      <c r="F202" s="43"/>
      <c r="G202" s="21">
        <v>42552</v>
      </c>
      <c r="H202" s="29"/>
      <c r="I202" s="35"/>
      <c r="J202" s="29"/>
      <c r="K202" s="29"/>
      <c r="L202" s="29"/>
    </row>
    <row r="203" spans="1:12" x14ac:dyDescent="0.2">
      <c r="A203" s="52"/>
      <c r="B203" s="37">
        <v>511281437</v>
      </c>
      <c r="C203" s="17" t="s">
        <v>59</v>
      </c>
      <c r="D203" t="s">
        <v>78</v>
      </c>
      <c r="E203" s="20">
        <f>3902021.5-3887400.47+195.35+843.07</f>
        <v>15659.449999999795</v>
      </c>
      <c r="F203" s="43"/>
      <c r="G203" s="21">
        <v>42583</v>
      </c>
      <c r="H203" s="29"/>
      <c r="I203" s="35"/>
      <c r="J203" s="29"/>
      <c r="K203" s="29"/>
      <c r="L203" s="29"/>
    </row>
    <row r="204" spans="1:12" x14ac:dyDescent="0.2">
      <c r="A204" s="52"/>
      <c r="B204" s="37">
        <v>511281437</v>
      </c>
      <c r="C204" s="17" t="s">
        <v>59</v>
      </c>
      <c r="D204" t="s">
        <v>78</v>
      </c>
      <c r="E204" s="20">
        <f>6972.38-162.67-702.04</f>
        <v>6107.67</v>
      </c>
      <c r="F204" s="43"/>
      <c r="G204" s="21">
        <v>42614</v>
      </c>
      <c r="H204" s="29"/>
      <c r="I204" s="35"/>
      <c r="J204" s="29"/>
      <c r="K204" s="29"/>
      <c r="L204" s="29"/>
    </row>
    <row r="205" spans="1:12" x14ac:dyDescent="0.2">
      <c r="A205" s="52"/>
      <c r="B205" s="37">
        <v>511281437</v>
      </c>
      <c r="C205" s="17" t="s">
        <v>59</v>
      </c>
      <c r="D205" t="s">
        <v>78</v>
      </c>
      <c r="E205" s="20">
        <f>5614.37-25.71-110.94</f>
        <v>5477.72</v>
      </c>
      <c r="F205" s="43"/>
      <c r="G205" s="21">
        <v>42644</v>
      </c>
      <c r="H205" s="29"/>
      <c r="I205" s="35"/>
      <c r="J205" s="29"/>
      <c r="K205" s="29"/>
      <c r="L205" s="29"/>
    </row>
    <row r="206" spans="1:12" x14ac:dyDescent="0.2">
      <c r="A206" s="52"/>
      <c r="B206" s="37">
        <v>511281437</v>
      </c>
      <c r="C206" s="17" t="s">
        <v>59</v>
      </c>
      <c r="D206" t="s">
        <v>78</v>
      </c>
      <c r="E206" s="20">
        <f>1791.66-2.79-12.07</f>
        <v>1776.8000000000002</v>
      </c>
      <c r="F206" s="43"/>
      <c r="G206" s="21">
        <v>42675</v>
      </c>
      <c r="H206" s="29"/>
      <c r="I206" s="35"/>
      <c r="J206" s="29"/>
      <c r="K206" s="29"/>
      <c r="L206" s="29"/>
    </row>
    <row r="207" spans="1:12" x14ac:dyDescent="0.2">
      <c r="A207" s="52"/>
      <c r="B207" s="37">
        <v>511281437</v>
      </c>
      <c r="C207" s="17" t="s">
        <v>59</v>
      </c>
      <c r="D207" t="s">
        <v>78</v>
      </c>
      <c r="E207" s="60">
        <f>2924.15+2.81+12.13</f>
        <v>2939.09</v>
      </c>
      <c r="F207" s="43"/>
      <c r="G207" s="21">
        <v>42705</v>
      </c>
      <c r="H207" s="29"/>
      <c r="I207" s="35"/>
      <c r="J207" s="29"/>
      <c r="K207" s="29"/>
      <c r="L207" s="29"/>
    </row>
    <row r="208" spans="1:12" x14ac:dyDescent="0.2">
      <c r="A208" s="52"/>
      <c r="B208" s="37"/>
      <c r="C208" s="17"/>
      <c r="D208" s="40" t="s">
        <v>12</v>
      </c>
      <c r="E208" s="20">
        <f>SUM(E196:E207)</f>
        <v>670060.76999999862</v>
      </c>
      <c r="F208" s="43"/>
      <c r="G208" s="21"/>
      <c r="H208" s="29"/>
      <c r="I208" s="35"/>
      <c r="J208" s="29"/>
      <c r="K208" s="29"/>
      <c r="L208" s="29"/>
    </row>
    <row r="209" spans="1:12" x14ac:dyDescent="0.2">
      <c r="A209" s="52"/>
      <c r="B209" s="23"/>
      <c r="C209" s="17"/>
      <c r="D209" s="29"/>
      <c r="E209" s="20"/>
      <c r="F209" s="43"/>
      <c r="G209" s="21"/>
      <c r="H209" s="29"/>
      <c r="I209" s="35"/>
      <c r="J209" s="29"/>
      <c r="K209" s="29"/>
      <c r="L209" s="29"/>
    </row>
    <row r="210" spans="1:12" x14ac:dyDescent="0.2">
      <c r="A210" s="25" t="s">
        <v>79</v>
      </c>
      <c r="B210" s="37">
        <v>486072606</v>
      </c>
      <c r="C210" s="17">
        <v>35300</v>
      </c>
      <c r="D210" t="s">
        <v>80</v>
      </c>
      <c r="E210" s="20">
        <v>30221.16</v>
      </c>
      <c r="F210" s="43"/>
      <c r="G210" s="21">
        <v>42370</v>
      </c>
      <c r="H210" s="29"/>
      <c r="I210" s="35"/>
      <c r="J210" s="29"/>
      <c r="K210" s="29"/>
      <c r="L210" s="29"/>
    </row>
    <row r="211" spans="1:12" x14ac:dyDescent="0.2">
      <c r="A211" s="52"/>
      <c r="B211" s="37"/>
      <c r="C211" s="17"/>
      <c r="D211"/>
      <c r="E211" s="20"/>
      <c r="F211" s="43"/>
      <c r="G211" s="21"/>
      <c r="H211" s="29"/>
      <c r="I211" s="35"/>
      <c r="J211" s="29"/>
      <c r="K211" s="29"/>
      <c r="L211" s="29"/>
    </row>
    <row r="212" spans="1:12" x14ac:dyDescent="0.2">
      <c r="A212" s="51" t="s">
        <v>81</v>
      </c>
      <c r="B212" s="39">
        <v>713819279</v>
      </c>
      <c r="C212" s="17">
        <v>35300</v>
      </c>
      <c r="D212" s="40" t="s">
        <v>82</v>
      </c>
      <c r="E212" s="20">
        <v>12114.69</v>
      </c>
      <c r="F212" s="43"/>
      <c r="G212" s="21">
        <v>42430</v>
      </c>
      <c r="H212" s="29"/>
      <c r="I212" s="35"/>
      <c r="J212" s="29"/>
      <c r="K212" s="29"/>
      <c r="L212" s="29"/>
    </row>
    <row r="213" spans="1:12" x14ac:dyDescent="0.2">
      <c r="A213" s="52"/>
      <c r="B213" s="37"/>
      <c r="C213" s="17"/>
      <c r="D213"/>
      <c r="E213" s="20"/>
      <c r="F213" s="43"/>
      <c r="G213" s="21"/>
      <c r="H213" s="29"/>
      <c r="I213" s="35"/>
      <c r="J213" s="29"/>
      <c r="K213" s="29"/>
      <c r="L213" s="29"/>
    </row>
    <row r="214" spans="1:12" x14ac:dyDescent="0.2">
      <c r="A214" s="51" t="s">
        <v>83</v>
      </c>
      <c r="B214" s="39">
        <v>802538931</v>
      </c>
      <c r="C214" s="17">
        <v>35300</v>
      </c>
      <c r="D214" t="s">
        <v>84</v>
      </c>
      <c r="E214" s="20">
        <v>151876.79999999999</v>
      </c>
      <c r="F214" s="43"/>
      <c r="G214" s="21">
        <v>42491</v>
      </c>
      <c r="H214" s="29"/>
      <c r="I214" s="35"/>
      <c r="J214" s="29"/>
      <c r="K214" s="29"/>
      <c r="L214" s="29"/>
    </row>
    <row r="215" spans="1:12" x14ac:dyDescent="0.2">
      <c r="A215" s="52"/>
      <c r="B215" s="39">
        <v>802538931</v>
      </c>
      <c r="C215" s="17">
        <v>35300</v>
      </c>
      <c r="D215" t="s">
        <v>84</v>
      </c>
      <c r="E215" s="28">
        <v>2737.210000000021</v>
      </c>
      <c r="F215" s="43"/>
      <c r="G215" s="21">
        <v>42522</v>
      </c>
      <c r="H215" s="29"/>
      <c r="I215" s="35"/>
      <c r="J215" s="29"/>
      <c r="K215" s="29"/>
      <c r="L215" s="29"/>
    </row>
    <row r="216" spans="1:12" x14ac:dyDescent="0.2">
      <c r="A216" s="52"/>
      <c r="B216" s="39">
        <v>802538931</v>
      </c>
      <c r="C216" s="17">
        <v>35300</v>
      </c>
      <c r="D216" t="s">
        <v>84</v>
      </c>
      <c r="E216" s="60">
        <v>-685.77999999999884</v>
      </c>
      <c r="F216" s="43"/>
      <c r="G216" s="21">
        <v>42552</v>
      </c>
      <c r="H216" s="29"/>
      <c r="I216" s="35"/>
      <c r="J216" s="29"/>
      <c r="K216" s="29"/>
      <c r="L216" s="29"/>
    </row>
    <row r="217" spans="1:12" x14ac:dyDescent="0.2">
      <c r="A217" s="52"/>
      <c r="B217" s="37"/>
      <c r="C217" s="17"/>
      <c r="D217" s="40" t="s">
        <v>12</v>
      </c>
      <c r="E217" s="20">
        <f>SUM(E214:E216)</f>
        <v>153928.23000000001</v>
      </c>
      <c r="F217" s="43"/>
      <c r="G217" s="21"/>
      <c r="H217" s="29"/>
      <c r="I217" s="35"/>
      <c r="J217" s="29"/>
      <c r="K217" s="29"/>
      <c r="L217" s="29"/>
    </row>
    <row r="218" spans="1:12" x14ac:dyDescent="0.2">
      <c r="A218" s="52"/>
      <c r="B218" s="23"/>
      <c r="C218" s="17"/>
      <c r="D218" s="29"/>
      <c r="E218" s="20"/>
      <c r="F218" s="43"/>
      <c r="G218" s="21"/>
      <c r="H218" s="29"/>
      <c r="I218" s="35"/>
      <c r="J218" s="29"/>
      <c r="K218" s="29"/>
      <c r="L218" s="29"/>
    </row>
    <row r="219" spans="1:12" x14ac:dyDescent="0.2">
      <c r="A219" s="25" t="s">
        <v>85</v>
      </c>
      <c r="B219" s="37">
        <v>540946829</v>
      </c>
      <c r="C219" s="17">
        <v>35300</v>
      </c>
      <c r="D219" t="s">
        <v>86</v>
      </c>
      <c r="E219" s="20">
        <v>9173493.2899999991</v>
      </c>
      <c r="F219" s="43"/>
      <c r="G219" s="21">
        <v>42370</v>
      </c>
      <c r="H219" s="29"/>
      <c r="I219" s="35"/>
      <c r="J219" s="29"/>
      <c r="K219" s="29"/>
      <c r="L219" s="29"/>
    </row>
    <row r="220" spans="1:12" x14ac:dyDescent="0.2">
      <c r="A220" s="52"/>
      <c r="B220" s="37">
        <v>540946829</v>
      </c>
      <c r="C220" s="17">
        <v>35300</v>
      </c>
      <c r="D220" t="s">
        <v>86</v>
      </c>
      <c r="E220" s="20">
        <v>-568377.75999999791</v>
      </c>
      <c r="F220" s="43"/>
      <c r="G220" s="21">
        <v>42401</v>
      </c>
      <c r="H220" s="29"/>
      <c r="I220" s="35"/>
      <c r="J220" s="29"/>
      <c r="K220" s="29"/>
      <c r="L220" s="29"/>
    </row>
    <row r="221" spans="1:12" x14ac:dyDescent="0.2">
      <c r="A221" s="52"/>
      <c r="B221" s="37">
        <v>540946829</v>
      </c>
      <c r="C221" s="17">
        <v>35300</v>
      </c>
      <c r="D221" t="s">
        <v>86</v>
      </c>
      <c r="E221" s="20">
        <v>12898.929999999702</v>
      </c>
      <c r="F221" s="43"/>
      <c r="G221" s="21">
        <v>42430</v>
      </c>
      <c r="H221" s="29"/>
      <c r="I221" s="35"/>
      <c r="J221" s="29"/>
      <c r="K221" s="29"/>
      <c r="L221" s="29"/>
    </row>
    <row r="222" spans="1:12" x14ac:dyDescent="0.2">
      <c r="A222" s="52"/>
      <c r="B222" s="37">
        <v>540946829</v>
      </c>
      <c r="C222" s="17">
        <v>35300</v>
      </c>
      <c r="D222" t="s">
        <v>86</v>
      </c>
      <c r="E222" s="20">
        <v>241399.3200000003</v>
      </c>
      <c r="F222" s="43"/>
      <c r="G222" s="21">
        <v>42461</v>
      </c>
      <c r="H222" s="29"/>
      <c r="I222" s="35"/>
      <c r="J222" s="29"/>
      <c r="K222" s="29"/>
      <c r="L222" s="29"/>
    </row>
    <row r="223" spans="1:12" x14ac:dyDescent="0.2">
      <c r="A223" s="52"/>
      <c r="B223" s="37">
        <v>540946829</v>
      </c>
      <c r="C223" s="17">
        <v>35300</v>
      </c>
      <c r="D223" t="s">
        <v>86</v>
      </c>
      <c r="E223" s="60">
        <v>481.71</v>
      </c>
      <c r="F223" s="43"/>
      <c r="G223" s="21">
        <v>42491</v>
      </c>
      <c r="H223" s="29"/>
      <c r="I223" s="35"/>
      <c r="J223" s="29"/>
      <c r="K223" s="29"/>
      <c r="L223" s="29"/>
    </row>
    <row r="224" spans="1:12" x14ac:dyDescent="0.2">
      <c r="A224" s="52"/>
      <c r="B224" s="37"/>
      <c r="C224" s="17"/>
      <c r="D224" s="40" t="s">
        <v>12</v>
      </c>
      <c r="E224" s="20">
        <f>SUM(E219:E223)</f>
        <v>8859895.4900000021</v>
      </c>
      <c r="F224" s="43"/>
      <c r="G224" s="21"/>
      <c r="H224" s="29"/>
      <c r="I224" s="35"/>
      <c r="J224" s="29"/>
      <c r="K224" s="29"/>
      <c r="L224" s="29"/>
    </row>
    <row r="225" spans="1:12" x14ac:dyDescent="0.2">
      <c r="A225" s="52"/>
      <c r="B225" s="37"/>
      <c r="C225" s="17"/>
      <c r="D225"/>
      <c r="E225" s="20"/>
      <c r="F225" s="43"/>
      <c r="G225" s="21"/>
      <c r="H225" s="29"/>
      <c r="I225" s="35"/>
      <c r="J225" s="29"/>
      <c r="K225" s="29"/>
      <c r="L225" s="29"/>
    </row>
    <row r="226" spans="1:12" x14ac:dyDescent="0.2">
      <c r="A226" s="51" t="s">
        <v>87</v>
      </c>
      <c r="B226" s="37">
        <v>540946841</v>
      </c>
      <c r="C226" s="17">
        <v>35300</v>
      </c>
      <c r="D226" t="s">
        <v>88</v>
      </c>
      <c r="E226" s="61">
        <v>30523.4499999992</v>
      </c>
      <c r="F226" s="43"/>
      <c r="G226" s="21">
        <v>42370</v>
      </c>
      <c r="H226" s="29"/>
      <c r="I226" s="35"/>
      <c r="J226" s="29"/>
      <c r="K226" s="29"/>
      <c r="L226" s="29"/>
    </row>
    <row r="227" spans="1:12" x14ac:dyDescent="0.2">
      <c r="A227" s="52"/>
      <c r="B227" s="37">
        <v>540946841</v>
      </c>
      <c r="C227" s="17">
        <v>35300</v>
      </c>
      <c r="D227" t="s">
        <v>88</v>
      </c>
      <c r="E227" s="20">
        <v>35859.350000000559</v>
      </c>
      <c r="F227" s="43"/>
      <c r="G227" s="21">
        <v>42401</v>
      </c>
      <c r="H227" s="29"/>
      <c r="I227" s="35"/>
      <c r="J227" s="29"/>
      <c r="K227" s="29"/>
      <c r="L227" s="29"/>
    </row>
    <row r="228" spans="1:12" x14ac:dyDescent="0.2">
      <c r="A228" s="52"/>
      <c r="B228" s="37">
        <v>540946841</v>
      </c>
      <c r="C228" s="17">
        <v>35300</v>
      </c>
      <c r="D228" t="s">
        <v>88</v>
      </c>
      <c r="E228" s="20">
        <v>7440.6399999996647</v>
      </c>
      <c r="F228" s="43"/>
      <c r="G228" s="21">
        <v>42430</v>
      </c>
      <c r="H228" s="29"/>
      <c r="I228" s="35"/>
      <c r="J228" s="29"/>
      <c r="K228" s="29"/>
      <c r="L228" s="29"/>
    </row>
    <row r="229" spans="1:12" x14ac:dyDescent="0.2">
      <c r="A229" s="52"/>
      <c r="B229" s="37">
        <v>540946841</v>
      </c>
      <c r="C229" s="17">
        <v>35300</v>
      </c>
      <c r="D229" t="s">
        <v>88</v>
      </c>
      <c r="E229" s="20">
        <v>871.29999999981374</v>
      </c>
      <c r="F229" s="43"/>
      <c r="G229" s="21">
        <v>42461</v>
      </c>
      <c r="H229" s="29"/>
      <c r="I229" s="35"/>
      <c r="J229" s="29"/>
      <c r="K229" s="29"/>
      <c r="L229" s="29"/>
    </row>
    <row r="230" spans="1:12" x14ac:dyDescent="0.2">
      <c r="A230" s="52"/>
      <c r="B230" s="37">
        <v>540946841</v>
      </c>
      <c r="C230" s="17">
        <v>35300</v>
      </c>
      <c r="D230" t="s">
        <v>88</v>
      </c>
      <c r="E230" s="20">
        <v>9.2400000002235174</v>
      </c>
      <c r="F230" s="43"/>
      <c r="G230" s="21">
        <v>42491</v>
      </c>
      <c r="H230" s="29"/>
      <c r="I230" s="35"/>
      <c r="J230" s="29"/>
      <c r="K230" s="29"/>
      <c r="L230" s="29"/>
    </row>
    <row r="231" spans="1:12" x14ac:dyDescent="0.2">
      <c r="A231" s="52"/>
      <c r="B231" s="37">
        <v>540946841</v>
      </c>
      <c r="C231" s="17">
        <v>35300</v>
      </c>
      <c r="D231" t="s">
        <v>88</v>
      </c>
      <c r="E231" s="28">
        <v>-45039.299999999814</v>
      </c>
      <c r="F231" s="43"/>
      <c r="G231" s="21">
        <v>42522</v>
      </c>
      <c r="H231" s="29"/>
      <c r="I231" s="35"/>
      <c r="J231" s="29"/>
      <c r="K231" s="29"/>
      <c r="L231" s="29"/>
    </row>
    <row r="232" spans="1:12" x14ac:dyDescent="0.2">
      <c r="A232" s="52"/>
      <c r="B232" s="37">
        <v>540946841</v>
      </c>
      <c r="C232" s="17">
        <v>35300</v>
      </c>
      <c r="D232" t="s">
        <v>88</v>
      </c>
      <c r="E232" s="20">
        <v>-11984.209999999963</v>
      </c>
      <c r="F232" s="43"/>
      <c r="G232" s="21">
        <v>42552</v>
      </c>
      <c r="H232" s="29"/>
      <c r="I232" s="35"/>
      <c r="J232" s="29"/>
      <c r="K232" s="29"/>
      <c r="L232" s="29"/>
    </row>
    <row r="233" spans="1:12" x14ac:dyDescent="0.2">
      <c r="A233" s="52"/>
      <c r="B233" s="37">
        <v>540946841</v>
      </c>
      <c r="C233" s="17">
        <v>35300</v>
      </c>
      <c r="D233" t="s">
        <v>88</v>
      </c>
      <c r="E233" s="20">
        <v>44290.73</v>
      </c>
      <c r="F233" s="43"/>
      <c r="G233" s="21">
        <v>42583</v>
      </c>
      <c r="H233" s="29"/>
      <c r="I233" s="35"/>
      <c r="J233" s="29"/>
      <c r="K233" s="29"/>
      <c r="L233" s="29"/>
    </row>
    <row r="234" spans="1:12" x14ac:dyDescent="0.2">
      <c r="A234" s="52"/>
      <c r="B234" s="37">
        <v>540946841</v>
      </c>
      <c r="C234" s="17">
        <v>35300</v>
      </c>
      <c r="D234" t="s">
        <v>88</v>
      </c>
      <c r="E234" s="20">
        <v>-65965.990000000005</v>
      </c>
      <c r="F234" s="43"/>
      <c r="G234" s="21">
        <v>42614</v>
      </c>
      <c r="H234" s="29"/>
      <c r="I234" s="35"/>
      <c r="J234" s="29"/>
      <c r="K234" s="29"/>
      <c r="L234" s="29"/>
    </row>
    <row r="235" spans="1:12" x14ac:dyDescent="0.2">
      <c r="A235" s="52"/>
      <c r="B235" s="37">
        <v>540946841</v>
      </c>
      <c r="C235" s="17">
        <v>35300</v>
      </c>
      <c r="D235" t="s">
        <v>88</v>
      </c>
      <c r="E235" s="20">
        <v>-8134.13</v>
      </c>
      <c r="F235" s="43"/>
      <c r="G235" s="21">
        <v>42644</v>
      </c>
      <c r="H235" s="29"/>
      <c r="I235" s="35"/>
      <c r="J235" s="29"/>
      <c r="K235" s="29"/>
      <c r="L235" s="29"/>
    </row>
    <row r="236" spans="1:12" x14ac:dyDescent="0.2">
      <c r="A236" s="52"/>
      <c r="B236" s="37">
        <v>540946841</v>
      </c>
      <c r="C236" s="17">
        <v>35300</v>
      </c>
      <c r="D236" t="s">
        <v>88</v>
      </c>
      <c r="E236" s="20">
        <v>37322.370000000003</v>
      </c>
      <c r="F236" s="43"/>
      <c r="G236" s="21">
        <v>42675</v>
      </c>
      <c r="H236" s="29"/>
      <c r="I236" s="35"/>
      <c r="J236" s="29"/>
      <c r="K236" s="29"/>
      <c r="L236" s="29"/>
    </row>
    <row r="237" spans="1:12" x14ac:dyDescent="0.2">
      <c r="A237" s="52"/>
      <c r="B237" s="37">
        <v>540946841</v>
      </c>
      <c r="C237" s="17">
        <v>35300</v>
      </c>
      <c r="D237" t="s">
        <v>88</v>
      </c>
      <c r="E237" s="60">
        <v>16272.06</v>
      </c>
      <c r="F237" s="43"/>
      <c r="G237" s="21">
        <v>42705</v>
      </c>
      <c r="H237" s="29"/>
      <c r="I237" s="35"/>
      <c r="J237" s="29"/>
      <c r="K237" s="29"/>
      <c r="L237" s="29"/>
    </row>
    <row r="238" spans="1:12" x14ac:dyDescent="0.2">
      <c r="A238" s="52"/>
      <c r="B238" s="37"/>
      <c r="C238" s="17"/>
      <c r="D238" s="40" t="s">
        <v>12</v>
      </c>
      <c r="E238" s="20">
        <f>SUM(E226:E237)</f>
        <v>41465.509999999682</v>
      </c>
      <c r="F238" s="43"/>
      <c r="G238" s="21"/>
      <c r="H238" s="29"/>
      <c r="I238" s="35"/>
      <c r="J238" s="29"/>
      <c r="K238" s="29"/>
      <c r="L238" s="29"/>
    </row>
    <row r="239" spans="1:12" x14ac:dyDescent="0.2">
      <c r="A239" s="52"/>
      <c r="B239" s="37"/>
      <c r="C239" s="17"/>
      <c r="D239"/>
      <c r="E239" s="60"/>
      <c r="F239" s="43"/>
      <c r="G239" s="21"/>
      <c r="H239" s="29"/>
      <c r="I239" s="35"/>
      <c r="J239" s="29"/>
      <c r="K239" s="29"/>
      <c r="L239" s="29"/>
    </row>
    <row r="240" spans="1:12" x14ac:dyDescent="0.2">
      <c r="A240" s="25" t="s">
        <v>89</v>
      </c>
      <c r="B240" s="37">
        <v>503025824</v>
      </c>
      <c r="C240" s="17">
        <v>35300</v>
      </c>
      <c r="D240" t="s">
        <v>90</v>
      </c>
      <c r="E240" s="20">
        <v>7424.7900000000373</v>
      </c>
      <c r="F240" s="43"/>
      <c r="G240" s="21">
        <v>42370</v>
      </c>
      <c r="H240" s="29"/>
      <c r="I240" s="35"/>
      <c r="J240" s="29"/>
      <c r="K240" s="29"/>
      <c r="L240" s="29"/>
    </row>
    <row r="241" spans="1:12" x14ac:dyDescent="0.2">
      <c r="A241" s="52"/>
      <c r="B241" s="37">
        <v>503025824</v>
      </c>
      <c r="C241" s="17">
        <v>35300</v>
      </c>
      <c r="D241" t="s">
        <v>90</v>
      </c>
      <c r="E241" s="62">
        <v>589.79000000003725</v>
      </c>
      <c r="F241" s="43"/>
      <c r="G241" s="21">
        <v>42401</v>
      </c>
      <c r="H241" s="29"/>
      <c r="I241" s="35"/>
      <c r="J241" s="29"/>
      <c r="K241" s="29"/>
      <c r="L241" s="29"/>
    </row>
    <row r="242" spans="1:12" x14ac:dyDescent="0.2">
      <c r="A242" s="52"/>
      <c r="B242" s="37">
        <v>503025824</v>
      </c>
      <c r="C242" s="17">
        <v>35300</v>
      </c>
      <c r="D242" t="s">
        <v>90</v>
      </c>
      <c r="E242" s="20">
        <v>4615.7200000006706</v>
      </c>
      <c r="F242" s="43"/>
      <c r="G242" s="21">
        <v>42430</v>
      </c>
      <c r="H242" s="29"/>
      <c r="I242" s="35"/>
      <c r="J242" s="29"/>
      <c r="K242" s="29"/>
      <c r="L242" s="29"/>
    </row>
    <row r="243" spans="1:12" x14ac:dyDescent="0.2">
      <c r="A243" s="52"/>
      <c r="B243" s="37">
        <v>503025824</v>
      </c>
      <c r="C243" s="17">
        <v>35300</v>
      </c>
      <c r="D243" t="s">
        <v>90</v>
      </c>
      <c r="E243" s="20">
        <v>2174.6199999991804</v>
      </c>
      <c r="F243" s="43"/>
      <c r="G243" s="21">
        <v>42461</v>
      </c>
      <c r="H243" s="29"/>
      <c r="I243" s="35"/>
      <c r="J243" s="29"/>
      <c r="K243" s="29"/>
      <c r="L243" s="29"/>
    </row>
    <row r="244" spans="1:12" x14ac:dyDescent="0.2">
      <c r="A244" s="52"/>
      <c r="B244" s="37">
        <v>503025824</v>
      </c>
      <c r="C244" s="17">
        <v>35300</v>
      </c>
      <c r="D244" t="s">
        <v>90</v>
      </c>
      <c r="E244" s="28">
        <v>1925.320000000298</v>
      </c>
      <c r="F244" s="43"/>
      <c r="G244" s="21">
        <v>42491</v>
      </c>
      <c r="H244" s="29"/>
      <c r="I244" s="35"/>
      <c r="J244" s="29"/>
      <c r="K244" s="29"/>
      <c r="L244" s="29"/>
    </row>
    <row r="245" spans="1:12" x14ac:dyDescent="0.2">
      <c r="A245" s="52"/>
      <c r="B245" s="37">
        <v>503025824</v>
      </c>
      <c r="C245" s="17">
        <v>35300</v>
      </c>
      <c r="D245" t="s">
        <v>90</v>
      </c>
      <c r="E245" s="51">
        <v>3572.2700000004843</v>
      </c>
      <c r="F245" s="43"/>
      <c r="G245" s="21">
        <v>42522</v>
      </c>
      <c r="H245" s="29"/>
      <c r="I245" s="35"/>
      <c r="J245" s="29"/>
      <c r="K245" s="29"/>
      <c r="L245" s="29"/>
    </row>
    <row r="246" spans="1:12" x14ac:dyDescent="0.2">
      <c r="A246" s="52"/>
      <c r="B246" s="37">
        <v>503025824</v>
      </c>
      <c r="C246" s="17">
        <v>35300</v>
      </c>
      <c r="D246" t="s">
        <v>90</v>
      </c>
      <c r="E246" s="20">
        <v>1176259.8799999999</v>
      </c>
      <c r="F246" s="43"/>
      <c r="G246" s="21">
        <v>42552</v>
      </c>
      <c r="H246" s="29"/>
      <c r="I246" s="35"/>
      <c r="J246" s="29"/>
      <c r="K246" s="29"/>
      <c r="L246" s="29"/>
    </row>
    <row r="247" spans="1:12" x14ac:dyDescent="0.2">
      <c r="A247" s="52"/>
      <c r="B247" s="37">
        <v>503025824</v>
      </c>
      <c r="C247" s="17">
        <v>35300</v>
      </c>
      <c r="D247" t="s">
        <v>90</v>
      </c>
      <c r="E247" s="20">
        <f>5768.22+138800.49</f>
        <v>144568.71</v>
      </c>
      <c r="F247" s="43"/>
      <c r="G247" s="21">
        <v>42583</v>
      </c>
      <c r="H247" s="29"/>
      <c r="I247" s="35"/>
      <c r="J247" s="29"/>
      <c r="K247" s="29"/>
      <c r="L247" s="29"/>
    </row>
    <row r="248" spans="1:12" x14ac:dyDescent="0.2">
      <c r="A248" s="52"/>
      <c r="B248" s="37">
        <v>503025824</v>
      </c>
      <c r="C248" s="17">
        <v>35300</v>
      </c>
      <c r="D248" t="s">
        <v>90</v>
      </c>
      <c r="E248" s="20">
        <f>144375.41-119657.27</f>
        <v>24718.14</v>
      </c>
      <c r="F248" s="43"/>
      <c r="G248" s="21">
        <v>42614</v>
      </c>
      <c r="H248" s="29"/>
      <c r="I248" s="35"/>
      <c r="J248" s="29"/>
      <c r="K248" s="29"/>
      <c r="L248" s="29"/>
    </row>
    <row r="249" spans="1:12" x14ac:dyDescent="0.2">
      <c r="A249" s="52"/>
      <c r="B249" s="37">
        <v>503025824</v>
      </c>
      <c r="C249" s="17">
        <v>35300</v>
      </c>
      <c r="D249" t="s">
        <v>90</v>
      </c>
      <c r="E249" s="20">
        <f>24648.36-24621.89</f>
        <v>26.470000000001164</v>
      </c>
      <c r="F249" s="43"/>
      <c r="G249" s="21">
        <v>42644</v>
      </c>
      <c r="H249" s="29"/>
      <c r="I249" s="35"/>
      <c r="J249" s="29"/>
      <c r="K249" s="29"/>
      <c r="L249" s="29"/>
    </row>
    <row r="250" spans="1:12" x14ac:dyDescent="0.2">
      <c r="A250" s="52"/>
      <c r="B250" s="37">
        <v>503025824</v>
      </c>
      <c r="C250" s="17">
        <v>35300</v>
      </c>
      <c r="D250" t="s">
        <v>90</v>
      </c>
      <c r="E250" s="20">
        <f>11.5+12077.38</f>
        <v>12088.88</v>
      </c>
      <c r="F250" s="43"/>
      <c r="G250" s="21">
        <v>42675</v>
      </c>
      <c r="H250" s="29"/>
      <c r="I250" s="35"/>
      <c r="J250" s="29"/>
      <c r="K250" s="29"/>
      <c r="L250" s="29"/>
    </row>
    <row r="251" spans="1:12" x14ac:dyDescent="0.2">
      <c r="A251" s="52"/>
      <c r="B251" s="37">
        <v>503025824</v>
      </c>
      <c r="C251" s="17">
        <v>35300</v>
      </c>
      <c r="D251" t="s">
        <v>90</v>
      </c>
      <c r="E251" s="60">
        <f>12088.88-5782.61</f>
        <v>6306.2699999999995</v>
      </c>
      <c r="F251" s="43"/>
      <c r="G251" s="21">
        <v>42705</v>
      </c>
      <c r="H251" s="29"/>
      <c r="I251" s="35"/>
      <c r="J251" s="29"/>
      <c r="K251" s="29"/>
      <c r="L251" s="29"/>
    </row>
    <row r="252" spans="1:12" x14ac:dyDescent="0.2">
      <c r="A252" s="52"/>
      <c r="B252" s="23"/>
      <c r="C252" s="17"/>
      <c r="D252" s="29" t="s">
        <v>12</v>
      </c>
      <c r="E252" s="20">
        <f>SUM(E240:E251)</f>
        <v>1384270.8600000003</v>
      </c>
      <c r="F252" s="43"/>
      <c r="G252" s="21"/>
      <c r="H252" s="29"/>
      <c r="I252" s="35"/>
      <c r="J252" s="29"/>
      <c r="K252" s="29"/>
      <c r="L252" s="29"/>
    </row>
    <row r="253" spans="1:12" x14ac:dyDescent="0.2">
      <c r="A253" s="52"/>
      <c r="B253" s="23"/>
      <c r="C253" s="17"/>
      <c r="D253" s="29"/>
      <c r="E253" s="20"/>
      <c r="F253" s="43"/>
      <c r="G253" s="21"/>
      <c r="H253" s="29"/>
      <c r="I253" s="35"/>
      <c r="J253" s="29"/>
      <c r="K253" s="29"/>
      <c r="L253" s="29"/>
    </row>
    <row r="254" spans="1:12" x14ac:dyDescent="0.2">
      <c r="A254" s="51" t="s">
        <v>91</v>
      </c>
      <c r="B254" s="23">
        <v>4402880</v>
      </c>
      <c r="C254" s="17">
        <v>35300</v>
      </c>
      <c r="D254" s="29" t="s">
        <v>92</v>
      </c>
      <c r="E254" s="20">
        <v>1843220.09</v>
      </c>
      <c r="F254" s="43"/>
      <c r="G254" s="21">
        <v>42491</v>
      </c>
      <c r="H254" s="29"/>
      <c r="I254" s="35"/>
      <c r="J254" s="29"/>
      <c r="K254" s="29"/>
      <c r="L254" s="29"/>
    </row>
    <row r="255" spans="1:12" x14ac:dyDescent="0.2">
      <c r="A255" s="52"/>
      <c r="B255" s="23"/>
      <c r="C255" s="17"/>
      <c r="D255" s="29"/>
      <c r="E255" s="20"/>
      <c r="F255" s="43"/>
      <c r="G255" s="21"/>
      <c r="H255" s="29"/>
      <c r="I255" s="35"/>
      <c r="J255" s="29"/>
      <c r="K255" s="29"/>
      <c r="L255" s="29"/>
    </row>
    <row r="256" spans="1:12" x14ac:dyDescent="0.2">
      <c r="A256" s="51" t="s">
        <v>93</v>
      </c>
      <c r="B256" s="37">
        <v>696960233</v>
      </c>
      <c r="C256" s="17">
        <v>35300</v>
      </c>
      <c r="D256" t="s">
        <v>94</v>
      </c>
      <c r="E256" s="20">
        <v>5562.9100000000326</v>
      </c>
      <c r="F256" s="43"/>
      <c r="G256" s="21">
        <v>42370</v>
      </c>
      <c r="H256" s="29"/>
      <c r="I256" s="35"/>
      <c r="J256" s="29"/>
      <c r="K256" s="29"/>
      <c r="L256" s="29"/>
    </row>
    <row r="257" spans="1:12" x14ac:dyDescent="0.2">
      <c r="A257" s="52"/>
      <c r="B257" s="37">
        <v>696960233</v>
      </c>
      <c r="C257" s="17">
        <v>35300</v>
      </c>
      <c r="D257" t="s">
        <v>94</v>
      </c>
      <c r="E257" s="20">
        <v>845.5</v>
      </c>
      <c r="F257" s="43"/>
      <c r="G257" s="21">
        <v>42401</v>
      </c>
      <c r="H257" s="29"/>
      <c r="I257" s="35"/>
      <c r="J257" s="29"/>
      <c r="K257" s="29"/>
      <c r="L257" s="29"/>
    </row>
    <row r="258" spans="1:12" x14ac:dyDescent="0.2">
      <c r="A258" s="52"/>
      <c r="B258" s="37">
        <v>696960233</v>
      </c>
      <c r="C258" s="17">
        <v>35300</v>
      </c>
      <c r="D258" t="s">
        <v>94</v>
      </c>
      <c r="E258" s="20">
        <v>14067.859999999986</v>
      </c>
      <c r="F258" s="43"/>
      <c r="G258" s="21">
        <v>42430</v>
      </c>
      <c r="H258" s="29"/>
      <c r="I258" s="35"/>
      <c r="J258" s="29"/>
      <c r="K258" s="29"/>
      <c r="L258" s="29"/>
    </row>
    <row r="259" spans="1:12" x14ac:dyDescent="0.2">
      <c r="A259" s="52"/>
      <c r="B259" s="37">
        <v>696960233</v>
      </c>
      <c r="C259" s="17">
        <v>35300</v>
      </c>
      <c r="D259" t="s">
        <v>94</v>
      </c>
      <c r="E259" s="20">
        <v>-3673.2999999999302</v>
      </c>
      <c r="F259" s="43"/>
      <c r="G259" s="21">
        <v>42461</v>
      </c>
      <c r="H259" s="29"/>
      <c r="I259" s="35"/>
      <c r="J259" s="29"/>
      <c r="K259" s="29"/>
      <c r="L259" s="29"/>
    </row>
    <row r="260" spans="1:12" x14ac:dyDescent="0.2">
      <c r="A260" s="52"/>
      <c r="B260" s="37">
        <v>696960233</v>
      </c>
      <c r="C260" s="17">
        <v>35300</v>
      </c>
      <c r="D260" t="s">
        <v>94</v>
      </c>
      <c r="E260" s="20">
        <v>1063.8099999999395</v>
      </c>
      <c r="F260" s="43"/>
      <c r="G260" s="21">
        <v>42491</v>
      </c>
      <c r="H260" s="29"/>
      <c r="I260" s="35"/>
      <c r="J260" s="29"/>
      <c r="K260" s="29"/>
      <c r="L260" s="29"/>
    </row>
    <row r="261" spans="1:12" x14ac:dyDescent="0.2">
      <c r="A261" s="52"/>
      <c r="B261" s="37">
        <v>696960233</v>
      </c>
      <c r="C261" s="17">
        <v>35300</v>
      </c>
      <c r="D261" t="s">
        <v>94</v>
      </c>
      <c r="E261" s="28">
        <v>519.06000000005588</v>
      </c>
      <c r="F261" s="43"/>
      <c r="G261" s="21">
        <v>42522</v>
      </c>
      <c r="H261" s="29"/>
      <c r="I261" s="35"/>
      <c r="J261" s="29"/>
      <c r="K261" s="29"/>
      <c r="L261" s="29"/>
    </row>
    <row r="262" spans="1:12" x14ac:dyDescent="0.2">
      <c r="A262" s="52"/>
      <c r="B262" s="37">
        <v>696960233</v>
      </c>
      <c r="C262" s="17">
        <v>35300</v>
      </c>
      <c r="D262" t="s">
        <v>94</v>
      </c>
      <c r="E262" s="28">
        <v>235.61999999999534</v>
      </c>
      <c r="F262" s="43"/>
      <c r="G262" s="21">
        <v>42552</v>
      </c>
      <c r="H262" s="29"/>
      <c r="I262" s="35"/>
      <c r="J262" s="29"/>
      <c r="K262" s="29"/>
      <c r="L262" s="29"/>
    </row>
    <row r="263" spans="1:12" x14ac:dyDescent="0.2">
      <c r="A263" s="52"/>
      <c r="B263" s="37">
        <v>696960233</v>
      </c>
      <c r="C263" s="17">
        <v>35300</v>
      </c>
      <c r="D263" t="s">
        <v>94</v>
      </c>
      <c r="E263" s="28">
        <v>100.4</v>
      </c>
      <c r="F263" s="43"/>
      <c r="G263" s="21">
        <v>42583</v>
      </c>
      <c r="H263" s="29"/>
      <c r="I263" s="35"/>
      <c r="J263" s="29"/>
      <c r="K263" s="29"/>
      <c r="L263" s="29"/>
    </row>
    <row r="264" spans="1:12" x14ac:dyDescent="0.2">
      <c r="A264" s="52"/>
      <c r="B264" s="37">
        <v>696960233</v>
      </c>
      <c r="C264" s="17">
        <v>35300</v>
      </c>
      <c r="D264" t="s">
        <v>94</v>
      </c>
      <c r="E264" s="28">
        <f>936503.5-936501.17</f>
        <v>2.3299999999580905</v>
      </c>
      <c r="F264" s="43"/>
      <c r="G264" s="21">
        <v>42675</v>
      </c>
      <c r="H264" s="29"/>
      <c r="I264" s="35"/>
      <c r="J264" s="29"/>
      <c r="K264" s="29"/>
      <c r="L264" s="29"/>
    </row>
    <row r="265" spans="1:12" x14ac:dyDescent="0.2">
      <c r="A265" s="52"/>
      <c r="B265" s="37">
        <v>696960233</v>
      </c>
      <c r="C265" s="17">
        <v>35300</v>
      </c>
      <c r="D265" t="s">
        <v>94</v>
      </c>
      <c r="E265" s="60">
        <f>100.73-0.03</f>
        <v>100.7</v>
      </c>
      <c r="F265" s="43"/>
      <c r="G265" s="21">
        <v>42705</v>
      </c>
      <c r="H265" s="29"/>
      <c r="I265" s="35"/>
      <c r="J265" s="29"/>
      <c r="K265" s="29"/>
      <c r="L265" s="29"/>
    </row>
    <row r="266" spans="1:12" x14ac:dyDescent="0.2">
      <c r="A266" s="52"/>
      <c r="B266" s="37"/>
      <c r="C266" s="17"/>
      <c r="D266" s="40" t="s">
        <v>12</v>
      </c>
      <c r="E266" s="28">
        <f>SUM(E256:E265)</f>
        <v>18824.890000000039</v>
      </c>
      <c r="F266" s="43"/>
      <c r="G266" s="21"/>
      <c r="H266" s="29"/>
      <c r="I266" s="35"/>
      <c r="J266" s="29"/>
      <c r="K266" s="29"/>
      <c r="L266" s="29"/>
    </row>
    <row r="267" spans="1:12" x14ac:dyDescent="0.2">
      <c r="A267" s="52"/>
      <c r="B267" s="23"/>
      <c r="C267" s="17"/>
      <c r="D267" s="29"/>
      <c r="E267" s="20"/>
      <c r="F267" s="43"/>
      <c r="G267" s="21"/>
      <c r="H267" s="29"/>
      <c r="I267" s="35"/>
      <c r="J267" s="29"/>
      <c r="K267" s="29"/>
      <c r="L267" s="29"/>
    </row>
    <row r="268" spans="1:12" x14ac:dyDescent="0.2">
      <c r="A268" s="25" t="s">
        <v>95</v>
      </c>
      <c r="B268" s="39">
        <v>544530217</v>
      </c>
      <c r="C268" s="17">
        <v>35300</v>
      </c>
      <c r="D268" t="s">
        <v>96</v>
      </c>
      <c r="E268" s="44">
        <v>2258135.63</v>
      </c>
      <c r="F268" s="43"/>
      <c r="G268" s="21">
        <v>42370</v>
      </c>
      <c r="H268" s="29"/>
      <c r="I268" s="35"/>
      <c r="J268" s="29"/>
      <c r="K268" s="29"/>
      <c r="L268" s="29"/>
    </row>
    <row r="269" spans="1:12" x14ac:dyDescent="0.2">
      <c r="A269" s="52"/>
      <c r="B269" s="39">
        <v>544530217</v>
      </c>
      <c r="C269" s="17">
        <v>35300</v>
      </c>
      <c r="D269" t="s">
        <v>96</v>
      </c>
      <c r="E269" s="20">
        <v>33570.439999999944</v>
      </c>
      <c r="F269" s="43"/>
      <c r="G269" s="21">
        <v>42401</v>
      </c>
      <c r="H269" s="29"/>
      <c r="I269" s="35"/>
      <c r="J269" s="29"/>
      <c r="K269" s="29"/>
      <c r="L269" s="29"/>
    </row>
    <row r="270" spans="1:12" x14ac:dyDescent="0.2">
      <c r="A270" s="52"/>
      <c r="B270" s="39">
        <v>544530217</v>
      </c>
      <c r="C270" s="17">
        <v>35300</v>
      </c>
      <c r="D270" t="s">
        <v>96</v>
      </c>
      <c r="E270" s="20">
        <v>64329.320000000298</v>
      </c>
      <c r="F270" s="43"/>
      <c r="G270" s="21">
        <v>42430</v>
      </c>
      <c r="H270" s="29"/>
      <c r="I270" s="35"/>
      <c r="J270" s="29"/>
      <c r="K270" s="29"/>
      <c r="L270" s="29"/>
    </row>
    <row r="271" spans="1:12" x14ac:dyDescent="0.2">
      <c r="A271" s="52"/>
      <c r="B271" s="39">
        <v>544530217</v>
      </c>
      <c r="C271" s="17">
        <v>35300</v>
      </c>
      <c r="D271" t="s">
        <v>96</v>
      </c>
      <c r="E271" s="20">
        <v>392454.08999999985</v>
      </c>
      <c r="F271" s="43"/>
      <c r="G271" s="21">
        <v>42461</v>
      </c>
      <c r="H271" s="29"/>
      <c r="I271" s="35"/>
      <c r="J271" s="29"/>
      <c r="K271" s="29"/>
      <c r="L271" s="29"/>
    </row>
    <row r="272" spans="1:12" x14ac:dyDescent="0.2">
      <c r="A272" s="52"/>
      <c r="B272" s="39">
        <v>544530217</v>
      </c>
      <c r="C272" s="17">
        <v>35300</v>
      </c>
      <c r="D272" t="s">
        <v>96</v>
      </c>
      <c r="E272" s="20">
        <v>-9136.8700000001118</v>
      </c>
      <c r="F272" s="43"/>
      <c r="G272" s="21">
        <v>42491</v>
      </c>
      <c r="H272" s="29"/>
      <c r="I272" s="35"/>
      <c r="J272" s="29"/>
      <c r="K272" s="29"/>
      <c r="L272" s="29"/>
    </row>
    <row r="273" spans="1:12" x14ac:dyDescent="0.2">
      <c r="A273" s="52"/>
      <c r="B273" s="39">
        <v>544530217</v>
      </c>
      <c r="C273" s="17">
        <v>35300</v>
      </c>
      <c r="D273" t="s">
        <v>96</v>
      </c>
      <c r="E273" s="28">
        <v>62026.270000000019</v>
      </c>
      <c r="F273" s="43"/>
      <c r="G273" s="21">
        <v>42522</v>
      </c>
      <c r="H273" s="29"/>
      <c r="I273" s="35"/>
      <c r="J273" s="29"/>
      <c r="K273" s="29"/>
      <c r="L273" s="29"/>
    </row>
    <row r="274" spans="1:12" x14ac:dyDescent="0.2">
      <c r="A274" s="52"/>
      <c r="B274" s="39">
        <v>544530217</v>
      </c>
      <c r="C274" s="17">
        <v>35300</v>
      </c>
      <c r="D274" t="s">
        <v>96</v>
      </c>
      <c r="E274" s="20">
        <v>56553.330000000075</v>
      </c>
      <c r="F274" s="43"/>
      <c r="G274" s="21">
        <v>42552</v>
      </c>
      <c r="H274" s="29"/>
      <c r="I274" s="35"/>
      <c r="J274" s="29"/>
      <c r="K274" s="29"/>
      <c r="L274" s="29"/>
    </row>
    <row r="275" spans="1:12" x14ac:dyDescent="0.2">
      <c r="A275" s="52"/>
      <c r="B275" s="39">
        <v>544530217</v>
      </c>
      <c r="C275" s="17">
        <v>35300</v>
      </c>
      <c r="D275" t="s">
        <v>96</v>
      </c>
      <c r="E275" s="20">
        <v>-44153.1</v>
      </c>
      <c r="F275" s="43"/>
      <c r="G275" s="21">
        <v>42583</v>
      </c>
      <c r="H275" s="29"/>
      <c r="I275" s="35"/>
      <c r="J275" s="29"/>
      <c r="K275" s="29"/>
      <c r="L275" s="29"/>
    </row>
    <row r="276" spans="1:12" x14ac:dyDescent="0.2">
      <c r="A276" s="52"/>
      <c r="B276" s="39">
        <v>544530217</v>
      </c>
      <c r="C276" s="17">
        <v>35300</v>
      </c>
      <c r="D276" t="s">
        <v>96</v>
      </c>
      <c r="E276" s="20">
        <v>-1645.97</v>
      </c>
      <c r="F276" s="43"/>
      <c r="G276" s="21">
        <v>42614</v>
      </c>
      <c r="H276" s="29"/>
      <c r="I276" s="35"/>
      <c r="J276" s="29"/>
      <c r="K276" s="29"/>
      <c r="L276" s="29"/>
    </row>
    <row r="277" spans="1:12" x14ac:dyDescent="0.2">
      <c r="A277" s="52"/>
      <c r="B277" s="39">
        <v>544530217</v>
      </c>
      <c r="C277" s="17">
        <v>35300</v>
      </c>
      <c r="D277" t="s">
        <v>96</v>
      </c>
      <c r="E277" s="20">
        <v>2348.6</v>
      </c>
      <c r="F277" s="43"/>
      <c r="G277" s="21">
        <v>42644</v>
      </c>
      <c r="H277" s="29"/>
      <c r="I277" s="35"/>
      <c r="J277" s="29"/>
      <c r="K277" s="29"/>
      <c r="L277" s="29"/>
    </row>
    <row r="278" spans="1:12" x14ac:dyDescent="0.2">
      <c r="A278" s="52"/>
      <c r="B278" s="39">
        <v>544530217</v>
      </c>
      <c r="C278" s="17">
        <v>35300</v>
      </c>
      <c r="D278" t="s">
        <v>96</v>
      </c>
      <c r="E278" s="20">
        <v>34074.76</v>
      </c>
      <c r="F278" s="43"/>
      <c r="G278" s="21">
        <v>42675</v>
      </c>
      <c r="H278" s="29"/>
      <c r="I278" s="35"/>
      <c r="J278" s="29"/>
      <c r="K278" s="29"/>
      <c r="L278" s="29"/>
    </row>
    <row r="279" spans="1:12" x14ac:dyDescent="0.2">
      <c r="A279" s="52"/>
      <c r="B279" s="39">
        <v>544530217</v>
      </c>
      <c r="C279" s="17">
        <v>35300</v>
      </c>
      <c r="D279" t="s">
        <v>96</v>
      </c>
      <c r="E279" s="60">
        <v>2618.06</v>
      </c>
      <c r="F279" s="43"/>
      <c r="G279" s="21">
        <v>42705</v>
      </c>
      <c r="H279" s="29"/>
      <c r="I279" s="35"/>
      <c r="J279" s="29"/>
      <c r="K279" s="29"/>
      <c r="L279" s="29"/>
    </row>
    <row r="280" spans="1:12" x14ac:dyDescent="0.2">
      <c r="A280" s="52"/>
      <c r="B280" s="37"/>
      <c r="C280" s="17"/>
      <c r="D280" s="40" t="s">
        <v>12</v>
      </c>
      <c r="E280" s="20">
        <f>SUM(E268:E279)</f>
        <v>2851174.5599999996</v>
      </c>
      <c r="F280" s="43"/>
      <c r="G280" s="21"/>
      <c r="H280" s="29"/>
      <c r="I280" s="35"/>
      <c r="J280" s="29"/>
      <c r="K280" s="29"/>
      <c r="L280" s="29"/>
    </row>
    <row r="281" spans="1:12" x14ac:dyDescent="0.2">
      <c r="A281" s="52"/>
      <c r="B281" s="37"/>
      <c r="C281" s="17"/>
      <c r="D281"/>
      <c r="E281" s="20"/>
      <c r="F281" s="43"/>
      <c r="G281" s="21"/>
      <c r="H281" s="29"/>
      <c r="I281" s="35"/>
      <c r="J281" s="29"/>
      <c r="K281" s="29"/>
      <c r="L281" s="29"/>
    </row>
    <row r="282" spans="1:12" x14ac:dyDescent="0.2">
      <c r="A282" s="25" t="s">
        <v>97</v>
      </c>
      <c r="B282" s="39">
        <v>485228654</v>
      </c>
      <c r="C282" s="17">
        <v>35300</v>
      </c>
      <c r="D282" s="40" t="s">
        <v>98</v>
      </c>
      <c r="E282" s="20">
        <v>-1208.7900000000373</v>
      </c>
      <c r="F282" s="43"/>
      <c r="G282" s="21">
        <v>42461</v>
      </c>
      <c r="H282" s="29"/>
      <c r="I282" s="35"/>
      <c r="J282" s="29"/>
      <c r="K282" s="29"/>
      <c r="L282" s="29"/>
    </row>
    <row r="283" spans="1:12" x14ac:dyDescent="0.2">
      <c r="A283" s="52"/>
      <c r="B283" s="39">
        <v>485228654</v>
      </c>
      <c r="C283" s="17">
        <v>35300</v>
      </c>
      <c r="D283" s="40" t="s">
        <v>98</v>
      </c>
      <c r="E283" s="60">
        <v>-244.63000000000011</v>
      </c>
      <c r="F283" s="43"/>
      <c r="G283" s="21">
        <v>42522</v>
      </c>
      <c r="H283" s="29"/>
      <c r="I283" s="35"/>
      <c r="J283" s="29"/>
      <c r="K283" s="29"/>
      <c r="L283" s="29"/>
    </row>
    <row r="284" spans="1:12" x14ac:dyDescent="0.2">
      <c r="A284" s="52"/>
      <c r="B284" s="37"/>
      <c r="C284" s="17"/>
      <c r="D284" s="40" t="s">
        <v>12</v>
      </c>
      <c r="E284" s="20">
        <f>SUM(E282:E283)</f>
        <v>-1453.4200000000374</v>
      </c>
      <c r="F284" s="43"/>
      <c r="G284" s="21"/>
      <c r="H284" s="29"/>
      <c r="I284" s="35"/>
      <c r="J284" s="29"/>
      <c r="K284" s="29"/>
      <c r="L284" s="29"/>
    </row>
    <row r="285" spans="1:12" x14ac:dyDescent="0.2">
      <c r="A285" s="52"/>
      <c r="B285" s="37"/>
      <c r="C285" s="17"/>
      <c r="D285"/>
      <c r="E285" s="20"/>
      <c r="F285" s="43"/>
      <c r="G285" s="21"/>
      <c r="H285" s="29"/>
      <c r="I285" s="35"/>
      <c r="J285" s="29"/>
      <c r="K285" s="29"/>
      <c r="L285" s="29"/>
    </row>
    <row r="286" spans="1:12" x14ac:dyDescent="0.2">
      <c r="A286" s="51" t="s">
        <v>99</v>
      </c>
      <c r="B286" s="37">
        <v>513124964</v>
      </c>
      <c r="C286" s="39">
        <v>35300</v>
      </c>
      <c r="D286" t="s">
        <v>100</v>
      </c>
      <c r="E286" s="20">
        <v>-514703.05</v>
      </c>
      <c r="F286" s="43"/>
      <c r="G286" s="21">
        <v>42370</v>
      </c>
      <c r="H286" s="29"/>
      <c r="I286" s="35"/>
      <c r="J286" s="29"/>
      <c r="K286" s="29"/>
      <c r="L286" s="29"/>
    </row>
    <row r="287" spans="1:12" x14ac:dyDescent="0.2">
      <c r="A287" s="52"/>
      <c r="B287" s="37">
        <v>513124964</v>
      </c>
      <c r="C287" s="39">
        <v>35300</v>
      </c>
      <c r="D287" t="s">
        <v>100</v>
      </c>
      <c r="E287" s="20">
        <v>64376</v>
      </c>
      <c r="F287" s="43"/>
      <c r="G287" s="21">
        <v>42401</v>
      </c>
      <c r="H287" s="29"/>
      <c r="I287" s="35"/>
      <c r="J287" s="29"/>
      <c r="K287" s="29"/>
      <c r="L287" s="29"/>
    </row>
    <row r="288" spans="1:12" x14ac:dyDescent="0.2">
      <c r="A288" s="52"/>
      <c r="B288" s="37">
        <v>513124964</v>
      </c>
      <c r="C288" s="39">
        <v>35300</v>
      </c>
      <c r="D288" t="s">
        <v>100</v>
      </c>
      <c r="E288" s="20">
        <v>17831.339999999851</v>
      </c>
      <c r="F288" s="43"/>
      <c r="G288" s="21">
        <v>42430</v>
      </c>
      <c r="H288" s="29"/>
      <c r="I288" s="35"/>
      <c r="J288" s="29"/>
      <c r="K288" s="29"/>
      <c r="L288" s="29"/>
    </row>
    <row r="289" spans="1:12" x14ac:dyDescent="0.2">
      <c r="A289" s="52"/>
      <c r="B289" s="37">
        <v>513124964</v>
      </c>
      <c r="C289" s="39">
        <v>35300</v>
      </c>
      <c r="D289" t="s">
        <v>100</v>
      </c>
      <c r="E289" s="20">
        <v>-9975.3300000000745</v>
      </c>
      <c r="F289" s="43"/>
      <c r="G289" s="21">
        <v>42461</v>
      </c>
      <c r="H289" s="29"/>
      <c r="I289" s="35"/>
      <c r="J289" s="29"/>
      <c r="K289" s="29"/>
      <c r="L289" s="29"/>
    </row>
    <row r="290" spans="1:12" x14ac:dyDescent="0.2">
      <c r="A290" s="52"/>
      <c r="B290" s="37">
        <v>513124964</v>
      </c>
      <c r="C290" s="39">
        <v>35300</v>
      </c>
      <c r="D290" t="s">
        <v>100</v>
      </c>
      <c r="E290" s="20">
        <v>-105156.84999999963</v>
      </c>
      <c r="F290" s="43"/>
      <c r="G290" s="21">
        <v>42491</v>
      </c>
      <c r="H290" s="29"/>
      <c r="I290" s="35"/>
      <c r="J290" s="29"/>
      <c r="K290" s="29"/>
      <c r="L290" s="29"/>
    </row>
    <row r="291" spans="1:12" x14ac:dyDescent="0.2">
      <c r="A291" s="52"/>
      <c r="B291" s="37">
        <v>513124964</v>
      </c>
      <c r="C291" s="39">
        <v>35300</v>
      </c>
      <c r="D291" t="s">
        <v>100</v>
      </c>
      <c r="E291" s="28">
        <v>21326.5</v>
      </c>
      <c r="F291" s="43"/>
      <c r="G291" s="21">
        <v>42522</v>
      </c>
      <c r="H291" s="29"/>
      <c r="I291" s="35"/>
      <c r="J291" s="29"/>
      <c r="K291" s="29"/>
      <c r="L291" s="29"/>
    </row>
    <row r="292" spans="1:12" x14ac:dyDescent="0.2">
      <c r="A292" s="52"/>
      <c r="B292" s="37">
        <v>513124964</v>
      </c>
      <c r="C292" s="39">
        <v>35300</v>
      </c>
      <c r="D292" t="s">
        <v>100</v>
      </c>
      <c r="E292" s="20">
        <v>-4549.5499999998137</v>
      </c>
      <c r="F292" s="43"/>
      <c r="G292" s="21">
        <v>42552</v>
      </c>
      <c r="H292" s="29"/>
      <c r="I292" s="35"/>
      <c r="J292" s="29"/>
      <c r="K292" s="29"/>
      <c r="L292" s="29"/>
    </row>
    <row r="293" spans="1:12" x14ac:dyDescent="0.2">
      <c r="A293" s="52"/>
      <c r="B293" s="37">
        <v>513124964</v>
      </c>
      <c r="C293" s="17" t="s">
        <v>47</v>
      </c>
      <c r="D293" t="s">
        <v>100</v>
      </c>
      <c r="E293" s="20">
        <f>1614008.68+52225.51+4406232.51+3284.93+105.95-6055455.78</f>
        <v>20401.799999998882</v>
      </c>
      <c r="F293" s="43"/>
      <c r="G293" s="21">
        <v>42583</v>
      </c>
      <c r="H293" s="29"/>
      <c r="I293" s="35"/>
      <c r="J293" s="29"/>
      <c r="K293" s="29"/>
      <c r="L293" s="29"/>
    </row>
    <row r="294" spans="1:12" x14ac:dyDescent="0.2">
      <c r="A294" s="52"/>
      <c r="B294" s="37">
        <v>513124964</v>
      </c>
      <c r="C294" s="17" t="s">
        <v>47</v>
      </c>
      <c r="D294" t="s">
        <v>100</v>
      </c>
      <c r="E294" s="20">
        <f>238.51+12162.11-3312.5-106.84-9025.69</f>
        <v>-44.409999999999854</v>
      </c>
      <c r="F294" s="43"/>
      <c r="G294" s="21">
        <v>42614</v>
      </c>
      <c r="H294" s="29"/>
      <c r="I294" s="35"/>
      <c r="J294" s="29"/>
      <c r="K294" s="29"/>
      <c r="L294" s="29"/>
    </row>
    <row r="295" spans="1:12" x14ac:dyDescent="0.2">
      <c r="A295" s="52"/>
      <c r="B295" s="37">
        <v>513124964</v>
      </c>
      <c r="C295" s="17" t="s">
        <v>47</v>
      </c>
      <c r="D295" t="s">
        <v>100</v>
      </c>
      <c r="E295" s="20">
        <f>87.17+4445.52+27.57+0.89+75.11</f>
        <v>4636.26</v>
      </c>
      <c r="F295" s="43"/>
      <c r="G295" s="21">
        <v>42644</v>
      </c>
      <c r="H295" s="29"/>
      <c r="I295" s="35"/>
      <c r="J295" s="29"/>
      <c r="K295" s="29"/>
      <c r="L295" s="29"/>
    </row>
    <row r="296" spans="1:12" x14ac:dyDescent="0.2">
      <c r="A296" s="52"/>
      <c r="B296" s="37">
        <v>513124964</v>
      </c>
      <c r="C296" s="17" t="s">
        <v>47</v>
      </c>
      <c r="D296" t="s">
        <v>100</v>
      </c>
      <c r="E296" s="20">
        <f>499.57+25474.55+722.93+23.32+1969.76</f>
        <v>28690.129999999997</v>
      </c>
      <c r="F296" s="43"/>
      <c r="G296" s="21">
        <v>42675</v>
      </c>
      <c r="H296" s="29"/>
      <c r="I296" s="35"/>
      <c r="J296" s="29"/>
      <c r="K296" s="29"/>
      <c r="L296" s="29"/>
    </row>
    <row r="297" spans="1:12" x14ac:dyDescent="0.2">
      <c r="A297" s="52"/>
      <c r="B297" s="37">
        <v>513124964</v>
      </c>
      <c r="C297" s="17" t="s">
        <v>47</v>
      </c>
      <c r="D297" t="s">
        <v>100</v>
      </c>
      <c r="E297" s="60">
        <f>113.49+5787.59-1098.34-35.43-2992.65</f>
        <v>1774.6599999999994</v>
      </c>
      <c r="F297" s="43"/>
      <c r="G297" s="21">
        <v>42705</v>
      </c>
      <c r="H297" s="29"/>
      <c r="I297" s="35"/>
      <c r="J297" s="29"/>
      <c r="K297" s="29"/>
      <c r="L297" s="29"/>
    </row>
    <row r="298" spans="1:12" x14ac:dyDescent="0.2">
      <c r="A298" s="52"/>
      <c r="B298" s="37"/>
      <c r="C298" s="17"/>
      <c r="D298" s="40" t="s">
        <v>12</v>
      </c>
      <c r="E298" s="20">
        <f>SUM(E286:E297)</f>
        <v>-475392.50000000081</v>
      </c>
      <c r="F298" s="43"/>
      <c r="G298" s="21"/>
      <c r="H298" s="29"/>
      <c r="I298" s="35"/>
      <c r="J298" s="29"/>
      <c r="K298" s="29"/>
      <c r="L298" s="29"/>
    </row>
    <row r="299" spans="1:12" x14ac:dyDescent="0.2">
      <c r="A299" s="52"/>
      <c r="B299" s="37"/>
      <c r="C299" s="17"/>
      <c r="D299"/>
      <c r="E299" s="20"/>
      <c r="F299" s="43"/>
      <c r="G299" s="21"/>
      <c r="H299" s="29"/>
      <c r="I299" s="35"/>
      <c r="J299" s="29"/>
      <c r="K299" s="29"/>
      <c r="L299" s="29"/>
    </row>
    <row r="300" spans="1:12" x14ac:dyDescent="0.2">
      <c r="A300" s="25" t="s">
        <v>101</v>
      </c>
      <c r="B300" s="37">
        <v>710349743</v>
      </c>
      <c r="C300" s="16">
        <v>35500</v>
      </c>
      <c r="D300" s="29" t="s">
        <v>102</v>
      </c>
      <c r="E300" s="20">
        <v>254813.59</v>
      </c>
      <c r="F300" s="43"/>
      <c r="G300" s="21">
        <v>42370</v>
      </c>
      <c r="H300" s="29"/>
      <c r="I300" s="35"/>
      <c r="J300" s="29"/>
      <c r="K300" s="29"/>
      <c r="L300" s="29"/>
    </row>
    <row r="301" spans="1:12" x14ac:dyDescent="0.2">
      <c r="A301" s="52"/>
      <c r="B301" s="37">
        <v>710349743</v>
      </c>
      <c r="C301" s="16">
        <v>35500</v>
      </c>
      <c r="D301" s="29" t="s">
        <v>102</v>
      </c>
      <c r="E301" s="20">
        <v>-54027.34</v>
      </c>
      <c r="F301" s="43"/>
      <c r="G301" s="21">
        <v>42401</v>
      </c>
      <c r="H301" s="29"/>
      <c r="I301" s="35"/>
      <c r="J301" s="29"/>
      <c r="K301" s="29"/>
      <c r="L301" s="29"/>
    </row>
    <row r="302" spans="1:12" x14ac:dyDescent="0.2">
      <c r="A302" s="52"/>
      <c r="B302" s="37">
        <v>710349743</v>
      </c>
      <c r="C302" s="16">
        <v>35500</v>
      </c>
      <c r="D302" s="29" t="s">
        <v>102</v>
      </c>
      <c r="E302" s="20">
        <v>-6409.5</v>
      </c>
      <c r="F302" s="43"/>
      <c r="G302" s="21">
        <v>42430</v>
      </c>
      <c r="H302" s="29"/>
      <c r="I302" s="35"/>
      <c r="J302" s="29"/>
      <c r="K302" s="29"/>
      <c r="L302" s="29"/>
    </row>
    <row r="303" spans="1:12" x14ac:dyDescent="0.2">
      <c r="A303" s="52"/>
      <c r="B303" s="37">
        <v>710349743</v>
      </c>
      <c r="C303" s="16">
        <v>35500</v>
      </c>
      <c r="D303" s="29" t="s">
        <v>102</v>
      </c>
      <c r="E303" s="20">
        <v>515.22</v>
      </c>
      <c r="F303" s="43"/>
      <c r="G303" s="21">
        <v>42461</v>
      </c>
      <c r="H303" s="29"/>
      <c r="I303" s="35"/>
      <c r="J303" s="29"/>
      <c r="K303" s="29"/>
      <c r="L303" s="29"/>
    </row>
    <row r="304" spans="1:12" x14ac:dyDescent="0.2">
      <c r="A304" s="52"/>
      <c r="B304" s="37">
        <v>710349743</v>
      </c>
      <c r="C304" s="16">
        <v>35500</v>
      </c>
      <c r="D304" s="29" t="s">
        <v>102</v>
      </c>
      <c r="E304" s="20">
        <v>85146.28</v>
      </c>
      <c r="F304" s="43"/>
      <c r="G304" s="21">
        <v>42491</v>
      </c>
      <c r="H304" s="29"/>
      <c r="I304" s="35"/>
      <c r="J304" s="29"/>
      <c r="K304" s="29"/>
      <c r="L304" s="29"/>
    </row>
    <row r="305" spans="1:12" x14ac:dyDescent="0.2">
      <c r="A305" s="52"/>
      <c r="B305" s="37">
        <v>710349743</v>
      </c>
      <c r="C305" s="16">
        <v>35500</v>
      </c>
      <c r="D305" s="29" t="s">
        <v>102</v>
      </c>
      <c r="E305" s="44">
        <v>533367.28000000026</v>
      </c>
      <c r="F305" s="43"/>
      <c r="G305" s="21">
        <v>42522</v>
      </c>
      <c r="H305" s="29"/>
      <c r="I305" s="35"/>
      <c r="J305" s="29"/>
      <c r="K305" s="29"/>
      <c r="L305" s="29"/>
    </row>
    <row r="306" spans="1:12" x14ac:dyDescent="0.2">
      <c r="A306" s="52"/>
      <c r="B306" s="37">
        <v>710349743</v>
      </c>
      <c r="C306" s="17">
        <v>35610</v>
      </c>
      <c r="D306" s="29" t="s">
        <v>102</v>
      </c>
      <c r="E306" s="44">
        <v>265212.58999999997</v>
      </c>
      <c r="F306" s="43"/>
      <c r="G306" s="21">
        <v>42522</v>
      </c>
      <c r="H306" s="29"/>
      <c r="I306" s="35"/>
      <c r="J306" s="29"/>
      <c r="K306" s="29"/>
      <c r="L306" s="29"/>
    </row>
    <row r="307" spans="1:12" x14ac:dyDescent="0.2">
      <c r="A307" s="52"/>
      <c r="B307" s="37">
        <v>710349743</v>
      </c>
      <c r="C307" s="16">
        <v>35500</v>
      </c>
      <c r="D307" s="29" t="s">
        <v>102</v>
      </c>
      <c r="E307" s="44">
        <v>-3297022.14</v>
      </c>
      <c r="F307" s="43"/>
      <c r="G307" s="21">
        <v>42552</v>
      </c>
      <c r="H307" s="29"/>
      <c r="I307" s="35"/>
      <c r="J307" s="29"/>
      <c r="K307" s="29"/>
      <c r="L307" s="29"/>
    </row>
    <row r="308" spans="1:12" x14ac:dyDescent="0.2">
      <c r="A308" s="52"/>
      <c r="B308" s="37">
        <v>710349743</v>
      </c>
      <c r="C308" s="17">
        <v>35610</v>
      </c>
      <c r="D308" s="29" t="s">
        <v>102</v>
      </c>
      <c r="E308" s="44">
        <v>-2628469.4299999997</v>
      </c>
      <c r="F308" s="43"/>
      <c r="G308" s="21">
        <v>42552</v>
      </c>
      <c r="H308" s="29"/>
      <c r="I308" s="35"/>
      <c r="J308" s="29"/>
      <c r="K308" s="29"/>
      <c r="L308" s="29"/>
    </row>
    <row r="309" spans="1:12" x14ac:dyDescent="0.2">
      <c r="A309" s="52"/>
      <c r="B309" s="37">
        <v>710349743</v>
      </c>
      <c r="C309" s="17" t="s">
        <v>61</v>
      </c>
      <c r="D309" s="29" t="s">
        <v>102</v>
      </c>
      <c r="E309" s="44">
        <f>-5832.7-6666.41</f>
        <v>-12499.11</v>
      </c>
      <c r="F309" s="43"/>
      <c r="G309" s="21">
        <v>42583</v>
      </c>
      <c r="H309" s="29"/>
      <c r="I309" s="35"/>
      <c r="J309" s="29"/>
      <c r="K309" s="29"/>
      <c r="L309" s="29"/>
    </row>
    <row r="310" spans="1:12" x14ac:dyDescent="0.2">
      <c r="A310" s="52"/>
      <c r="B310" s="37">
        <v>710349743</v>
      </c>
      <c r="C310" s="17" t="s">
        <v>61</v>
      </c>
      <c r="D310" s="29" t="s">
        <v>102</v>
      </c>
      <c r="E310" s="44">
        <f>1285.06+877.85</f>
        <v>2162.91</v>
      </c>
      <c r="F310" s="43"/>
      <c r="G310" s="21">
        <v>42614</v>
      </c>
      <c r="H310" s="29"/>
      <c r="I310" s="35"/>
      <c r="J310" s="29"/>
      <c r="K310" s="29"/>
      <c r="L310" s="29"/>
    </row>
    <row r="311" spans="1:12" x14ac:dyDescent="0.2">
      <c r="A311" s="52"/>
      <c r="B311" s="37">
        <v>710349743</v>
      </c>
      <c r="C311" s="17" t="s">
        <v>61</v>
      </c>
      <c r="D311" s="29" t="s">
        <v>102</v>
      </c>
      <c r="E311" s="44">
        <f>-3227.25-2204.62</f>
        <v>-5431.87</v>
      </c>
      <c r="F311" s="43"/>
      <c r="G311" s="21">
        <v>42644</v>
      </c>
      <c r="H311" s="29"/>
      <c r="I311" s="35"/>
      <c r="J311" s="29"/>
      <c r="K311" s="29"/>
      <c r="L311" s="29"/>
    </row>
    <row r="312" spans="1:12" x14ac:dyDescent="0.2">
      <c r="A312" s="52"/>
      <c r="B312" s="37">
        <v>710349743</v>
      </c>
      <c r="C312" s="17" t="s">
        <v>61</v>
      </c>
      <c r="D312" s="29" t="s">
        <v>102</v>
      </c>
      <c r="E312" s="44">
        <f>932.36+636.9</f>
        <v>1569.26</v>
      </c>
      <c r="F312" s="43"/>
      <c r="G312" s="21">
        <v>42675</v>
      </c>
      <c r="H312" s="29"/>
      <c r="I312" s="35"/>
      <c r="J312" s="29"/>
      <c r="K312" s="29"/>
      <c r="L312" s="29"/>
    </row>
    <row r="313" spans="1:12" x14ac:dyDescent="0.2">
      <c r="A313" s="52"/>
      <c r="B313" s="37">
        <v>710349743</v>
      </c>
      <c r="C313" s="17" t="s">
        <v>61</v>
      </c>
      <c r="D313" s="29" t="s">
        <v>102</v>
      </c>
      <c r="E313" s="60">
        <f>125.31+85.59</f>
        <v>210.9</v>
      </c>
      <c r="F313" s="43"/>
      <c r="G313" s="21">
        <v>42705</v>
      </c>
      <c r="H313" s="29"/>
      <c r="I313" s="35"/>
      <c r="J313" s="29"/>
      <c r="K313" s="29"/>
      <c r="L313" s="29"/>
    </row>
    <row r="314" spans="1:12" x14ac:dyDescent="0.2">
      <c r="A314" s="52"/>
      <c r="B314" s="37"/>
      <c r="C314" s="17"/>
      <c r="D314" s="29" t="s">
        <v>12</v>
      </c>
      <c r="E314" s="44">
        <f>SUM(E300:E313)</f>
        <v>-4860861.3599999994</v>
      </c>
      <c r="F314" s="43"/>
      <c r="G314" s="21"/>
      <c r="H314" s="29"/>
      <c r="I314" s="35"/>
      <c r="J314" s="29"/>
      <c r="K314" s="29"/>
      <c r="L314" s="29"/>
    </row>
    <row r="315" spans="1:12" x14ac:dyDescent="0.2">
      <c r="A315" s="52"/>
      <c r="B315" s="37"/>
      <c r="C315" s="17"/>
      <c r="D315"/>
      <c r="E315" s="20"/>
      <c r="F315" s="43"/>
      <c r="G315" s="21"/>
      <c r="H315" s="29"/>
      <c r="I315" s="35"/>
      <c r="J315" s="29"/>
      <c r="K315" s="29"/>
      <c r="L315" s="29"/>
    </row>
    <row r="316" spans="1:12" x14ac:dyDescent="0.2">
      <c r="A316" s="51" t="s">
        <v>103</v>
      </c>
      <c r="B316" s="37">
        <v>509201475</v>
      </c>
      <c r="C316" s="17">
        <v>35500</v>
      </c>
      <c r="D316" t="s">
        <v>104</v>
      </c>
      <c r="E316" s="20">
        <v>-35503.759999999696</v>
      </c>
      <c r="F316" s="43"/>
      <c r="G316" s="21">
        <v>42370</v>
      </c>
      <c r="H316" s="29"/>
      <c r="I316" s="35"/>
      <c r="J316" s="29"/>
      <c r="K316" s="29"/>
      <c r="L316" s="29"/>
    </row>
    <row r="317" spans="1:12" x14ac:dyDescent="0.2">
      <c r="A317" s="52"/>
      <c r="B317" s="37">
        <v>509201475</v>
      </c>
      <c r="C317" s="17">
        <v>35500</v>
      </c>
      <c r="D317" t="s">
        <v>104</v>
      </c>
      <c r="E317" s="20">
        <v>54838.280000001192</v>
      </c>
      <c r="F317" s="43"/>
      <c r="G317" s="21">
        <v>42401</v>
      </c>
      <c r="H317" s="29"/>
      <c r="I317" s="35"/>
      <c r="J317" s="29"/>
      <c r="K317" s="29"/>
      <c r="L317" s="29"/>
    </row>
    <row r="318" spans="1:12" x14ac:dyDescent="0.2">
      <c r="A318" s="52"/>
      <c r="B318" s="37">
        <v>509201475</v>
      </c>
      <c r="C318" s="17">
        <v>35500</v>
      </c>
      <c r="D318" t="s">
        <v>104</v>
      </c>
      <c r="E318" s="20">
        <v>156597.19999999925</v>
      </c>
      <c r="F318" s="43"/>
      <c r="G318" s="21">
        <v>42430</v>
      </c>
      <c r="H318" s="29"/>
      <c r="I318" s="35"/>
      <c r="J318" s="29"/>
      <c r="K318" s="29"/>
      <c r="L318" s="29"/>
    </row>
    <row r="319" spans="1:12" x14ac:dyDescent="0.2">
      <c r="A319" s="52"/>
      <c r="B319" s="37">
        <v>509201475</v>
      </c>
      <c r="C319" s="17">
        <v>35500</v>
      </c>
      <c r="D319" t="s">
        <v>104</v>
      </c>
      <c r="E319" s="20">
        <v>-10830.970000000671</v>
      </c>
      <c r="F319" s="43"/>
      <c r="G319" s="21">
        <v>42461</v>
      </c>
      <c r="H319" s="29"/>
      <c r="I319" s="35"/>
      <c r="J319" s="29"/>
      <c r="K319" s="29"/>
      <c r="L319" s="29"/>
    </row>
    <row r="320" spans="1:12" x14ac:dyDescent="0.2">
      <c r="A320" s="52"/>
      <c r="B320" s="37">
        <v>509201475</v>
      </c>
      <c r="C320" s="17">
        <v>35500</v>
      </c>
      <c r="D320" t="s">
        <v>104</v>
      </c>
      <c r="E320" s="20">
        <v>10724.740000000224</v>
      </c>
      <c r="F320" s="43"/>
      <c r="G320" s="21">
        <v>42491</v>
      </c>
      <c r="H320" s="29"/>
      <c r="I320" s="35"/>
      <c r="J320" s="29"/>
      <c r="K320" s="29"/>
      <c r="L320" s="29"/>
    </row>
    <row r="321" spans="1:12" x14ac:dyDescent="0.2">
      <c r="A321" s="52"/>
      <c r="B321" s="37">
        <v>509201475</v>
      </c>
      <c r="C321" s="17">
        <v>35500</v>
      </c>
      <c r="D321" t="s">
        <v>104</v>
      </c>
      <c r="E321" s="28">
        <v>-878898.37000000011</v>
      </c>
      <c r="F321" s="43"/>
      <c r="G321" s="21">
        <v>42522</v>
      </c>
      <c r="H321" s="29"/>
      <c r="I321" s="35"/>
      <c r="J321" s="29"/>
      <c r="K321" s="29"/>
      <c r="L321" s="29"/>
    </row>
    <row r="322" spans="1:12" x14ac:dyDescent="0.2">
      <c r="A322" s="52"/>
      <c r="B322" s="37">
        <v>509201475</v>
      </c>
      <c r="C322" s="17">
        <v>35500</v>
      </c>
      <c r="D322" t="s">
        <v>104</v>
      </c>
      <c r="E322" s="28">
        <v>6527036.96</v>
      </c>
      <c r="F322" s="43"/>
      <c r="G322" s="21">
        <v>42552</v>
      </c>
      <c r="H322" s="29"/>
      <c r="I322" s="35"/>
      <c r="J322" s="29"/>
      <c r="K322" s="29"/>
      <c r="L322" s="29"/>
    </row>
    <row r="323" spans="1:12" x14ac:dyDescent="0.2">
      <c r="A323" s="52"/>
      <c r="B323" s="37">
        <v>509201475</v>
      </c>
      <c r="C323" s="17">
        <v>35500</v>
      </c>
      <c r="D323" t="s">
        <v>104</v>
      </c>
      <c r="E323" s="28">
        <v>2928.97</v>
      </c>
      <c r="F323" s="43"/>
      <c r="G323" s="21">
        <v>42583</v>
      </c>
      <c r="H323" s="29"/>
      <c r="I323" s="35"/>
      <c r="J323" s="29"/>
      <c r="K323" s="29"/>
      <c r="L323" s="29"/>
    </row>
    <row r="324" spans="1:12" x14ac:dyDescent="0.2">
      <c r="A324" s="52"/>
      <c r="B324" s="37">
        <v>509201475</v>
      </c>
      <c r="C324" s="17">
        <v>35500</v>
      </c>
      <c r="D324" t="s">
        <v>104</v>
      </c>
      <c r="E324" s="28">
        <v>5.82</v>
      </c>
      <c r="F324" s="43"/>
      <c r="G324" s="21">
        <v>42614</v>
      </c>
      <c r="H324" s="29"/>
      <c r="I324" s="35"/>
      <c r="J324" s="29"/>
      <c r="K324" s="29"/>
      <c r="L324" s="29"/>
    </row>
    <row r="325" spans="1:12" x14ac:dyDescent="0.2">
      <c r="A325" s="52"/>
      <c r="B325" s="37">
        <v>509201475</v>
      </c>
      <c r="C325" s="17">
        <v>35500</v>
      </c>
      <c r="D325" t="s">
        <v>104</v>
      </c>
      <c r="E325" s="28">
        <v>1608.36</v>
      </c>
      <c r="F325" s="43"/>
      <c r="G325" s="21">
        <v>42644</v>
      </c>
      <c r="H325" s="29"/>
      <c r="I325" s="35"/>
      <c r="J325" s="29"/>
      <c r="K325" s="29"/>
      <c r="L325" s="29"/>
    </row>
    <row r="326" spans="1:12" x14ac:dyDescent="0.2">
      <c r="A326" s="52"/>
      <c r="B326" s="37">
        <v>509201475</v>
      </c>
      <c r="C326" s="17">
        <v>35500</v>
      </c>
      <c r="D326" t="s">
        <v>104</v>
      </c>
      <c r="E326" s="28">
        <v>184.88</v>
      </c>
      <c r="F326" s="43"/>
      <c r="G326" s="21">
        <v>42675</v>
      </c>
      <c r="H326" s="29"/>
      <c r="I326" s="35"/>
      <c r="J326" s="29"/>
      <c r="K326" s="29"/>
      <c r="L326" s="29"/>
    </row>
    <row r="327" spans="1:12" x14ac:dyDescent="0.2">
      <c r="A327" s="52"/>
      <c r="B327" s="37">
        <v>509201475</v>
      </c>
      <c r="C327" s="17">
        <v>35500</v>
      </c>
      <c r="D327" t="s">
        <v>104</v>
      </c>
      <c r="E327" s="60">
        <v>656.65</v>
      </c>
      <c r="F327" s="43"/>
      <c r="G327" s="21">
        <v>42705</v>
      </c>
      <c r="H327" s="29"/>
      <c r="I327" s="35"/>
      <c r="J327" s="29"/>
      <c r="K327" s="29"/>
      <c r="L327" s="29"/>
    </row>
    <row r="328" spans="1:12" x14ac:dyDescent="0.2">
      <c r="A328" s="52"/>
      <c r="B328" s="23"/>
      <c r="C328" s="17"/>
      <c r="D328" s="29" t="s">
        <v>12</v>
      </c>
      <c r="E328" s="28">
        <f>SUM(E316:E327)</f>
        <v>5829348.7600000007</v>
      </c>
      <c r="F328" s="43"/>
      <c r="G328" s="21"/>
      <c r="H328" s="29"/>
      <c r="I328" s="35"/>
      <c r="J328" s="29"/>
      <c r="K328" s="29"/>
      <c r="L328" s="29"/>
    </row>
    <row r="329" spans="1:12" x14ac:dyDescent="0.2">
      <c r="A329" s="52"/>
      <c r="B329" s="37"/>
      <c r="C329" s="17"/>
      <c r="D329"/>
      <c r="E329" s="20"/>
      <c r="F329" s="43"/>
      <c r="G329" s="21"/>
      <c r="H329" s="29"/>
      <c r="I329" s="35"/>
      <c r="J329" s="29"/>
      <c r="K329" s="29"/>
      <c r="L329" s="29"/>
    </row>
    <row r="330" spans="1:12" x14ac:dyDescent="0.2">
      <c r="A330" s="25" t="s">
        <v>105</v>
      </c>
      <c r="B330" s="37">
        <v>713632077</v>
      </c>
      <c r="C330" s="17">
        <v>35300</v>
      </c>
      <c r="D330" t="s">
        <v>106</v>
      </c>
      <c r="E330" s="20">
        <v>196959.03</v>
      </c>
      <c r="F330" s="43"/>
      <c r="G330" s="21">
        <v>42370</v>
      </c>
      <c r="H330" s="29"/>
      <c r="I330" s="35"/>
      <c r="J330" s="29"/>
      <c r="K330" s="29"/>
      <c r="L330" s="29"/>
    </row>
    <row r="331" spans="1:12" x14ac:dyDescent="0.2">
      <c r="A331" s="52"/>
      <c r="B331" s="37">
        <v>713632077</v>
      </c>
      <c r="C331" s="17">
        <v>35300</v>
      </c>
      <c r="D331" t="s">
        <v>106</v>
      </c>
      <c r="E331" s="20">
        <v>-2394.6599999999162</v>
      </c>
      <c r="F331" s="43"/>
      <c r="G331" s="21">
        <v>42401</v>
      </c>
      <c r="H331" s="29"/>
      <c r="I331" s="35"/>
      <c r="J331" s="29"/>
      <c r="K331" s="29"/>
      <c r="L331" s="29"/>
    </row>
    <row r="332" spans="1:12" x14ac:dyDescent="0.2">
      <c r="A332" s="52"/>
      <c r="B332" s="37">
        <v>713632077</v>
      </c>
      <c r="C332" s="17">
        <v>35300</v>
      </c>
      <c r="D332" t="s">
        <v>106</v>
      </c>
      <c r="E332" s="20">
        <v>10176.550000000047</v>
      </c>
      <c r="F332" s="43"/>
      <c r="G332" s="21">
        <v>42430</v>
      </c>
      <c r="H332" s="29"/>
      <c r="I332" s="35"/>
      <c r="J332" s="29"/>
      <c r="K332" s="29"/>
      <c r="L332" s="29"/>
    </row>
    <row r="333" spans="1:12" x14ac:dyDescent="0.2">
      <c r="A333" s="52"/>
      <c r="B333" s="37">
        <v>713632077</v>
      </c>
      <c r="C333" s="17">
        <v>35300</v>
      </c>
      <c r="D333" t="s">
        <v>106</v>
      </c>
      <c r="E333" s="20">
        <v>755.15999999991618</v>
      </c>
      <c r="F333" s="43"/>
      <c r="G333" s="21">
        <v>42461</v>
      </c>
      <c r="H333" s="29"/>
      <c r="I333" s="35"/>
      <c r="J333" s="29"/>
      <c r="K333" s="29"/>
      <c r="L333" s="29"/>
    </row>
    <row r="334" spans="1:12" x14ac:dyDescent="0.2">
      <c r="A334" s="52"/>
      <c r="B334" s="37">
        <v>713632077</v>
      </c>
      <c r="C334" s="17">
        <v>35300</v>
      </c>
      <c r="D334" t="s">
        <v>106</v>
      </c>
      <c r="E334" s="20">
        <v>9958.6100000001024</v>
      </c>
      <c r="F334" s="43"/>
      <c r="G334" s="21">
        <v>42491</v>
      </c>
      <c r="H334" s="29"/>
      <c r="I334" s="35"/>
      <c r="J334" s="29"/>
      <c r="K334" s="29"/>
      <c r="L334" s="29"/>
    </row>
    <row r="335" spans="1:12" x14ac:dyDescent="0.2">
      <c r="A335" s="52"/>
      <c r="B335" s="37">
        <v>713632077</v>
      </c>
      <c r="C335" s="17">
        <v>35300</v>
      </c>
      <c r="D335" t="s">
        <v>106</v>
      </c>
      <c r="E335" s="44">
        <v>-850.71000000019558</v>
      </c>
      <c r="F335" s="43"/>
      <c r="G335" s="21">
        <v>42522</v>
      </c>
      <c r="H335" s="29"/>
      <c r="I335" s="35"/>
      <c r="J335" s="29"/>
      <c r="K335" s="29"/>
      <c r="L335" s="29"/>
    </row>
    <row r="336" spans="1:12" x14ac:dyDescent="0.2">
      <c r="A336" s="52"/>
      <c r="B336" s="37">
        <v>713632077</v>
      </c>
      <c r="C336" s="17">
        <v>35300</v>
      </c>
      <c r="D336" t="s">
        <v>106</v>
      </c>
      <c r="E336" s="44">
        <v>463.09000000008382</v>
      </c>
      <c r="F336" s="43"/>
      <c r="G336" s="21">
        <v>42552</v>
      </c>
      <c r="H336" s="29"/>
      <c r="I336" s="35"/>
      <c r="J336" s="29"/>
      <c r="K336" s="29"/>
      <c r="L336" s="29"/>
    </row>
    <row r="337" spans="1:12" x14ac:dyDescent="0.2">
      <c r="A337" s="52"/>
      <c r="B337" s="37">
        <v>713632077</v>
      </c>
      <c r="C337" s="17">
        <v>35300</v>
      </c>
      <c r="D337" t="s">
        <v>106</v>
      </c>
      <c r="E337" s="44">
        <v>-0.39</v>
      </c>
      <c r="F337" s="43"/>
      <c r="G337" s="21">
        <v>42583</v>
      </c>
      <c r="H337" s="29"/>
      <c r="I337" s="35"/>
      <c r="J337" s="29"/>
      <c r="K337" s="29"/>
      <c r="L337" s="29"/>
    </row>
    <row r="338" spans="1:12" x14ac:dyDescent="0.2">
      <c r="A338" s="52"/>
      <c r="B338" s="37">
        <v>713632077</v>
      </c>
      <c r="C338" s="17">
        <v>35300</v>
      </c>
      <c r="D338" t="s">
        <v>106</v>
      </c>
      <c r="E338" s="60">
        <v>3.04</v>
      </c>
      <c r="F338" s="43"/>
      <c r="G338" s="21">
        <v>42614</v>
      </c>
      <c r="H338" s="29"/>
      <c r="I338" s="35"/>
      <c r="J338" s="29"/>
      <c r="K338" s="29"/>
      <c r="L338" s="29"/>
    </row>
    <row r="339" spans="1:12" x14ac:dyDescent="0.2">
      <c r="A339" s="52"/>
      <c r="B339" s="23"/>
      <c r="C339" s="17"/>
      <c r="D339" s="29" t="s">
        <v>12</v>
      </c>
      <c r="E339" s="44">
        <f>SUM(E330:E338)</f>
        <v>215069.72000000003</v>
      </c>
      <c r="F339" s="43"/>
      <c r="G339" s="21"/>
      <c r="H339" s="29"/>
      <c r="I339" s="35"/>
      <c r="J339" s="29"/>
      <c r="K339" s="29"/>
      <c r="L339" s="29"/>
    </row>
    <row r="340" spans="1:12" x14ac:dyDescent="0.2">
      <c r="A340" s="52"/>
      <c r="B340" s="37"/>
      <c r="C340" s="17"/>
      <c r="D340"/>
      <c r="E340" s="20"/>
      <c r="F340" s="43"/>
      <c r="G340" s="21"/>
      <c r="H340" s="29"/>
      <c r="I340" s="35"/>
      <c r="J340" s="29"/>
      <c r="K340" s="29"/>
      <c r="L340" s="29"/>
    </row>
    <row r="341" spans="1:12" x14ac:dyDescent="0.2">
      <c r="A341" s="51" t="s">
        <v>107</v>
      </c>
      <c r="B341" s="37">
        <v>513060926</v>
      </c>
      <c r="C341" s="39">
        <v>35022</v>
      </c>
      <c r="D341" t="s">
        <v>108</v>
      </c>
      <c r="E341" s="20">
        <v>1762.1300000001199</v>
      </c>
      <c r="F341" s="43"/>
      <c r="G341" s="21">
        <v>42370</v>
      </c>
      <c r="H341" s="29"/>
      <c r="I341" s="35"/>
      <c r="J341" s="29"/>
      <c r="K341" s="29"/>
      <c r="L341" s="29"/>
    </row>
    <row r="342" spans="1:12" x14ac:dyDescent="0.2">
      <c r="A342" s="52"/>
      <c r="B342" s="37">
        <v>513060926</v>
      </c>
      <c r="C342" s="39">
        <v>35022</v>
      </c>
      <c r="D342" t="s">
        <v>108</v>
      </c>
      <c r="E342" s="20">
        <v>1995.2099999999627</v>
      </c>
      <c r="F342" s="43"/>
      <c r="G342" s="21">
        <v>42401</v>
      </c>
      <c r="H342" s="29"/>
      <c r="I342" s="35"/>
      <c r="J342" s="29"/>
      <c r="K342" s="29"/>
      <c r="L342" s="29"/>
    </row>
    <row r="343" spans="1:12" x14ac:dyDescent="0.2">
      <c r="A343" s="52"/>
      <c r="B343" s="37">
        <v>513060926</v>
      </c>
      <c r="C343" s="39">
        <v>35022</v>
      </c>
      <c r="D343" t="s">
        <v>108</v>
      </c>
      <c r="E343" s="20">
        <v>-70000</v>
      </c>
      <c r="F343" s="43"/>
      <c r="G343" s="21">
        <v>42430</v>
      </c>
      <c r="H343" s="29"/>
      <c r="I343" s="35"/>
      <c r="J343" s="29"/>
      <c r="K343" s="29"/>
      <c r="L343" s="29"/>
    </row>
    <row r="344" spans="1:12" x14ac:dyDescent="0.2">
      <c r="A344" s="52"/>
      <c r="B344" s="37">
        <v>513060926</v>
      </c>
      <c r="C344" s="39">
        <v>35022</v>
      </c>
      <c r="D344" t="s">
        <v>108</v>
      </c>
      <c r="E344" s="20">
        <v>50000</v>
      </c>
      <c r="F344" s="43"/>
      <c r="G344" s="21">
        <v>42461</v>
      </c>
      <c r="H344" s="29"/>
      <c r="I344" s="35"/>
      <c r="J344" s="29"/>
      <c r="K344" s="29"/>
      <c r="L344" s="29"/>
    </row>
    <row r="345" spans="1:12" x14ac:dyDescent="0.2">
      <c r="A345" s="52"/>
      <c r="B345" s="37">
        <v>513060926</v>
      </c>
      <c r="C345" s="39">
        <v>35022</v>
      </c>
      <c r="D345" t="s">
        <v>108</v>
      </c>
      <c r="E345" s="28">
        <v>3431.8100000000559</v>
      </c>
      <c r="F345" s="43"/>
      <c r="G345" s="21">
        <v>42522</v>
      </c>
      <c r="H345" s="29"/>
      <c r="I345" s="35"/>
      <c r="J345" s="29"/>
      <c r="K345" s="29"/>
      <c r="L345" s="29"/>
    </row>
    <row r="346" spans="1:12" x14ac:dyDescent="0.2">
      <c r="A346" s="52"/>
      <c r="B346" s="37">
        <v>513060926</v>
      </c>
      <c r="C346" s="39">
        <v>35022</v>
      </c>
      <c r="D346" t="s">
        <v>108</v>
      </c>
      <c r="E346" s="20">
        <v>11100.419999999925</v>
      </c>
      <c r="F346" s="43"/>
      <c r="G346" s="21">
        <v>42552</v>
      </c>
      <c r="H346" s="29"/>
      <c r="I346" s="35"/>
      <c r="J346" s="29"/>
      <c r="K346" s="29"/>
      <c r="L346" s="29"/>
    </row>
    <row r="347" spans="1:12" x14ac:dyDescent="0.2">
      <c r="A347" s="52"/>
      <c r="B347" s="37">
        <v>513060926</v>
      </c>
      <c r="C347" s="39">
        <v>35022</v>
      </c>
      <c r="D347" t="s">
        <v>108</v>
      </c>
      <c r="E347" s="20">
        <v>-457.46</v>
      </c>
      <c r="F347" s="43"/>
      <c r="G347" s="21">
        <v>42583</v>
      </c>
      <c r="H347" s="29"/>
      <c r="I347" s="35"/>
      <c r="J347" s="29"/>
      <c r="K347" s="29"/>
      <c r="L347" s="29"/>
    </row>
    <row r="348" spans="1:12" x14ac:dyDescent="0.2">
      <c r="A348" s="52"/>
      <c r="B348" s="37">
        <v>513060926</v>
      </c>
      <c r="C348" s="39">
        <v>35022</v>
      </c>
      <c r="D348" t="s">
        <v>108</v>
      </c>
      <c r="E348" s="20">
        <v>-196.38</v>
      </c>
      <c r="F348" s="43"/>
      <c r="G348" s="21">
        <v>42614</v>
      </c>
      <c r="H348" s="29"/>
      <c r="I348" s="35"/>
      <c r="J348" s="29"/>
      <c r="K348" s="29"/>
      <c r="L348" s="29"/>
    </row>
    <row r="349" spans="1:12" x14ac:dyDescent="0.2">
      <c r="A349" s="52"/>
      <c r="B349" s="37">
        <v>513060926</v>
      </c>
      <c r="C349" s="39">
        <v>35022</v>
      </c>
      <c r="D349" t="s">
        <v>108</v>
      </c>
      <c r="E349" s="20">
        <v>-0.25</v>
      </c>
      <c r="F349" s="43"/>
      <c r="G349" s="21">
        <v>42644</v>
      </c>
      <c r="H349" s="29"/>
      <c r="I349" s="35"/>
      <c r="J349" s="29"/>
      <c r="K349" s="29"/>
      <c r="L349" s="29"/>
    </row>
    <row r="350" spans="1:12" x14ac:dyDescent="0.2">
      <c r="A350" s="52"/>
      <c r="B350" s="37">
        <v>513060926</v>
      </c>
      <c r="C350" s="39">
        <v>35022</v>
      </c>
      <c r="D350" t="s">
        <v>108</v>
      </c>
      <c r="E350" s="20">
        <v>1949.06</v>
      </c>
      <c r="F350" s="43"/>
      <c r="G350" s="21">
        <v>42675</v>
      </c>
      <c r="H350" s="29"/>
      <c r="I350" s="35"/>
      <c r="J350" s="29"/>
      <c r="K350" s="29"/>
      <c r="L350" s="29"/>
    </row>
    <row r="351" spans="1:12" x14ac:dyDescent="0.2">
      <c r="A351" s="52"/>
      <c r="B351" s="37">
        <v>513060926</v>
      </c>
      <c r="C351" s="39">
        <v>35022</v>
      </c>
      <c r="D351" t="s">
        <v>108</v>
      </c>
      <c r="E351" s="60">
        <v>407.54</v>
      </c>
      <c r="F351" s="43"/>
      <c r="G351" s="21">
        <v>42705</v>
      </c>
      <c r="H351" s="29"/>
      <c r="I351" s="35"/>
      <c r="J351" s="29"/>
      <c r="K351" s="29"/>
      <c r="L351" s="29"/>
    </row>
    <row r="352" spans="1:12" x14ac:dyDescent="0.2">
      <c r="A352" s="52"/>
      <c r="B352" s="37"/>
      <c r="C352" s="17"/>
      <c r="D352" s="40" t="s">
        <v>12</v>
      </c>
      <c r="E352" s="20">
        <f>SUM(E341:E351)</f>
        <v>-7.919999999934987</v>
      </c>
      <c r="F352" s="43"/>
      <c r="G352" s="21"/>
      <c r="H352" s="29"/>
      <c r="I352" s="35"/>
      <c r="J352" s="29"/>
      <c r="K352" s="29"/>
      <c r="L352" s="29"/>
    </row>
    <row r="353" spans="1:12" x14ac:dyDescent="0.2">
      <c r="A353" s="52"/>
      <c r="B353" s="37"/>
      <c r="C353" s="17"/>
      <c r="D353"/>
      <c r="E353" s="20"/>
      <c r="F353" s="43"/>
      <c r="G353" s="21"/>
      <c r="H353" s="29"/>
      <c r="I353" s="35"/>
      <c r="J353" s="29"/>
      <c r="K353" s="29"/>
      <c r="L353" s="29"/>
    </row>
    <row r="354" spans="1:12" x14ac:dyDescent="0.2">
      <c r="A354" s="51" t="s">
        <v>109</v>
      </c>
      <c r="B354" s="37">
        <v>505239728</v>
      </c>
      <c r="C354" s="17">
        <v>35300</v>
      </c>
      <c r="D354" t="s">
        <v>110</v>
      </c>
      <c r="E354" s="20">
        <v>372.05999999993901</v>
      </c>
      <c r="F354" s="43"/>
      <c r="G354" s="21">
        <v>42370</v>
      </c>
      <c r="H354" s="29"/>
      <c r="I354" s="35"/>
      <c r="J354" s="29"/>
      <c r="K354" s="29"/>
      <c r="L354" s="29"/>
    </row>
    <row r="355" spans="1:12" x14ac:dyDescent="0.2">
      <c r="A355" s="52"/>
      <c r="B355" s="37">
        <v>505239728</v>
      </c>
      <c r="C355" s="17">
        <v>35300</v>
      </c>
      <c r="D355" t="s">
        <v>110</v>
      </c>
      <c r="E355" s="20">
        <v>-228.07999999995809</v>
      </c>
      <c r="F355" s="43"/>
      <c r="G355" s="21">
        <v>42401</v>
      </c>
      <c r="H355" s="29"/>
      <c r="I355" s="35"/>
      <c r="J355" s="29"/>
      <c r="K355" s="29"/>
      <c r="L355" s="29"/>
    </row>
    <row r="356" spans="1:12" x14ac:dyDescent="0.2">
      <c r="A356" s="52"/>
      <c r="B356" s="37">
        <v>505239728</v>
      </c>
      <c r="C356" s="17">
        <v>35300</v>
      </c>
      <c r="D356" t="s">
        <v>110</v>
      </c>
      <c r="E356" s="20">
        <v>10.96999999997206</v>
      </c>
      <c r="F356" s="43"/>
      <c r="G356" s="21">
        <v>42430</v>
      </c>
      <c r="H356" s="29"/>
      <c r="I356" s="35"/>
      <c r="J356" s="29"/>
      <c r="K356" s="29"/>
      <c r="L356" s="29"/>
    </row>
    <row r="357" spans="1:12" x14ac:dyDescent="0.2">
      <c r="A357" s="52"/>
      <c r="B357" s="37">
        <v>505239728</v>
      </c>
      <c r="C357" s="17">
        <v>35300</v>
      </c>
      <c r="D357" t="s">
        <v>110</v>
      </c>
      <c r="E357" s="20">
        <v>-41964.430000000168</v>
      </c>
      <c r="F357" s="43"/>
      <c r="G357" s="21">
        <v>42461</v>
      </c>
      <c r="H357" s="29"/>
      <c r="I357" s="35"/>
      <c r="J357" s="29"/>
      <c r="K357" s="29"/>
      <c r="L357" s="29"/>
    </row>
    <row r="358" spans="1:12" x14ac:dyDescent="0.2">
      <c r="A358" s="52"/>
      <c r="B358" s="37">
        <v>505239728</v>
      </c>
      <c r="C358" s="17">
        <v>35300</v>
      </c>
      <c r="D358" t="s">
        <v>110</v>
      </c>
      <c r="E358" s="60">
        <v>2020.6299999998882</v>
      </c>
      <c r="F358" s="43"/>
      <c r="G358" s="21">
        <v>42491</v>
      </c>
      <c r="H358" s="29"/>
      <c r="I358" s="35"/>
      <c r="J358" s="29"/>
      <c r="K358" s="29"/>
      <c r="L358" s="29"/>
    </row>
    <row r="359" spans="1:12" x14ac:dyDescent="0.2">
      <c r="A359" s="52"/>
      <c r="B359" s="37"/>
      <c r="C359" s="17"/>
      <c r="D359" s="40" t="s">
        <v>12</v>
      </c>
      <c r="E359" s="20">
        <f>SUM(E354:E358)</f>
        <v>-39788.850000000326</v>
      </c>
      <c r="F359" s="43"/>
      <c r="G359" s="21"/>
      <c r="H359" s="29"/>
      <c r="I359" s="35"/>
      <c r="J359" s="29"/>
      <c r="K359" s="29"/>
      <c r="L359" s="29"/>
    </row>
    <row r="360" spans="1:12" x14ac:dyDescent="0.2">
      <c r="A360" s="52"/>
      <c r="B360" s="37"/>
      <c r="C360" s="17"/>
      <c r="D360"/>
      <c r="E360" s="60"/>
      <c r="F360" s="43"/>
      <c r="G360" s="21"/>
      <c r="H360" s="29"/>
      <c r="I360" s="35"/>
      <c r="J360" s="29"/>
      <c r="K360" s="29"/>
      <c r="L360" s="29"/>
    </row>
    <row r="361" spans="1:12" x14ac:dyDescent="0.2">
      <c r="A361" s="25" t="s">
        <v>111</v>
      </c>
      <c r="B361" s="37">
        <v>545747247</v>
      </c>
      <c r="C361" s="17">
        <v>35300</v>
      </c>
      <c r="D361" t="s">
        <v>112</v>
      </c>
      <c r="E361" s="20">
        <v>511.57000000006519</v>
      </c>
      <c r="F361" s="43"/>
      <c r="G361" s="21">
        <v>42370</v>
      </c>
      <c r="H361" s="29"/>
      <c r="I361" s="35"/>
      <c r="J361" s="29"/>
      <c r="K361" s="29"/>
      <c r="L361" s="29"/>
    </row>
    <row r="362" spans="1:12" x14ac:dyDescent="0.2">
      <c r="A362" s="52"/>
      <c r="B362" s="37">
        <v>545747247</v>
      </c>
      <c r="C362" s="17">
        <v>35300</v>
      </c>
      <c r="D362" t="s">
        <v>112</v>
      </c>
      <c r="E362" s="20">
        <v>15.669999999925494</v>
      </c>
      <c r="F362" s="43"/>
      <c r="G362" s="21">
        <v>42401</v>
      </c>
      <c r="H362" s="29"/>
      <c r="I362" s="35"/>
      <c r="J362" s="29"/>
      <c r="K362" s="29"/>
      <c r="L362" s="29"/>
    </row>
    <row r="363" spans="1:12" x14ac:dyDescent="0.2">
      <c r="A363" s="52"/>
      <c r="B363" s="37">
        <v>545747247</v>
      </c>
      <c r="C363" s="17">
        <v>35300</v>
      </c>
      <c r="D363" t="s">
        <v>112</v>
      </c>
      <c r="E363" s="20">
        <v>15.840000000083819</v>
      </c>
      <c r="F363" s="43"/>
      <c r="G363" s="21">
        <v>42430</v>
      </c>
      <c r="H363" s="29"/>
      <c r="I363" s="35"/>
      <c r="J363" s="29"/>
      <c r="K363" s="29"/>
      <c r="L363" s="29"/>
    </row>
    <row r="364" spans="1:12" x14ac:dyDescent="0.2">
      <c r="A364" s="52"/>
      <c r="B364" s="37">
        <v>545747247</v>
      </c>
      <c r="C364" s="17">
        <v>35300</v>
      </c>
      <c r="D364" t="s">
        <v>112</v>
      </c>
      <c r="E364" s="20">
        <v>-6088.8100000000559</v>
      </c>
      <c r="F364" s="43"/>
      <c r="G364" s="21">
        <v>42461</v>
      </c>
      <c r="H364" s="29"/>
      <c r="I364" s="35"/>
      <c r="J364" s="29"/>
      <c r="K364" s="29"/>
      <c r="L364" s="29"/>
    </row>
    <row r="365" spans="1:12" x14ac:dyDescent="0.2">
      <c r="A365" s="52"/>
      <c r="B365" s="37">
        <v>545747247</v>
      </c>
      <c r="C365" s="17">
        <v>35300</v>
      </c>
      <c r="D365" t="s">
        <v>112</v>
      </c>
      <c r="E365" s="20">
        <f>30.08+0.39</f>
        <v>30.47</v>
      </c>
      <c r="F365" s="43"/>
      <c r="G365" s="21">
        <v>42614</v>
      </c>
      <c r="H365" s="29"/>
      <c r="I365" s="35"/>
      <c r="J365" s="29"/>
      <c r="K365" s="29"/>
      <c r="L365" s="29"/>
    </row>
    <row r="366" spans="1:12" x14ac:dyDescent="0.2">
      <c r="A366" s="52"/>
      <c r="B366" s="37">
        <v>545747247</v>
      </c>
      <c r="C366" s="17">
        <v>35300</v>
      </c>
      <c r="D366" t="s">
        <v>112</v>
      </c>
      <c r="E366" s="20">
        <v>30.47</v>
      </c>
      <c r="F366" s="43"/>
      <c r="G366" s="21">
        <v>42644</v>
      </c>
      <c r="H366" s="29"/>
      <c r="I366" s="35"/>
      <c r="J366" s="29"/>
      <c r="K366" s="29"/>
      <c r="L366" s="29"/>
    </row>
    <row r="367" spans="1:12" x14ac:dyDescent="0.2">
      <c r="A367" s="52"/>
      <c r="B367" s="37">
        <v>545747247</v>
      </c>
      <c r="C367" s="17">
        <v>35300</v>
      </c>
      <c r="D367" t="s">
        <v>112</v>
      </c>
      <c r="E367" s="60">
        <f>2.3+0.03</f>
        <v>2.3299999999999996</v>
      </c>
      <c r="F367" s="43"/>
      <c r="G367" s="21">
        <v>42705</v>
      </c>
      <c r="H367" s="29"/>
      <c r="I367" s="35"/>
      <c r="J367" s="29"/>
      <c r="K367" s="29"/>
      <c r="L367" s="29"/>
    </row>
    <row r="368" spans="1:12" x14ac:dyDescent="0.2">
      <c r="A368" s="52"/>
      <c r="B368" s="37"/>
      <c r="C368" s="17"/>
      <c r="D368" s="40" t="s">
        <v>12</v>
      </c>
      <c r="E368" s="20">
        <f>SUM(E361:E367)</f>
        <v>-5482.4599999999809</v>
      </c>
      <c r="F368" s="43"/>
      <c r="G368" s="21"/>
      <c r="H368" s="29"/>
      <c r="I368" s="35"/>
      <c r="J368" s="29"/>
      <c r="K368" s="29"/>
      <c r="L368" s="29"/>
    </row>
    <row r="369" spans="1:12" x14ac:dyDescent="0.2">
      <c r="A369" s="52"/>
      <c r="B369" s="37"/>
      <c r="C369" s="17"/>
      <c r="D369"/>
      <c r="E369" s="20"/>
      <c r="F369" s="43"/>
      <c r="G369" s="21"/>
      <c r="H369" s="29"/>
      <c r="I369" s="35"/>
      <c r="J369" s="29"/>
      <c r="K369" s="29"/>
      <c r="L369" s="29"/>
    </row>
    <row r="370" spans="1:12" x14ac:dyDescent="0.2">
      <c r="A370" s="51" t="s">
        <v>113</v>
      </c>
      <c r="B370" s="37">
        <v>534342055</v>
      </c>
      <c r="C370" s="17">
        <v>35300</v>
      </c>
      <c r="D370" t="s">
        <v>114</v>
      </c>
      <c r="E370" s="20">
        <v>46173.660000000149</v>
      </c>
      <c r="F370" s="43"/>
      <c r="G370" s="21">
        <v>42370</v>
      </c>
      <c r="H370" s="29"/>
      <c r="I370" s="35"/>
      <c r="J370" s="29"/>
      <c r="K370" s="29"/>
      <c r="L370" s="29"/>
    </row>
    <row r="371" spans="1:12" x14ac:dyDescent="0.2">
      <c r="A371" s="52"/>
      <c r="B371" s="37">
        <v>534342055</v>
      </c>
      <c r="C371" s="17">
        <v>35300</v>
      </c>
      <c r="D371" t="s">
        <v>114</v>
      </c>
      <c r="E371" s="20">
        <v>22364.260000001639</v>
      </c>
      <c r="F371" s="43"/>
      <c r="G371" s="21">
        <v>42401</v>
      </c>
      <c r="H371" s="29"/>
      <c r="I371" s="35"/>
      <c r="J371" s="29"/>
      <c r="K371" s="29"/>
      <c r="L371" s="29"/>
    </row>
    <row r="372" spans="1:12" x14ac:dyDescent="0.2">
      <c r="A372" s="52"/>
      <c r="B372" s="37">
        <v>534342055</v>
      </c>
      <c r="C372" s="17">
        <v>35300</v>
      </c>
      <c r="D372" t="s">
        <v>114</v>
      </c>
      <c r="E372" s="20">
        <v>6134.4899999983609</v>
      </c>
      <c r="F372" s="43"/>
      <c r="G372" s="21">
        <v>42430</v>
      </c>
      <c r="H372" s="29"/>
      <c r="I372" s="35"/>
      <c r="J372" s="29"/>
      <c r="K372" s="29"/>
      <c r="L372" s="29"/>
    </row>
    <row r="373" spans="1:12" x14ac:dyDescent="0.2">
      <c r="A373" s="52"/>
      <c r="B373" s="37">
        <v>534342055</v>
      </c>
      <c r="C373" s="17">
        <v>35300</v>
      </c>
      <c r="D373" t="s">
        <v>114</v>
      </c>
      <c r="E373" s="20">
        <v>-1613.2999999970198</v>
      </c>
      <c r="F373" s="43"/>
      <c r="G373" s="21">
        <v>42461</v>
      </c>
      <c r="H373" s="29"/>
      <c r="I373" s="35"/>
      <c r="J373" s="29"/>
      <c r="K373" s="29"/>
      <c r="L373" s="29"/>
    </row>
    <row r="374" spans="1:12" x14ac:dyDescent="0.2">
      <c r="A374" s="52"/>
      <c r="B374" s="37">
        <v>534342055</v>
      </c>
      <c r="C374" s="17" t="s">
        <v>59</v>
      </c>
      <c r="D374" t="s">
        <v>114</v>
      </c>
      <c r="E374" s="20">
        <v>14880.25</v>
      </c>
      <c r="F374" s="43"/>
      <c r="G374" s="21">
        <v>42491</v>
      </c>
      <c r="H374" s="29"/>
      <c r="I374" s="35"/>
      <c r="J374" s="29"/>
      <c r="K374" s="29"/>
      <c r="L374" s="29"/>
    </row>
    <row r="375" spans="1:12" x14ac:dyDescent="0.2">
      <c r="A375" s="52"/>
      <c r="B375" s="37">
        <v>534342055</v>
      </c>
      <c r="C375" s="17">
        <v>35210</v>
      </c>
      <c r="D375" t="s">
        <v>114</v>
      </c>
      <c r="E375" s="28">
        <v>-1066.7399999999998</v>
      </c>
      <c r="F375" s="43"/>
      <c r="G375" s="21">
        <v>42522</v>
      </c>
      <c r="H375" s="29"/>
      <c r="I375" s="35"/>
      <c r="J375" s="29"/>
      <c r="K375" s="29"/>
      <c r="L375" s="29"/>
    </row>
    <row r="376" spans="1:12" x14ac:dyDescent="0.2">
      <c r="A376" s="52"/>
      <c r="B376" s="37">
        <v>534342055</v>
      </c>
      <c r="C376" s="17">
        <v>35300</v>
      </c>
      <c r="D376" t="s">
        <v>114</v>
      </c>
      <c r="E376" s="28">
        <v>7876.269999999553</v>
      </c>
      <c r="F376" s="43"/>
      <c r="G376" s="21">
        <v>42522</v>
      </c>
      <c r="H376" s="29"/>
      <c r="I376" s="35"/>
      <c r="J376" s="29"/>
      <c r="K376" s="29"/>
      <c r="L376" s="29"/>
    </row>
    <row r="377" spans="1:12" x14ac:dyDescent="0.2">
      <c r="A377" s="52"/>
      <c r="B377" s="37">
        <v>534342055</v>
      </c>
      <c r="C377" s="17">
        <v>35300</v>
      </c>
      <c r="D377" t="s">
        <v>114</v>
      </c>
      <c r="E377" s="28">
        <v>-2756.62</v>
      </c>
      <c r="F377" s="43"/>
      <c r="G377" s="21">
        <v>42522</v>
      </c>
      <c r="H377" s="29"/>
      <c r="I377" s="35"/>
      <c r="J377" s="29"/>
      <c r="K377" s="29"/>
      <c r="L377" s="29"/>
    </row>
    <row r="378" spans="1:12" x14ac:dyDescent="0.2">
      <c r="A378" s="52"/>
      <c r="B378" s="37">
        <v>534342055</v>
      </c>
      <c r="C378" s="17">
        <v>35210</v>
      </c>
      <c r="D378" t="s">
        <v>114</v>
      </c>
      <c r="E378" s="28">
        <v>-28897.43</v>
      </c>
      <c r="F378" s="43"/>
      <c r="G378" s="21">
        <v>42552</v>
      </c>
      <c r="H378" s="29"/>
      <c r="I378" s="35"/>
      <c r="J378" s="29"/>
      <c r="K378" s="29"/>
      <c r="L378" s="29"/>
    </row>
    <row r="379" spans="1:12" x14ac:dyDescent="0.2">
      <c r="A379" s="52"/>
      <c r="B379" s="37">
        <v>534342055</v>
      </c>
      <c r="C379" s="17">
        <v>35300</v>
      </c>
      <c r="D379" t="s">
        <v>114</v>
      </c>
      <c r="E379" s="28">
        <v>-80485.840000000069</v>
      </c>
      <c r="F379" s="43"/>
      <c r="G379" s="21">
        <v>42552</v>
      </c>
      <c r="H379" s="29"/>
      <c r="I379" s="35"/>
      <c r="J379" s="29"/>
      <c r="K379" s="29"/>
      <c r="L379" s="29"/>
    </row>
    <row r="380" spans="1:12" x14ac:dyDescent="0.2">
      <c r="A380" s="52"/>
      <c r="B380" s="37">
        <v>534342055</v>
      </c>
      <c r="C380" s="17" t="s">
        <v>59</v>
      </c>
      <c r="D380" t="s">
        <v>114</v>
      </c>
      <c r="E380" s="28">
        <f>-101347.78+52126.29+134703.45</f>
        <v>85481.960000000021</v>
      </c>
      <c r="F380" s="43"/>
      <c r="G380" s="21">
        <v>42583</v>
      </c>
      <c r="H380" s="29"/>
      <c r="I380" s="35"/>
      <c r="J380" s="29"/>
      <c r="K380" s="29"/>
      <c r="L380" s="29"/>
    </row>
    <row r="381" spans="1:12" x14ac:dyDescent="0.2">
      <c r="A381" s="52"/>
      <c r="B381" s="37">
        <v>534342055</v>
      </c>
      <c r="C381" s="17" t="s">
        <v>59</v>
      </c>
      <c r="D381" t="s">
        <v>114</v>
      </c>
      <c r="E381" s="28">
        <f>90688.43-18157.05-46921.01</f>
        <v>25610.369999999988</v>
      </c>
      <c r="F381" s="43"/>
      <c r="G381" s="21">
        <v>42614</v>
      </c>
      <c r="H381" s="29"/>
      <c r="I381" s="35"/>
      <c r="J381" s="29"/>
      <c r="K381" s="29"/>
      <c r="L381" s="29"/>
    </row>
    <row r="382" spans="1:12" x14ac:dyDescent="0.2">
      <c r="A382" s="52"/>
      <c r="B382" s="37">
        <v>534342055</v>
      </c>
      <c r="C382" s="17" t="s">
        <v>59</v>
      </c>
      <c r="D382" t="s">
        <v>114</v>
      </c>
      <c r="E382" s="28">
        <f>19102.27-5106.28-13195.52</f>
        <v>800.47000000000116</v>
      </c>
      <c r="F382" s="43"/>
      <c r="G382" s="21">
        <v>42644</v>
      </c>
      <c r="H382" s="29"/>
      <c r="I382" s="35"/>
      <c r="J382" s="29"/>
      <c r="K382" s="29"/>
      <c r="L382" s="29"/>
    </row>
    <row r="383" spans="1:12" x14ac:dyDescent="0.2">
      <c r="A383" s="52"/>
      <c r="B383" s="37">
        <v>534342055</v>
      </c>
      <c r="C383" s="17" t="s">
        <v>59</v>
      </c>
      <c r="D383" t="s">
        <v>114</v>
      </c>
      <c r="E383" s="28">
        <f>-98.9+172.43+445.6</f>
        <v>519.13</v>
      </c>
      <c r="F383" s="43"/>
      <c r="G383" s="21">
        <v>42675</v>
      </c>
      <c r="H383" s="29"/>
      <c r="I383" s="35"/>
      <c r="J383" s="29"/>
      <c r="K383" s="29"/>
      <c r="L383" s="29"/>
    </row>
    <row r="384" spans="1:12" x14ac:dyDescent="0.2">
      <c r="A384" s="52"/>
      <c r="B384" s="37">
        <v>534342055</v>
      </c>
      <c r="C384" s="17" t="s">
        <v>59</v>
      </c>
      <c r="D384" t="s">
        <v>114</v>
      </c>
      <c r="E384" s="60">
        <f>8519.13-73.03-188.73</f>
        <v>8257.369999999999</v>
      </c>
      <c r="F384" s="43"/>
      <c r="G384" s="21">
        <v>42705</v>
      </c>
      <c r="H384" s="29"/>
      <c r="I384" s="35"/>
      <c r="J384" s="29"/>
      <c r="K384" s="29"/>
      <c r="L384" s="29"/>
    </row>
    <row r="385" spans="1:12" x14ac:dyDescent="0.2">
      <c r="A385" s="52"/>
      <c r="B385" s="23"/>
      <c r="C385" s="17"/>
      <c r="D385" s="29" t="s">
        <v>12</v>
      </c>
      <c r="E385" s="28">
        <f>SUM(E370:E384)</f>
        <v>103278.30000000264</v>
      </c>
      <c r="F385" s="43"/>
      <c r="G385" s="21"/>
      <c r="H385" s="29"/>
      <c r="I385" s="35"/>
      <c r="J385" s="29"/>
      <c r="K385" s="29"/>
      <c r="L385" s="29"/>
    </row>
    <row r="386" spans="1:12" x14ac:dyDescent="0.2">
      <c r="A386" s="52"/>
      <c r="B386" s="23"/>
      <c r="C386" s="17"/>
      <c r="D386" s="29"/>
      <c r="E386" s="28"/>
      <c r="F386" s="43"/>
      <c r="G386" s="21"/>
      <c r="H386" s="29"/>
      <c r="I386" s="35"/>
      <c r="J386" s="29"/>
      <c r="K386" s="29"/>
      <c r="L386" s="29"/>
    </row>
    <row r="387" spans="1:12" x14ac:dyDescent="0.2">
      <c r="A387" s="25" t="s">
        <v>115</v>
      </c>
      <c r="B387" s="37">
        <v>708223521</v>
      </c>
      <c r="C387" s="17">
        <v>35300</v>
      </c>
      <c r="D387" t="s">
        <v>116</v>
      </c>
      <c r="E387" s="20">
        <v>1889.90999999991</v>
      </c>
      <c r="F387" s="43"/>
      <c r="G387" s="21">
        <v>42370</v>
      </c>
      <c r="H387" s="29"/>
      <c r="I387" s="35"/>
      <c r="J387" s="29"/>
      <c r="K387" s="29"/>
      <c r="L387" s="29"/>
    </row>
    <row r="388" spans="1:12" x14ac:dyDescent="0.2">
      <c r="A388" s="52"/>
      <c r="B388" s="37">
        <v>708223521</v>
      </c>
      <c r="C388" s="17">
        <v>35300</v>
      </c>
      <c r="D388" t="s">
        <v>116</v>
      </c>
      <c r="E388" s="20">
        <v>-26.539999999920838</v>
      </c>
      <c r="F388" s="43"/>
      <c r="G388" s="21">
        <v>42401</v>
      </c>
      <c r="H388" s="29"/>
      <c r="I388" s="35"/>
      <c r="J388" s="29"/>
      <c r="K388" s="29"/>
      <c r="L388" s="29"/>
    </row>
    <row r="389" spans="1:12" x14ac:dyDescent="0.2">
      <c r="A389" s="52"/>
      <c r="B389" s="37">
        <v>708223521</v>
      </c>
      <c r="C389" s="17">
        <v>35300</v>
      </c>
      <c r="D389" t="s">
        <v>116</v>
      </c>
      <c r="E389" s="20">
        <v>-468.67000000004191</v>
      </c>
      <c r="F389" s="43"/>
      <c r="G389" s="21">
        <v>42430</v>
      </c>
      <c r="H389" s="29"/>
      <c r="I389" s="35"/>
      <c r="J389" s="29"/>
      <c r="K389" s="29"/>
      <c r="L389" s="29"/>
    </row>
    <row r="390" spans="1:12" x14ac:dyDescent="0.2">
      <c r="A390" s="52"/>
      <c r="B390" s="37">
        <v>708223521</v>
      </c>
      <c r="C390" s="17">
        <v>35300</v>
      </c>
      <c r="D390" t="s">
        <v>116</v>
      </c>
      <c r="E390" s="20">
        <v>-4732.5300000000279</v>
      </c>
      <c r="F390" s="43"/>
      <c r="G390" s="21">
        <v>42461</v>
      </c>
      <c r="H390" s="29"/>
      <c r="I390" s="35"/>
      <c r="J390" s="29"/>
      <c r="K390" s="29"/>
      <c r="L390" s="29"/>
    </row>
    <row r="391" spans="1:12" x14ac:dyDescent="0.2">
      <c r="A391" s="52"/>
      <c r="B391" s="37">
        <v>708223521</v>
      </c>
      <c r="C391" s="17">
        <v>35300</v>
      </c>
      <c r="D391" t="s">
        <v>116</v>
      </c>
      <c r="E391" s="20">
        <v>229.26000000000931</v>
      </c>
      <c r="F391" s="43"/>
      <c r="G391" s="21">
        <v>42491</v>
      </c>
      <c r="H391" s="29"/>
      <c r="I391" s="35"/>
      <c r="J391" s="29"/>
      <c r="K391" s="29"/>
      <c r="L391" s="29"/>
    </row>
    <row r="392" spans="1:12" x14ac:dyDescent="0.2">
      <c r="A392" s="52"/>
      <c r="B392" s="37">
        <v>708223521</v>
      </c>
      <c r="C392" s="17">
        <v>35300</v>
      </c>
      <c r="D392" t="s">
        <v>116</v>
      </c>
      <c r="E392" s="44">
        <v>69.739999999990687</v>
      </c>
      <c r="F392" s="43"/>
      <c r="G392" s="21">
        <v>42522</v>
      </c>
      <c r="H392" s="29"/>
      <c r="I392" s="35"/>
      <c r="J392" s="29"/>
      <c r="K392" s="29"/>
      <c r="L392" s="29"/>
    </row>
    <row r="393" spans="1:12" x14ac:dyDescent="0.2">
      <c r="A393" s="52"/>
      <c r="B393" s="37">
        <v>708223521</v>
      </c>
      <c r="C393" s="17">
        <v>35300</v>
      </c>
      <c r="D393" t="s">
        <v>116</v>
      </c>
      <c r="E393" s="20">
        <v>-18.29</v>
      </c>
      <c r="F393" s="43"/>
      <c r="G393" s="21">
        <v>42552</v>
      </c>
      <c r="H393" s="29"/>
      <c r="I393" s="35"/>
      <c r="J393" s="29"/>
      <c r="K393" s="29"/>
      <c r="L393" s="29"/>
    </row>
    <row r="394" spans="1:12" x14ac:dyDescent="0.2">
      <c r="A394" s="52"/>
      <c r="B394" s="37">
        <v>708223521</v>
      </c>
      <c r="C394" s="17">
        <v>35300</v>
      </c>
      <c r="D394" t="s">
        <v>116</v>
      </c>
      <c r="E394" s="20">
        <v>2554.5</v>
      </c>
      <c r="F394" s="43"/>
      <c r="G394" s="21">
        <v>42583</v>
      </c>
      <c r="H394" s="29"/>
      <c r="I394" s="35"/>
      <c r="J394" s="29"/>
      <c r="K394" s="29"/>
      <c r="L394" s="29"/>
    </row>
    <row r="395" spans="1:12" x14ac:dyDescent="0.2">
      <c r="A395" s="52"/>
      <c r="B395" s="37">
        <v>708223521</v>
      </c>
      <c r="C395" s="17">
        <v>35300</v>
      </c>
      <c r="D395" t="s">
        <v>116</v>
      </c>
      <c r="E395" s="60">
        <v>2.2200000000000002</v>
      </c>
      <c r="F395" s="43"/>
      <c r="G395" s="21">
        <v>42614</v>
      </c>
      <c r="H395" s="29"/>
      <c r="I395" s="35"/>
      <c r="J395" s="29"/>
      <c r="K395" s="29"/>
      <c r="L395" s="29"/>
    </row>
    <row r="396" spans="1:12" x14ac:dyDescent="0.2">
      <c r="A396" s="52"/>
      <c r="B396" s="37"/>
      <c r="C396" s="17"/>
      <c r="D396" s="40" t="s">
        <v>12</v>
      </c>
      <c r="E396" s="20">
        <f>SUM(E387:E395)</f>
        <v>-500.40000000008081</v>
      </c>
      <c r="F396" s="43"/>
      <c r="G396" s="21"/>
      <c r="H396" s="29"/>
      <c r="I396" s="35"/>
      <c r="J396" s="29"/>
      <c r="K396" s="29"/>
      <c r="L396" s="29"/>
    </row>
    <row r="397" spans="1:12" x14ac:dyDescent="0.2">
      <c r="A397" s="52"/>
      <c r="B397" s="37"/>
      <c r="C397" s="17"/>
      <c r="D397"/>
      <c r="E397" s="20"/>
      <c r="F397" s="43"/>
      <c r="G397" s="21"/>
      <c r="H397" s="29"/>
      <c r="I397" s="35"/>
      <c r="J397" s="29"/>
      <c r="K397" s="29"/>
      <c r="L397" s="29"/>
    </row>
    <row r="398" spans="1:12" x14ac:dyDescent="0.2">
      <c r="A398" s="51" t="s">
        <v>117</v>
      </c>
      <c r="B398" s="37">
        <v>534344922</v>
      </c>
      <c r="C398" s="17">
        <v>35300</v>
      </c>
      <c r="D398" t="s">
        <v>118</v>
      </c>
      <c r="E398" s="20">
        <v>6209.2300000004398</v>
      </c>
      <c r="F398" s="43"/>
      <c r="G398" s="21">
        <v>42370</v>
      </c>
      <c r="H398" s="29"/>
      <c r="I398" s="35"/>
      <c r="J398" s="29"/>
      <c r="K398" s="29"/>
      <c r="L398" s="29"/>
    </row>
    <row r="399" spans="1:12" x14ac:dyDescent="0.2">
      <c r="A399" s="52"/>
      <c r="B399" s="37">
        <v>534344922</v>
      </c>
      <c r="C399" s="17">
        <v>35300</v>
      </c>
      <c r="D399" t="s">
        <v>118</v>
      </c>
      <c r="E399" s="20">
        <v>13004.589999999851</v>
      </c>
      <c r="F399" s="43"/>
      <c r="G399" s="21">
        <v>42401</v>
      </c>
      <c r="H399" s="29"/>
      <c r="I399" s="35"/>
      <c r="J399" s="29"/>
      <c r="K399" s="29"/>
      <c r="L399" s="29"/>
    </row>
    <row r="400" spans="1:12" x14ac:dyDescent="0.2">
      <c r="A400" s="52"/>
      <c r="B400" s="37">
        <v>534344922</v>
      </c>
      <c r="C400" s="17">
        <v>35300</v>
      </c>
      <c r="D400" t="s">
        <v>118</v>
      </c>
      <c r="E400" s="60">
        <v>-476.51000000163913</v>
      </c>
      <c r="F400" s="43"/>
      <c r="G400" s="21">
        <v>42430</v>
      </c>
      <c r="H400" s="29"/>
      <c r="I400" s="35"/>
      <c r="J400" s="29"/>
      <c r="K400" s="29"/>
      <c r="L400" s="29"/>
    </row>
    <row r="401" spans="1:12" x14ac:dyDescent="0.2">
      <c r="A401" s="52"/>
      <c r="B401" s="37"/>
      <c r="C401" s="17"/>
      <c r="D401" s="40" t="s">
        <v>12</v>
      </c>
      <c r="E401" s="20">
        <f>SUM(E398:E400)</f>
        <v>18737.309999998652</v>
      </c>
      <c r="F401" s="43"/>
      <c r="G401" s="21"/>
      <c r="H401" s="29"/>
      <c r="I401" s="35"/>
      <c r="J401" s="29"/>
      <c r="K401" s="29"/>
      <c r="L401" s="29"/>
    </row>
    <row r="402" spans="1:12" x14ac:dyDescent="0.2">
      <c r="A402" s="52"/>
      <c r="B402" s="37"/>
      <c r="C402" s="17"/>
      <c r="D402"/>
      <c r="E402" s="20"/>
      <c r="F402" s="43"/>
      <c r="G402" s="21"/>
      <c r="H402" s="29"/>
      <c r="I402" s="35"/>
      <c r="J402" s="29"/>
      <c r="K402" s="29"/>
      <c r="L402" s="29"/>
    </row>
    <row r="403" spans="1:12" x14ac:dyDescent="0.2">
      <c r="A403" s="51" t="s">
        <v>119</v>
      </c>
      <c r="B403" s="37">
        <v>530917549</v>
      </c>
      <c r="C403" s="17" t="s">
        <v>120</v>
      </c>
      <c r="D403" t="s">
        <v>121</v>
      </c>
      <c r="E403" s="20">
        <v>7287.76</v>
      </c>
      <c r="F403" s="43"/>
      <c r="G403" s="21">
        <v>42370</v>
      </c>
      <c r="H403" s="29"/>
      <c r="I403" s="35"/>
      <c r="J403" s="29"/>
      <c r="K403" s="29"/>
      <c r="L403" s="29"/>
    </row>
    <row r="404" spans="1:12" x14ac:dyDescent="0.2">
      <c r="A404" s="52"/>
      <c r="B404" s="37">
        <v>530917549</v>
      </c>
      <c r="C404" s="17" t="s">
        <v>120</v>
      </c>
      <c r="D404" t="s">
        <v>121</v>
      </c>
      <c r="E404" s="20">
        <v>-27968.29</v>
      </c>
      <c r="F404" s="43"/>
      <c r="G404" s="21">
        <v>42401</v>
      </c>
      <c r="H404" s="29"/>
      <c r="I404" s="35"/>
      <c r="J404" s="29"/>
      <c r="K404" s="29"/>
      <c r="L404" s="29"/>
    </row>
    <row r="405" spans="1:12" x14ac:dyDescent="0.2">
      <c r="A405" s="52"/>
      <c r="B405" s="37">
        <v>530917549</v>
      </c>
      <c r="C405" s="17" t="s">
        <v>120</v>
      </c>
      <c r="D405" t="s">
        <v>121</v>
      </c>
      <c r="E405" s="20">
        <v>43544.47</v>
      </c>
      <c r="F405" s="43"/>
      <c r="G405" s="21">
        <v>42430</v>
      </c>
      <c r="H405" s="29"/>
      <c r="I405" s="35"/>
      <c r="J405" s="29"/>
      <c r="K405" s="29"/>
      <c r="L405" s="29"/>
    </row>
    <row r="406" spans="1:12" x14ac:dyDescent="0.2">
      <c r="A406" s="52"/>
      <c r="B406" s="37">
        <v>530917549</v>
      </c>
      <c r="C406" s="17" t="s">
        <v>120</v>
      </c>
      <c r="D406" t="s">
        <v>121</v>
      </c>
      <c r="E406" s="20">
        <v>29333.81</v>
      </c>
      <c r="F406" s="43"/>
      <c r="G406" s="21">
        <v>42461</v>
      </c>
      <c r="H406" s="29"/>
      <c r="I406" s="35"/>
      <c r="J406" s="29"/>
      <c r="K406" s="29"/>
      <c r="L406" s="29"/>
    </row>
    <row r="407" spans="1:12" x14ac:dyDescent="0.2">
      <c r="A407" s="52"/>
      <c r="B407" s="37">
        <v>530917549</v>
      </c>
      <c r="C407" s="17" t="s">
        <v>120</v>
      </c>
      <c r="D407" t="s">
        <v>121</v>
      </c>
      <c r="E407" s="20">
        <v>2498.98</v>
      </c>
      <c r="F407" s="43"/>
      <c r="G407" s="21">
        <v>42491</v>
      </c>
      <c r="H407" s="29"/>
      <c r="I407" s="35"/>
      <c r="J407" s="29"/>
      <c r="K407" s="29"/>
      <c r="L407" s="29"/>
    </row>
    <row r="408" spans="1:12" x14ac:dyDescent="0.2">
      <c r="A408" s="52"/>
      <c r="B408" s="37">
        <v>530917549</v>
      </c>
      <c r="C408" s="17">
        <v>35300</v>
      </c>
      <c r="D408" t="s">
        <v>121</v>
      </c>
      <c r="E408" s="44">
        <v>229.20000000000002</v>
      </c>
      <c r="F408" s="43"/>
      <c r="G408" s="21">
        <v>42522</v>
      </c>
      <c r="H408" s="29"/>
      <c r="I408" s="35"/>
      <c r="J408" s="29"/>
      <c r="K408" s="29"/>
      <c r="L408" s="29"/>
    </row>
    <row r="409" spans="1:12" x14ac:dyDescent="0.2">
      <c r="A409" s="52"/>
      <c r="B409" s="37">
        <v>530917549</v>
      </c>
      <c r="C409" s="17">
        <v>35220</v>
      </c>
      <c r="D409" t="s">
        <v>121</v>
      </c>
      <c r="E409" s="44">
        <v>2743.2900000000373</v>
      </c>
      <c r="F409" s="43"/>
      <c r="G409" s="21">
        <v>42522</v>
      </c>
      <c r="H409" s="29"/>
      <c r="I409" s="35"/>
      <c r="J409" s="29"/>
      <c r="K409" s="29"/>
      <c r="L409" s="29"/>
    </row>
    <row r="410" spans="1:12" x14ac:dyDescent="0.2">
      <c r="A410" s="52"/>
      <c r="B410" s="37">
        <v>530917549</v>
      </c>
      <c r="C410" s="17">
        <v>35210</v>
      </c>
      <c r="D410" t="s">
        <v>121</v>
      </c>
      <c r="E410" s="28">
        <v>4.6899999999999995</v>
      </c>
      <c r="F410" s="43"/>
      <c r="G410" s="21">
        <v>42522</v>
      </c>
      <c r="H410" s="29"/>
      <c r="I410" s="35"/>
      <c r="J410" s="29"/>
      <c r="K410" s="29"/>
      <c r="L410" s="29"/>
    </row>
    <row r="411" spans="1:12" x14ac:dyDescent="0.2">
      <c r="A411" s="52"/>
      <c r="B411" s="37">
        <v>530917549</v>
      </c>
      <c r="C411" s="17">
        <v>35220</v>
      </c>
      <c r="D411" t="s">
        <v>121</v>
      </c>
      <c r="E411" s="28">
        <v>3.22</v>
      </c>
      <c r="F411" s="43"/>
      <c r="G411" s="21">
        <v>42522</v>
      </c>
      <c r="H411" s="29"/>
      <c r="I411" s="35"/>
      <c r="J411" s="29"/>
      <c r="K411" s="29"/>
      <c r="L411" s="29"/>
    </row>
    <row r="412" spans="1:12" x14ac:dyDescent="0.2">
      <c r="A412" s="52"/>
      <c r="B412" s="37">
        <v>530917549</v>
      </c>
      <c r="C412" s="17">
        <v>35300</v>
      </c>
      <c r="D412" t="s">
        <v>121</v>
      </c>
      <c r="E412" s="28">
        <v>18282.14999999851</v>
      </c>
      <c r="F412" s="43"/>
      <c r="G412" s="21">
        <v>42522</v>
      </c>
      <c r="H412" s="29"/>
      <c r="I412" s="35"/>
      <c r="J412" s="29"/>
      <c r="K412" s="29"/>
      <c r="L412" s="29"/>
    </row>
    <row r="413" spans="1:12" x14ac:dyDescent="0.2">
      <c r="A413" s="52"/>
      <c r="B413" s="37">
        <v>530917549</v>
      </c>
      <c r="C413" s="17">
        <v>35300</v>
      </c>
      <c r="D413" t="s">
        <v>121</v>
      </c>
      <c r="E413" s="28">
        <v>21855.599999999999</v>
      </c>
      <c r="F413" s="43"/>
      <c r="G413" s="21">
        <v>42552</v>
      </c>
      <c r="H413" s="29"/>
      <c r="I413" s="35"/>
      <c r="J413" s="29"/>
      <c r="K413" s="29"/>
      <c r="L413" s="29"/>
    </row>
    <row r="414" spans="1:12" x14ac:dyDescent="0.2">
      <c r="A414" s="52"/>
      <c r="B414" s="37">
        <v>530917549</v>
      </c>
      <c r="C414" s="17">
        <v>35220</v>
      </c>
      <c r="D414" t="s">
        <v>121</v>
      </c>
      <c r="E414" s="28">
        <v>367.77</v>
      </c>
      <c r="F414" s="43"/>
      <c r="G414" s="21">
        <v>42552</v>
      </c>
      <c r="H414" s="29"/>
      <c r="I414" s="35"/>
      <c r="J414" s="29"/>
      <c r="K414" s="29"/>
      <c r="L414" s="29"/>
    </row>
    <row r="415" spans="1:12" x14ac:dyDescent="0.2">
      <c r="A415" s="52"/>
      <c r="B415" s="37">
        <v>530917549</v>
      </c>
      <c r="C415" s="17">
        <v>35210</v>
      </c>
      <c r="D415" t="s">
        <v>121</v>
      </c>
      <c r="E415" s="28">
        <v>438.21</v>
      </c>
      <c r="F415" s="43"/>
      <c r="G415" s="21">
        <v>42552</v>
      </c>
      <c r="H415" s="29"/>
      <c r="I415" s="35"/>
      <c r="J415" s="29"/>
      <c r="K415" s="29"/>
      <c r="L415" s="29"/>
    </row>
    <row r="416" spans="1:12" x14ac:dyDescent="0.2">
      <c r="A416" s="52"/>
      <c r="B416" s="37">
        <v>530917549</v>
      </c>
      <c r="C416" s="17" t="s">
        <v>47</v>
      </c>
      <c r="D416" t="s">
        <v>121</v>
      </c>
      <c r="E416" s="28">
        <f>6471.75+43129.84-436.68-301.33-21345.17</f>
        <v>27518.409999999996</v>
      </c>
      <c r="F416" s="43"/>
      <c r="G416" s="21">
        <v>42583</v>
      </c>
      <c r="H416" s="29"/>
      <c r="I416" s="35"/>
      <c r="J416" s="29"/>
      <c r="K416" s="29"/>
      <c r="L416" s="29"/>
    </row>
    <row r="417" spans="1:12" x14ac:dyDescent="0.2">
      <c r="A417" s="52"/>
      <c r="B417" s="37">
        <v>530917549</v>
      </c>
      <c r="C417" s="17" t="s">
        <v>47</v>
      </c>
      <c r="D417" t="s">
        <v>121</v>
      </c>
      <c r="E417" s="20">
        <f>570.68+3803.17+73.75+50.9+3605.03</f>
        <v>8103.5300000000007</v>
      </c>
      <c r="F417" s="43"/>
      <c r="G417" s="21">
        <v>42614</v>
      </c>
      <c r="H417" s="29"/>
      <c r="I417" s="35"/>
      <c r="J417" s="29"/>
      <c r="K417" s="29"/>
      <c r="L417" s="29"/>
    </row>
    <row r="418" spans="1:12" x14ac:dyDescent="0.2">
      <c r="A418" s="52"/>
      <c r="B418" s="37">
        <v>530917549</v>
      </c>
      <c r="C418" s="17" t="s">
        <v>47</v>
      </c>
      <c r="D418" t="s">
        <v>121</v>
      </c>
      <c r="E418" s="60">
        <f>597.8+3983.88-80.46-55.54-3933.2</f>
        <v>512.48000000000047</v>
      </c>
      <c r="F418" s="43"/>
      <c r="G418" s="21">
        <v>42644</v>
      </c>
      <c r="H418" s="29"/>
      <c r="I418" s="35"/>
      <c r="J418" s="29"/>
      <c r="K418" s="29"/>
      <c r="L418" s="29"/>
    </row>
    <row r="419" spans="1:12" x14ac:dyDescent="0.2">
      <c r="A419" s="52"/>
      <c r="B419" s="37"/>
      <c r="C419" s="17"/>
      <c r="D419" s="40" t="s">
        <v>12</v>
      </c>
      <c r="E419" s="20">
        <f>SUM(E403:E418)</f>
        <v>134755.27999999857</v>
      </c>
      <c r="F419" s="43"/>
      <c r="G419" s="21"/>
      <c r="H419" s="29"/>
      <c r="I419" s="35"/>
      <c r="J419" s="29"/>
      <c r="K419" s="29"/>
      <c r="L419" s="29"/>
    </row>
    <row r="420" spans="1:12" x14ac:dyDescent="0.2">
      <c r="A420" s="52"/>
      <c r="B420" s="37"/>
      <c r="C420" s="17"/>
      <c r="D420"/>
      <c r="E420" s="20"/>
      <c r="F420" s="43"/>
      <c r="G420" s="21"/>
      <c r="H420" s="29"/>
      <c r="I420" s="35"/>
      <c r="J420" s="29"/>
      <c r="K420" s="29"/>
      <c r="L420" s="29"/>
    </row>
    <row r="421" spans="1:12" x14ac:dyDescent="0.2">
      <c r="A421" s="25" t="s">
        <v>122</v>
      </c>
      <c r="B421" s="37">
        <v>511667989</v>
      </c>
      <c r="C421" s="39">
        <v>35300</v>
      </c>
      <c r="D421" t="s">
        <v>123</v>
      </c>
      <c r="E421" s="20">
        <v>-4954.3600000001024</v>
      </c>
      <c r="F421" s="43"/>
      <c r="G421" s="21">
        <v>42370</v>
      </c>
      <c r="H421" s="29"/>
      <c r="I421" s="35"/>
      <c r="J421" s="29"/>
      <c r="K421" s="29"/>
      <c r="L421" s="29"/>
    </row>
    <row r="422" spans="1:12" x14ac:dyDescent="0.2">
      <c r="A422" s="52"/>
      <c r="B422" s="37">
        <v>511667989</v>
      </c>
      <c r="C422" s="39">
        <v>35300</v>
      </c>
      <c r="D422" t="s">
        <v>123</v>
      </c>
      <c r="E422" s="20">
        <v>1389.2099999999627</v>
      </c>
      <c r="F422" s="43"/>
      <c r="G422" s="21">
        <v>42401</v>
      </c>
      <c r="H422" s="29"/>
      <c r="I422" s="35"/>
      <c r="J422" s="29"/>
      <c r="K422" s="29"/>
      <c r="L422" s="29"/>
    </row>
    <row r="423" spans="1:12" x14ac:dyDescent="0.2">
      <c r="A423" s="52"/>
      <c r="B423" s="37">
        <v>511667989</v>
      </c>
      <c r="C423" s="39">
        <v>35300</v>
      </c>
      <c r="D423" t="s">
        <v>123</v>
      </c>
      <c r="E423" s="60">
        <v>-67</v>
      </c>
      <c r="F423" s="43"/>
      <c r="G423" s="21">
        <v>42430</v>
      </c>
      <c r="H423" s="29"/>
      <c r="I423" s="35"/>
      <c r="J423" s="29"/>
      <c r="K423" s="29"/>
      <c r="L423" s="29"/>
    </row>
    <row r="424" spans="1:12" x14ac:dyDescent="0.2">
      <c r="A424" s="52"/>
      <c r="B424" s="37"/>
      <c r="C424" s="17"/>
      <c r="D424" s="40" t="s">
        <v>12</v>
      </c>
      <c r="E424" s="20">
        <f>SUM(E421:E423)</f>
        <v>-3632.1500000001397</v>
      </c>
      <c r="F424" s="43"/>
      <c r="G424" s="21"/>
      <c r="H424" s="29"/>
      <c r="I424" s="35"/>
      <c r="J424" s="29"/>
      <c r="K424" s="29"/>
      <c r="L424" s="29"/>
    </row>
    <row r="425" spans="1:12" x14ac:dyDescent="0.2">
      <c r="A425" s="52"/>
      <c r="B425" s="37"/>
      <c r="C425" s="17"/>
      <c r="D425"/>
      <c r="E425" s="20"/>
      <c r="F425" s="43"/>
      <c r="G425" s="21"/>
      <c r="H425" s="29"/>
      <c r="I425" s="35"/>
      <c r="J425" s="29"/>
      <c r="K425" s="29"/>
      <c r="L425" s="29"/>
    </row>
    <row r="426" spans="1:12" x14ac:dyDescent="0.2">
      <c r="A426" s="51" t="s">
        <v>124</v>
      </c>
      <c r="B426" s="37">
        <v>530998617</v>
      </c>
      <c r="C426" s="39">
        <v>35011</v>
      </c>
      <c r="D426" t="s">
        <v>125</v>
      </c>
      <c r="E426" s="20">
        <v>1368.11</v>
      </c>
      <c r="F426" s="43"/>
      <c r="G426" s="21">
        <v>42430</v>
      </c>
      <c r="H426" s="29"/>
      <c r="I426" s="35"/>
      <c r="J426" s="29"/>
      <c r="K426" s="29"/>
      <c r="L426" s="29"/>
    </row>
    <row r="427" spans="1:12" x14ac:dyDescent="0.2">
      <c r="A427" s="52"/>
      <c r="B427" s="37">
        <v>530998617</v>
      </c>
      <c r="C427" s="39">
        <v>35011</v>
      </c>
      <c r="D427" t="s">
        <v>125</v>
      </c>
      <c r="E427" s="60">
        <v>-337988.18</v>
      </c>
      <c r="F427" s="43"/>
      <c r="G427" s="21">
        <v>42705</v>
      </c>
      <c r="H427" s="29"/>
      <c r="I427" s="35"/>
      <c r="J427" s="29"/>
      <c r="K427" s="29"/>
      <c r="L427" s="29"/>
    </row>
    <row r="428" spans="1:12" x14ac:dyDescent="0.2">
      <c r="A428" s="52"/>
      <c r="B428" s="23"/>
      <c r="C428" s="17"/>
      <c r="D428" s="29" t="s">
        <v>12</v>
      </c>
      <c r="E428" s="20">
        <f>SUM(E426:E427)</f>
        <v>-336620.07</v>
      </c>
      <c r="F428" s="43"/>
      <c r="G428" s="21"/>
      <c r="H428" s="29"/>
      <c r="I428" s="35"/>
      <c r="J428" s="29"/>
      <c r="K428" s="29"/>
      <c r="L428" s="29"/>
    </row>
    <row r="429" spans="1:12" x14ac:dyDescent="0.2">
      <c r="A429" s="52"/>
      <c r="B429" s="37"/>
      <c r="C429" s="17"/>
      <c r="D429"/>
      <c r="E429" s="20"/>
      <c r="F429" s="43"/>
      <c r="G429" s="21"/>
      <c r="H429" s="29"/>
      <c r="I429" s="35"/>
      <c r="J429" s="29"/>
      <c r="K429" s="29"/>
      <c r="L429" s="29"/>
    </row>
    <row r="430" spans="1:12" x14ac:dyDescent="0.2">
      <c r="A430" s="51" t="s">
        <v>126</v>
      </c>
      <c r="B430" s="39">
        <v>536767657</v>
      </c>
      <c r="C430" s="17" t="s">
        <v>127</v>
      </c>
      <c r="D430" s="40" t="s">
        <v>128</v>
      </c>
      <c r="E430" s="20">
        <v>5199.46</v>
      </c>
      <c r="F430" s="43"/>
      <c r="G430" s="21">
        <v>42430</v>
      </c>
      <c r="H430" s="29"/>
      <c r="I430" s="35"/>
      <c r="J430" s="29"/>
      <c r="K430" s="29"/>
      <c r="L430" s="29"/>
    </row>
    <row r="431" spans="1:12" x14ac:dyDescent="0.2">
      <c r="A431" s="52"/>
      <c r="B431" s="37"/>
      <c r="C431" s="17"/>
      <c r="D431"/>
      <c r="E431" s="20"/>
      <c r="F431" s="43"/>
      <c r="G431" s="21"/>
      <c r="H431" s="29"/>
      <c r="I431" s="35"/>
      <c r="J431" s="29"/>
      <c r="K431" s="29"/>
      <c r="L431" s="29"/>
    </row>
    <row r="432" spans="1:12" x14ac:dyDescent="0.2">
      <c r="A432" s="51" t="s">
        <v>129</v>
      </c>
      <c r="B432" s="39">
        <v>745092783</v>
      </c>
      <c r="C432" s="17">
        <v>35011</v>
      </c>
      <c r="D432" s="40" t="s">
        <v>130</v>
      </c>
      <c r="E432" s="20">
        <v>599985.43999999994</v>
      </c>
      <c r="F432" s="43"/>
      <c r="G432" s="21">
        <v>42461</v>
      </c>
      <c r="H432" s="29"/>
      <c r="I432" s="35"/>
      <c r="J432" s="29"/>
      <c r="K432" s="29"/>
      <c r="L432" s="29"/>
    </row>
    <row r="433" spans="1:12" x14ac:dyDescent="0.2">
      <c r="A433" s="52"/>
      <c r="B433" s="39">
        <v>745092783</v>
      </c>
      <c r="C433" s="17">
        <v>35011</v>
      </c>
      <c r="D433" s="40" t="s">
        <v>130</v>
      </c>
      <c r="E433" s="20">
        <v>4551.8599999999997</v>
      </c>
      <c r="F433" s="43"/>
      <c r="G433" s="21">
        <v>42491</v>
      </c>
      <c r="H433" s="29"/>
      <c r="I433" s="35"/>
      <c r="J433" s="29"/>
      <c r="K433" s="29"/>
      <c r="L433" s="29"/>
    </row>
    <row r="434" spans="1:12" x14ac:dyDescent="0.2">
      <c r="A434" s="52"/>
      <c r="B434" s="39">
        <v>745092783</v>
      </c>
      <c r="C434" s="17">
        <v>35011</v>
      </c>
      <c r="D434" s="40" t="s">
        <v>130</v>
      </c>
      <c r="E434" s="20">
        <v>12880.5</v>
      </c>
      <c r="F434" s="43"/>
      <c r="G434" s="21">
        <v>42522</v>
      </c>
      <c r="H434" s="29"/>
      <c r="I434" s="35"/>
      <c r="J434" s="29"/>
      <c r="K434" s="29"/>
      <c r="L434" s="29"/>
    </row>
    <row r="435" spans="1:12" x14ac:dyDescent="0.2">
      <c r="A435" s="52"/>
      <c r="B435" s="39">
        <v>745092783</v>
      </c>
      <c r="C435" s="17">
        <v>35011</v>
      </c>
      <c r="D435" s="40" t="s">
        <v>130</v>
      </c>
      <c r="E435" s="20">
        <v>4457.97</v>
      </c>
      <c r="F435" s="43"/>
      <c r="G435" s="21">
        <v>42552</v>
      </c>
      <c r="H435" s="29"/>
      <c r="I435" s="35"/>
      <c r="J435" s="29"/>
      <c r="K435" s="29"/>
      <c r="L435" s="29"/>
    </row>
    <row r="436" spans="1:12" x14ac:dyDescent="0.2">
      <c r="A436" s="52"/>
      <c r="B436" s="39">
        <v>745092783</v>
      </c>
      <c r="C436" s="17">
        <v>35011</v>
      </c>
      <c r="D436" s="40" t="s">
        <v>130</v>
      </c>
      <c r="E436" s="20">
        <f>3976.19-2826.12</f>
        <v>1150.0700000000002</v>
      </c>
      <c r="F436" s="43"/>
      <c r="G436" s="21">
        <v>42583</v>
      </c>
      <c r="H436" s="29"/>
      <c r="I436" s="35"/>
      <c r="J436" s="29"/>
      <c r="K436" s="29"/>
      <c r="L436" s="29"/>
    </row>
    <row r="437" spans="1:12" x14ac:dyDescent="0.2">
      <c r="A437" s="52"/>
      <c r="B437" s="39">
        <v>745092783</v>
      </c>
      <c r="C437" s="17">
        <v>35011</v>
      </c>
      <c r="D437" s="40" t="s">
        <v>130</v>
      </c>
      <c r="E437" s="20">
        <f>646.53-5.49</f>
        <v>641.04</v>
      </c>
      <c r="F437" s="43"/>
      <c r="G437" s="21">
        <v>42614</v>
      </c>
      <c r="H437" s="29"/>
      <c r="I437" s="35"/>
      <c r="J437" s="29"/>
      <c r="K437" s="29"/>
      <c r="L437" s="29"/>
    </row>
    <row r="438" spans="1:12" x14ac:dyDescent="0.2">
      <c r="A438" s="52"/>
      <c r="B438" s="39">
        <v>745092783</v>
      </c>
      <c r="C438" s="17">
        <v>35011</v>
      </c>
      <c r="D438" s="40" t="s">
        <v>130</v>
      </c>
      <c r="E438" s="20">
        <f>684.19+0.55</f>
        <v>684.74</v>
      </c>
      <c r="F438" s="43"/>
      <c r="G438" s="21" t="s">
        <v>131</v>
      </c>
      <c r="H438" s="29"/>
      <c r="I438" s="35"/>
      <c r="J438" s="29"/>
      <c r="K438" s="29"/>
      <c r="L438" s="29"/>
    </row>
    <row r="439" spans="1:12" x14ac:dyDescent="0.2">
      <c r="A439" s="52"/>
      <c r="B439" s="39">
        <v>745092783</v>
      </c>
      <c r="C439" s="17">
        <v>35011</v>
      </c>
      <c r="D439" s="40" t="s">
        <v>130</v>
      </c>
      <c r="E439" s="20">
        <f>2381.42+8.92</f>
        <v>2390.34</v>
      </c>
      <c r="F439" s="43"/>
      <c r="G439" s="21">
        <v>42675</v>
      </c>
      <c r="H439" s="29"/>
      <c r="I439" s="35"/>
      <c r="J439" s="29"/>
      <c r="K439" s="29"/>
      <c r="L439" s="29"/>
    </row>
    <row r="440" spans="1:12" x14ac:dyDescent="0.2">
      <c r="A440" s="52"/>
      <c r="B440" s="39">
        <v>745092783</v>
      </c>
      <c r="C440" s="17">
        <v>35011</v>
      </c>
      <c r="D440" s="40" t="s">
        <v>130</v>
      </c>
      <c r="E440" s="60">
        <f>25617.89+77.33</f>
        <v>25695.22</v>
      </c>
      <c r="F440" s="43"/>
      <c r="G440" s="21">
        <v>42705</v>
      </c>
      <c r="H440" s="29"/>
      <c r="I440" s="35"/>
      <c r="J440" s="29"/>
      <c r="K440" s="29"/>
      <c r="L440" s="29"/>
    </row>
    <row r="441" spans="1:12" x14ac:dyDescent="0.2">
      <c r="A441" s="52"/>
      <c r="B441" s="37"/>
      <c r="C441" s="17"/>
      <c r="D441" s="40" t="s">
        <v>12</v>
      </c>
      <c r="E441" s="20">
        <f>SUM(E432:E440)</f>
        <v>652437.17999999982</v>
      </c>
      <c r="F441" s="43"/>
      <c r="G441" s="21"/>
      <c r="H441" s="29"/>
      <c r="I441" s="35"/>
      <c r="J441" s="29"/>
      <c r="K441" s="29"/>
      <c r="L441" s="29"/>
    </row>
    <row r="442" spans="1:12" x14ac:dyDescent="0.2">
      <c r="A442" s="52"/>
      <c r="B442" s="23"/>
      <c r="C442" s="17"/>
      <c r="D442" s="29"/>
      <c r="E442" s="20"/>
      <c r="F442" s="43"/>
      <c r="G442" s="21"/>
      <c r="H442" s="29"/>
      <c r="I442" s="35"/>
      <c r="J442" s="29"/>
      <c r="K442" s="29"/>
      <c r="L442" s="29"/>
    </row>
    <row r="443" spans="1:12" x14ac:dyDescent="0.2">
      <c r="A443" s="51" t="s">
        <v>132</v>
      </c>
      <c r="B443" s="23">
        <v>540699748</v>
      </c>
      <c r="C443" s="17">
        <v>35300</v>
      </c>
      <c r="D443" s="29" t="s">
        <v>133</v>
      </c>
      <c r="E443" s="20">
        <v>42846629.43</v>
      </c>
      <c r="F443" s="43"/>
      <c r="G443" s="21">
        <v>42491</v>
      </c>
      <c r="H443" s="29"/>
      <c r="I443" s="35"/>
      <c r="J443" s="29"/>
      <c r="K443" s="29"/>
      <c r="L443" s="29"/>
    </row>
    <row r="444" spans="1:12" x14ac:dyDescent="0.2">
      <c r="A444" s="52"/>
      <c r="B444" s="23">
        <v>540699748</v>
      </c>
      <c r="C444" s="17">
        <v>35300</v>
      </c>
      <c r="D444" s="29" t="s">
        <v>133</v>
      </c>
      <c r="E444" s="20">
        <v>-1238255.6099999994</v>
      </c>
      <c r="F444" s="43"/>
      <c r="G444" s="21">
        <v>42522</v>
      </c>
      <c r="H444" s="29"/>
      <c r="I444" s="35"/>
      <c r="J444" s="29"/>
      <c r="K444" s="29"/>
      <c r="L444" s="29"/>
    </row>
    <row r="445" spans="1:12" x14ac:dyDescent="0.2">
      <c r="A445" s="52"/>
      <c r="B445" s="23">
        <v>540699748</v>
      </c>
      <c r="C445" s="17">
        <v>35300</v>
      </c>
      <c r="D445" s="29" t="s">
        <v>133</v>
      </c>
      <c r="E445" s="20">
        <v>2921850.5200000033</v>
      </c>
      <c r="F445" s="43"/>
      <c r="G445" s="21">
        <v>42552</v>
      </c>
      <c r="H445" s="29"/>
      <c r="I445" s="35"/>
      <c r="J445" s="29"/>
      <c r="K445" s="29"/>
      <c r="L445" s="29"/>
    </row>
    <row r="446" spans="1:12" x14ac:dyDescent="0.2">
      <c r="A446" s="52"/>
      <c r="B446" s="23">
        <v>540699748</v>
      </c>
      <c r="C446" s="17">
        <v>35300</v>
      </c>
      <c r="D446" s="29" t="s">
        <v>133</v>
      </c>
      <c r="E446" s="20">
        <v>91074.28</v>
      </c>
      <c r="F446" s="43"/>
      <c r="G446" s="21">
        <v>42583</v>
      </c>
      <c r="H446" s="29"/>
      <c r="I446" s="35"/>
      <c r="J446" s="29"/>
      <c r="K446" s="29"/>
      <c r="L446" s="29"/>
    </row>
    <row r="447" spans="1:12" x14ac:dyDescent="0.2">
      <c r="A447" s="52"/>
      <c r="B447" s="23">
        <v>540699748</v>
      </c>
      <c r="C447" s="17">
        <v>35300</v>
      </c>
      <c r="D447" s="29" t="s">
        <v>133</v>
      </c>
      <c r="E447" s="20">
        <v>1574996.82</v>
      </c>
      <c r="F447" s="43"/>
      <c r="G447" s="21">
        <v>42614</v>
      </c>
      <c r="H447" s="29"/>
      <c r="I447" s="35"/>
      <c r="J447" s="29"/>
      <c r="K447" s="29"/>
      <c r="L447" s="29"/>
    </row>
    <row r="448" spans="1:12" x14ac:dyDescent="0.2">
      <c r="A448" s="52"/>
      <c r="B448" s="23">
        <v>540699748</v>
      </c>
      <c r="C448" s="17">
        <v>35300</v>
      </c>
      <c r="D448" s="29" t="s">
        <v>133</v>
      </c>
      <c r="E448" s="20">
        <v>96619.53</v>
      </c>
      <c r="F448" s="43"/>
      <c r="G448" s="21">
        <v>42644</v>
      </c>
      <c r="H448" s="29"/>
      <c r="I448" s="35"/>
      <c r="J448" s="29"/>
      <c r="K448" s="29"/>
      <c r="L448" s="29"/>
    </row>
    <row r="449" spans="1:12" x14ac:dyDescent="0.2">
      <c r="A449" s="52"/>
      <c r="B449" s="23">
        <v>540699748</v>
      </c>
      <c r="C449" s="17">
        <v>35300</v>
      </c>
      <c r="D449" s="29" t="s">
        <v>133</v>
      </c>
      <c r="E449" s="20">
        <v>-23687.81</v>
      </c>
      <c r="F449" s="43"/>
      <c r="G449" s="21">
        <v>42675</v>
      </c>
      <c r="H449" s="29"/>
      <c r="I449" s="35"/>
      <c r="J449" s="29"/>
      <c r="K449" s="29"/>
      <c r="L449" s="29"/>
    </row>
    <row r="450" spans="1:12" x14ac:dyDescent="0.2">
      <c r="A450" s="52"/>
      <c r="B450" s="23">
        <v>540699748</v>
      </c>
      <c r="C450" s="17">
        <v>35300</v>
      </c>
      <c r="D450" s="29" t="s">
        <v>133</v>
      </c>
      <c r="E450" s="60">
        <v>59666.400000000001</v>
      </c>
      <c r="F450" s="43"/>
      <c r="G450" s="21">
        <v>42705</v>
      </c>
      <c r="H450" s="29"/>
      <c r="I450" s="35"/>
      <c r="J450" s="29"/>
      <c r="K450" s="29"/>
      <c r="L450" s="29"/>
    </row>
    <row r="451" spans="1:12" x14ac:dyDescent="0.2">
      <c r="A451" s="52"/>
      <c r="B451" s="37"/>
      <c r="C451" s="17"/>
      <c r="D451" s="29" t="s">
        <v>12</v>
      </c>
      <c r="E451" s="20">
        <f>SUM(E443:E450)</f>
        <v>46328893.560000002</v>
      </c>
      <c r="F451" s="43"/>
      <c r="G451" s="21"/>
      <c r="H451" s="29"/>
      <c r="I451" s="35"/>
      <c r="J451" s="29"/>
      <c r="K451" s="29"/>
      <c r="L451" s="29"/>
    </row>
    <row r="452" spans="1:12" x14ac:dyDescent="0.2">
      <c r="A452" s="52"/>
      <c r="B452" s="37"/>
      <c r="C452" s="17"/>
      <c r="D452"/>
      <c r="E452" s="60"/>
      <c r="F452" s="43"/>
      <c r="G452" s="21"/>
      <c r="H452" s="29"/>
      <c r="I452" s="35"/>
      <c r="J452" s="29"/>
      <c r="K452" s="29"/>
      <c r="L452" s="29"/>
    </row>
    <row r="453" spans="1:12" x14ac:dyDescent="0.2">
      <c r="A453" s="51" t="s">
        <v>134</v>
      </c>
      <c r="B453" s="23">
        <v>523690351</v>
      </c>
      <c r="C453" s="17">
        <v>35300</v>
      </c>
      <c r="D453" s="29" t="s">
        <v>135</v>
      </c>
      <c r="E453" s="28">
        <v>36949549.219999999</v>
      </c>
      <c r="F453" s="43"/>
      <c r="G453" s="21">
        <v>42491</v>
      </c>
      <c r="H453" s="29"/>
      <c r="I453" s="35"/>
      <c r="J453" s="29"/>
      <c r="K453" s="29"/>
      <c r="L453" s="29"/>
    </row>
    <row r="454" spans="1:12" x14ac:dyDescent="0.2">
      <c r="A454" s="52"/>
      <c r="B454" s="23">
        <v>523690351</v>
      </c>
      <c r="C454" s="17">
        <v>35300</v>
      </c>
      <c r="D454" s="29" t="s">
        <v>135</v>
      </c>
      <c r="E454" s="28">
        <v>837134.50999999791</v>
      </c>
      <c r="F454" s="43"/>
      <c r="G454" s="21">
        <v>42522</v>
      </c>
      <c r="H454" s="29"/>
      <c r="I454" s="35"/>
      <c r="J454" s="29"/>
      <c r="K454" s="29"/>
      <c r="L454" s="29"/>
    </row>
    <row r="455" spans="1:12" x14ac:dyDescent="0.2">
      <c r="A455" s="52"/>
      <c r="B455" s="23">
        <v>523690351</v>
      </c>
      <c r="C455" s="17">
        <v>35300</v>
      </c>
      <c r="D455" s="29" t="s">
        <v>135</v>
      </c>
      <c r="E455" s="20">
        <v>766305.34000000358</v>
      </c>
      <c r="F455" s="43"/>
      <c r="G455" s="21">
        <v>42552</v>
      </c>
      <c r="H455" s="29"/>
      <c r="I455" s="35"/>
      <c r="J455" s="29"/>
      <c r="K455" s="29"/>
      <c r="L455" s="29"/>
    </row>
    <row r="456" spans="1:12" x14ac:dyDescent="0.2">
      <c r="A456" s="52"/>
      <c r="B456" s="23">
        <v>523690351</v>
      </c>
      <c r="C456" s="17">
        <v>35300</v>
      </c>
      <c r="D456" s="29" t="s">
        <v>135</v>
      </c>
      <c r="E456" s="20">
        <v>-790297.15</v>
      </c>
      <c r="F456" s="43"/>
      <c r="G456" s="21">
        <v>42583</v>
      </c>
      <c r="H456" s="29"/>
      <c r="I456" s="35"/>
      <c r="J456" s="29"/>
      <c r="K456" s="29"/>
      <c r="L456" s="29"/>
    </row>
    <row r="457" spans="1:12" x14ac:dyDescent="0.2">
      <c r="A457" s="52"/>
      <c r="B457" s="23">
        <v>523690351</v>
      </c>
      <c r="C457" s="17">
        <v>35300</v>
      </c>
      <c r="D457" s="29" t="s">
        <v>135</v>
      </c>
      <c r="E457" s="20">
        <v>15689.93</v>
      </c>
      <c r="F457" s="43"/>
      <c r="G457" s="21">
        <v>42614</v>
      </c>
      <c r="H457" s="45"/>
      <c r="I457" s="35"/>
      <c r="J457" s="29"/>
      <c r="K457" s="29"/>
      <c r="L457" s="29"/>
    </row>
    <row r="458" spans="1:12" x14ac:dyDescent="0.2">
      <c r="A458" s="52"/>
      <c r="B458" s="23">
        <v>523690351</v>
      </c>
      <c r="C458" s="17">
        <v>35300</v>
      </c>
      <c r="D458" s="29" t="s">
        <v>135</v>
      </c>
      <c r="E458" s="20">
        <v>6562.54</v>
      </c>
      <c r="F458" s="43"/>
      <c r="G458" s="21" t="s">
        <v>131</v>
      </c>
      <c r="H458" s="45"/>
      <c r="I458" s="35"/>
      <c r="J458" s="29"/>
      <c r="K458" s="29"/>
      <c r="L458" s="29"/>
    </row>
    <row r="459" spans="1:12" x14ac:dyDescent="0.2">
      <c r="A459" s="52"/>
      <c r="B459" s="23">
        <v>523690351</v>
      </c>
      <c r="C459" s="17">
        <v>35300</v>
      </c>
      <c r="D459" s="29" t="s">
        <v>135</v>
      </c>
      <c r="E459" s="20">
        <v>97293.97</v>
      </c>
      <c r="F459" s="43"/>
      <c r="G459" s="21">
        <v>42675</v>
      </c>
      <c r="H459" s="45"/>
      <c r="I459" s="35"/>
      <c r="J459" s="29"/>
      <c r="K459" s="29"/>
      <c r="L459" s="29"/>
    </row>
    <row r="460" spans="1:12" x14ac:dyDescent="0.2">
      <c r="A460" s="52"/>
      <c r="B460" s="23">
        <v>523690351</v>
      </c>
      <c r="C460" s="17">
        <v>35300</v>
      </c>
      <c r="D460" s="29" t="s">
        <v>135</v>
      </c>
      <c r="E460" s="60">
        <v>83713.06</v>
      </c>
      <c r="F460" s="43"/>
      <c r="G460" s="21">
        <v>42705</v>
      </c>
      <c r="H460" s="45"/>
      <c r="I460" s="35"/>
      <c r="J460" s="29"/>
      <c r="K460" s="29"/>
      <c r="L460" s="29"/>
    </row>
    <row r="461" spans="1:12" x14ac:dyDescent="0.2">
      <c r="A461" s="52"/>
      <c r="B461" s="37"/>
      <c r="C461" s="17"/>
      <c r="D461" s="29" t="s">
        <v>12</v>
      </c>
      <c r="E461" s="20">
        <f>SUM(E453:E460)</f>
        <v>37965951.420000002</v>
      </c>
      <c r="F461" s="43"/>
      <c r="G461" s="21"/>
      <c r="H461" s="45"/>
      <c r="I461" s="35"/>
      <c r="J461" s="29"/>
      <c r="K461" s="29"/>
      <c r="L461" s="29"/>
    </row>
    <row r="462" spans="1:12" x14ac:dyDescent="0.2">
      <c r="A462" s="52"/>
      <c r="B462" s="37"/>
      <c r="C462" s="17"/>
      <c r="D462"/>
      <c r="E462" s="20"/>
      <c r="F462" s="43"/>
      <c r="G462" s="21"/>
      <c r="H462" s="45"/>
      <c r="I462" s="35"/>
      <c r="J462" s="29"/>
      <c r="K462" s="29"/>
      <c r="L462" s="29"/>
    </row>
    <row r="463" spans="1:12" x14ac:dyDescent="0.2">
      <c r="A463" s="56" t="s">
        <v>136</v>
      </c>
      <c r="B463" s="23">
        <v>529697111</v>
      </c>
      <c r="C463" s="17">
        <v>35220</v>
      </c>
      <c r="D463" s="29" t="s">
        <v>137</v>
      </c>
      <c r="E463" s="20">
        <v>124142.6</v>
      </c>
      <c r="F463" s="43"/>
      <c r="G463" s="21">
        <v>42522</v>
      </c>
      <c r="H463" s="29"/>
      <c r="I463" s="35"/>
      <c r="J463" s="29"/>
      <c r="K463" s="29"/>
      <c r="L463" s="29"/>
    </row>
    <row r="464" spans="1:12" x14ac:dyDescent="0.2">
      <c r="A464" s="52"/>
      <c r="B464" s="23"/>
      <c r="C464" s="17"/>
      <c r="D464" s="29"/>
      <c r="E464" s="20"/>
      <c r="F464" s="43"/>
      <c r="G464" s="21"/>
      <c r="H464" s="29"/>
      <c r="I464" s="35"/>
      <c r="J464" s="29"/>
      <c r="K464" s="29"/>
      <c r="L464" s="29"/>
    </row>
    <row r="465" spans="1:12" x14ac:dyDescent="0.2">
      <c r="A465" s="51" t="s">
        <v>138</v>
      </c>
      <c r="B465" s="39">
        <v>765959807</v>
      </c>
      <c r="C465" s="17">
        <v>35300</v>
      </c>
      <c r="D465" t="s">
        <v>139</v>
      </c>
      <c r="E465" s="20">
        <v>730154.4</v>
      </c>
      <c r="F465" s="43"/>
      <c r="G465" s="21">
        <v>42522</v>
      </c>
      <c r="H465" s="29"/>
      <c r="I465" s="35"/>
      <c r="J465" s="29"/>
      <c r="K465" s="29"/>
      <c r="L465" s="29"/>
    </row>
    <row r="466" spans="1:12" x14ac:dyDescent="0.2">
      <c r="A466" s="52"/>
      <c r="B466" s="39">
        <v>765959807</v>
      </c>
      <c r="C466" s="17">
        <v>35300</v>
      </c>
      <c r="D466" t="s">
        <v>139</v>
      </c>
      <c r="E466" s="20">
        <v>-87218.609999999986</v>
      </c>
      <c r="F466" s="43"/>
      <c r="G466" s="21">
        <v>42552</v>
      </c>
      <c r="H466" s="29"/>
      <c r="I466" s="35"/>
      <c r="J466" s="29"/>
      <c r="K466" s="29"/>
      <c r="L466" s="29"/>
    </row>
    <row r="467" spans="1:12" x14ac:dyDescent="0.2">
      <c r="A467" s="52"/>
      <c r="B467" s="39">
        <v>765959807</v>
      </c>
      <c r="C467" s="17">
        <v>35300</v>
      </c>
      <c r="D467" t="s">
        <v>139</v>
      </c>
      <c r="E467" s="20">
        <v>11963.64</v>
      </c>
      <c r="F467" s="43"/>
      <c r="G467" s="21">
        <v>42583</v>
      </c>
      <c r="H467" s="29"/>
      <c r="I467" s="35"/>
      <c r="J467" s="29"/>
      <c r="K467" s="29"/>
      <c r="L467" s="29"/>
    </row>
    <row r="468" spans="1:12" x14ac:dyDescent="0.2">
      <c r="A468" s="52"/>
      <c r="B468" s="39">
        <v>765959807</v>
      </c>
      <c r="C468" s="17">
        <v>35300</v>
      </c>
      <c r="D468" t="s">
        <v>139</v>
      </c>
      <c r="E468" s="20">
        <v>-8000.1</v>
      </c>
      <c r="F468" s="43"/>
      <c r="G468" s="21">
        <v>42614</v>
      </c>
      <c r="H468" s="29"/>
      <c r="I468" s="35"/>
      <c r="J468" s="29"/>
      <c r="K468" s="29"/>
      <c r="L468" s="29"/>
    </row>
    <row r="469" spans="1:12" x14ac:dyDescent="0.2">
      <c r="A469" s="52"/>
      <c r="B469" s="39">
        <v>765959807</v>
      </c>
      <c r="C469" s="17">
        <v>35300</v>
      </c>
      <c r="D469" t="s">
        <v>139</v>
      </c>
      <c r="E469" s="20">
        <v>-3529.91</v>
      </c>
      <c r="F469" s="43"/>
      <c r="G469" s="21">
        <v>42644</v>
      </c>
      <c r="H469" s="29"/>
      <c r="I469" s="35"/>
      <c r="J469" s="29"/>
      <c r="K469" s="29"/>
      <c r="L469" s="29"/>
    </row>
    <row r="470" spans="1:12" x14ac:dyDescent="0.2">
      <c r="A470" s="52"/>
      <c r="B470" s="39">
        <v>765959807</v>
      </c>
      <c r="C470" s="17">
        <v>35300</v>
      </c>
      <c r="D470" t="s">
        <v>139</v>
      </c>
      <c r="E470" s="20">
        <v>-49.13</v>
      </c>
      <c r="F470" s="43"/>
      <c r="G470" s="21">
        <v>42675</v>
      </c>
      <c r="H470" s="29"/>
      <c r="I470" s="35"/>
      <c r="J470" s="29"/>
      <c r="K470" s="29"/>
      <c r="L470" s="29"/>
    </row>
    <row r="471" spans="1:12" x14ac:dyDescent="0.2">
      <c r="A471" s="52"/>
      <c r="B471" s="39">
        <v>765959807</v>
      </c>
      <c r="C471" s="17">
        <v>35300</v>
      </c>
      <c r="D471" t="s">
        <v>139</v>
      </c>
      <c r="E471" s="60">
        <v>5048.92</v>
      </c>
      <c r="F471" s="43"/>
      <c r="G471" s="21">
        <v>42705</v>
      </c>
      <c r="H471" s="29"/>
      <c r="I471" s="35"/>
      <c r="J471" s="29"/>
      <c r="K471" s="29"/>
      <c r="L471" s="29"/>
    </row>
    <row r="472" spans="1:12" x14ac:dyDescent="0.2">
      <c r="A472" s="52"/>
      <c r="B472" s="37"/>
      <c r="C472" s="17"/>
      <c r="D472" s="40" t="s">
        <v>12</v>
      </c>
      <c r="E472" s="20">
        <f>SUM(E465:E471)</f>
        <v>648369.21000000008</v>
      </c>
      <c r="F472" s="43"/>
      <c r="G472" s="21"/>
      <c r="H472" s="29"/>
      <c r="I472" s="35"/>
      <c r="J472" s="29"/>
      <c r="K472" s="29"/>
      <c r="L472" s="29"/>
    </row>
    <row r="473" spans="1:12" x14ac:dyDescent="0.2">
      <c r="A473" s="52"/>
      <c r="B473" s="37"/>
      <c r="C473" s="17"/>
      <c r="D473"/>
      <c r="E473" s="20"/>
      <c r="F473" s="43"/>
      <c r="G473" s="21"/>
      <c r="H473" s="29"/>
      <c r="I473" s="35"/>
      <c r="J473" s="29"/>
      <c r="K473" s="29"/>
      <c r="L473" s="29"/>
    </row>
    <row r="474" spans="1:12" x14ac:dyDescent="0.2">
      <c r="A474" s="52">
        <v>13885850</v>
      </c>
      <c r="B474" s="37">
        <v>523657011</v>
      </c>
      <c r="C474" s="17" t="s">
        <v>61</v>
      </c>
      <c r="D474" s="40" t="s">
        <v>140</v>
      </c>
      <c r="E474" s="20">
        <f>-3321.62-4905.64</f>
        <v>-8227.26</v>
      </c>
      <c r="F474" s="43"/>
      <c r="G474" s="21">
        <v>42583</v>
      </c>
      <c r="H474" s="29"/>
      <c r="I474" s="35"/>
      <c r="J474" s="29"/>
      <c r="K474" s="29"/>
      <c r="L474" s="29"/>
    </row>
    <row r="475" spans="1:12" x14ac:dyDescent="0.2">
      <c r="A475" s="52"/>
      <c r="B475" s="37"/>
      <c r="C475" s="17"/>
      <c r="D475"/>
      <c r="E475" s="20"/>
      <c r="F475" s="43"/>
      <c r="G475" s="21"/>
      <c r="H475" s="29"/>
      <c r="I475" s="35"/>
      <c r="J475" s="29"/>
      <c r="K475" s="29"/>
      <c r="L475" s="29"/>
    </row>
    <row r="476" spans="1:12" x14ac:dyDescent="0.2">
      <c r="A476" s="52">
        <v>13668121</v>
      </c>
      <c r="B476" s="37">
        <v>506387028</v>
      </c>
      <c r="C476" s="17" t="s">
        <v>59</v>
      </c>
      <c r="D476" s="40" t="s">
        <v>141</v>
      </c>
      <c r="E476" s="20">
        <f>29901.12+1451317.53-1477465.37</f>
        <v>3753.2800000000279</v>
      </c>
      <c r="F476" s="43"/>
      <c r="G476" s="21">
        <v>42583</v>
      </c>
      <c r="H476" s="29"/>
      <c r="I476" s="35"/>
      <c r="J476" s="29"/>
      <c r="K476" s="29"/>
      <c r="L476" s="29"/>
    </row>
    <row r="477" spans="1:12" x14ac:dyDescent="0.2">
      <c r="A477" s="52"/>
      <c r="B477" s="37"/>
      <c r="C477" s="17"/>
      <c r="D477"/>
      <c r="E477" s="20"/>
      <c r="F477" s="43"/>
      <c r="G477" s="21"/>
      <c r="H477" s="29"/>
      <c r="I477" s="35"/>
      <c r="J477" s="29"/>
      <c r="K477" s="29"/>
      <c r="L477" s="29"/>
    </row>
    <row r="478" spans="1:12" x14ac:dyDescent="0.2">
      <c r="A478" s="52">
        <v>13123835</v>
      </c>
      <c r="B478" s="37">
        <v>542480347</v>
      </c>
      <c r="C478" s="17">
        <v>35300</v>
      </c>
      <c r="D478" t="s">
        <v>142</v>
      </c>
      <c r="E478" s="20">
        <v>732.08</v>
      </c>
      <c r="F478" s="43"/>
      <c r="G478" s="21">
        <v>42614</v>
      </c>
      <c r="H478" s="29"/>
      <c r="I478" s="35"/>
      <c r="J478" s="29"/>
      <c r="K478" s="29"/>
      <c r="L478" s="29"/>
    </row>
    <row r="479" spans="1:12" x14ac:dyDescent="0.2">
      <c r="A479" s="52"/>
      <c r="B479" s="37">
        <v>542480347</v>
      </c>
      <c r="C479" s="17">
        <v>35300</v>
      </c>
      <c r="D479" t="s">
        <v>142</v>
      </c>
      <c r="E479" s="20">
        <v>7722.08</v>
      </c>
      <c r="F479" s="43"/>
      <c r="G479" s="21">
        <v>42644</v>
      </c>
      <c r="H479" s="29"/>
      <c r="I479" s="35"/>
      <c r="J479" s="29"/>
      <c r="K479" s="29"/>
      <c r="L479" s="29"/>
    </row>
    <row r="480" spans="1:12" x14ac:dyDescent="0.2">
      <c r="A480" s="52"/>
      <c r="B480" s="37">
        <v>542480347</v>
      </c>
      <c r="C480" s="17">
        <v>35300</v>
      </c>
      <c r="D480" t="s">
        <v>142</v>
      </c>
      <c r="E480" s="20">
        <v>713.36</v>
      </c>
      <c r="F480" s="43"/>
      <c r="G480" s="21">
        <v>42675</v>
      </c>
      <c r="H480" s="29"/>
      <c r="I480" s="35"/>
      <c r="J480" s="29"/>
      <c r="K480" s="29"/>
      <c r="L480" s="29"/>
    </row>
    <row r="481" spans="1:12" x14ac:dyDescent="0.2">
      <c r="A481" s="52"/>
      <c r="B481" s="37">
        <v>542480347</v>
      </c>
      <c r="C481" s="17">
        <v>35300</v>
      </c>
      <c r="D481" t="s">
        <v>142</v>
      </c>
      <c r="E481" s="60">
        <v>42.04</v>
      </c>
      <c r="F481" s="43"/>
      <c r="G481" s="21">
        <v>42705</v>
      </c>
      <c r="H481" s="29"/>
      <c r="I481" s="35"/>
      <c r="J481" s="29"/>
      <c r="K481" s="29"/>
      <c r="L481" s="29"/>
    </row>
    <row r="482" spans="1:12" x14ac:dyDescent="0.2">
      <c r="A482" s="52"/>
      <c r="B482" s="37"/>
      <c r="C482" s="17"/>
      <c r="D482" s="40" t="s">
        <v>12</v>
      </c>
      <c r="E482" s="20">
        <f>SUM(E478:E481)</f>
        <v>9209.5600000000013</v>
      </c>
      <c r="F482" s="43"/>
      <c r="G482" s="21"/>
      <c r="H482" s="29"/>
      <c r="I482" s="35"/>
      <c r="J482" s="29"/>
      <c r="K482" s="29"/>
      <c r="L482" s="29"/>
    </row>
    <row r="483" spans="1:12" x14ac:dyDescent="0.2">
      <c r="A483" s="52"/>
      <c r="B483" s="37"/>
      <c r="C483" s="17"/>
      <c r="D483"/>
      <c r="E483" s="20"/>
      <c r="F483" s="43"/>
      <c r="G483" s="21"/>
      <c r="H483" s="29"/>
      <c r="I483" s="35"/>
      <c r="J483" s="29"/>
      <c r="K483" s="29"/>
      <c r="L483" s="29"/>
    </row>
    <row r="484" spans="1:12" x14ac:dyDescent="0.2">
      <c r="A484" s="52">
        <v>14258354</v>
      </c>
      <c r="B484" s="37">
        <v>544496386</v>
      </c>
      <c r="C484" s="17">
        <v>35022</v>
      </c>
      <c r="D484" t="s">
        <v>143</v>
      </c>
      <c r="E484" s="20">
        <v>6362831.2599999998</v>
      </c>
      <c r="F484" s="43"/>
      <c r="G484" s="21">
        <v>42614</v>
      </c>
      <c r="H484" s="29"/>
      <c r="I484" s="35"/>
      <c r="J484" s="29"/>
      <c r="K484" s="29"/>
      <c r="L484" s="29"/>
    </row>
    <row r="485" spans="1:12" x14ac:dyDescent="0.2">
      <c r="A485" s="52"/>
      <c r="B485" s="37">
        <v>544496386</v>
      </c>
      <c r="C485" s="17">
        <v>35022</v>
      </c>
      <c r="D485" t="s">
        <v>143</v>
      </c>
      <c r="E485" s="20">
        <v>-89348.69</v>
      </c>
      <c r="F485" s="43"/>
      <c r="G485" s="21">
        <v>42644</v>
      </c>
      <c r="H485" s="29"/>
      <c r="I485" s="35"/>
      <c r="J485" s="29"/>
      <c r="K485" s="29"/>
      <c r="L485" s="29"/>
    </row>
    <row r="486" spans="1:12" x14ac:dyDescent="0.2">
      <c r="A486" s="52"/>
      <c r="B486" s="37">
        <v>544496386</v>
      </c>
      <c r="C486" s="17">
        <v>35022</v>
      </c>
      <c r="D486" t="s">
        <v>143</v>
      </c>
      <c r="E486" s="20">
        <v>39380.980000000003</v>
      </c>
      <c r="F486" s="43"/>
      <c r="G486" s="21">
        <v>42675</v>
      </c>
      <c r="H486" s="29"/>
      <c r="I486" s="35"/>
      <c r="J486" s="29"/>
      <c r="K486" s="29"/>
      <c r="L486" s="29"/>
    </row>
    <row r="487" spans="1:12" x14ac:dyDescent="0.2">
      <c r="A487" s="52"/>
      <c r="B487" s="37">
        <v>544496386</v>
      </c>
      <c r="C487" s="17">
        <v>35022</v>
      </c>
      <c r="D487" t="s">
        <v>143</v>
      </c>
      <c r="E487" s="60">
        <v>21240.91</v>
      </c>
      <c r="F487" s="43"/>
      <c r="G487" s="21">
        <v>42705</v>
      </c>
      <c r="H487" s="29"/>
      <c r="I487" s="35"/>
      <c r="J487" s="29"/>
      <c r="K487" s="29"/>
      <c r="L487" s="29"/>
    </row>
    <row r="488" spans="1:12" x14ac:dyDescent="0.2">
      <c r="A488" s="52"/>
      <c r="B488" s="37"/>
      <c r="C488" s="17"/>
      <c r="D488" s="40" t="s">
        <v>12</v>
      </c>
      <c r="E488" s="20">
        <f>SUM(E484:E487)</f>
        <v>6334104.46</v>
      </c>
      <c r="F488" s="43"/>
      <c r="G488" s="21"/>
      <c r="H488" s="29"/>
      <c r="I488" s="35"/>
      <c r="J488" s="29"/>
      <c r="K488" s="29"/>
      <c r="L488" s="29"/>
    </row>
    <row r="489" spans="1:12" x14ac:dyDescent="0.2">
      <c r="A489" s="52"/>
      <c r="B489" s="37"/>
      <c r="C489" s="17"/>
      <c r="D489"/>
      <c r="E489" s="20"/>
      <c r="F489" s="43"/>
      <c r="G489" s="21"/>
      <c r="H489" s="29"/>
      <c r="I489" s="35"/>
      <c r="J489" s="29"/>
      <c r="K489" s="29"/>
      <c r="L489" s="29"/>
    </row>
    <row r="490" spans="1:12" x14ac:dyDescent="0.2">
      <c r="A490" s="52">
        <v>14435971</v>
      </c>
      <c r="B490" s="37">
        <v>678978199</v>
      </c>
      <c r="C490" s="17">
        <v>35300</v>
      </c>
      <c r="D490" t="s">
        <v>144</v>
      </c>
      <c r="E490" s="20">
        <v>435465.82</v>
      </c>
      <c r="F490" s="43"/>
      <c r="G490" s="21">
        <v>42614</v>
      </c>
      <c r="H490" s="29"/>
      <c r="I490" s="35"/>
      <c r="J490" s="29"/>
      <c r="K490" s="29"/>
      <c r="L490" s="29"/>
    </row>
    <row r="491" spans="1:12" x14ac:dyDescent="0.2">
      <c r="A491" s="52"/>
      <c r="B491" s="37">
        <v>678978199</v>
      </c>
      <c r="C491" s="17">
        <v>35300</v>
      </c>
      <c r="D491" t="s">
        <v>144</v>
      </c>
      <c r="E491" s="20">
        <v>23758.74</v>
      </c>
      <c r="F491" s="43"/>
      <c r="G491" s="21">
        <v>42644</v>
      </c>
      <c r="H491" s="29"/>
      <c r="I491" s="35"/>
      <c r="J491" s="29"/>
      <c r="K491" s="29"/>
      <c r="L491" s="29"/>
    </row>
    <row r="492" spans="1:12" x14ac:dyDescent="0.2">
      <c r="A492" s="52"/>
      <c r="B492" s="37">
        <v>678978199</v>
      </c>
      <c r="C492" s="17">
        <v>35300</v>
      </c>
      <c r="D492" t="s">
        <v>144</v>
      </c>
      <c r="E492" s="20">
        <v>4048.85</v>
      </c>
      <c r="F492" s="43"/>
      <c r="G492" s="21">
        <v>42675</v>
      </c>
      <c r="H492" s="29"/>
      <c r="I492" s="35"/>
      <c r="J492" s="29"/>
      <c r="K492" s="29"/>
      <c r="L492" s="29"/>
    </row>
    <row r="493" spans="1:12" x14ac:dyDescent="0.2">
      <c r="A493" s="52"/>
      <c r="B493" s="37">
        <v>678978199</v>
      </c>
      <c r="C493" s="17">
        <v>35300</v>
      </c>
      <c r="D493" t="s">
        <v>144</v>
      </c>
      <c r="E493" s="60">
        <v>4229.05</v>
      </c>
      <c r="F493" s="43"/>
      <c r="G493" s="21">
        <v>42705</v>
      </c>
      <c r="H493" s="29"/>
      <c r="I493" s="35"/>
      <c r="J493" s="29"/>
      <c r="K493" s="29"/>
      <c r="L493" s="29"/>
    </row>
    <row r="494" spans="1:12" x14ac:dyDescent="0.2">
      <c r="A494" s="52"/>
      <c r="B494" s="23"/>
      <c r="C494" s="17"/>
      <c r="D494" s="29" t="s">
        <v>12</v>
      </c>
      <c r="E494" s="20">
        <f>SUM(E490:E493)</f>
        <v>467502.45999999996</v>
      </c>
      <c r="F494" s="43"/>
      <c r="G494" s="21"/>
      <c r="H494" s="29"/>
      <c r="I494" s="35"/>
      <c r="J494" s="29"/>
      <c r="K494" s="29"/>
      <c r="L494" s="29"/>
    </row>
    <row r="495" spans="1:12" x14ac:dyDescent="0.2">
      <c r="A495" s="52"/>
      <c r="B495" s="23"/>
      <c r="C495" s="17"/>
      <c r="D495" s="29"/>
      <c r="E495" s="60"/>
      <c r="F495" s="43"/>
      <c r="G495" s="21"/>
      <c r="H495" s="29"/>
      <c r="I495" s="35"/>
      <c r="J495" s="29"/>
      <c r="K495" s="29"/>
      <c r="L495" s="29"/>
    </row>
    <row r="496" spans="1:12" x14ac:dyDescent="0.2">
      <c r="A496" s="52">
        <v>14464107</v>
      </c>
      <c r="B496" s="37">
        <v>689555528</v>
      </c>
      <c r="C496" s="17" t="s">
        <v>61</v>
      </c>
      <c r="D496" t="s">
        <v>143</v>
      </c>
      <c r="E496" s="20">
        <f>728767.47+141410.47</f>
        <v>870177.94</v>
      </c>
      <c r="F496" s="43"/>
      <c r="G496" s="21">
        <v>42614</v>
      </c>
      <c r="H496" s="29"/>
      <c r="I496" s="35"/>
      <c r="J496" s="29"/>
      <c r="K496" s="29"/>
      <c r="L496" s="29"/>
    </row>
    <row r="497" spans="1:12" x14ac:dyDescent="0.2">
      <c r="A497" s="52"/>
      <c r="B497" s="37">
        <v>689555528</v>
      </c>
      <c r="C497" s="17" t="s">
        <v>61</v>
      </c>
      <c r="D497" t="s">
        <v>143</v>
      </c>
      <c r="E497" s="20">
        <f>120551.2+23391.83</f>
        <v>143943.03</v>
      </c>
      <c r="F497" s="43"/>
      <c r="G497" s="21">
        <v>42644</v>
      </c>
      <c r="H497" s="29"/>
      <c r="I497" s="35"/>
      <c r="J497" s="29"/>
      <c r="K497" s="29"/>
      <c r="L497" s="29"/>
    </row>
    <row r="498" spans="1:12" x14ac:dyDescent="0.2">
      <c r="A498" s="52"/>
      <c r="B498" s="37">
        <v>689555528</v>
      </c>
      <c r="C498" s="17" t="s">
        <v>61</v>
      </c>
      <c r="D498" t="s">
        <v>143</v>
      </c>
      <c r="E498" s="20">
        <f>-163576.87-31740.56</f>
        <v>-195317.43</v>
      </c>
      <c r="F498" s="43"/>
      <c r="G498" s="21">
        <v>42675</v>
      </c>
      <c r="H498" s="29"/>
      <c r="I498" s="35"/>
      <c r="J498" s="29"/>
      <c r="K498" s="29"/>
      <c r="L498" s="29"/>
    </row>
    <row r="499" spans="1:12" x14ac:dyDescent="0.2">
      <c r="A499" s="52"/>
      <c r="B499" s="37">
        <v>689555528</v>
      </c>
      <c r="C499" s="17" t="s">
        <v>61</v>
      </c>
      <c r="D499" t="s">
        <v>143</v>
      </c>
      <c r="E499" s="60">
        <f>68083.2+13210.11</f>
        <v>81293.31</v>
      </c>
      <c r="F499" s="43"/>
      <c r="G499" s="21">
        <v>42705</v>
      </c>
      <c r="H499" s="29"/>
      <c r="I499" s="35"/>
      <c r="J499" s="29"/>
      <c r="K499" s="29"/>
      <c r="L499" s="29"/>
    </row>
    <row r="500" spans="1:12" x14ac:dyDescent="0.2">
      <c r="A500" s="52"/>
      <c r="B500" s="37"/>
      <c r="C500" s="17"/>
      <c r="D500" s="40" t="s">
        <v>12</v>
      </c>
      <c r="E500" s="20">
        <f>SUM(E496:E499)</f>
        <v>900096.85000000009</v>
      </c>
      <c r="F500" s="43"/>
      <c r="G500" s="21"/>
      <c r="H500" s="29"/>
      <c r="I500" s="35"/>
      <c r="J500" s="29"/>
      <c r="K500" s="29"/>
      <c r="L500" s="29"/>
    </row>
    <row r="501" spans="1:12" x14ac:dyDescent="0.2">
      <c r="A501" s="52"/>
      <c r="B501" s="37"/>
      <c r="C501" s="17"/>
      <c r="D501"/>
      <c r="E501" s="20"/>
      <c r="F501" s="43"/>
      <c r="G501" s="21"/>
      <c r="H501" s="29"/>
      <c r="I501" s="35"/>
      <c r="J501" s="29"/>
      <c r="K501" s="29"/>
      <c r="L501" s="29"/>
    </row>
    <row r="502" spans="1:12" x14ac:dyDescent="0.2">
      <c r="A502" s="52">
        <v>14464108</v>
      </c>
      <c r="B502" s="37">
        <v>6895555910</v>
      </c>
      <c r="C502" s="17" t="s">
        <v>61</v>
      </c>
      <c r="D502" t="s">
        <v>143</v>
      </c>
      <c r="E502" s="20">
        <f>54389925.15+12141876.35</f>
        <v>66531801.5</v>
      </c>
      <c r="F502" s="43"/>
      <c r="G502" s="21">
        <v>42614</v>
      </c>
      <c r="H502" s="29"/>
      <c r="I502" s="35"/>
      <c r="J502" s="29"/>
      <c r="K502" s="29"/>
      <c r="L502" s="29"/>
    </row>
    <row r="503" spans="1:12" x14ac:dyDescent="0.2">
      <c r="A503" s="52"/>
      <c r="B503" s="37">
        <v>6895555910</v>
      </c>
      <c r="C503" s="17" t="s">
        <v>61</v>
      </c>
      <c r="D503" t="s">
        <v>143</v>
      </c>
      <c r="E503" s="20">
        <f>778815.66+173860.91</f>
        <v>952676.57000000007</v>
      </c>
      <c r="F503" s="43"/>
      <c r="G503" s="21">
        <v>42644</v>
      </c>
      <c r="H503" s="29"/>
      <c r="I503" s="35"/>
      <c r="J503" s="29"/>
      <c r="K503" s="29"/>
      <c r="L503" s="29"/>
    </row>
    <row r="504" spans="1:12" x14ac:dyDescent="0.2">
      <c r="A504" s="52"/>
      <c r="B504" s="37">
        <v>6895555910</v>
      </c>
      <c r="C504" s="17" t="s">
        <v>61</v>
      </c>
      <c r="D504" t="s">
        <v>143</v>
      </c>
      <c r="E504" s="20">
        <f>1615088.45+360548.5</f>
        <v>1975636.95</v>
      </c>
      <c r="F504" s="43"/>
      <c r="G504" s="21">
        <v>42675</v>
      </c>
      <c r="H504" s="29"/>
      <c r="I504" s="35"/>
      <c r="J504" s="29"/>
      <c r="K504" s="29"/>
      <c r="L504" s="29"/>
    </row>
    <row r="505" spans="1:12" x14ac:dyDescent="0.2">
      <c r="A505" s="52"/>
      <c r="B505" s="37">
        <v>6895555910</v>
      </c>
      <c r="C505" s="17" t="s">
        <v>61</v>
      </c>
      <c r="D505" t="s">
        <v>143</v>
      </c>
      <c r="E505" s="60">
        <f>-2096294.87-467967.15</f>
        <v>-2564262.02</v>
      </c>
      <c r="F505" s="43"/>
      <c r="G505" s="21">
        <v>42705</v>
      </c>
      <c r="H505" s="29"/>
      <c r="I505" s="35"/>
      <c r="J505" s="29"/>
      <c r="K505" s="29"/>
      <c r="L505" s="29"/>
    </row>
    <row r="506" spans="1:12" x14ac:dyDescent="0.2">
      <c r="A506" s="52"/>
      <c r="B506" s="37"/>
      <c r="C506" s="17"/>
      <c r="D506" s="40" t="s">
        <v>12</v>
      </c>
      <c r="E506" s="20">
        <f>SUM(E502:E505)</f>
        <v>66895852.999999993</v>
      </c>
      <c r="F506" s="43"/>
      <c r="G506" s="21"/>
      <c r="H506" s="29"/>
      <c r="I506" s="35"/>
      <c r="J506" s="29"/>
      <c r="K506" s="29"/>
      <c r="L506" s="29"/>
    </row>
    <row r="507" spans="1:12" x14ac:dyDescent="0.2">
      <c r="A507" s="52"/>
      <c r="B507" s="37"/>
      <c r="C507" s="17"/>
      <c r="D507"/>
      <c r="E507" s="20"/>
      <c r="F507" s="43"/>
      <c r="G507" s="21"/>
      <c r="H507" s="29"/>
      <c r="I507" s="35"/>
      <c r="J507" s="29"/>
      <c r="K507" s="29"/>
      <c r="L507" s="29"/>
    </row>
    <row r="508" spans="1:12" x14ac:dyDescent="0.2">
      <c r="A508" s="52">
        <v>14471297</v>
      </c>
      <c r="B508" s="37">
        <v>71364480</v>
      </c>
      <c r="C508" s="17" t="s">
        <v>61</v>
      </c>
      <c r="D508" s="40" t="s">
        <v>145</v>
      </c>
      <c r="E508" s="20">
        <f>-3974.62-893.81</f>
        <v>-4868.43</v>
      </c>
      <c r="F508" s="43"/>
      <c r="G508" s="21">
        <v>42614</v>
      </c>
      <c r="H508" s="29"/>
      <c r="I508" s="35"/>
      <c r="J508" s="29"/>
      <c r="K508" s="29"/>
      <c r="L508" s="29"/>
    </row>
    <row r="509" spans="1:12" x14ac:dyDescent="0.2">
      <c r="A509" s="52"/>
      <c r="B509" s="37">
        <v>71364480</v>
      </c>
      <c r="C509" s="17" t="s">
        <v>61</v>
      </c>
      <c r="D509" s="40" t="s">
        <v>145</v>
      </c>
      <c r="E509" s="60">
        <f>-0.05-0.01</f>
        <v>-6.0000000000000005E-2</v>
      </c>
      <c r="F509" s="43"/>
      <c r="G509" s="21">
        <v>42644</v>
      </c>
      <c r="H509" s="29"/>
      <c r="I509" s="35"/>
      <c r="J509" s="29"/>
      <c r="K509" s="29"/>
      <c r="L509" s="29"/>
    </row>
    <row r="510" spans="1:12" x14ac:dyDescent="0.2">
      <c r="A510" s="52"/>
      <c r="B510" s="23"/>
      <c r="C510" s="17"/>
      <c r="D510" s="29" t="s">
        <v>12</v>
      </c>
      <c r="E510" s="20">
        <f>SUM(E508:E509)</f>
        <v>-4868.4900000000007</v>
      </c>
      <c r="F510" s="43"/>
      <c r="G510" s="21"/>
      <c r="H510" s="29"/>
      <c r="I510" s="35"/>
      <c r="J510" s="29"/>
      <c r="K510" s="29"/>
      <c r="L510" s="29"/>
    </row>
    <row r="511" spans="1:12" x14ac:dyDescent="0.2">
      <c r="A511" s="52"/>
      <c r="B511" s="37"/>
      <c r="C511" s="17"/>
      <c r="D511"/>
      <c r="E511" s="20"/>
      <c r="F511" s="43"/>
      <c r="G511" s="21"/>
      <c r="H511" s="29"/>
      <c r="I511" s="35"/>
      <c r="J511" s="29"/>
      <c r="K511" s="29"/>
      <c r="L511" s="29"/>
    </row>
    <row r="512" spans="1:12" x14ac:dyDescent="0.2">
      <c r="A512" s="52">
        <v>14080138</v>
      </c>
      <c r="B512" s="37">
        <v>544395083</v>
      </c>
      <c r="C512" s="17">
        <v>35610</v>
      </c>
      <c r="D512" s="40" t="s">
        <v>146</v>
      </c>
      <c r="E512" s="20">
        <v>20449204.690000001</v>
      </c>
      <c r="F512" s="43"/>
      <c r="G512" s="21">
        <v>42614</v>
      </c>
      <c r="H512" s="29"/>
      <c r="I512" s="35"/>
      <c r="J512" s="29"/>
      <c r="K512" s="29"/>
      <c r="L512" s="29"/>
    </row>
    <row r="513" spans="1:12" x14ac:dyDescent="0.2">
      <c r="A513" s="52"/>
      <c r="B513" s="37">
        <v>544395083</v>
      </c>
      <c r="C513" s="17">
        <v>35610</v>
      </c>
      <c r="D513" s="40" t="s">
        <v>146</v>
      </c>
      <c r="E513" s="20">
        <v>22650.84</v>
      </c>
      <c r="F513" s="43"/>
      <c r="G513" s="21">
        <v>42644</v>
      </c>
      <c r="H513" s="29"/>
      <c r="I513" s="35"/>
      <c r="J513" s="29"/>
      <c r="K513" s="29"/>
      <c r="L513" s="29"/>
    </row>
    <row r="514" spans="1:12" x14ac:dyDescent="0.2">
      <c r="A514" s="52"/>
      <c r="B514" s="37">
        <v>544395083</v>
      </c>
      <c r="C514" s="17">
        <v>35610</v>
      </c>
      <c r="D514" s="40" t="s">
        <v>146</v>
      </c>
      <c r="E514" s="20">
        <v>21419.74</v>
      </c>
      <c r="F514" s="43"/>
      <c r="G514" s="21">
        <v>42675</v>
      </c>
      <c r="H514" s="29"/>
      <c r="I514" s="35"/>
      <c r="J514" s="29"/>
      <c r="K514" s="29"/>
      <c r="L514" s="29"/>
    </row>
    <row r="515" spans="1:12" x14ac:dyDescent="0.2">
      <c r="A515" s="52"/>
      <c r="B515" s="37">
        <v>544395083</v>
      </c>
      <c r="C515" s="17">
        <v>35610</v>
      </c>
      <c r="D515" s="40" t="s">
        <v>146</v>
      </c>
      <c r="E515" s="60">
        <v>3055247.42</v>
      </c>
      <c r="F515" s="43"/>
      <c r="G515" s="21">
        <v>42705</v>
      </c>
      <c r="H515" s="29"/>
      <c r="I515" s="35"/>
      <c r="J515" s="29"/>
      <c r="K515" s="29"/>
      <c r="L515" s="29"/>
    </row>
    <row r="516" spans="1:12" x14ac:dyDescent="0.2">
      <c r="A516" s="52"/>
      <c r="B516" s="23"/>
      <c r="C516" s="17"/>
      <c r="D516" s="29" t="s">
        <v>12</v>
      </c>
      <c r="E516" s="20">
        <f>SUM(E512:E515)</f>
        <v>23548522.689999998</v>
      </c>
      <c r="F516" s="43"/>
      <c r="G516" s="21"/>
      <c r="H516" s="29"/>
      <c r="I516" s="35"/>
      <c r="J516" s="29"/>
      <c r="K516" s="29"/>
      <c r="L516" s="29"/>
    </row>
    <row r="517" spans="1:12" x14ac:dyDescent="0.2">
      <c r="A517" s="52"/>
      <c r="B517" s="37"/>
      <c r="C517" s="17"/>
      <c r="D517"/>
      <c r="E517" s="20"/>
      <c r="F517" s="43"/>
      <c r="G517" s="21"/>
      <c r="H517" s="29"/>
      <c r="I517" s="35"/>
      <c r="J517" s="29"/>
      <c r="K517" s="29"/>
      <c r="L517" s="29"/>
    </row>
    <row r="518" spans="1:12" x14ac:dyDescent="0.2">
      <c r="A518" s="52">
        <v>14528199</v>
      </c>
      <c r="B518" s="37">
        <v>711507286</v>
      </c>
      <c r="C518" s="17">
        <v>35300</v>
      </c>
      <c r="D518" s="40" t="s">
        <v>147</v>
      </c>
      <c r="E518" s="20">
        <v>15263382.42</v>
      </c>
      <c r="F518" s="43"/>
      <c r="G518" s="21">
        <v>42705</v>
      </c>
      <c r="H518" s="29"/>
      <c r="I518" s="35"/>
      <c r="J518" s="29"/>
      <c r="K518" s="29"/>
      <c r="L518" s="29"/>
    </row>
    <row r="519" spans="1:12" x14ac:dyDescent="0.2">
      <c r="A519" s="52"/>
      <c r="B519" s="37"/>
      <c r="C519" s="17"/>
      <c r="D519" s="29"/>
      <c r="E519" s="20"/>
      <c r="F519" s="43"/>
      <c r="G519" s="21"/>
      <c r="H519" s="29"/>
      <c r="I519" s="35"/>
      <c r="J519" s="29"/>
      <c r="K519" s="29"/>
      <c r="L519" s="29"/>
    </row>
    <row r="520" spans="1:12" x14ac:dyDescent="0.2">
      <c r="A520" s="52">
        <v>14276743</v>
      </c>
      <c r="B520" s="23">
        <v>545657671</v>
      </c>
      <c r="C520" s="17">
        <v>35300</v>
      </c>
      <c r="D520" s="29" t="s">
        <v>148</v>
      </c>
      <c r="E520" s="20">
        <v>39510433.100000001</v>
      </c>
      <c r="F520" s="43"/>
      <c r="G520" s="21">
        <v>42675</v>
      </c>
      <c r="H520" s="29"/>
      <c r="I520" s="35"/>
      <c r="J520" s="29"/>
      <c r="K520" s="29"/>
      <c r="L520" s="29"/>
    </row>
    <row r="521" spans="1:12" x14ac:dyDescent="0.2">
      <c r="A521" s="52"/>
      <c r="B521" s="23">
        <v>545657671</v>
      </c>
      <c r="C521" s="17">
        <v>35300</v>
      </c>
      <c r="D521" s="29" t="s">
        <v>148</v>
      </c>
      <c r="E521" s="60">
        <v>590071.07999999996</v>
      </c>
      <c r="F521" s="43"/>
      <c r="G521" s="21">
        <v>42705</v>
      </c>
      <c r="H521" s="29"/>
      <c r="I521" s="35"/>
      <c r="J521" s="29"/>
      <c r="K521" s="29"/>
      <c r="L521" s="29"/>
    </row>
    <row r="522" spans="1:12" x14ac:dyDescent="0.2">
      <c r="A522" s="52"/>
      <c r="B522" s="37"/>
      <c r="C522" s="17"/>
      <c r="D522" s="29" t="s">
        <v>12</v>
      </c>
      <c r="E522" s="20">
        <f>SUM(E520:E521)</f>
        <v>40100504.18</v>
      </c>
      <c r="F522" s="43"/>
      <c r="G522" s="21"/>
      <c r="H522" s="29"/>
      <c r="I522" s="35"/>
      <c r="J522" s="29"/>
      <c r="K522" s="29"/>
      <c r="L522" s="29"/>
    </row>
    <row r="523" spans="1:12" x14ac:dyDescent="0.2">
      <c r="A523" s="52"/>
      <c r="B523" s="37"/>
      <c r="C523" s="17"/>
      <c r="D523"/>
      <c r="E523" s="20"/>
      <c r="F523" s="43"/>
      <c r="G523" s="21"/>
      <c r="H523" s="29"/>
      <c r="I523" s="35"/>
      <c r="J523" s="29"/>
      <c r="K523" s="29"/>
      <c r="L523" s="29"/>
    </row>
    <row r="524" spans="1:12" x14ac:dyDescent="0.2">
      <c r="A524" s="52">
        <v>15165673</v>
      </c>
      <c r="B524" s="37">
        <v>836242181</v>
      </c>
      <c r="C524" s="17">
        <v>35300</v>
      </c>
      <c r="D524" t="s">
        <v>149</v>
      </c>
      <c r="E524" s="20">
        <v>17300321.829999998</v>
      </c>
      <c r="F524" s="43"/>
      <c r="G524" s="21">
        <v>42675</v>
      </c>
      <c r="H524" s="29"/>
      <c r="I524" s="35"/>
      <c r="J524" s="29"/>
      <c r="K524" s="29"/>
      <c r="L524" s="29"/>
    </row>
    <row r="525" spans="1:12" x14ac:dyDescent="0.2">
      <c r="A525" s="52"/>
      <c r="B525" s="37">
        <v>836242181</v>
      </c>
      <c r="C525" s="17">
        <v>35300</v>
      </c>
      <c r="D525" t="s">
        <v>149</v>
      </c>
      <c r="E525" s="60">
        <v>15749689.710000001</v>
      </c>
      <c r="F525" s="43"/>
      <c r="G525" s="21">
        <v>42705</v>
      </c>
      <c r="H525" s="29"/>
      <c r="I525" s="35"/>
      <c r="J525" s="29"/>
      <c r="K525" s="29"/>
      <c r="L525" s="29"/>
    </row>
    <row r="526" spans="1:12" x14ac:dyDescent="0.2">
      <c r="A526" s="52"/>
      <c r="B526" s="37"/>
      <c r="C526" s="17"/>
      <c r="D526" s="40" t="s">
        <v>12</v>
      </c>
      <c r="E526" s="20">
        <f>SUM(E524:E525)</f>
        <v>33050011.539999999</v>
      </c>
      <c r="F526" s="43"/>
      <c r="G526" s="21"/>
      <c r="H526" s="29"/>
      <c r="I526" s="35"/>
      <c r="J526" s="29"/>
      <c r="K526" s="29"/>
      <c r="L526" s="29"/>
    </row>
    <row r="527" spans="1:12" x14ac:dyDescent="0.2">
      <c r="A527" s="52"/>
      <c r="B527" s="37"/>
      <c r="C527" s="17"/>
      <c r="D527"/>
      <c r="E527" s="20"/>
      <c r="F527" s="43"/>
      <c r="G527" s="21"/>
      <c r="H527" s="29"/>
      <c r="I527" s="35"/>
      <c r="J527" s="29"/>
      <c r="K527" s="29"/>
      <c r="L527" s="29"/>
    </row>
    <row r="528" spans="1:12" x14ac:dyDescent="0.2">
      <c r="A528" s="52">
        <v>15157027</v>
      </c>
      <c r="B528" s="37">
        <v>836234686</v>
      </c>
      <c r="C528" s="17">
        <v>35300</v>
      </c>
      <c r="D528" t="s">
        <v>150</v>
      </c>
      <c r="E528" s="20">
        <v>10645.03</v>
      </c>
      <c r="F528" s="43"/>
      <c r="G528" s="21">
        <v>42705</v>
      </c>
      <c r="H528" s="29"/>
      <c r="I528" s="35"/>
      <c r="J528" s="29"/>
      <c r="K528" s="29"/>
      <c r="L528" s="29"/>
    </row>
    <row r="529" spans="1:12" x14ac:dyDescent="0.2">
      <c r="A529" s="52"/>
      <c r="B529" s="37"/>
      <c r="C529" s="17"/>
      <c r="D529"/>
      <c r="E529" s="20"/>
      <c r="F529" s="43"/>
      <c r="G529" s="21"/>
      <c r="H529" s="29"/>
      <c r="I529" s="35"/>
      <c r="J529" s="29"/>
      <c r="K529" s="29"/>
      <c r="L529" s="29"/>
    </row>
    <row r="530" spans="1:12" x14ac:dyDescent="0.2">
      <c r="A530" s="52">
        <v>15144925</v>
      </c>
      <c r="B530" s="37">
        <v>833593997</v>
      </c>
      <c r="C530" s="17">
        <v>35300</v>
      </c>
      <c r="D530" t="s">
        <v>151</v>
      </c>
      <c r="E530" s="20">
        <v>260079.03</v>
      </c>
      <c r="F530" s="43"/>
      <c r="G530" s="21">
        <v>42705</v>
      </c>
      <c r="H530" s="29"/>
      <c r="I530" s="35"/>
      <c r="J530" s="29"/>
      <c r="K530" s="29"/>
      <c r="L530" s="29"/>
    </row>
    <row r="531" spans="1:12" x14ac:dyDescent="0.2">
      <c r="A531" s="52"/>
      <c r="B531" s="37"/>
      <c r="C531" s="17"/>
      <c r="D531"/>
      <c r="E531" s="20"/>
      <c r="F531" s="43"/>
      <c r="G531" s="21"/>
      <c r="H531" s="29"/>
      <c r="I531" s="35"/>
      <c r="J531" s="29"/>
      <c r="K531" s="29"/>
      <c r="L531" s="29"/>
    </row>
    <row r="532" spans="1:12" x14ac:dyDescent="0.2">
      <c r="A532" s="52">
        <v>14986101</v>
      </c>
      <c r="B532" s="37">
        <v>811528630</v>
      </c>
      <c r="C532" s="17">
        <v>35300</v>
      </c>
      <c r="D532" s="40" t="s">
        <v>152</v>
      </c>
      <c r="E532" s="20">
        <v>-100.6</v>
      </c>
      <c r="F532" s="43"/>
      <c r="G532" s="21">
        <v>42705</v>
      </c>
      <c r="H532" s="29"/>
      <c r="I532" s="35"/>
      <c r="J532" s="29"/>
      <c r="K532" s="29"/>
      <c r="L532" s="29"/>
    </row>
    <row r="533" spans="1:12" x14ac:dyDescent="0.2">
      <c r="A533" s="52"/>
      <c r="B533" s="23"/>
      <c r="C533" s="17"/>
      <c r="D533" s="29"/>
      <c r="E533" s="20"/>
      <c r="F533" s="43"/>
      <c r="G533" s="21"/>
      <c r="H533" s="29"/>
      <c r="I533" s="35"/>
      <c r="J533" s="29"/>
      <c r="K533" s="29"/>
      <c r="L533" s="29"/>
    </row>
    <row r="534" spans="1:12" x14ac:dyDescent="0.2">
      <c r="A534" s="52">
        <v>14276742</v>
      </c>
      <c r="B534" s="23">
        <v>545657622</v>
      </c>
      <c r="C534" s="17">
        <v>35011</v>
      </c>
      <c r="D534" s="29" t="s">
        <v>153</v>
      </c>
      <c r="E534" s="20">
        <v>417780.8</v>
      </c>
      <c r="F534" s="43"/>
      <c r="G534" s="21">
        <v>42705</v>
      </c>
      <c r="H534" s="29"/>
      <c r="I534" s="35"/>
      <c r="J534" s="29"/>
      <c r="K534" s="29"/>
      <c r="L534" s="29"/>
    </row>
    <row r="535" spans="1:12" x14ac:dyDescent="0.2">
      <c r="A535" s="52"/>
      <c r="B535" s="37"/>
      <c r="C535" s="17"/>
      <c r="D535"/>
      <c r="E535" s="20"/>
      <c r="F535" s="43"/>
      <c r="G535" s="21"/>
      <c r="H535" s="29"/>
      <c r="I535" s="35"/>
      <c r="J535" s="29"/>
      <c r="K535" s="29"/>
      <c r="L535" s="29"/>
    </row>
    <row r="536" spans="1:12" x14ac:dyDescent="0.2">
      <c r="A536" s="15"/>
      <c r="B536" s="23"/>
      <c r="C536" s="17"/>
      <c r="D536" s="29" t="s">
        <v>154</v>
      </c>
      <c r="E536" s="46">
        <f>E111+E116+E125+E135+E137+E139+E144+E158+E165+E167+E169+E176+E178+E182+E186+E194+E208+E210+E212+E217+E224+E238+E252+E254+E266+E280+E284+E298+E314+E328+E339+E352+E359+E368+E385+E396+E401+E419+E424+E428+E430+E441+E451+E461+E463+E472+E474+E476+E482+E488+E494+E500+E506+E510+E516+E518+E522+E526+E528+E530+E532+E534</f>
        <v>289713168.37999988</v>
      </c>
      <c r="F536" s="43"/>
      <c r="G536" s="21"/>
      <c r="H536" s="29"/>
      <c r="I536" s="35"/>
      <c r="J536" s="29"/>
      <c r="K536" s="29"/>
      <c r="L536" s="29"/>
    </row>
    <row r="537" spans="1:12" x14ac:dyDescent="0.2">
      <c r="A537" s="15"/>
      <c r="B537" s="37"/>
      <c r="C537" s="17"/>
      <c r="D537"/>
      <c r="E537" s="20"/>
      <c r="F537" s="43"/>
      <c r="G537" s="21"/>
      <c r="H537" s="29"/>
      <c r="I537" s="35"/>
      <c r="J537" s="29"/>
      <c r="K537" s="29"/>
      <c r="L537" s="29"/>
    </row>
    <row r="538" spans="1:12" ht="13.5" thickBot="1" x14ac:dyDescent="0.25">
      <c r="A538" s="15"/>
      <c r="B538" s="37"/>
      <c r="C538" s="17"/>
      <c r="D538" s="40" t="s">
        <v>155</v>
      </c>
      <c r="E538" s="66">
        <f>E536+E103</f>
        <v>292086011.12999988</v>
      </c>
      <c r="F538" s="43"/>
      <c r="G538" s="69"/>
      <c r="H538" s="29"/>
      <c r="I538" s="35"/>
      <c r="J538" s="29"/>
      <c r="K538" s="29"/>
      <c r="L538" s="29"/>
    </row>
    <row r="539" spans="1:12" ht="13.5" thickTop="1" x14ac:dyDescent="0.2">
      <c r="A539" s="15"/>
      <c r="B539" s="23"/>
      <c r="C539" s="17"/>
      <c r="D539" s="29"/>
      <c r="E539" s="20"/>
      <c r="F539" s="43"/>
      <c r="G539" s="21"/>
      <c r="H539" s="29"/>
      <c r="I539" s="35"/>
      <c r="J539" s="29"/>
      <c r="K539" s="29"/>
      <c r="L539" s="29"/>
    </row>
    <row r="540" spans="1:12" x14ac:dyDescent="0.2">
      <c r="A540" s="15"/>
      <c r="B540" s="23"/>
      <c r="C540" s="17"/>
      <c r="D540" s="29"/>
      <c r="E540" s="20"/>
      <c r="F540" s="43"/>
      <c r="G540" s="21"/>
      <c r="H540" s="29"/>
      <c r="I540" s="35"/>
      <c r="J540" s="29"/>
      <c r="K540" s="29"/>
      <c r="L540" s="29"/>
    </row>
    <row r="541" spans="1:12" x14ac:dyDescent="0.2">
      <c r="A541" s="15"/>
      <c r="B541" s="37"/>
      <c r="C541" s="17"/>
      <c r="D541"/>
      <c r="E541" s="20"/>
      <c r="F541" s="43"/>
      <c r="G541" s="21"/>
      <c r="H541" s="29"/>
      <c r="I541" s="35"/>
      <c r="J541" s="29"/>
      <c r="K541" s="29"/>
      <c r="L541" s="29"/>
    </row>
    <row r="542" spans="1:12" x14ac:dyDescent="0.2">
      <c r="A542" s="15"/>
      <c r="B542" s="37"/>
      <c r="C542" s="17"/>
      <c r="D542"/>
      <c r="E542" s="60"/>
      <c r="F542" s="43"/>
      <c r="G542" s="21"/>
      <c r="H542" s="29"/>
      <c r="I542" s="35"/>
      <c r="J542" s="29"/>
      <c r="K542" s="29"/>
      <c r="L542" s="29"/>
    </row>
    <row r="543" spans="1:12" x14ac:dyDescent="0.2">
      <c r="A543" s="15"/>
      <c r="B543" s="23"/>
      <c r="C543" s="17"/>
      <c r="D543" s="29"/>
      <c r="E543" s="20"/>
      <c r="F543" s="43"/>
      <c r="G543" s="21"/>
      <c r="H543" s="29"/>
      <c r="I543" s="35"/>
      <c r="J543" s="29"/>
      <c r="K543" s="29"/>
      <c r="L543" s="29"/>
    </row>
    <row r="544" spans="1:12" x14ac:dyDescent="0.2">
      <c r="A544" s="15"/>
      <c r="B544" s="23"/>
      <c r="C544" s="17"/>
      <c r="D544" s="29"/>
      <c r="E544" s="20"/>
      <c r="F544" s="43"/>
      <c r="G544" s="21"/>
      <c r="H544" s="29"/>
      <c r="I544" s="35"/>
      <c r="J544" s="29"/>
      <c r="K544" s="29"/>
      <c r="L544" s="29"/>
    </row>
    <row r="545" spans="1:12" x14ac:dyDescent="0.2">
      <c r="A545" s="15"/>
      <c r="B545" s="37"/>
      <c r="C545" s="17"/>
      <c r="D545"/>
      <c r="E545" s="20"/>
      <c r="F545" s="43"/>
      <c r="G545" s="21"/>
      <c r="H545" s="29"/>
      <c r="I545" s="35"/>
      <c r="J545" s="29"/>
      <c r="K545" s="29"/>
      <c r="L545" s="29"/>
    </row>
    <row r="546" spans="1:12" x14ac:dyDescent="0.2">
      <c r="A546" s="15"/>
      <c r="B546" s="23"/>
      <c r="C546" s="17"/>
      <c r="D546" s="29"/>
      <c r="E546" s="20"/>
      <c r="F546" s="43"/>
      <c r="G546" s="21"/>
      <c r="H546" s="29"/>
      <c r="I546" s="35"/>
      <c r="J546" s="29"/>
      <c r="K546" s="29"/>
      <c r="L546" s="29"/>
    </row>
    <row r="547" spans="1:12" x14ac:dyDescent="0.2">
      <c r="A547" s="15"/>
      <c r="B547" s="37"/>
      <c r="C547" s="17"/>
      <c r="D547"/>
      <c r="E547" s="20"/>
      <c r="F547" s="43"/>
      <c r="G547" s="21"/>
      <c r="H547" s="29"/>
      <c r="I547" s="35"/>
      <c r="J547" s="29"/>
      <c r="K547" s="29"/>
      <c r="L547" s="29"/>
    </row>
    <row r="548" spans="1:12" x14ac:dyDescent="0.2">
      <c r="A548" s="15"/>
      <c r="B548" s="37"/>
      <c r="C548" s="17"/>
      <c r="D548"/>
      <c r="E548" s="20"/>
      <c r="F548" s="43"/>
      <c r="G548" s="21"/>
      <c r="H548" s="29"/>
      <c r="I548" s="35"/>
      <c r="J548" s="29"/>
      <c r="K548" s="29"/>
      <c r="L548" s="29"/>
    </row>
    <row r="549" spans="1:12" x14ac:dyDescent="0.2">
      <c r="A549" s="15"/>
      <c r="B549" s="37"/>
      <c r="C549" s="17"/>
      <c r="D549"/>
      <c r="E549" s="20"/>
      <c r="F549" s="43"/>
      <c r="G549" s="21"/>
      <c r="H549" s="29"/>
      <c r="I549" s="35"/>
      <c r="J549" s="29"/>
      <c r="K549" s="29"/>
      <c r="L549" s="29"/>
    </row>
    <row r="550" spans="1:12" x14ac:dyDescent="0.2">
      <c r="A550" s="15"/>
      <c r="B550" s="37"/>
      <c r="C550" s="17"/>
      <c r="D550"/>
      <c r="E550" s="20"/>
      <c r="F550" s="43"/>
      <c r="G550" s="21"/>
      <c r="H550" s="29"/>
      <c r="I550" s="35"/>
      <c r="J550" s="29"/>
      <c r="K550" s="29"/>
      <c r="L550" s="29"/>
    </row>
    <row r="551" spans="1:12" x14ac:dyDescent="0.2">
      <c r="A551" s="15"/>
      <c r="B551" s="37"/>
      <c r="C551" s="17"/>
      <c r="D551"/>
      <c r="E551" s="20"/>
      <c r="F551" s="43"/>
      <c r="G551" s="21"/>
      <c r="H551" s="29"/>
      <c r="I551" s="35"/>
      <c r="J551" s="29"/>
      <c r="K551" s="29"/>
      <c r="L551" s="29"/>
    </row>
    <row r="552" spans="1:12" x14ac:dyDescent="0.2">
      <c r="A552" s="15"/>
      <c r="B552" s="37"/>
      <c r="C552" s="17"/>
      <c r="D552"/>
      <c r="E552" s="60"/>
      <c r="F552" s="43"/>
      <c r="G552" s="21"/>
      <c r="H552" s="29"/>
      <c r="I552" s="35"/>
      <c r="J552" s="29"/>
      <c r="K552" s="29"/>
      <c r="L552" s="29"/>
    </row>
    <row r="553" spans="1:12" x14ac:dyDescent="0.2">
      <c r="A553" s="33"/>
      <c r="B553" s="17"/>
      <c r="C553" s="17"/>
      <c r="D553" s="29"/>
      <c r="E553" s="20"/>
      <c r="F553" s="43"/>
      <c r="G553" s="33"/>
      <c r="H553" s="29"/>
      <c r="I553" s="35"/>
      <c r="J553" s="29"/>
      <c r="K553" s="29"/>
      <c r="L553" s="29"/>
    </row>
    <row r="554" spans="1:12" x14ac:dyDescent="0.2">
      <c r="A554" s="33"/>
      <c r="B554" s="17"/>
      <c r="C554" s="17"/>
      <c r="D554" s="29"/>
      <c r="E554" s="63"/>
      <c r="F554" s="29"/>
      <c r="G554" s="33"/>
      <c r="H554" s="29"/>
      <c r="I554" s="35"/>
      <c r="J554" s="29"/>
      <c r="K554" s="29"/>
      <c r="L554" s="29"/>
    </row>
    <row r="555" spans="1:12" x14ac:dyDescent="0.2">
      <c r="A555" s="33"/>
      <c r="B555" s="37"/>
      <c r="C555" s="17"/>
      <c r="D555"/>
      <c r="E555" s="63"/>
      <c r="F555" s="29"/>
      <c r="G555" s="21"/>
      <c r="H555" s="29"/>
      <c r="I555" s="35"/>
      <c r="J555" s="29"/>
      <c r="K555" s="29"/>
      <c r="L555" s="29"/>
    </row>
    <row r="556" spans="1:12" x14ac:dyDescent="0.2">
      <c r="A556" s="33"/>
      <c r="B556" s="37"/>
      <c r="C556" s="17"/>
      <c r="D556"/>
      <c r="E556" s="60"/>
      <c r="F556" s="29"/>
      <c r="G556" s="21"/>
      <c r="H556" s="29"/>
      <c r="I556" s="35"/>
      <c r="J556" s="29"/>
      <c r="K556" s="29"/>
      <c r="L556" s="29"/>
    </row>
    <row r="557" spans="1:12" x14ac:dyDescent="0.2">
      <c r="A557" s="33"/>
      <c r="B557" s="29"/>
      <c r="C557" s="29"/>
      <c r="D557" s="29"/>
      <c r="E557" s="63"/>
      <c r="F557" s="29"/>
      <c r="G557" s="33"/>
      <c r="H557" s="29"/>
      <c r="I557" s="35"/>
      <c r="J557" s="29"/>
      <c r="K557" s="29"/>
      <c r="L557" s="29"/>
    </row>
    <row r="558" spans="1:12" x14ac:dyDescent="0.2">
      <c r="A558" s="33"/>
      <c r="B558" s="29"/>
      <c r="C558" s="29"/>
      <c r="D558" s="29"/>
      <c r="E558" s="58"/>
      <c r="F558" s="29"/>
      <c r="G558" s="33"/>
      <c r="H558" s="29"/>
      <c r="I558" s="35"/>
      <c r="J558" s="29"/>
      <c r="K558" s="29"/>
      <c r="L558" s="29"/>
    </row>
    <row r="559" spans="1:12" x14ac:dyDescent="0.2">
      <c r="A559" s="33"/>
      <c r="B559" s="37"/>
      <c r="C559" s="17"/>
      <c r="D559"/>
      <c r="E559" s="64"/>
      <c r="F559" s="29"/>
      <c r="G559" s="21"/>
      <c r="H559" s="29"/>
      <c r="I559" s="35"/>
      <c r="J559" s="29"/>
      <c r="K559" s="29"/>
      <c r="L559" s="29"/>
    </row>
    <row r="560" spans="1:12" x14ac:dyDescent="0.2">
      <c r="A560" s="33"/>
      <c r="B560" s="29"/>
      <c r="C560" s="29"/>
      <c r="D560" s="29"/>
      <c r="E560" s="64"/>
      <c r="F560" s="29"/>
      <c r="G560" s="29"/>
      <c r="H560" s="29"/>
      <c r="I560" s="35"/>
      <c r="J560" s="29"/>
      <c r="K560" s="29"/>
      <c r="L560" s="29"/>
    </row>
    <row r="561" spans="1:12" x14ac:dyDescent="0.2">
      <c r="A561" s="33"/>
      <c r="B561" s="37"/>
      <c r="C561" s="17"/>
      <c r="D561"/>
      <c r="E561" s="64"/>
      <c r="F561" s="29"/>
      <c r="G561" s="21"/>
      <c r="H561" s="29"/>
      <c r="I561" s="35"/>
      <c r="J561" s="29"/>
      <c r="K561" s="29"/>
      <c r="L561" s="29"/>
    </row>
    <row r="562" spans="1:12" x14ac:dyDescent="0.2">
      <c r="A562" s="33"/>
      <c r="B562" s="29"/>
      <c r="C562" s="29"/>
      <c r="D562" s="29"/>
      <c r="E562" s="64"/>
      <c r="F562" s="29"/>
      <c r="G562" s="29"/>
      <c r="H562" s="29"/>
      <c r="I562" s="35"/>
      <c r="J562" s="29"/>
      <c r="K562" s="29"/>
      <c r="L562" s="29"/>
    </row>
    <row r="563" spans="1:12" x14ac:dyDescent="0.2">
      <c r="A563" s="33"/>
      <c r="B563" s="37"/>
      <c r="C563" s="17"/>
      <c r="D563"/>
      <c r="E563" s="64"/>
      <c r="F563" s="29"/>
      <c r="G563" s="21"/>
      <c r="H563" s="29"/>
      <c r="I563" s="35"/>
      <c r="J563" s="29"/>
      <c r="K563" s="29"/>
      <c r="L563" s="29"/>
    </row>
    <row r="564" spans="1:12" x14ac:dyDescent="0.2">
      <c r="A564" s="33"/>
      <c r="B564" s="37"/>
      <c r="C564" s="17"/>
      <c r="D564"/>
      <c r="E564" s="64"/>
      <c r="F564" s="29"/>
      <c r="G564" s="21"/>
      <c r="H564" s="29"/>
      <c r="I564" s="35"/>
      <c r="J564" s="29"/>
      <c r="K564" s="29"/>
      <c r="L564" s="29"/>
    </row>
    <row r="565" spans="1:12" x14ac:dyDescent="0.2">
      <c r="A565" s="33"/>
      <c r="B565" s="37"/>
      <c r="C565" s="17"/>
      <c r="D565"/>
      <c r="E565" s="60"/>
      <c r="F565" s="29"/>
      <c r="G565" s="21"/>
      <c r="H565" s="29"/>
      <c r="I565" s="35"/>
      <c r="J565" s="29"/>
      <c r="K565" s="29"/>
      <c r="L565" s="29"/>
    </row>
    <row r="566" spans="1:12" x14ac:dyDescent="0.2">
      <c r="A566" s="33"/>
      <c r="B566" s="29"/>
      <c r="C566" s="29"/>
      <c r="D566" s="29"/>
      <c r="E566" s="64"/>
      <c r="F566" s="29"/>
      <c r="G566" s="29"/>
      <c r="H566" s="29"/>
      <c r="I566" s="35"/>
      <c r="J566" s="29"/>
      <c r="K566" s="29"/>
      <c r="L566" s="29"/>
    </row>
    <row r="567" spans="1:12" x14ac:dyDescent="0.2">
      <c r="A567" s="1"/>
      <c r="B567" s="1"/>
      <c r="C567" s="29"/>
      <c r="D567" s="29"/>
      <c r="E567" s="64"/>
      <c r="F567" s="29"/>
      <c r="G567" s="29"/>
      <c r="H567" s="29"/>
      <c r="I567" s="35"/>
      <c r="J567" s="29"/>
      <c r="K567" s="29"/>
      <c r="L567" s="29"/>
    </row>
    <row r="568" spans="1:12" x14ac:dyDescent="0.2">
      <c r="A568" s="33"/>
      <c r="B568" s="37"/>
      <c r="C568" s="17"/>
      <c r="D568"/>
      <c r="E568" s="64"/>
      <c r="F568" s="29"/>
      <c r="G568" s="21"/>
      <c r="H568" s="29"/>
      <c r="I568" s="35"/>
      <c r="J568" s="29"/>
      <c r="K568" s="29"/>
      <c r="L568" s="29"/>
    </row>
    <row r="569" spans="1:12" x14ac:dyDescent="0.2">
      <c r="A569" s="33"/>
      <c r="B569" s="37"/>
      <c r="C569" s="17"/>
      <c r="D569"/>
      <c r="E569" s="64"/>
      <c r="F569" s="29"/>
      <c r="G569" s="21"/>
      <c r="H569" s="29"/>
      <c r="I569" s="35"/>
      <c r="J569" s="29"/>
      <c r="K569" s="29"/>
      <c r="L569" s="29"/>
    </row>
    <row r="570" spans="1:12" x14ac:dyDescent="0.2">
      <c r="A570" s="33"/>
      <c r="B570" s="37"/>
      <c r="C570" s="17"/>
      <c r="D570"/>
      <c r="E570" s="64"/>
      <c r="F570" s="29"/>
      <c r="G570" s="21"/>
      <c r="H570" s="29"/>
      <c r="I570" s="35"/>
      <c r="J570" s="29"/>
      <c r="K570" s="29"/>
      <c r="L570" s="29"/>
    </row>
    <row r="571" spans="1:12" x14ac:dyDescent="0.2">
      <c r="A571" s="33"/>
      <c r="B571" s="37"/>
      <c r="C571" s="17"/>
      <c r="D571"/>
      <c r="E571" s="64"/>
      <c r="F571" s="29"/>
      <c r="G571" s="21"/>
      <c r="H571" s="29"/>
      <c r="I571" s="35"/>
      <c r="J571" s="29"/>
      <c r="K571" s="29"/>
      <c r="L571" s="29"/>
    </row>
    <row r="572" spans="1:12" x14ac:dyDescent="0.2">
      <c r="A572" s="33"/>
      <c r="B572" s="37"/>
      <c r="C572" s="17"/>
      <c r="D572"/>
      <c r="E572" s="64"/>
      <c r="F572" s="29"/>
      <c r="G572" s="21"/>
      <c r="H572" s="29"/>
      <c r="I572" s="35"/>
      <c r="J572" s="29"/>
      <c r="K572" s="29"/>
      <c r="L572" s="29"/>
    </row>
    <row r="573" spans="1:12" x14ac:dyDescent="0.2">
      <c r="A573" s="33"/>
      <c r="B573" s="37"/>
      <c r="C573" s="17"/>
      <c r="D573"/>
      <c r="E573" s="64"/>
      <c r="F573" s="29"/>
      <c r="G573" s="21"/>
      <c r="H573" s="29"/>
      <c r="I573" s="35"/>
      <c r="J573" s="29"/>
      <c r="K573" s="29"/>
      <c r="L573" s="29"/>
    </row>
    <row r="574" spans="1:12" x14ac:dyDescent="0.2">
      <c r="A574" s="33"/>
      <c r="B574" s="37"/>
      <c r="C574" s="17"/>
      <c r="D574"/>
      <c r="E574" s="60"/>
      <c r="F574" s="29"/>
      <c r="G574" s="21"/>
      <c r="H574" s="29"/>
      <c r="I574" s="35"/>
      <c r="J574" s="29"/>
      <c r="K574" s="29"/>
      <c r="L574" s="29"/>
    </row>
    <row r="575" spans="1:12" x14ac:dyDescent="0.2">
      <c r="A575" s="33"/>
      <c r="B575" s="29"/>
      <c r="C575" s="29"/>
      <c r="D575" s="29"/>
      <c r="E575" s="64"/>
      <c r="F575" s="29"/>
      <c r="G575" s="29"/>
      <c r="H575" s="29"/>
      <c r="I575" s="35"/>
      <c r="J575" s="29"/>
      <c r="K575" s="29"/>
      <c r="L575" s="29"/>
    </row>
    <row r="576" spans="1:12" x14ac:dyDescent="0.2">
      <c r="A576" s="33"/>
      <c r="B576" s="29"/>
      <c r="C576" s="29"/>
      <c r="D576" s="29"/>
      <c r="E576" s="64"/>
      <c r="F576" s="29"/>
      <c r="G576" s="29"/>
      <c r="H576" s="29"/>
      <c r="I576" s="35"/>
      <c r="J576" s="29"/>
      <c r="K576" s="29"/>
      <c r="L576" s="29"/>
    </row>
    <row r="577" spans="1:12" x14ac:dyDescent="0.2">
      <c r="A577" s="33"/>
      <c r="B577" s="37"/>
      <c r="C577" s="17"/>
      <c r="D577" s="40"/>
      <c r="E577" s="64"/>
      <c r="F577" s="29"/>
      <c r="G577" s="21"/>
      <c r="H577" s="29"/>
      <c r="I577" s="35"/>
      <c r="J577" s="29"/>
      <c r="K577" s="29"/>
      <c r="L577" s="29"/>
    </row>
    <row r="578" spans="1:12" x14ac:dyDescent="0.2">
      <c r="A578" s="33"/>
      <c r="B578" s="37"/>
      <c r="C578" s="17"/>
      <c r="D578" s="40"/>
      <c r="E578" s="60"/>
      <c r="F578" s="29"/>
      <c r="G578" s="21"/>
      <c r="H578" s="29"/>
      <c r="I578" s="35"/>
      <c r="J578" s="29"/>
      <c r="K578" s="29"/>
      <c r="L578" s="29"/>
    </row>
    <row r="579" spans="1:12" x14ac:dyDescent="0.2">
      <c r="A579" s="33"/>
      <c r="B579" s="29"/>
      <c r="C579" s="29"/>
      <c r="D579" s="29"/>
      <c r="E579" s="64"/>
      <c r="F579" s="29"/>
      <c r="G579" s="29"/>
      <c r="H579" s="29"/>
      <c r="I579" s="35"/>
      <c r="J579" s="29"/>
      <c r="K579" s="29"/>
      <c r="L579" s="29"/>
    </row>
    <row r="580" spans="1:12" x14ac:dyDescent="0.2">
      <c r="A580" s="33"/>
      <c r="B580" s="29"/>
      <c r="C580" s="29"/>
      <c r="D580" s="29"/>
      <c r="E580" s="64"/>
      <c r="F580" s="29"/>
      <c r="G580" s="29"/>
      <c r="H580" s="29"/>
      <c r="I580" s="35"/>
      <c r="J580" s="29"/>
      <c r="K580" s="29"/>
      <c r="L580" s="29"/>
    </row>
    <row r="581" spans="1:12" x14ac:dyDescent="0.2">
      <c r="A581" s="33"/>
      <c r="B581" s="37"/>
      <c r="C581" s="17"/>
      <c r="D581"/>
      <c r="E581" s="64"/>
      <c r="F581" s="29"/>
      <c r="G581" s="21"/>
      <c r="H581" s="29"/>
      <c r="I581" s="35"/>
      <c r="J581" s="29"/>
      <c r="K581" s="29"/>
      <c r="L581" s="29"/>
    </row>
    <row r="582" spans="1:12" x14ac:dyDescent="0.2">
      <c r="A582" s="29"/>
      <c r="B582" s="29"/>
      <c r="C582" s="29"/>
      <c r="D582" s="29"/>
      <c r="E582" s="64"/>
      <c r="F582" s="29"/>
      <c r="G582" s="29"/>
      <c r="H582" s="29"/>
      <c r="I582" s="35"/>
      <c r="J582" s="29"/>
      <c r="K582" s="29"/>
      <c r="L582" s="29"/>
    </row>
    <row r="583" spans="1:12" x14ac:dyDescent="0.2">
      <c r="A583" s="33"/>
      <c r="B583" s="37"/>
      <c r="C583" s="17"/>
      <c r="D583"/>
      <c r="E583" s="64"/>
      <c r="F583" s="29"/>
      <c r="G583" s="21"/>
      <c r="H583" s="41"/>
      <c r="I583" s="35"/>
      <c r="J583" s="29"/>
      <c r="K583" s="29"/>
      <c r="L583" s="29"/>
    </row>
    <row r="584" spans="1:12" x14ac:dyDescent="0.2">
      <c r="A584" s="29"/>
      <c r="B584" s="37"/>
      <c r="C584" s="17"/>
      <c r="D584"/>
      <c r="E584" s="64"/>
      <c r="F584" s="29"/>
      <c r="G584" s="21"/>
      <c r="H584" s="41"/>
      <c r="I584" s="35"/>
      <c r="J584" s="29"/>
      <c r="K584" s="29"/>
      <c r="L584" s="29"/>
    </row>
    <row r="585" spans="1:12" x14ac:dyDescent="0.2">
      <c r="A585" s="29"/>
      <c r="B585" s="37"/>
      <c r="C585" s="17"/>
      <c r="D585"/>
      <c r="E585" s="64"/>
      <c r="F585" s="29"/>
      <c r="G585" s="21"/>
      <c r="H585" s="41"/>
      <c r="I585" s="35"/>
      <c r="J585" s="29"/>
      <c r="K585" s="29"/>
      <c r="L585" s="29"/>
    </row>
    <row r="586" spans="1:12" x14ac:dyDescent="0.2">
      <c r="A586" s="29"/>
      <c r="B586" s="37"/>
      <c r="C586" s="17"/>
      <c r="D586"/>
      <c r="E586" s="64"/>
      <c r="F586" s="29"/>
      <c r="G586" s="21"/>
      <c r="H586" s="41"/>
      <c r="I586" s="35"/>
      <c r="J586" s="29"/>
      <c r="K586" s="29"/>
      <c r="L586" s="29"/>
    </row>
    <row r="587" spans="1:12" x14ac:dyDescent="0.2">
      <c r="A587" s="29"/>
      <c r="B587" s="37"/>
      <c r="C587" s="17"/>
      <c r="D587"/>
      <c r="E587" s="64"/>
      <c r="F587" s="29"/>
      <c r="G587" s="21"/>
      <c r="H587" s="41"/>
      <c r="I587" s="35"/>
      <c r="J587" s="29"/>
      <c r="K587" s="29"/>
      <c r="L587" s="29"/>
    </row>
    <row r="588" spans="1:12" x14ac:dyDescent="0.2">
      <c r="A588" s="29"/>
      <c r="B588" s="37"/>
      <c r="C588" s="17"/>
      <c r="D588"/>
      <c r="E588" s="60"/>
      <c r="F588" s="29"/>
      <c r="G588" s="21"/>
      <c r="H588" s="41"/>
      <c r="I588" s="35"/>
      <c r="J588" s="29"/>
      <c r="K588" s="29"/>
      <c r="L588" s="29"/>
    </row>
    <row r="589" spans="1:12" x14ac:dyDescent="0.2">
      <c r="A589" s="29"/>
      <c r="B589" s="29"/>
      <c r="C589" s="29"/>
      <c r="D589" s="29"/>
      <c r="E589" s="64"/>
      <c r="F589" s="29"/>
      <c r="G589" s="29"/>
      <c r="H589" s="29"/>
      <c r="I589" s="35"/>
      <c r="J589" s="29"/>
      <c r="K589" s="29"/>
      <c r="L589" s="29"/>
    </row>
    <row r="590" spans="1:12" x14ac:dyDescent="0.2">
      <c r="A590" s="29"/>
      <c r="B590" s="29"/>
      <c r="C590" s="29"/>
      <c r="D590" s="29"/>
      <c r="E590" s="64"/>
      <c r="F590" s="29"/>
      <c r="G590" s="29"/>
      <c r="H590" s="29"/>
      <c r="I590" s="35"/>
      <c r="J590" s="29"/>
      <c r="K590" s="29"/>
      <c r="L590" s="29"/>
    </row>
    <row r="591" spans="1:12" x14ac:dyDescent="0.2">
      <c r="A591" s="33"/>
      <c r="B591" s="37"/>
      <c r="C591" s="17"/>
      <c r="D591"/>
      <c r="E591" s="64"/>
      <c r="F591" s="29"/>
      <c r="G591" s="21"/>
      <c r="H591" s="29"/>
      <c r="I591" s="35"/>
      <c r="J591" s="29"/>
      <c r="K591" s="29"/>
      <c r="L591" s="29"/>
    </row>
    <row r="592" spans="1:12" x14ac:dyDescent="0.2">
      <c r="A592" s="29"/>
      <c r="B592" s="37"/>
      <c r="C592" s="17"/>
      <c r="D592"/>
      <c r="E592" s="64"/>
      <c r="F592" s="29"/>
      <c r="G592" s="21"/>
      <c r="H592" s="29"/>
      <c r="I592" s="35"/>
      <c r="J592" s="29"/>
      <c r="K592" s="29"/>
      <c r="L592" s="29"/>
    </row>
    <row r="593" spans="1:12" x14ac:dyDescent="0.2">
      <c r="A593" s="29"/>
      <c r="B593" s="37"/>
      <c r="C593" s="17"/>
      <c r="D593"/>
      <c r="E593" s="64"/>
      <c r="F593" s="29"/>
      <c r="G593" s="21"/>
      <c r="H593" s="29"/>
      <c r="I593" s="35"/>
      <c r="J593" s="29"/>
      <c r="K593" s="29"/>
      <c r="L593" s="29"/>
    </row>
    <row r="594" spans="1:12" x14ac:dyDescent="0.2">
      <c r="A594" s="29"/>
      <c r="B594" s="37"/>
      <c r="C594" s="17"/>
      <c r="D594"/>
      <c r="E594" s="64"/>
      <c r="F594" s="29"/>
      <c r="G594" s="21"/>
      <c r="H594" s="29"/>
      <c r="I594" s="35"/>
      <c r="J594" s="29"/>
      <c r="K594" s="29"/>
      <c r="L594" s="29"/>
    </row>
    <row r="595" spans="1:12" x14ac:dyDescent="0.2">
      <c r="A595" s="29"/>
      <c r="B595" s="37"/>
      <c r="C595" s="17"/>
      <c r="D595"/>
      <c r="E595" s="64"/>
      <c r="F595" s="29"/>
      <c r="G595" s="21"/>
      <c r="H595" s="29"/>
      <c r="I595" s="35"/>
      <c r="J595" s="29"/>
      <c r="K595" s="29"/>
      <c r="L595" s="29"/>
    </row>
    <row r="596" spans="1:12" x14ac:dyDescent="0.2">
      <c r="A596" s="29"/>
      <c r="B596" s="37"/>
      <c r="C596" s="17"/>
      <c r="D596"/>
      <c r="E596" s="60"/>
      <c r="F596" s="29"/>
      <c r="G596" s="21"/>
      <c r="H596" s="29"/>
      <c r="I596" s="35"/>
      <c r="J596" s="29"/>
      <c r="K596" s="29"/>
      <c r="L596" s="29"/>
    </row>
    <row r="597" spans="1:12" x14ac:dyDescent="0.2">
      <c r="A597" s="29"/>
      <c r="B597" s="29"/>
      <c r="C597" s="29"/>
      <c r="D597" s="29"/>
      <c r="E597" s="64"/>
      <c r="F597" s="29"/>
      <c r="G597" s="29"/>
      <c r="H597" s="29"/>
      <c r="I597" s="35"/>
      <c r="J597" s="29"/>
      <c r="K597" s="29"/>
      <c r="L597" s="29"/>
    </row>
    <row r="598" spans="1:12" x14ac:dyDescent="0.2">
      <c r="A598" s="1"/>
      <c r="B598" s="1"/>
      <c r="E598" s="65"/>
      <c r="H598" s="29"/>
      <c r="I598" s="47"/>
    </row>
    <row r="599" spans="1:12" x14ac:dyDescent="0.2">
      <c r="B599" s="37"/>
      <c r="C599" s="17"/>
      <c r="D599"/>
      <c r="E599" s="65"/>
      <c r="G599" s="21"/>
      <c r="I599" s="47"/>
    </row>
    <row r="600" spans="1:12" x14ac:dyDescent="0.2">
      <c r="B600" s="37"/>
      <c r="C600" s="17"/>
      <c r="D600"/>
      <c r="E600" s="65"/>
      <c r="G600" s="21"/>
      <c r="H600" s="48"/>
      <c r="I600" s="47"/>
    </row>
    <row r="601" spans="1:12" x14ac:dyDescent="0.2">
      <c r="A601" s="1"/>
      <c r="B601" s="37"/>
      <c r="C601" s="17"/>
      <c r="D601"/>
      <c r="E601" s="65"/>
      <c r="G601" s="21"/>
      <c r="I601" s="47"/>
    </row>
    <row r="602" spans="1:12" x14ac:dyDescent="0.2">
      <c r="A602" s="1"/>
      <c r="B602" s="37"/>
      <c r="C602" s="17"/>
      <c r="D602"/>
      <c r="E602" s="65"/>
      <c r="G602" s="21"/>
      <c r="I602" s="47"/>
    </row>
    <row r="603" spans="1:12" x14ac:dyDescent="0.2">
      <c r="A603" s="1"/>
      <c r="B603" s="37"/>
      <c r="C603" s="17"/>
      <c r="D603"/>
      <c r="E603" s="65"/>
      <c r="G603" s="21"/>
      <c r="I603" s="47"/>
    </row>
    <row r="604" spans="1:12" x14ac:dyDescent="0.2">
      <c r="A604" s="1"/>
      <c r="B604" s="37"/>
      <c r="C604" s="17"/>
      <c r="D604"/>
      <c r="E604" s="65"/>
      <c r="G604" s="21"/>
      <c r="I604" s="47"/>
    </row>
    <row r="605" spans="1:12" x14ac:dyDescent="0.2">
      <c r="A605" s="1"/>
      <c r="B605" s="37"/>
      <c r="C605" s="17"/>
      <c r="D605"/>
      <c r="E605" s="65"/>
      <c r="G605" s="21"/>
      <c r="I605" s="47"/>
    </row>
    <row r="606" spans="1:12" x14ac:dyDescent="0.2">
      <c r="A606" s="1"/>
      <c r="B606" s="37"/>
      <c r="C606" s="17"/>
      <c r="D606"/>
      <c r="E606" s="60"/>
      <c r="G606" s="21"/>
      <c r="I606" s="47"/>
    </row>
    <row r="607" spans="1:12" x14ac:dyDescent="0.2">
      <c r="A607" s="1"/>
      <c r="B607" s="1"/>
      <c r="D607" s="29"/>
      <c r="E607" s="65"/>
      <c r="G607" s="47"/>
      <c r="I607" s="47"/>
    </row>
    <row r="608" spans="1:12" x14ac:dyDescent="0.2">
      <c r="A608" s="1"/>
      <c r="B608" s="1"/>
      <c r="E608" s="65"/>
      <c r="I608" s="47"/>
    </row>
    <row r="609" spans="1:9" x14ac:dyDescent="0.2">
      <c r="B609" s="37"/>
      <c r="C609" s="17"/>
      <c r="D609"/>
      <c r="E609" s="65"/>
      <c r="G609" s="21"/>
      <c r="I609" s="47"/>
    </row>
    <row r="610" spans="1:9" x14ac:dyDescent="0.2">
      <c r="B610" s="37"/>
      <c r="C610" s="17"/>
      <c r="D610"/>
      <c r="E610" s="65"/>
      <c r="G610" s="21"/>
      <c r="I610" s="47"/>
    </row>
    <row r="611" spans="1:9" x14ac:dyDescent="0.2">
      <c r="A611" s="1"/>
      <c r="B611" s="37"/>
      <c r="C611" s="17"/>
      <c r="D611"/>
      <c r="E611" s="65"/>
      <c r="G611" s="21"/>
      <c r="I611" s="47"/>
    </row>
    <row r="612" spans="1:9" x14ac:dyDescent="0.2">
      <c r="A612" s="1"/>
      <c r="B612" s="37"/>
      <c r="C612" s="17"/>
      <c r="D612"/>
      <c r="E612" s="65"/>
      <c r="G612" s="21"/>
      <c r="I612" s="47"/>
    </row>
    <row r="613" spans="1:9" x14ac:dyDescent="0.2">
      <c r="A613" s="1"/>
      <c r="B613" s="37"/>
      <c r="C613" s="17"/>
      <c r="D613"/>
      <c r="G613" s="21"/>
      <c r="I613" s="47"/>
    </row>
    <row r="614" spans="1:9" x14ac:dyDescent="0.2">
      <c r="A614" s="1"/>
      <c r="B614" s="37"/>
      <c r="C614" s="17"/>
      <c r="D614"/>
      <c r="G614" s="21"/>
      <c r="I614" s="47"/>
    </row>
    <row r="615" spans="1:9" x14ac:dyDescent="0.2">
      <c r="A615" s="1"/>
      <c r="B615" s="37"/>
      <c r="C615" s="17"/>
      <c r="D615"/>
      <c r="G615" s="21"/>
      <c r="I615" s="47"/>
    </row>
    <row r="616" spans="1:9" x14ac:dyDescent="0.2">
      <c r="A616" s="1"/>
      <c r="B616" s="37"/>
      <c r="C616" s="17"/>
      <c r="D616"/>
      <c r="E616" s="42"/>
      <c r="G616" s="21"/>
      <c r="I616" s="47"/>
    </row>
    <row r="617" spans="1:9" x14ac:dyDescent="0.2">
      <c r="A617" s="1"/>
      <c r="B617" s="1"/>
      <c r="D617" s="29"/>
      <c r="G617" s="47"/>
      <c r="I617" s="47"/>
    </row>
    <row r="618" spans="1:9" x14ac:dyDescent="0.2">
      <c r="A618" s="1"/>
      <c r="B618" s="1"/>
      <c r="I618" s="47"/>
    </row>
    <row r="619" spans="1:9" x14ac:dyDescent="0.2">
      <c r="B619" s="37"/>
      <c r="C619" s="17"/>
      <c r="D619"/>
      <c r="G619" s="21"/>
      <c r="I619" s="47"/>
    </row>
    <row r="620" spans="1:9" x14ac:dyDescent="0.2">
      <c r="A620" s="1"/>
      <c r="B620" s="37"/>
      <c r="C620" s="17"/>
      <c r="D620"/>
      <c r="E620" s="42"/>
      <c r="G620" s="21"/>
      <c r="I620" s="47"/>
    </row>
    <row r="621" spans="1:9" x14ac:dyDescent="0.2">
      <c r="A621" s="1"/>
      <c r="B621" s="1"/>
      <c r="D621" s="29"/>
      <c r="I621" s="47"/>
    </row>
    <row r="622" spans="1:9" x14ac:dyDescent="0.2">
      <c r="A622" s="1"/>
      <c r="B622" s="1"/>
      <c r="I622" s="47"/>
    </row>
    <row r="623" spans="1:9" x14ac:dyDescent="0.2">
      <c r="B623" s="37"/>
      <c r="C623" s="17"/>
      <c r="D623"/>
      <c r="G623" s="21"/>
      <c r="I623" s="47"/>
    </row>
    <row r="624" spans="1:9" x14ac:dyDescent="0.2">
      <c r="A624" s="1"/>
      <c r="B624" s="1"/>
      <c r="I624" s="47"/>
    </row>
    <row r="625" spans="1:9" x14ac:dyDescent="0.2">
      <c r="B625" s="37"/>
      <c r="C625" s="17"/>
      <c r="D625"/>
      <c r="G625" s="21"/>
      <c r="I625" s="47"/>
    </row>
    <row r="626" spans="1:9" x14ac:dyDescent="0.2">
      <c r="A626" s="1"/>
      <c r="B626" s="37"/>
      <c r="C626" s="17"/>
      <c r="D626"/>
      <c r="G626" s="21"/>
      <c r="I626" s="47"/>
    </row>
    <row r="627" spans="1:9" x14ac:dyDescent="0.2">
      <c r="A627" s="1"/>
      <c r="B627" s="37"/>
      <c r="C627" s="17"/>
      <c r="D627"/>
      <c r="G627" s="21"/>
      <c r="I627" s="47"/>
    </row>
    <row r="628" spans="1:9" x14ac:dyDescent="0.2">
      <c r="A628" s="1"/>
      <c r="B628" s="37"/>
      <c r="C628" s="17"/>
      <c r="D628"/>
      <c r="G628" s="21"/>
      <c r="I628" s="47"/>
    </row>
    <row r="629" spans="1:9" x14ac:dyDescent="0.2">
      <c r="A629" s="1"/>
      <c r="B629" s="37"/>
      <c r="C629" s="17"/>
      <c r="D629"/>
      <c r="G629" s="21"/>
      <c r="I629" s="47"/>
    </row>
    <row r="630" spans="1:9" x14ac:dyDescent="0.2">
      <c r="A630" s="1"/>
      <c r="B630" s="37"/>
      <c r="C630" s="17"/>
      <c r="D630"/>
      <c r="G630" s="21"/>
      <c r="I630" s="47"/>
    </row>
    <row r="631" spans="1:9" x14ac:dyDescent="0.2">
      <c r="A631" s="1"/>
      <c r="B631" s="37"/>
      <c r="C631" s="17"/>
      <c r="D631"/>
      <c r="E631" s="42"/>
      <c r="G631" s="21"/>
      <c r="I631" s="47"/>
    </row>
    <row r="632" spans="1:9" x14ac:dyDescent="0.2">
      <c r="A632" s="1"/>
      <c r="B632" s="1"/>
      <c r="D632" s="29"/>
      <c r="I632" s="47"/>
    </row>
    <row r="633" spans="1:9" x14ac:dyDescent="0.2">
      <c r="A633" s="1"/>
      <c r="B633" s="1"/>
      <c r="I633" s="47"/>
    </row>
    <row r="634" spans="1:9" x14ac:dyDescent="0.2">
      <c r="B634" s="37"/>
      <c r="C634" s="39"/>
      <c r="D634"/>
      <c r="G634" s="21"/>
      <c r="I634" s="47"/>
    </row>
    <row r="635" spans="1:9" x14ac:dyDescent="0.2">
      <c r="A635" s="1"/>
      <c r="B635" s="37"/>
      <c r="C635" s="39"/>
      <c r="D635"/>
      <c r="G635" s="21"/>
      <c r="I635" s="47"/>
    </row>
    <row r="636" spans="1:9" x14ac:dyDescent="0.2">
      <c r="A636" s="1"/>
      <c r="B636" s="37"/>
      <c r="C636" s="39"/>
      <c r="D636"/>
      <c r="G636" s="21"/>
      <c r="I636" s="47"/>
    </row>
    <row r="637" spans="1:9" x14ac:dyDescent="0.2">
      <c r="A637" s="1"/>
      <c r="B637" s="37"/>
      <c r="C637" s="39"/>
      <c r="D637"/>
      <c r="G637" s="21"/>
      <c r="I637" s="47"/>
    </row>
    <row r="638" spans="1:9" x14ac:dyDescent="0.2">
      <c r="A638" s="1"/>
      <c r="B638" s="37"/>
      <c r="C638" s="39"/>
      <c r="D638"/>
      <c r="G638" s="21"/>
      <c r="I638" s="47"/>
    </row>
    <row r="639" spans="1:9" x14ac:dyDescent="0.2">
      <c r="A639" s="1"/>
      <c r="B639" s="37"/>
      <c r="C639" s="39"/>
      <c r="D639"/>
      <c r="G639" s="21"/>
      <c r="I639" s="47"/>
    </row>
    <row r="640" spans="1:9" x14ac:dyDescent="0.2">
      <c r="A640" s="1"/>
      <c r="B640" s="37"/>
      <c r="C640" s="39"/>
      <c r="D640"/>
      <c r="G640" s="21"/>
      <c r="I640" s="47"/>
    </row>
    <row r="641" spans="1:9" x14ac:dyDescent="0.2">
      <c r="A641" s="1"/>
      <c r="B641" s="37"/>
      <c r="C641" s="39"/>
      <c r="D641"/>
      <c r="G641" s="21"/>
      <c r="I641" s="47"/>
    </row>
    <row r="642" spans="1:9" x14ac:dyDescent="0.2">
      <c r="A642" s="1"/>
      <c r="B642" s="37"/>
      <c r="C642" s="39"/>
      <c r="D642"/>
      <c r="G642" s="21"/>
      <c r="I642" s="47"/>
    </row>
    <row r="643" spans="1:9" x14ac:dyDescent="0.2">
      <c r="A643" s="1"/>
      <c r="B643" s="37"/>
      <c r="C643" s="39"/>
      <c r="D643"/>
      <c r="G643" s="21"/>
      <c r="I643" s="47"/>
    </row>
    <row r="644" spans="1:9" x14ac:dyDescent="0.2">
      <c r="A644" s="1"/>
      <c r="B644" s="37"/>
      <c r="C644" s="39"/>
      <c r="D644"/>
      <c r="E644" s="42"/>
      <c r="G644" s="21"/>
      <c r="I644" s="47"/>
    </row>
    <row r="645" spans="1:9" x14ac:dyDescent="0.2">
      <c r="A645" s="1"/>
      <c r="B645" s="37"/>
      <c r="D645" s="29"/>
      <c r="E645" s="35"/>
      <c r="I645" s="47"/>
    </row>
    <row r="646" spans="1:9" x14ac:dyDescent="0.2">
      <c r="A646" s="1"/>
      <c r="B646" s="1"/>
      <c r="I646" s="47"/>
    </row>
    <row r="647" spans="1:9" x14ac:dyDescent="0.2">
      <c r="B647" s="37"/>
      <c r="C647" s="17"/>
      <c r="D647"/>
      <c r="G647" s="21"/>
      <c r="I647" s="47"/>
    </row>
    <row r="648" spans="1:9" x14ac:dyDescent="0.2">
      <c r="A648" s="1"/>
      <c r="B648" s="37"/>
      <c r="C648" s="17"/>
      <c r="D648"/>
      <c r="G648" s="21"/>
      <c r="I648" s="47"/>
    </row>
    <row r="649" spans="1:9" x14ac:dyDescent="0.2">
      <c r="A649" s="1"/>
      <c r="B649" s="37"/>
      <c r="C649" s="17"/>
      <c r="D649"/>
      <c r="G649" s="21"/>
      <c r="I649" s="47"/>
    </row>
    <row r="650" spans="1:9" x14ac:dyDescent="0.2">
      <c r="A650" s="1"/>
      <c r="B650" s="37"/>
      <c r="C650" s="17"/>
      <c r="D650"/>
      <c r="G650" s="21"/>
      <c r="I650" s="47"/>
    </row>
    <row r="651" spans="1:9" x14ac:dyDescent="0.2">
      <c r="A651" s="1"/>
      <c r="B651" s="37"/>
      <c r="C651" s="17"/>
      <c r="D651"/>
      <c r="G651" s="21"/>
      <c r="I651" s="47"/>
    </row>
    <row r="652" spans="1:9" x14ac:dyDescent="0.2">
      <c r="A652" s="1"/>
      <c r="B652" s="37"/>
      <c r="C652" s="17"/>
      <c r="D652"/>
      <c r="E652" s="42"/>
      <c r="G652" s="21"/>
      <c r="I652" s="47"/>
    </row>
    <row r="653" spans="1:9" x14ac:dyDescent="0.2">
      <c r="A653" s="1"/>
      <c r="B653" s="1"/>
      <c r="D653" s="29"/>
      <c r="I653" s="47"/>
    </row>
    <row r="654" spans="1:9" x14ac:dyDescent="0.2">
      <c r="A654" s="1"/>
      <c r="B654" s="1"/>
      <c r="I654" s="47"/>
    </row>
    <row r="655" spans="1:9" x14ac:dyDescent="0.2">
      <c r="A655"/>
      <c r="B655" s="37"/>
      <c r="C655" s="17"/>
      <c r="D655"/>
      <c r="G655" s="21"/>
      <c r="I655" s="47"/>
    </row>
    <row r="656" spans="1:9" x14ac:dyDescent="0.2">
      <c r="A656" s="1"/>
      <c r="B656" s="1"/>
      <c r="I656" s="47"/>
    </row>
    <row r="657" spans="1:9" x14ac:dyDescent="0.2">
      <c r="B657" s="37"/>
      <c r="C657" s="39"/>
      <c r="D657"/>
      <c r="G657" s="21"/>
      <c r="I657" s="47"/>
    </row>
    <row r="658" spans="1:9" x14ac:dyDescent="0.2">
      <c r="A658" s="1"/>
      <c r="B658" s="37"/>
      <c r="C658" s="39"/>
      <c r="D658"/>
      <c r="G658" s="21"/>
      <c r="I658" s="47"/>
    </row>
    <row r="659" spans="1:9" x14ac:dyDescent="0.2">
      <c r="A659" s="1"/>
      <c r="B659" s="37"/>
      <c r="C659" s="39"/>
      <c r="D659"/>
      <c r="E659" s="42"/>
      <c r="G659" s="21"/>
      <c r="I659" s="47"/>
    </row>
    <row r="660" spans="1:9" x14ac:dyDescent="0.2">
      <c r="A660" s="1"/>
      <c r="B660" s="1"/>
      <c r="D660" s="29"/>
      <c r="I660" s="47"/>
    </row>
    <row r="661" spans="1:9" x14ac:dyDescent="0.2">
      <c r="A661" s="1"/>
      <c r="B661" s="1"/>
      <c r="I661" s="47"/>
    </row>
    <row r="662" spans="1:9" x14ac:dyDescent="0.2">
      <c r="B662" s="37"/>
      <c r="C662" s="39"/>
      <c r="D662"/>
      <c r="G662" s="21"/>
      <c r="I662" s="47"/>
    </row>
    <row r="663" spans="1:9" x14ac:dyDescent="0.2">
      <c r="A663" s="1"/>
      <c r="B663" s="1"/>
      <c r="I663" s="47"/>
    </row>
    <row r="664" spans="1:9" x14ac:dyDescent="0.2">
      <c r="B664" s="37"/>
      <c r="C664" s="39"/>
      <c r="D664"/>
      <c r="G664" s="21"/>
      <c r="I664" s="47"/>
    </row>
    <row r="665" spans="1:9" x14ac:dyDescent="0.2">
      <c r="A665" s="1"/>
      <c r="B665" s="37"/>
      <c r="C665" s="39"/>
      <c r="D665"/>
      <c r="G665" s="21"/>
      <c r="I665" s="47"/>
    </row>
    <row r="666" spans="1:9" x14ac:dyDescent="0.2">
      <c r="A666" s="1"/>
      <c r="B666" s="37"/>
      <c r="C666" s="39"/>
      <c r="D666"/>
      <c r="E666" s="42"/>
      <c r="G666" s="21"/>
      <c r="I666" s="47"/>
    </row>
    <row r="667" spans="1:9" x14ac:dyDescent="0.2">
      <c r="A667" s="1"/>
      <c r="B667" s="1"/>
      <c r="D667" s="29"/>
      <c r="I667" s="47"/>
    </row>
    <row r="668" spans="1:9" x14ac:dyDescent="0.2">
      <c r="A668" s="1"/>
      <c r="B668" s="1"/>
      <c r="I668" s="47"/>
    </row>
    <row r="669" spans="1:9" x14ac:dyDescent="0.2">
      <c r="B669" s="37"/>
      <c r="C669" s="39"/>
      <c r="D669"/>
      <c r="G669" s="21"/>
      <c r="I669" s="47"/>
    </row>
    <row r="670" spans="1:9" x14ac:dyDescent="0.2">
      <c r="B670" s="37"/>
      <c r="C670" s="39"/>
      <c r="D670"/>
      <c r="G670" s="21"/>
      <c r="I670" s="47"/>
    </row>
    <row r="671" spans="1:9" x14ac:dyDescent="0.2">
      <c r="B671" s="37"/>
      <c r="C671" s="39"/>
      <c r="D671"/>
      <c r="G671" s="21"/>
      <c r="I671" s="47"/>
    </row>
    <row r="672" spans="1:9" x14ac:dyDescent="0.2">
      <c r="B672" s="37"/>
      <c r="C672" s="39"/>
      <c r="D672"/>
      <c r="G672" s="21"/>
      <c r="I672" s="47"/>
    </row>
    <row r="673" spans="2:9" x14ac:dyDescent="0.2">
      <c r="B673" s="37"/>
      <c r="C673" s="39"/>
      <c r="D673"/>
      <c r="E673" s="42"/>
      <c r="G673" s="21"/>
      <c r="I673" s="47"/>
    </row>
    <row r="674" spans="2:9" x14ac:dyDescent="0.2">
      <c r="D674" s="29"/>
      <c r="I674" s="47"/>
    </row>
    <row r="675" spans="2:9" x14ac:dyDescent="0.2">
      <c r="I675" s="47"/>
    </row>
    <row r="676" spans="2:9" x14ac:dyDescent="0.2">
      <c r="B676" s="37"/>
      <c r="C676" s="39"/>
      <c r="D676"/>
      <c r="G676" s="21"/>
      <c r="I676" s="47"/>
    </row>
    <row r="677" spans="2:9" x14ac:dyDescent="0.2">
      <c r="B677" s="37"/>
      <c r="C677" s="39"/>
      <c r="D677"/>
      <c r="G677" s="21"/>
      <c r="I677" s="47"/>
    </row>
    <row r="678" spans="2:9" x14ac:dyDescent="0.2">
      <c r="B678" s="37"/>
      <c r="C678" s="39"/>
      <c r="D678"/>
      <c r="G678" s="21"/>
      <c r="I678" s="47"/>
    </row>
    <row r="679" spans="2:9" x14ac:dyDescent="0.2">
      <c r="B679" s="37"/>
      <c r="C679" s="39"/>
      <c r="D679"/>
      <c r="G679" s="21"/>
      <c r="I679" s="47"/>
    </row>
    <row r="680" spans="2:9" x14ac:dyDescent="0.2">
      <c r="B680" s="37"/>
      <c r="C680" s="39"/>
      <c r="D680"/>
      <c r="G680" s="21"/>
      <c r="I680" s="47"/>
    </row>
    <row r="681" spans="2:9" x14ac:dyDescent="0.2">
      <c r="B681" s="37"/>
      <c r="C681" s="39"/>
      <c r="D681"/>
      <c r="G681" s="21"/>
      <c r="I681" s="47"/>
    </row>
    <row r="682" spans="2:9" x14ac:dyDescent="0.2">
      <c r="B682" s="37"/>
      <c r="C682" s="39"/>
      <c r="D682"/>
      <c r="G682" s="21"/>
      <c r="I682" s="47"/>
    </row>
    <row r="683" spans="2:9" x14ac:dyDescent="0.2">
      <c r="B683" s="37"/>
      <c r="C683" s="39"/>
      <c r="D683"/>
      <c r="G683" s="21"/>
      <c r="I683" s="47"/>
    </row>
    <row r="684" spans="2:9" x14ac:dyDescent="0.2">
      <c r="B684" s="37"/>
      <c r="C684" s="39"/>
      <c r="D684"/>
      <c r="G684" s="21"/>
      <c r="I684" s="47"/>
    </row>
    <row r="685" spans="2:9" x14ac:dyDescent="0.2">
      <c r="B685" s="37"/>
      <c r="C685" s="39"/>
      <c r="D685"/>
      <c r="G685" s="21"/>
      <c r="I685" s="47"/>
    </row>
    <row r="686" spans="2:9" x14ac:dyDescent="0.2">
      <c r="B686" s="37"/>
      <c r="C686" s="39"/>
      <c r="D686"/>
      <c r="G686" s="21"/>
      <c r="I686" s="47"/>
    </row>
    <row r="687" spans="2:9" x14ac:dyDescent="0.2">
      <c r="B687" s="37"/>
      <c r="C687" s="39"/>
      <c r="D687"/>
      <c r="E687" s="42"/>
      <c r="G687" s="21"/>
      <c r="I687" s="47"/>
    </row>
    <row r="688" spans="2:9" x14ac:dyDescent="0.2">
      <c r="D688" s="29"/>
      <c r="I688" s="47"/>
    </row>
    <row r="689" spans="1:9" x14ac:dyDescent="0.2">
      <c r="I689" s="47"/>
    </row>
    <row r="690" spans="1:9" x14ac:dyDescent="0.2">
      <c r="B690" s="37"/>
      <c r="C690" s="39"/>
      <c r="D690"/>
      <c r="G690" s="21"/>
      <c r="I690" s="47"/>
    </row>
    <row r="691" spans="1:9" x14ac:dyDescent="0.2">
      <c r="I691" s="47"/>
    </row>
    <row r="692" spans="1:9" x14ac:dyDescent="0.2">
      <c r="A692"/>
      <c r="B692" s="37"/>
      <c r="C692" s="39"/>
      <c r="D692"/>
      <c r="G692" s="21"/>
      <c r="I692" s="47"/>
    </row>
    <row r="693" spans="1:9" x14ac:dyDescent="0.2">
      <c r="B693" s="37"/>
      <c r="C693" s="39"/>
      <c r="D693"/>
      <c r="G693" s="21"/>
      <c r="I693" s="47"/>
    </row>
    <row r="694" spans="1:9" x14ac:dyDescent="0.2">
      <c r="B694" s="37"/>
      <c r="C694" s="39"/>
      <c r="D694"/>
      <c r="G694" s="21"/>
      <c r="I694" s="47"/>
    </row>
    <row r="695" spans="1:9" x14ac:dyDescent="0.2">
      <c r="B695" s="37"/>
      <c r="C695" s="39"/>
      <c r="D695"/>
      <c r="G695" s="21"/>
      <c r="I695" s="47"/>
    </row>
    <row r="696" spans="1:9" x14ac:dyDescent="0.2">
      <c r="B696" s="37"/>
      <c r="C696" s="39"/>
      <c r="D696"/>
      <c r="G696" s="21"/>
    </row>
    <row r="697" spans="1:9" x14ac:dyDescent="0.2">
      <c r="B697" s="37"/>
      <c r="C697" s="39"/>
      <c r="D697"/>
      <c r="G697" s="21"/>
    </row>
    <row r="698" spans="1:9" x14ac:dyDescent="0.2">
      <c r="B698" s="37"/>
      <c r="C698" s="39"/>
      <c r="D698"/>
      <c r="E698" s="42"/>
      <c r="G698" s="21"/>
    </row>
    <row r="699" spans="1:9" x14ac:dyDescent="0.2">
      <c r="D699" s="29"/>
    </row>
    <row r="701" spans="1:9" x14ac:dyDescent="0.2">
      <c r="A701"/>
      <c r="B701" s="37"/>
      <c r="C701" s="39"/>
      <c r="D701"/>
      <c r="G701" s="21"/>
    </row>
    <row r="702" spans="1:9" x14ac:dyDescent="0.2">
      <c r="B702" s="37"/>
      <c r="C702" s="39"/>
      <c r="D702"/>
      <c r="E702" s="42"/>
      <c r="G702" s="21"/>
    </row>
    <row r="703" spans="1:9" x14ac:dyDescent="0.2">
      <c r="D703" s="29"/>
    </row>
    <row r="705" spans="4:5" x14ac:dyDescent="0.2">
      <c r="D705" s="29" t="s">
        <v>154</v>
      </c>
      <c r="E705" s="49"/>
    </row>
    <row r="707" spans="4:5" ht="13.5" thickBot="1" x14ac:dyDescent="0.25">
      <c r="D707" s="2" t="s">
        <v>155</v>
      </c>
      <c r="E707" s="50">
        <f>E705+E103</f>
        <v>2372842.75</v>
      </c>
    </row>
    <row r="708" spans="4:5" ht="13.5" thickTop="1" x14ac:dyDescent="0.2"/>
  </sheetData>
  <mergeCells count="3">
    <mergeCell ref="B1:G1"/>
    <mergeCell ref="B2:G2"/>
    <mergeCell ref="B3:G3"/>
  </mergeCells>
  <pageMargins left="0.75" right="0.75" top="1" bottom="1" header="0.5" footer="0.5"/>
  <pageSetup scale="55" orientation="portrait" r:id="rId1"/>
  <headerFooter alignWithMargins="0"/>
  <rowBreaks count="9" manualBreakCount="9">
    <brk id="78" max="6" man="1"/>
    <brk id="158" max="6" man="1"/>
    <brk id="218" max="6" man="1"/>
    <brk id="285" max="6" man="1"/>
    <brk id="353" max="6" man="1"/>
    <brk id="419" max="6" man="1"/>
    <brk id="488" max="6" man="1"/>
    <brk id="562" max="6" man="1"/>
    <brk id="63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72"/>
  <sheetViews>
    <sheetView tabSelected="1" zoomScaleNormal="100" workbookViewId="0">
      <selection activeCell="D505" sqref="D505"/>
    </sheetView>
  </sheetViews>
  <sheetFormatPr defaultRowHeight="12.75" x14ac:dyDescent="0.2"/>
  <cols>
    <col min="1" max="1" width="16.85546875" style="14" customWidth="1"/>
    <col min="2" max="2" width="18.28515625" style="39" customWidth="1"/>
    <col min="3" max="3" width="25.140625" style="1" customWidth="1"/>
    <col min="4" max="4" width="38.85546875" style="1" customWidth="1"/>
    <col min="5" max="5" width="18.7109375" style="47" customWidth="1"/>
    <col min="6" max="6" width="1.5703125" style="1" customWidth="1"/>
    <col min="7" max="8" width="18.42578125" style="1" customWidth="1"/>
    <col min="9" max="9" width="16.5703125" style="1" customWidth="1"/>
    <col min="10" max="10" width="3.7109375" style="1" customWidth="1"/>
    <col min="11" max="11" width="4.85546875" style="1" customWidth="1"/>
    <col min="12" max="12" width="32.28515625" style="1" customWidth="1"/>
    <col min="13" max="13" width="3.85546875" style="1" customWidth="1"/>
    <col min="14" max="14" width="9.140625" style="1"/>
    <col min="15" max="15" width="2.85546875" style="1" customWidth="1"/>
    <col min="16" max="16" width="5.5703125" style="1" customWidth="1"/>
    <col min="17" max="17" width="3.85546875" style="1" customWidth="1"/>
    <col min="18" max="18" width="14.5703125" style="1" customWidth="1"/>
    <col min="19" max="19" width="14.42578125" style="1" customWidth="1"/>
    <col min="20" max="256" width="9.140625" style="1"/>
    <col min="257" max="257" width="11.85546875" style="1" customWidth="1"/>
    <col min="258" max="258" width="18.28515625" style="1" customWidth="1"/>
    <col min="259" max="259" width="23.140625" style="1" customWidth="1"/>
    <col min="260" max="260" width="38.85546875" style="1" customWidth="1"/>
    <col min="261" max="261" width="18.7109375" style="1" customWidth="1"/>
    <col min="262" max="262" width="1.5703125" style="1" customWidth="1"/>
    <col min="263" max="264" width="18.42578125" style="1" customWidth="1"/>
    <col min="265" max="265" width="16.5703125" style="1" customWidth="1"/>
    <col min="266" max="266" width="3.7109375" style="1" customWidth="1"/>
    <col min="267" max="267" width="4.85546875" style="1" customWidth="1"/>
    <col min="268" max="268" width="32.28515625" style="1" customWidth="1"/>
    <col min="269" max="269" width="3.85546875" style="1" customWidth="1"/>
    <col min="270" max="270" width="9.140625" style="1"/>
    <col min="271" max="271" width="2.85546875" style="1" customWidth="1"/>
    <col min="272" max="272" width="5.5703125" style="1" customWidth="1"/>
    <col min="273" max="273" width="3.85546875" style="1" customWidth="1"/>
    <col min="274" max="274" width="14.5703125" style="1" customWidth="1"/>
    <col min="275" max="275" width="14.42578125" style="1" customWidth="1"/>
    <col min="276" max="512" width="9.140625" style="1"/>
    <col min="513" max="513" width="11.85546875" style="1" customWidth="1"/>
    <col min="514" max="514" width="18.28515625" style="1" customWidth="1"/>
    <col min="515" max="515" width="23.140625" style="1" customWidth="1"/>
    <col min="516" max="516" width="38.85546875" style="1" customWidth="1"/>
    <col min="517" max="517" width="18.7109375" style="1" customWidth="1"/>
    <col min="518" max="518" width="1.5703125" style="1" customWidth="1"/>
    <col min="519" max="520" width="18.42578125" style="1" customWidth="1"/>
    <col min="521" max="521" width="16.5703125" style="1" customWidth="1"/>
    <col min="522" max="522" width="3.7109375" style="1" customWidth="1"/>
    <col min="523" max="523" width="4.85546875" style="1" customWidth="1"/>
    <col min="524" max="524" width="32.28515625" style="1" customWidth="1"/>
    <col min="525" max="525" width="3.85546875" style="1" customWidth="1"/>
    <col min="526" max="526" width="9.140625" style="1"/>
    <col min="527" max="527" width="2.85546875" style="1" customWidth="1"/>
    <col min="528" max="528" width="5.5703125" style="1" customWidth="1"/>
    <col min="529" max="529" width="3.85546875" style="1" customWidth="1"/>
    <col min="530" max="530" width="14.5703125" style="1" customWidth="1"/>
    <col min="531" max="531" width="14.42578125" style="1" customWidth="1"/>
    <col min="532" max="768" width="9.140625" style="1"/>
    <col min="769" max="769" width="11.85546875" style="1" customWidth="1"/>
    <col min="770" max="770" width="18.28515625" style="1" customWidth="1"/>
    <col min="771" max="771" width="23.140625" style="1" customWidth="1"/>
    <col min="772" max="772" width="38.85546875" style="1" customWidth="1"/>
    <col min="773" max="773" width="18.7109375" style="1" customWidth="1"/>
    <col min="774" max="774" width="1.5703125" style="1" customWidth="1"/>
    <col min="775" max="776" width="18.42578125" style="1" customWidth="1"/>
    <col min="777" max="777" width="16.5703125" style="1" customWidth="1"/>
    <col min="778" max="778" width="3.7109375" style="1" customWidth="1"/>
    <col min="779" max="779" width="4.85546875" style="1" customWidth="1"/>
    <col min="780" max="780" width="32.28515625" style="1" customWidth="1"/>
    <col min="781" max="781" width="3.85546875" style="1" customWidth="1"/>
    <col min="782" max="782" width="9.140625" style="1"/>
    <col min="783" max="783" width="2.85546875" style="1" customWidth="1"/>
    <col min="784" max="784" width="5.5703125" style="1" customWidth="1"/>
    <col min="785" max="785" width="3.85546875" style="1" customWidth="1"/>
    <col min="786" max="786" width="14.5703125" style="1" customWidth="1"/>
    <col min="787" max="787" width="14.42578125" style="1" customWidth="1"/>
    <col min="788" max="1024" width="9.140625" style="1"/>
    <col min="1025" max="1025" width="11.85546875" style="1" customWidth="1"/>
    <col min="1026" max="1026" width="18.28515625" style="1" customWidth="1"/>
    <col min="1027" max="1027" width="23.140625" style="1" customWidth="1"/>
    <col min="1028" max="1028" width="38.85546875" style="1" customWidth="1"/>
    <col min="1029" max="1029" width="18.7109375" style="1" customWidth="1"/>
    <col min="1030" max="1030" width="1.5703125" style="1" customWidth="1"/>
    <col min="1031" max="1032" width="18.42578125" style="1" customWidth="1"/>
    <col min="1033" max="1033" width="16.5703125" style="1" customWidth="1"/>
    <col min="1034" max="1034" width="3.7109375" style="1" customWidth="1"/>
    <col min="1035" max="1035" width="4.85546875" style="1" customWidth="1"/>
    <col min="1036" max="1036" width="32.28515625" style="1" customWidth="1"/>
    <col min="1037" max="1037" width="3.85546875" style="1" customWidth="1"/>
    <col min="1038" max="1038" width="9.140625" style="1"/>
    <col min="1039" max="1039" width="2.85546875" style="1" customWidth="1"/>
    <col min="1040" max="1040" width="5.5703125" style="1" customWidth="1"/>
    <col min="1041" max="1041" width="3.85546875" style="1" customWidth="1"/>
    <col min="1042" max="1042" width="14.5703125" style="1" customWidth="1"/>
    <col min="1043" max="1043" width="14.42578125" style="1" customWidth="1"/>
    <col min="1044" max="1280" width="9.140625" style="1"/>
    <col min="1281" max="1281" width="11.85546875" style="1" customWidth="1"/>
    <col min="1282" max="1282" width="18.28515625" style="1" customWidth="1"/>
    <col min="1283" max="1283" width="23.140625" style="1" customWidth="1"/>
    <col min="1284" max="1284" width="38.85546875" style="1" customWidth="1"/>
    <col min="1285" max="1285" width="18.7109375" style="1" customWidth="1"/>
    <col min="1286" max="1286" width="1.5703125" style="1" customWidth="1"/>
    <col min="1287" max="1288" width="18.42578125" style="1" customWidth="1"/>
    <col min="1289" max="1289" width="16.5703125" style="1" customWidth="1"/>
    <col min="1290" max="1290" width="3.7109375" style="1" customWidth="1"/>
    <col min="1291" max="1291" width="4.85546875" style="1" customWidth="1"/>
    <col min="1292" max="1292" width="32.28515625" style="1" customWidth="1"/>
    <col min="1293" max="1293" width="3.85546875" style="1" customWidth="1"/>
    <col min="1294" max="1294" width="9.140625" style="1"/>
    <col min="1295" max="1295" width="2.85546875" style="1" customWidth="1"/>
    <col min="1296" max="1296" width="5.5703125" style="1" customWidth="1"/>
    <col min="1297" max="1297" width="3.85546875" style="1" customWidth="1"/>
    <col min="1298" max="1298" width="14.5703125" style="1" customWidth="1"/>
    <col min="1299" max="1299" width="14.42578125" style="1" customWidth="1"/>
    <col min="1300" max="1536" width="9.140625" style="1"/>
    <col min="1537" max="1537" width="11.85546875" style="1" customWidth="1"/>
    <col min="1538" max="1538" width="18.28515625" style="1" customWidth="1"/>
    <col min="1539" max="1539" width="23.140625" style="1" customWidth="1"/>
    <col min="1540" max="1540" width="38.85546875" style="1" customWidth="1"/>
    <col min="1541" max="1541" width="18.7109375" style="1" customWidth="1"/>
    <col min="1542" max="1542" width="1.5703125" style="1" customWidth="1"/>
    <col min="1543" max="1544" width="18.42578125" style="1" customWidth="1"/>
    <col min="1545" max="1545" width="16.5703125" style="1" customWidth="1"/>
    <col min="1546" max="1546" width="3.7109375" style="1" customWidth="1"/>
    <col min="1547" max="1547" width="4.85546875" style="1" customWidth="1"/>
    <col min="1548" max="1548" width="32.28515625" style="1" customWidth="1"/>
    <col min="1549" max="1549" width="3.85546875" style="1" customWidth="1"/>
    <col min="1550" max="1550" width="9.140625" style="1"/>
    <col min="1551" max="1551" width="2.85546875" style="1" customWidth="1"/>
    <col min="1552" max="1552" width="5.5703125" style="1" customWidth="1"/>
    <col min="1553" max="1553" width="3.85546875" style="1" customWidth="1"/>
    <col min="1554" max="1554" width="14.5703125" style="1" customWidth="1"/>
    <col min="1555" max="1555" width="14.42578125" style="1" customWidth="1"/>
    <col min="1556" max="1792" width="9.140625" style="1"/>
    <col min="1793" max="1793" width="11.85546875" style="1" customWidth="1"/>
    <col min="1794" max="1794" width="18.28515625" style="1" customWidth="1"/>
    <col min="1795" max="1795" width="23.140625" style="1" customWidth="1"/>
    <col min="1796" max="1796" width="38.85546875" style="1" customWidth="1"/>
    <col min="1797" max="1797" width="18.7109375" style="1" customWidth="1"/>
    <col min="1798" max="1798" width="1.5703125" style="1" customWidth="1"/>
    <col min="1799" max="1800" width="18.42578125" style="1" customWidth="1"/>
    <col min="1801" max="1801" width="16.5703125" style="1" customWidth="1"/>
    <col min="1802" max="1802" width="3.7109375" style="1" customWidth="1"/>
    <col min="1803" max="1803" width="4.85546875" style="1" customWidth="1"/>
    <col min="1804" max="1804" width="32.28515625" style="1" customWidth="1"/>
    <col min="1805" max="1805" width="3.85546875" style="1" customWidth="1"/>
    <col min="1806" max="1806" width="9.140625" style="1"/>
    <col min="1807" max="1807" width="2.85546875" style="1" customWidth="1"/>
    <col min="1808" max="1808" width="5.5703125" style="1" customWidth="1"/>
    <col min="1809" max="1809" width="3.85546875" style="1" customWidth="1"/>
    <col min="1810" max="1810" width="14.5703125" style="1" customWidth="1"/>
    <col min="1811" max="1811" width="14.42578125" style="1" customWidth="1"/>
    <col min="1812" max="2048" width="9.140625" style="1"/>
    <col min="2049" max="2049" width="11.85546875" style="1" customWidth="1"/>
    <col min="2050" max="2050" width="18.28515625" style="1" customWidth="1"/>
    <col min="2051" max="2051" width="23.140625" style="1" customWidth="1"/>
    <col min="2052" max="2052" width="38.85546875" style="1" customWidth="1"/>
    <col min="2053" max="2053" width="18.7109375" style="1" customWidth="1"/>
    <col min="2054" max="2054" width="1.5703125" style="1" customWidth="1"/>
    <col min="2055" max="2056" width="18.42578125" style="1" customWidth="1"/>
    <col min="2057" max="2057" width="16.5703125" style="1" customWidth="1"/>
    <col min="2058" max="2058" width="3.7109375" style="1" customWidth="1"/>
    <col min="2059" max="2059" width="4.85546875" style="1" customWidth="1"/>
    <col min="2060" max="2060" width="32.28515625" style="1" customWidth="1"/>
    <col min="2061" max="2061" width="3.85546875" style="1" customWidth="1"/>
    <col min="2062" max="2062" width="9.140625" style="1"/>
    <col min="2063" max="2063" width="2.85546875" style="1" customWidth="1"/>
    <col min="2064" max="2064" width="5.5703125" style="1" customWidth="1"/>
    <col min="2065" max="2065" width="3.85546875" style="1" customWidth="1"/>
    <col min="2066" max="2066" width="14.5703125" style="1" customWidth="1"/>
    <col min="2067" max="2067" width="14.42578125" style="1" customWidth="1"/>
    <col min="2068" max="2304" width="9.140625" style="1"/>
    <col min="2305" max="2305" width="11.85546875" style="1" customWidth="1"/>
    <col min="2306" max="2306" width="18.28515625" style="1" customWidth="1"/>
    <col min="2307" max="2307" width="23.140625" style="1" customWidth="1"/>
    <col min="2308" max="2308" width="38.85546875" style="1" customWidth="1"/>
    <col min="2309" max="2309" width="18.7109375" style="1" customWidth="1"/>
    <col min="2310" max="2310" width="1.5703125" style="1" customWidth="1"/>
    <col min="2311" max="2312" width="18.42578125" style="1" customWidth="1"/>
    <col min="2313" max="2313" width="16.5703125" style="1" customWidth="1"/>
    <col min="2314" max="2314" width="3.7109375" style="1" customWidth="1"/>
    <col min="2315" max="2315" width="4.85546875" style="1" customWidth="1"/>
    <col min="2316" max="2316" width="32.28515625" style="1" customWidth="1"/>
    <col min="2317" max="2317" width="3.85546875" style="1" customWidth="1"/>
    <col min="2318" max="2318" width="9.140625" style="1"/>
    <col min="2319" max="2319" width="2.85546875" style="1" customWidth="1"/>
    <col min="2320" max="2320" width="5.5703125" style="1" customWidth="1"/>
    <col min="2321" max="2321" width="3.85546875" style="1" customWidth="1"/>
    <col min="2322" max="2322" width="14.5703125" style="1" customWidth="1"/>
    <col min="2323" max="2323" width="14.42578125" style="1" customWidth="1"/>
    <col min="2324" max="2560" width="9.140625" style="1"/>
    <col min="2561" max="2561" width="11.85546875" style="1" customWidth="1"/>
    <col min="2562" max="2562" width="18.28515625" style="1" customWidth="1"/>
    <col min="2563" max="2563" width="23.140625" style="1" customWidth="1"/>
    <col min="2564" max="2564" width="38.85546875" style="1" customWidth="1"/>
    <col min="2565" max="2565" width="18.7109375" style="1" customWidth="1"/>
    <col min="2566" max="2566" width="1.5703125" style="1" customWidth="1"/>
    <col min="2567" max="2568" width="18.42578125" style="1" customWidth="1"/>
    <col min="2569" max="2569" width="16.5703125" style="1" customWidth="1"/>
    <col min="2570" max="2570" width="3.7109375" style="1" customWidth="1"/>
    <col min="2571" max="2571" width="4.85546875" style="1" customWidth="1"/>
    <col min="2572" max="2572" width="32.28515625" style="1" customWidth="1"/>
    <col min="2573" max="2573" width="3.85546875" style="1" customWidth="1"/>
    <col min="2574" max="2574" width="9.140625" style="1"/>
    <col min="2575" max="2575" width="2.85546875" style="1" customWidth="1"/>
    <col min="2576" max="2576" width="5.5703125" style="1" customWidth="1"/>
    <col min="2577" max="2577" width="3.85546875" style="1" customWidth="1"/>
    <col min="2578" max="2578" width="14.5703125" style="1" customWidth="1"/>
    <col min="2579" max="2579" width="14.42578125" style="1" customWidth="1"/>
    <col min="2580" max="2816" width="9.140625" style="1"/>
    <col min="2817" max="2817" width="11.85546875" style="1" customWidth="1"/>
    <col min="2818" max="2818" width="18.28515625" style="1" customWidth="1"/>
    <col min="2819" max="2819" width="23.140625" style="1" customWidth="1"/>
    <col min="2820" max="2820" width="38.85546875" style="1" customWidth="1"/>
    <col min="2821" max="2821" width="18.7109375" style="1" customWidth="1"/>
    <col min="2822" max="2822" width="1.5703125" style="1" customWidth="1"/>
    <col min="2823" max="2824" width="18.42578125" style="1" customWidth="1"/>
    <col min="2825" max="2825" width="16.5703125" style="1" customWidth="1"/>
    <col min="2826" max="2826" width="3.7109375" style="1" customWidth="1"/>
    <col min="2827" max="2827" width="4.85546875" style="1" customWidth="1"/>
    <col min="2828" max="2828" width="32.28515625" style="1" customWidth="1"/>
    <col min="2829" max="2829" width="3.85546875" style="1" customWidth="1"/>
    <col min="2830" max="2830" width="9.140625" style="1"/>
    <col min="2831" max="2831" width="2.85546875" style="1" customWidth="1"/>
    <col min="2832" max="2832" width="5.5703125" style="1" customWidth="1"/>
    <col min="2833" max="2833" width="3.85546875" style="1" customWidth="1"/>
    <col min="2834" max="2834" width="14.5703125" style="1" customWidth="1"/>
    <col min="2835" max="2835" width="14.42578125" style="1" customWidth="1"/>
    <col min="2836" max="3072" width="9.140625" style="1"/>
    <col min="3073" max="3073" width="11.85546875" style="1" customWidth="1"/>
    <col min="3074" max="3074" width="18.28515625" style="1" customWidth="1"/>
    <col min="3075" max="3075" width="23.140625" style="1" customWidth="1"/>
    <col min="3076" max="3076" width="38.85546875" style="1" customWidth="1"/>
    <col min="3077" max="3077" width="18.7109375" style="1" customWidth="1"/>
    <col min="3078" max="3078" width="1.5703125" style="1" customWidth="1"/>
    <col min="3079" max="3080" width="18.42578125" style="1" customWidth="1"/>
    <col min="3081" max="3081" width="16.5703125" style="1" customWidth="1"/>
    <col min="3082" max="3082" width="3.7109375" style="1" customWidth="1"/>
    <col min="3083" max="3083" width="4.85546875" style="1" customWidth="1"/>
    <col min="3084" max="3084" width="32.28515625" style="1" customWidth="1"/>
    <col min="3085" max="3085" width="3.85546875" style="1" customWidth="1"/>
    <col min="3086" max="3086" width="9.140625" style="1"/>
    <col min="3087" max="3087" width="2.85546875" style="1" customWidth="1"/>
    <col min="3088" max="3088" width="5.5703125" style="1" customWidth="1"/>
    <col min="3089" max="3089" width="3.85546875" style="1" customWidth="1"/>
    <col min="3090" max="3090" width="14.5703125" style="1" customWidth="1"/>
    <col min="3091" max="3091" width="14.42578125" style="1" customWidth="1"/>
    <col min="3092" max="3328" width="9.140625" style="1"/>
    <col min="3329" max="3329" width="11.85546875" style="1" customWidth="1"/>
    <col min="3330" max="3330" width="18.28515625" style="1" customWidth="1"/>
    <col min="3331" max="3331" width="23.140625" style="1" customWidth="1"/>
    <col min="3332" max="3332" width="38.85546875" style="1" customWidth="1"/>
    <col min="3333" max="3333" width="18.7109375" style="1" customWidth="1"/>
    <col min="3334" max="3334" width="1.5703125" style="1" customWidth="1"/>
    <col min="3335" max="3336" width="18.42578125" style="1" customWidth="1"/>
    <col min="3337" max="3337" width="16.5703125" style="1" customWidth="1"/>
    <col min="3338" max="3338" width="3.7109375" style="1" customWidth="1"/>
    <col min="3339" max="3339" width="4.85546875" style="1" customWidth="1"/>
    <col min="3340" max="3340" width="32.28515625" style="1" customWidth="1"/>
    <col min="3341" max="3341" width="3.85546875" style="1" customWidth="1"/>
    <col min="3342" max="3342" width="9.140625" style="1"/>
    <col min="3343" max="3343" width="2.85546875" style="1" customWidth="1"/>
    <col min="3344" max="3344" width="5.5703125" style="1" customWidth="1"/>
    <col min="3345" max="3345" width="3.85546875" style="1" customWidth="1"/>
    <col min="3346" max="3346" width="14.5703125" style="1" customWidth="1"/>
    <col min="3347" max="3347" width="14.42578125" style="1" customWidth="1"/>
    <col min="3348" max="3584" width="9.140625" style="1"/>
    <col min="3585" max="3585" width="11.85546875" style="1" customWidth="1"/>
    <col min="3586" max="3586" width="18.28515625" style="1" customWidth="1"/>
    <col min="3587" max="3587" width="23.140625" style="1" customWidth="1"/>
    <col min="3588" max="3588" width="38.85546875" style="1" customWidth="1"/>
    <col min="3589" max="3589" width="18.7109375" style="1" customWidth="1"/>
    <col min="3590" max="3590" width="1.5703125" style="1" customWidth="1"/>
    <col min="3591" max="3592" width="18.42578125" style="1" customWidth="1"/>
    <col min="3593" max="3593" width="16.5703125" style="1" customWidth="1"/>
    <col min="3594" max="3594" width="3.7109375" style="1" customWidth="1"/>
    <col min="3595" max="3595" width="4.85546875" style="1" customWidth="1"/>
    <col min="3596" max="3596" width="32.28515625" style="1" customWidth="1"/>
    <col min="3597" max="3597" width="3.85546875" style="1" customWidth="1"/>
    <col min="3598" max="3598" width="9.140625" style="1"/>
    <col min="3599" max="3599" width="2.85546875" style="1" customWidth="1"/>
    <col min="3600" max="3600" width="5.5703125" style="1" customWidth="1"/>
    <col min="3601" max="3601" width="3.85546875" style="1" customWidth="1"/>
    <col min="3602" max="3602" width="14.5703125" style="1" customWidth="1"/>
    <col min="3603" max="3603" width="14.42578125" style="1" customWidth="1"/>
    <col min="3604" max="3840" width="9.140625" style="1"/>
    <col min="3841" max="3841" width="11.85546875" style="1" customWidth="1"/>
    <col min="3842" max="3842" width="18.28515625" style="1" customWidth="1"/>
    <col min="3843" max="3843" width="23.140625" style="1" customWidth="1"/>
    <col min="3844" max="3844" width="38.85546875" style="1" customWidth="1"/>
    <col min="3845" max="3845" width="18.7109375" style="1" customWidth="1"/>
    <col min="3846" max="3846" width="1.5703125" style="1" customWidth="1"/>
    <col min="3847" max="3848" width="18.42578125" style="1" customWidth="1"/>
    <col min="3849" max="3849" width="16.5703125" style="1" customWidth="1"/>
    <col min="3850" max="3850" width="3.7109375" style="1" customWidth="1"/>
    <col min="3851" max="3851" width="4.85546875" style="1" customWidth="1"/>
    <col min="3852" max="3852" width="32.28515625" style="1" customWidth="1"/>
    <col min="3853" max="3853" width="3.85546875" style="1" customWidth="1"/>
    <col min="3854" max="3854" width="9.140625" style="1"/>
    <col min="3855" max="3855" width="2.85546875" style="1" customWidth="1"/>
    <col min="3856" max="3856" width="5.5703125" style="1" customWidth="1"/>
    <col min="3857" max="3857" width="3.85546875" style="1" customWidth="1"/>
    <col min="3858" max="3858" width="14.5703125" style="1" customWidth="1"/>
    <col min="3859" max="3859" width="14.42578125" style="1" customWidth="1"/>
    <col min="3860" max="4096" width="9.140625" style="1"/>
    <col min="4097" max="4097" width="11.85546875" style="1" customWidth="1"/>
    <col min="4098" max="4098" width="18.28515625" style="1" customWidth="1"/>
    <col min="4099" max="4099" width="23.140625" style="1" customWidth="1"/>
    <col min="4100" max="4100" width="38.85546875" style="1" customWidth="1"/>
    <col min="4101" max="4101" width="18.7109375" style="1" customWidth="1"/>
    <col min="4102" max="4102" width="1.5703125" style="1" customWidth="1"/>
    <col min="4103" max="4104" width="18.42578125" style="1" customWidth="1"/>
    <col min="4105" max="4105" width="16.5703125" style="1" customWidth="1"/>
    <col min="4106" max="4106" width="3.7109375" style="1" customWidth="1"/>
    <col min="4107" max="4107" width="4.85546875" style="1" customWidth="1"/>
    <col min="4108" max="4108" width="32.28515625" style="1" customWidth="1"/>
    <col min="4109" max="4109" width="3.85546875" style="1" customWidth="1"/>
    <col min="4110" max="4110" width="9.140625" style="1"/>
    <col min="4111" max="4111" width="2.85546875" style="1" customWidth="1"/>
    <col min="4112" max="4112" width="5.5703125" style="1" customWidth="1"/>
    <col min="4113" max="4113" width="3.85546875" style="1" customWidth="1"/>
    <col min="4114" max="4114" width="14.5703125" style="1" customWidth="1"/>
    <col min="4115" max="4115" width="14.42578125" style="1" customWidth="1"/>
    <col min="4116" max="4352" width="9.140625" style="1"/>
    <col min="4353" max="4353" width="11.85546875" style="1" customWidth="1"/>
    <col min="4354" max="4354" width="18.28515625" style="1" customWidth="1"/>
    <col min="4355" max="4355" width="23.140625" style="1" customWidth="1"/>
    <col min="4356" max="4356" width="38.85546875" style="1" customWidth="1"/>
    <col min="4357" max="4357" width="18.7109375" style="1" customWidth="1"/>
    <col min="4358" max="4358" width="1.5703125" style="1" customWidth="1"/>
    <col min="4359" max="4360" width="18.42578125" style="1" customWidth="1"/>
    <col min="4361" max="4361" width="16.5703125" style="1" customWidth="1"/>
    <col min="4362" max="4362" width="3.7109375" style="1" customWidth="1"/>
    <col min="4363" max="4363" width="4.85546875" style="1" customWidth="1"/>
    <col min="4364" max="4364" width="32.28515625" style="1" customWidth="1"/>
    <col min="4365" max="4365" width="3.85546875" style="1" customWidth="1"/>
    <col min="4366" max="4366" width="9.140625" style="1"/>
    <col min="4367" max="4367" width="2.85546875" style="1" customWidth="1"/>
    <col min="4368" max="4368" width="5.5703125" style="1" customWidth="1"/>
    <col min="4369" max="4369" width="3.85546875" style="1" customWidth="1"/>
    <col min="4370" max="4370" width="14.5703125" style="1" customWidth="1"/>
    <col min="4371" max="4371" width="14.42578125" style="1" customWidth="1"/>
    <col min="4372" max="4608" width="9.140625" style="1"/>
    <col min="4609" max="4609" width="11.85546875" style="1" customWidth="1"/>
    <col min="4610" max="4610" width="18.28515625" style="1" customWidth="1"/>
    <col min="4611" max="4611" width="23.140625" style="1" customWidth="1"/>
    <col min="4612" max="4612" width="38.85546875" style="1" customWidth="1"/>
    <col min="4613" max="4613" width="18.7109375" style="1" customWidth="1"/>
    <col min="4614" max="4614" width="1.5703125" style="1" customWidth="1"/>
    <col min="4615" max="4616" width="18.42578125" style="1" customWidth="1"/>
    <col min="4617" max="4617" width="16.5703125" style="1" customWidth="1"/>
    <col min="4618" max="4618" width="3.7109375" style="1" customWidth="1"/>
    <col min="4619" max="4619" width="4.85546875" style="1" customWidth="1"/>
    <col min="4620" max="4620" width="32.28515625" style="1" customWidth="1"/>
    <col min="4621" max="4621" width="3.85546875" style="1" customWidth="1"/>
    <col min="4622" max="4622" width="9.140625" style="1"/>
    <col min="4623" max="4623" width="2.85546875" style="1" customWidth="1"/>
    <col min="4624" max="4624" width="5.5703125" style="1" customWidth="1"/>
    <col min="4625" max="4625" width="3.85546875" style="1" customWidth="1"/>
    <col min="4626" max="4626" width="14.5703125" style="1" customWidth="1"/>
    <col min="4627" max="4627" width="14.42578125" style="1" customWidth="1"/>
    <col min="4628" max="4864" width="9.140625" style="1"/>
    <col min="4865" max="4865" width="11.85546875" style="1" customWidth="1"/>
    <col min="4866" max="4866" width="18.28515625" style="1" customWidth="1"/>
    <col min="4867" max="4867" width="23.140625" style="1" customWidth="1"/>
    <col min="4868" max="4868" width="38.85546875" style="1" customWidth="1"/>
    <col min="4869" max="4869" width="18.7109375" style="1" customWidth="1"/>
    <col min="4870" max="4870" width="1.5703125" style="1" customWidth="1"/>
    <col min="4871" max="4872" width="18.42578125" style="1" customWidth="1"/>
    <col min="4873" max="4873" width="16.5703125" style="1" customWidth="1"/>
    <col min="4874" max="4874" width="3.7109375" style="1" customWidth="1"/>
    <col min="4875" max="4875" width="4.85546875" style="1" customWidth="1"/>
    <col min="4876" max="4876" width="32.28515625" style="1" customWidth="1"/>
    <col min="4877" max="4877" width="3.85546875" style="1" customWidth="1"/>
    <col min="4878" max="4878" width="9.140625" style="1"/>
    <col min="4879" max="4879" width="2.85546875" style="1" customWidth="1"/>
    <col min="4880" max="4880" width="5.5703125" style="1" customWidth="1"/>
    <col min="4881" max="4881" width="3.85546875" style="1" customWidth="1"/>
    <col min="4882" max="4882" width="14.5703125" style="1" customWidth="1"/>
    <col min="4883" max="4883" width="14.42578125" style="1" customWidth="1"/>
    <col min="4884" max="5120" width="9.140625" style="1"/>
    <col min="5121" max="5121" width="11.85546875" style="1" customWidth="1"/>
    <col min="5122" max="5122" width="18.28515625" style="1" customWidth="1"/>
    <col min="5123" max="5123" width="23.140625" style="1" customWidth="1"/>
    <col min="5124" max="5124" width="38.85546875" style="1" customWidth="1"/>
    <col min="5125" max="5125" width="18.7109375" style="1" customWidth="1"/>
    <col min="5126" max="5126" width="1.5703125" style="1" customWidth="1"/>
    <col min="5127" max="5128" width="18.42578125" style="1" customWidth="1"/>
    <col min="5129" max="5129" width="16.5703125" style="1" customWidth="1"/>
    <col min="5130" max="5130" width="3.7109375" style="1" customWidth="1"/>
    <col min="5131" max="5131" width="4.85546875" style="1" customWidth="1"/>
    <col min="5132" max="5132" width="32.28515625" style="1" customWidth="1"/>
    <col min="5133" max="5133" width="3.85546875" style="1" customWidth="1"/>
    <col min="5134" max="5134" width="9.140625" style="1"/>
    <col min="5135" max="5135" width="2.85546875" style="1" customWidth="1"/>
    <col min="5136" max="5136" width="5.5703125" style="1" customWidth="1"/>
    <col min="5137" max="5137" width="3.85546875" style="1" customWidth="1"/>
    <col min="5138" max="5138" width="14.5703125" style="1" customWidth="1"/>
    <col min="5139" max="5139" width="14.42578125" style="1" customWidth="1"/>
    <col min="5140" max="5376" width="9.140625" style="1"/>
    <col min="5377" max="5377" width="11.85546875" style="1" customWidth="1"/>
    <col min="5378" max="5378" width="18.28515625" style="1" customWidth="1"/>
    <col min="5379" max="5379" width="23.140625" style="1" customWidth="1"/>
    <col min="5380" max="5380" width="38.85546875" style="1" customWidth="1"/>
    <col min="5381" max="5381" width="18.7109375" style="1" customWidth="1"/>
    <col min="5382" max="5382" width="1.5703125" style="1" customWidth="1"/>
    <col min="5383" max="5384" width="18.42578125" style="1" customWidth="1"/>
    <col min="5385" max="5385" width="16.5703125" style="1" customWidth="1"/>
    <col min="5386" max="5386" width="3.7109375" style="1" customWidth="1"/>
    <col min="5387" max="5387" width="4.85546875" style="1" customWidth="1"/>
    <col min="5388" max="5388" width="32.28515625" style="1" customWidth="1"/>
    <col min="5389" max="5389" width="3.85546875" style="1" customWidth="1"/>
    <col min="5390" max="5390" width="9.140625" style="1"/>
    <col min="5391" max="5391" width="2.85546875" style="1" customWidth="1"/>
    <col min="5392" max="5392" width="5.5703125" style="1" customWidth="1"/>
    <col min="5393" max="5393" width="3.85546875" style="1" customWidth="1"/>
    <col min="5394" max="5394" width="14.5703125" style="1" customWidth="1"/>
    <col min="5395" max="5395" width="14.42578125" style="1" customWidth="1"/>
    <col min="5396" max="5632" width="9.140625" style="1"/>
    <col min="5633" max="5633" width="11.85546875" style="1" customWidth="1"/>
    <col min="5634" max="5634" width="18.28515625" style="1" customWidth="1"/>
    <col min="5635" max="5635" width="23.140625" style="1" customWidth="1"/>
    <col min="5636" max="5636" width="38.85546875" style="1" customWidth="1"/>
    <col min="5637" max="5637" width="18.7109375" style="1" customWidth="1"/>
    <col min="5638" max="5638" width="1.5703125" style="1" customWidth="1"/>
    <col min="5639" max="5640" width="18.42578125" style="1" customWidth="1"/>
    <col min="5641" max="5641" width="16.5703125" style="1" customWidth="1"/>
    <col min="5642" max="5642" width="3.7109375" style="1" customWidth="1"/>
    <col min="5643" max="5643" width="4.85546875" style="1" customWidth="1"/>
    <col min="5644" max="5644" width="32.28515625" style="1" customWidth="1"/>
    <col min="5645" max="5645" width="3.85546875" style="1" customWidth="1"/>
    <col min="5646" max="5646" width="9.140625" style="1"/>
    <col min="5647" max="5647" width="2.85546875" style="1" customWidth="1"/>
    <col min="5648" max="5648" width="5.5703125" style="1" customWidth="1"/>
    <col min="5649" max="5649" width="3.85546875" style="1" customWidth="1"/>
    <col min="5650" max="5650" width="14.5703125" style="1" customWidth="1"/>
    <col min="5651" max="5651" width="14.42578125" style="1" customWidth="1"/>
    <col min="5652" max="5888" width="9.140625" style="1"/>
    <col min="5889" max="5889" width="11.85546875" style="1" customWidth="1"/>
    <col min="5890" max="5890" width="18.28515625" style="1" customWidth="1"/>
    <col min="5891" max="5891" width="23.140625" style="1" customWidth="1"/>
    <col min="5892" max="5892" width="38.85546875" style="1" customWidth="1"/>
    <col min="5893" max="5893" width="18.7109375" style="1" customWidth="1"/>
    <col min="5894" max="5894" width="1.5703125" style="1" customWidth="1"/>
    <col min="5895" max="5896" width="18.42578125" style="1" customWidth="1"/>
    <col min="5897" max="5897" width="16.5703125" style="1" customWidth="1"/>
    <col min="5898" max="5898" width="3.7109375" style="1" customWidth="1"/>
    <col min="5899" max="5899" width="4.85546875" style="1" customWidth="1"/>
    <col min="5900" max="5900" width="32.28515625" style="1" customWidth="1"/>
    <col min="5901" max="5901" width="3.85546875" style="1" customWidth="1"/>
    <col min="5902" max="5902" width="9.140625" style="1"/>
    <col min="5903" max="5903" width="2.85546875" style="1" customWidth="1"/>
    <col min="5904" max="5904" width="5.5703125" style="1" customWidth="1"/>
    <col min="5905" max="5905" width="3.85546875" style="1" customWidth="1"/>
    <col min="5906" max="5906" width="14.5703125" style="1" customWidth="1"/>
    <col min="5907" max="5907" width="14.42578125" style="1" customWidth="1"/>
    <col min="5908" max="6144" width="9.140625" style="1"/>
    <col min="6145" max="6145" width="11.85546875" style="1" customWidth="1"/>
    <col min="6146" max="6146" width="18.28515625" style="1" customWidth="1"/>
    <col min="6147" max="6147" width="23.140625" style="1" customWidth="1"/>
    <col min="6148" max="6148" width="38.85546875" style="1" customWidth="1"/>
    <col min="6149" max="6149" width="18.7109375" style="1" customWidth="1"/>
    <col min="6150" max="6150" width="1.5703125" style="1" customWidth="1"/>
    <col min="6151" max="6152" width="18.42578125" style="1" customWidth="1"/>
    <col min="6153" max="6153" width="16.5703125" style="1" customWidth="1"/>
    <col min="6154" max="6154" width="3.7109375" style="1" customWidth="1"/>
    <col min="6155" max="6155" width="4.85546875" style="1" customWidth="1"/>
    <col min="6156" max="6156" width="32.28515625" style="1" customWidth="1"/>
    <col min="6157" max="6157" width="3.85546875" style="1" customWidth="1"/>
    <col min="6158" max="6158" width="9.140625" style="1"/>
    <col min="6159" max="6159" width="2.85546875" style="1" customWidth="1"/>
    <col min="6160" max="6160" width="5.5703125" style="1" customWidth="1"/>
    <col min="6161" max="6161" width="3.85546875" style="1" customWidth="1"/>
    <col min="6162" max="6162" width="14.5703125" style="1" customWidth="1"/>
    <col min="6163" max="6163" width="14.42578125" style="1" customWidth="1"/>
    <col min="6164" max="6400" width="9.140625" style="1"/>
    <col min="6401" max="6401" width="11.85546875" style="1" customWidth="1"/>
    <col min="6402" max="6402" width="18.28515625" style="1" customWidth="1"/>
    <col min="6403" max="6403" width="23.140625" style="1" customWidth="1"/>
    <col min="6404" max="6404" width="38.85546875" style="1" customWidth="1"/>
    <col min="6405" max="6405" width="18.7109375" style="1" customWidth="1"/>
    <col min="6406" max="6406" width="1.5703125" style="1" customWidth="1"/>
    <col min="6407" max="6408" width="18.42578125" style="1" customWidth="1"/>
    <col min="6409" max="6409" width="16.5703125" style="1" customWidth="1"/>
    <col min="6410" max="6410" width="3.7109375" style="1" customWidth="1"/>
    <col min="6411" max="6411" width="4.85546875" style="1" customWidth="1"/>
    <col min="6412" max="6412" width="32.28515625" style="1" customWidth="1"/>
    <col min="6413" max="6413" width="3.85546875" style="1" customWidth="1"/>
    <col min="6414" max="6414" width="9.140625" style="1"/>
    <col min="6415" max="6415" width="2.85546875" style="1" customWidth="1"/>
    <col min="6416" max="6416" width="5.5703125" style="1" customWidth="1"/>
    <col min="6417" max="6417" width="3.85546875" style="1" customWidth="1"/>
    <col min="6418" max="6418" width="14.5703125" style="1" customWidth="1"/>
    <col min="6419" max="6419" width="14.42578125" style="1" customWidth="1"/>
    <col min="6420" max="6656" width="9.140625" style="1"/>
    <col min="6657" max="6657" width="11.85546875" style="1" customWidth="1"/>
    <col min="6658" max="6658" width="18.28515625" style="1" customWidth="1"/>
    <col min="6659" max="6659" width="23.140625" style="1" customWidth="1"/>
    <col min="6660" max="6660" width="38.85546875" style="1" customWidth="1"/>
    <col min="6661" max="6661" width="18.7109375" style="1" customWidth="1"/>
    <col min="6662" max="6662" width="1.5703125" style="1" customWidth="1"/>
    <col min="6663" max="6664" width="18.42578125" style="1" customWidth="1"/>
    <col min="6665" max="6665" width="16.5703125" style="1" customWidth="1"/>
    <col min="6666" max="6666" width="3.7109375" style="1" customWidth="1"/>
    <col min="6667" max="6667" width="4.85546875" style="1" customWidth="1"/>
    <col min="6668" max="6668" width="32.28515625" style="1" customWidth="1"/>
    <col min="6669" max="6669" width="3.85546875" style="1" customWidth="1"/>
    <col min="6670" max="6670" width="9.140625" style="1"/>
    <col min="6671" max="6671" width="2.85546875" style="1" customWidth="1"/>
    <col min="6672" max="6672" width="5.5703125" style="1" customWidth="1"/>
    <col min="6673" max="6673" width="3.85546875" style="1" customWidth="1"/>
    <col min="6674" max="6674" width="14.5703125" style="1" customWidth="1"/>
    <col min="6675" max="6675" width="14.42578125" style="1" customWidth="1"/>
    <col min="6676" max="6912" width="9.140625" style="1"/>
    <col min="6913" max="6913" width="11.85546875" style="1" customWidth="1"/>
    <col min="6914" max="6914" width="18.28515625" style="1" customWidth="1"/>
    <col min="6915" max="6915" width="23.140625" style="1" customWidth="1"/>
    <col min="6916" max="6916" width="38.85546875" style="1" customWidth="1"/>
    <col min="6917" max="6917" width="18.7109375" style="1" customWidth="1"/>
    <col min="6918" max="6918" width="1.5703125" style="1" customWidth="1"/>
    <col min="6919" max="6920" width="18.42578125" style="1" customWidth="1"/>
    <col min="6921" max="6921" width="16.5703125" style="1" customWidth="1"/>
    <col min="6922" max="6922" width="3.7109375" style="1" customWidth="1"/>
    <col min="6923" max="6923" width="4.85546875" style="1" customWidth="1"/>
    <col min="6924" max="6924" width="32.28515625" style="1" customWidth="1"/>
    <col min="6925" max="6925" width="3.85546875" style="1" customWidth="1"/>
    <col min="6926" max="6926" width="9.140625" style="1"/>
    <col min="6927" max="6927" width="2.85546875" style="1" customWidth="1"/>
    <col min="6928" max="6928" width="5.5703125" style="1" customWidth="1"/>
    <col min="6929" max="6929" width="3.85546875" style="1" customWidth="1"/>
    <col min="6930" max="6930" width="14.5703125" style="1" customWidth="1"/>
    <col min="6931" max="6931" width="14.42578125" style="1" customWidth="1"/>
    <col min="6932" max="7168" width="9.140625" style="1"/>
    <col min="7169" max="7169" width="11.85546875" style="1" customWidth="1"/>
    <col min="7170" max="7170" width="18.28515625" style="1" customWidth="1"/>
    <col min="7171" max="7171" width="23.140625" style="1" customWidth="1"/>
    <col min="7172" max="7172" width="38.85546875" style="1" customWidth="1"/>
    <col min="7173" max="7173" width="18.7109375" style="1" customWidth="1"/>
    <col min="7174" max="7174" width="1.5703125" style="1" customWidth="1"/>
    <col min="7175" max="7176" width="18.42578125" style="1" customWidth="1"/>
    <col min="7177" max="7177" width="16.5703125" style="1" customWidth="1"/>
    <col min="7178" max="7178" width="3.7109375" style="1" customWidth="1"/>
    <col min="7179" max="7179" width="4.85546875" style="1" customWidth="1"/>
    <col min="7180" max="7180" width="32.28515625" style="1" customWidth="1"/>
    <col min="7181" max="7181" width="3.85546875" style="1" customWidth="1"/>
    <col min="7182" max="7182" width="9.140625" style="1"/>
    <col min="7183" max="7183" width="2.85546875" style="1" customWidth="1"/>
    <col min="7184" max="7184" width="5.5703125" style="1" customWidth="1"/>
    <col min="7185" max="7185" width="3.85546875" style="1" customWidth="1"/>
    <col min="7186" max="7186" width="14.5703125" style="1" customWidth="1"/>
    <col min="7187" max="7187" width="14.42578125" style="1" customWidth="1"/>
    <col min="7188" max="7424" width="9.140625" style="1"/>
    <col min="7425" max="7425" width="11.85546875" style="1" customWidth="1"/>
    <col min="7426" max="7426" width="18.28515625" style="1" customWidth="1"/>
    <col min="7427" max="7427" width="23.140625" style="1" customWidth="1"/>
    <col min="7428" max="7428" width="38.85546875" style="1" customWidth="1"/>
    <col min="7429" max="7429" width="18.7109375" style="1" customWidth="1"/>
    <col min="7430" max="7430" width="1.5703125" style="1" customWidth="1"/>
    <col min="7431" max="7432" width="18.42578125" style="1" customWidth="1"/>
    <col min="7433" max="7433" width="16.5703125" style="1" customWidth="1"/>
    <col min="7434" max="7434" width="3.7109375" style="1" customWidth="1"/>
    <col min="7435" max="7435" width="4.85546875" style="1" customWidth="1"/>
    <col min="7436" max="7436" width="32.28515625" style="1" customWidth="1"/>
    <col min="7437" max="7437" width="3.85546875" style="1" customWidth="1"/>
    <col min="7438" max="7438" width="9.140625" style="1"/>
    <col min="7439" max="7439" width="2.85546875" style="1" customWidth="1"/>
    <col min="7440" max="7440" width="5.5703125" style="1" customWidth="1"/>
    <col min="7441" max="7441" width="3.85546875" style="1" customWidth="1"/>
    <col min="7442" max="7442" width="14.5703125" style="1" customWidth="1"/>
    <col min="7443" max="7443" width="14.42578125" style="1" customWidth="1"/>
    <col min="7444" max="7680" width="9.140625" style="1"/>
    <col min="7681" max="7681" width="11.85546875" style="1" customWidth="1"/>
    <col min="7682" max="7682" width="18.28515625" style="1" customWidth="1"/>
    <col min="7683" max="7683" width="23.140625" style="1" customWidth="1"/>
    <col min="7684" max="7684" width="38.85546875" style="1" customWidth="1"/>
    <col min="7685" max="7685" width="18.7109375" style="1" customWidth="1"/>
    <col min="7686" max="7686" width="1.5703125" style="1" customWidth="1"/>
    <col min="7687" max="7688" width="18.42578125" style="1" customWidth="1"/>
    <col min="7689" max="7689" width="16.5703125" style="1" customWidth="1"/>
    <col min="7690" max="7690" width="3.7109375" style="1" customWidth="1"/>
    <col min="7691" max="7691" width="4.85546875" style="1" customWidth="1"/>
    <col min="7692" max="7692" width="32.28515625" style="1" customWidth="1"/>
    <col min="7693" max="7693" width="3.85546875" style="1" customWidth="1"/>
    <col min="7694" max="7694" width="9.140625" style="1"/>
    <col min="7695" max="7695" width="2.85546875" style="1" customWidth="1"/>
    <col min="7696" max="7696" width="5.5703125" style="1" customWidth="1"/>
    <col min="7697" max="7697" width="3.85546875" style="1" customWidth="1"/>
    <col min="7698" max="7698" width="14.5703125" style="1" customWidth="1"/>
    <col min="7699" max="7699" width="14.42578125" style="1" customWidth="1"/>
    <col min="7700" max="7936" width="9.140625" style="1"/>
    <col min="7937" max="7937" width="11.85546875" style="1" customWidth="1"/>
    <col min="7938" max="7938" width="18.28515625" style="1" customWidth="1"/>
    <col min="7939" max="7939" width="23.140625" style="1" customWidth="1"/>
    <col min="7940" max="7940" width="38.85546875" style="1" customWidth="1"/>
    <col min="7941" max="7941" width="18.7109375" style="1" customWidth="1"/>
    <col min="7942" max="7942" width="1.5703125" style="1" customWidth="1"/>
    <col min="7943" max="7944" width="18.42578125" style="1" customWidth="1"/>
    <col min="7945" max="7945" width="16.5703125" style="1" customWidth="1"/>
    <col min="7946" max="7946" width="3.7109375" style="1" customWidth="1"/>
    <col min="7947" max="7947" width="4.85546875" style="1" customWidth="1"/>
    <col min="7948" max="7948" width="32.28515625" style="1" customWidth="1"/>
    <col min="7949" max="7949" width="3.85546875" style="1" customWidth="1"/>
    <col min="7950" max="7950" width="9.140625" style="1"/>
    <col min="7951" max="7951" width="2.85546875" style="1" customWidth="1"/>
    <col min="7952" max="7952" width="5.5703125" style="1" customWidth="1"/>
    <col min="7953" max="7953" width="3.85546875" style="1" customWidth="1"/>
    <col min="7954" max="7954" width="14.5703125" style="1" customWidth="1"/>
    <col min="7955" max="7955" width="14.42578125" style="1" customWidth="1"/>
    <col min="7956" max="8192" width="9.140625" style="1"/>
    <col min="8193" max="8193" width="11.85546875" style="1" customWidth="1"/>
    <col min="8194" max="8194" width="18.28515625" style="1" customWidth="1"/>
    <col min="8195" max="8195" width="23.140625" style="1" customWidth="1"/>
    <col min="8196" max="8196" width="38.85546875" style="1" customWidth="1"/>
    <col min="8197" max="8197" width="18.7109375" style="1" customWidth="1"/>
    <col min="8198" max="8198" width="1.5703125" style="1" customWidth="1"/>
    <col min="8199" max="8200" width="18.42578125" style="1" customWidth="1"/>
    <col min="8201" max="8201" width="16.5703125" style="1" customWidth="1"/>
    <col min="8202" max="8202" width="3.7109375" style="1" customWidth="1"/>
    <col min="8203" max="8203" width="4.85546875" style="1" customWidth="1"/>
    <col min="8204" max="8204" width="32.28515625" style="1" customWidth="1"/>
    <col min="8205" max="8205" width="3.85546875" style="1" customWidth="1"/>
    <col min="8206" max="8206" width="9.140625" style="1"/>
    <col min="8207" max="8207" width="2.85546875" style="1" customWidth="1"/>
    <col min="8208" max="8208" width="5.5703125" style="1" customWidth="1"/>
    <col min="8209" max="8209" width="3.85546875" style="1" customWidth="1"/>
    <col min="8210" max="8210" width="14.5703125" style="1" customWidth="1"/>
    <col min="8211" max="8211" width="14.42578125" style="1" customWidth="1"/>
    <col min="8212" max="8448" width="9.140625" style="1"/>
    <col min="8449" max="8449" width="11.85546875" style="1" customWidth="1"/>
    <col min="8450" max="8450" width="18.28515625" style="1" customWidth="1"/>
    <col min="8451" max="8451" width="23.140625" style="1" customWidth="1"/>
    <col min="8452" max="8452" width="38.85546875" style="1" customWidth="1"/>
    <col min="8453" max="8453" width="18.7109375" style="1" customWidth="1"/>
    <col min="8454" max="8454" width="1.5703125" style="1" customWidth="1"/>
    <col min="8455" max="8456" width="18.42578125" style="1" customWidth="1"/>
    <col min="8457" max="8457" width="16.5703125" style="1" customWidth="1"/>
    <col min="8458" max="8458" width="3.7109375" style="1" customWidth="1"/>
    <col min="8459" max="8459" width="4.85546875" style="1" customWidth="1"/>
    <col min="8460" max="8460" width="32.28515625" style="1" customWidth="1"/>
    <col min="8461" max="8461" width="3.85546875" style="1" customWidth="1"/>
    <col min="8462" max="8462" width="9.140625" style="1"/>
    <col min="8463" max="8463" width="2.85546875" style="1" customWidth="1"/>
    <col min="8464" max="8464" width="5.5703125" style="1" customWidth="1"/>
    <col min="8465" max="8465" width="3.85546875" style="1" customWidth="1"/>
    <col min="8466" max="8466" width="14.5703125" style="1" customWidth="1"/>
    <col min="8467" max="8467" width="14.42578125" style="1" customWidth="1"/>
    <col min="8468" max="8704" width="9.140625" style="1"/>
    <col min="8705" max="8705" width="11.85546875" style="1" customWidth="1"/>
    <col min="8706" max="8706" width="18.28515625" style="1" customWidth="1"/>
    <col min="8707" max="8707" width="23.140625" style="1" customWidth="1"/>
    <col min="8708" max="8708" width="38.85546875" style="1" customWidth="1"/>
    <col min="8709" max="8709" width="18.7109375" style="1" customWidth="1"/>
    <col min="8710" max="8710" width="1.5703125" style="1" customWidth="1"/>
    <col min="8711" max="8712" width="18.42578125" style="1" customWidth="1"/>
    <col min="8713" max="8713" width="16.5703125" style="1" customWidth="1"/>
    <col min="8714" max="8714" width="3.7109375" style="1" customWidth="1"/>
    <col min="8715" max="8715" width="4.85546875" style="1" customWidth="1"/>
    <col min="8716" max="8716" width="32.28515625" style="1" customWidth="1"/>
    <col min="8717" max="8717" width="3.85546875" style="1" customWidth="1"/>
    <col min="8718" max="8718" width="9.140625" style="1"/>
    <col min="8719" max="8719" width="2.85546875" style="1" customWidth="1"/>
    <col min="8720" max="8720" width="5.5703125" style="1" customWidth="1"/>
    <col min="8721" max="8721" width="3.85546875" style="1" customWidth="1"/>
    <col min="8722" max="8722" width="14.5703125" style="1" customWidth="1"/>
    <col min="8723" max="8723" width="14.42578125" style="1" customWidth="1"/>
    <col min="8724" max="8960" width="9.140625" style="1"/>
    <col min="8961" max="8961" width="11.85546875" style="1" customWidth="1"/>
    <col min="8962" max="8962" width="18.28515625" style="1" customWidth="1"/>
    <col min="8963" max="8963" width="23.140625" style="1" customWidth="1"/>
    <col min="8964" max="8964" width="38.85546875" style="1" customWidth="1"/>
    <col min="8965" max="8965" width="18.7109375" style="1" customWidth="1"/>
    <col min="8966" max="8966" width="1.5703125" style="1" customWidth="1"/>
    <col min="8967" max="8968" width="18.42578125" style="1" customWidth="1"/>
    <col min="8969" max="8969" width="16.5703125" style="1" customWidth="1"/>
    <col min="8970" max="8970" width="3.7109375" style="1" customWidth="1"/>
    <col min="8971" max="8971" width="4.85546875" style="1" customWidth="1"/>
    <col min="8972" max="8972" width="32.28515625" style="1" customWidth="1"/>
    <col min="8973" max="8973" width="3.85546875" style="1" customWidth="1"/>
    <col min="8974" max="8974" width="9.140625" style="1"/>
    <col min="8975" max="8975" width="2.85546875" style="1" customWidth="1"/>
    <col min="8976" max="8976" width="5.5703125" style="1" customWidth="1"/>
    <col min="8977" max="8977" width="3.85546875" style="1" customWidth="1"/>
    <col min="8978" max="8978" width="14.5703125" style="1" customWidth="1"/>
    <col min="8979" max="8979" width="14.42578125" style="1" customWidth="1"/>
    <col min="8980" max="9216" width="9.140625" style="1"/>
    <col min="9217" max="9217" width="11.85546875" style="1" customWidth="1"/>
    <col min="9218" max="9218" width="18.28515625" style="1" customWidth="1"/>
    <col min="9219" max="9219" width="23.140625" style="1" customWidth="1"/>
    <col min="9220" max="9220" width="38.85546875" style="1" customWidth="1"/>
    <col min="9221" max="9221" width="18.7109375" style="1" customWidth="1"/>
    <col min="9222" max="9222" width="1.5703125" style="1" customWidth="1"/>
    <col min="9223" max="9224" width="18.42578125" style="1" customWidth="1"/>
    <col min="9225" max="9225" width="16.5703125" style="1" customWidth="1"/>
    <col min="9226" max="9226" width="3.7109375" style="1" customWidth="1"/>
    <col min="9227" max="9227" width="4.85546875" style="1" customWidth="1"/>
    <col min="9228" max="9228" width="32.28515625" style="1" customWidth="1"/>
    <col min="9229" max="9229" width="3.85546875" style="1" customWidth="1"/>
    <col min="9230" max="9230" width="9.140625" style="1"/>
    <col min="9231" max="9231" width="2.85546875" style="1" customWidth="1"/>
    <col min="9232" max="9232" width="5.5703125" style="1" customWidth="1"/>
    <col min="9233" max="9233" width="3.85546875" style="1" customWidth="1"/>
    <col min="9234" max="9234" width="14.5703125" style="1" customWidth="1"/>
    <col min="9235" max="9235" width="14.42578125" style="1" customWidth="1"/>
    <col min="9236" max="9472" width="9.140625" style="1"/>
    <col min="9473" max="9473" width="11.85546875" style="1" customWidth="1"/>
    <col min="9474" max="9474" width="18.28515625" style="1" customWidth="1"/>
    <col min="9475" max="9475" width="23.140625" style="1" customWidth="1"/>
    <col min="9476" max="9476" width="38.85546875" style="1" customWidth="1"/>
    <col min="9477" max="9477" width="18.7109375" style="1" customWidth="1"/>
    <col min="9478" max="9478" width="1.5703125" style="1" customWidth="1"/>
    <col min="9479" max="9480" width="18.42578125" style="1" customWidth="1"/>
    <col min="9481" max="9481" width="16.5703125" style="1" customWidth="1"/>
    <col min="9482" max="9482" width="3.7109375" style="1" customWidth="1"/>
    <col min="9483" max="9483" width="4.85546875" style="1" customWidth="1"/>
    <col min="9484" max="9484" width="32.28515625" style="1" customWidth="1"/>
    <col min="9485" max="9485" width="3.85546875" style="1" customWidth="1"/>
    <col min="9486" max="9486" width="9.140625" style="1"/>
    <col min="9487" max="9487" width="2.85546875" style="1" customWidth="1"/>
    <col min="9488" max="9488" width="5.5703125" style="1" customWidth="1"/>
    <col min="9489" max="9489" width="3.85546875" style="1" customWidth="1"/>
    <col min="9490" max="9490" width="14.5703125" style="1" customWidth="1"/>
    <col min="9491" max="9491" width="14.42578125" style="1" customWidth="1"/>
    <col min="9492" max="9728" width="9.140625" style="1"/>
    <col min="9729" max="9729" width="11.85546875" style="1" customWidth="1"/>
    <col min="9730" max="9730" width="18.28515625" style="1" customWidth="1"/>
    <col min="9731" max="9731" width="23.140625" style="1" customWidth="1"/>
    <col min="9732" max="9732" width="38.85546875" style="1" customWidth="1"/>
    <col min="9733" max="9733" width="18.7109375" style="1" customWidth="1"/>
    <col min="9734" max="9734" width="1.5703125" style="1" customWidth="1"/>
    <col min="9735" max="9736" width="18.42578125" style="1" customWidth="1"/>
    <col min="9737" max="9737" width="16.5703125" style="1" customWidth="1"/>
    <col min="9738" max="9738" width="3.7109375" style="1" customWidth="1"/>
    <col min="9739" max="9739" width="4.85546875" style="1" customWidth="1"/>
    <col min="9740" max="9740" width="32.28515625" style="1" customWidth="1"/>
    <col min="9741" max="9741" width="3.85546875" style="1" customWidth="1"/>
    <col min="9742" max="9742" width="9.140625" style="1"/>
    <col min="9743" max="9743" width="2.85546875" style="1" customWidth="1"/>
    <col min="9744" max="9744" width="5.5703125" style="1" customWidth="1"/>
    <col min="9745" max="9745" width="3.85546875" style="1" customWidth="1"/>
    <col min="9746" max="9746" width="14.5703125" style="1" customWidth="1"/>
    <col min="9747" max="9747" width="14.42578125" style="1" customWidth="1"/>
    <col min="9748" max="9984" width="9.140625" style="1"/>
    <col min="9985" max="9985" width="11.85546875" style="1" customWidth="1"/>
    <col min="9986" max="9986" width="18.28515625" style="1" customWidth="1"/>
    <col min="9987" max="9987" width="23.140625" style="1" customWidth="1"/>
    <col min="9988" max="9988" width="38.85546875" style="1" customWidth="1"/>
    <col min="9989" max="9989" width="18.7109375" style="1" customWidth="1"/>
    <col min="9990" max="9990" width="1.5703125" style="1" customWidth="1"/>
    <col min="9991" max="9992" width="18.42578125" style="1" customWidth="1"/>
    <col min="9993" max="9993" width="16.5703125" style="1" customWidth="1"/>
    <col min="9994" max="9994" width="3.7109375" style="1" customWidth="1"/>
    <col min="9995" max="9995" width="4.85546875" style="1" customWidth="1"/>
    <col min="9996" max="9996" width="32.28515625" style="1" customWidth="1"/>
    <col min="9997" max="9997" width="3.85546875" style="1" customWidth="1"/>
    <col min="9998" max="9998" width="9.140625" style="1"/>
    <col min="9999" max="9999" width="2.85546875" style="1" customWidth="1"/>
    <col min="10000" max="10000" width="5.5703125" style="1" customWidth="1"/>
    <col min="10001" max="10001" width="3.85546875" style="1" customWidth="1"/>
    <col min="10002" max="10002" width="14.5703125" style="1" customWidth="1"/>
    <col min="10003" max="10003" width="14.42578125" style="1" customWidth="1"/>
    <col min="10004" max="10240" width="9.140625" style="1"/>
    <col min="10241" max="10241" width="11.85546875" style="1" customWidth="1"/>
    <col min="10242" max="10242" width="18.28515625" style="1" customWidth="1"/>
    <col min="10243" max="10243" width="23.140625" style="1" customWidth="1"/>
    <col min="10244" max="10244" width="38.85546875" style="1" customWidth="1"/>
    <col min="10245" max="10245" width="18.7109375" style="1" customWidth="1"/>
    <col min="10246" max="10246" width="1.5703125" style="1" customWidth="1"/>
    <col min="10247" max="10248" width="18.42578125" style="1" customWidth="1"/>
    <col min="10249" max="10249" width="16.5703125" style="1" customWidth="1"/>
    <col min="10250" max="10250" width="3.7109375" style="1" customWidth="1"/>
    <col min="10251" max="10251" width="4.85546875" style="1" customWidth="1"/>
    <col min="10252" max="10252" width="32.28515625" style="1" customWidth="1"/>
    <col min="10253" max="10253" width="3.85546875" style="1" customWidth="1"/>
    <col min="10254" max="10254" width="9.140625" style="1"/>
    <col min="10255" max="10255" width="2.85546875" style="1" customWidth="1"/>
    <col min="10256" max="10256" width="5.5703125" style="1" customWidth="1"/>
    <col min="10257" max="10257" width="3.85546875" style="1" customWidth="1"/>
    <col min="10258" max="10258" width="14.5703125" style="1" customWidth="1"/>
    <col min="10259" max="10259" width="14.42578125" style="1" customWidth="1"/>
    <col min="10260" max="10496" width="9.140625" style="1"/>
    <col min="10497" max="10497" width="11.85546875" style="1" customWidth="1"/>
    <col min="10498" max="10498" width="18.28515625" style="1" customWidth="1"/>
    <col min="10499" max="10499" width="23.140625" style="1" customWidth="1"/>
    <col min="10500" max="10500" width="38.85546875" style="1" customWidth="1"/>
    <col min="10501" max="10501" width="18.7109375" style="1" customWidth="1"/>
    <col min="10502" max="10502" width="1.5703125" style="1" customWidth="1"/>
    <col min="10503" max="10504" width="18.42578125" style="1" customWidth="1"/>
    <col min="10505" max="10505" width="16.5703125" style="1" customWidth="1"/>
    <col min="10506" max="10506" width="3.7109375" style="1" customWidth="1"/>
    <col min="10507" max="10507" width="4.85546875" style="1" customWidth="1"/>
    <col min="10508" max="10508" width="32.28515625" style="1" customWidth="1"/>
    <col min="10509" max="10509" width="3.85546875" style="1" customWidth="1"/>
    <col min="10510" max="10510" width="9.140625" style="1"/>
    <col min="10511" max="10511" width="2.85546875" style="1" customWidth="1"/>
    <col min="10512" max="10512" width="5.5703125" style="1" customWidth="1"/>
    <col min="10513" max="10513" width="3.85546875" style="1" customWidth="1"/>
    <col min="10514" max="10514" width="14.5703125" style="1" customWidth="1"/>
    <col min="10515" max="10515" width="14.42578125" style="1" customWidth="1"/>
    <col min="10516" max="10752" width="9.140625" style="1"/>
    <col min="10753" max="10753" width="11.85546875" style="1" customWidth="1"/>
    <col min="10754" max="10754" width="18.28515625" style="1" customWidth="1"/>
    <col min="10755" max="10755" width="23.140625" style="1" customWidth="1"/>
    <col min="10756" max="10756" width="38.85546875" style="1" customWidth="1"/>
    <col min="10757" max="10757" width="18.7109375" style="1" customWidth="1"/>
    <col min="10758" max="10758" width="1.5703125" style="1" customWidth="1"/>
    <col min="10759" max="10760" width="18.42578125" style="1" customWidth="1"/>
    <col min="10761" max="10761" width="16.5703125" style="1" customWidth="1"/>
    <col min="10762" max="10762" width="3.7109375" style="1" customWidth="1"/>
    <col min="10763" max="10763" width="4.85546875" style="1" customWidth="1"/>
    <col min="10764" max="10764" width="32.28515625" style="1" customWidth="1"/>
    <col min="10765" max="10765" width="3.85546875" style="1" customWidth="1"/>
    <col min="10766" max="10766" width="9.140625" style="1"/>
    <col min="10767" max="10767" width="2.85546875" style="1" customWidth="1"/>
    <col min="10768" max="10768" width="5.5703125" style="1" customWidth="1"/>
    <col min="10769" max="10769" width="3.85546875" style="1" customWidth="1"/>
    <col min="10770" max="10770" width="14.5703125" style="1" customWidth="1"/>
    <col min="10771" max="10771" width="14.42578125" style="1" customWidth="1"/>
    <col min="10772" max="11008" width="9.140625" style="1"/>
    <col min="11009" max="11009" width="11.85546875" style="1" customWidth="1"/>
    <col min="11010" max="11010" width="18.28515625" style="1" customWidth="1"/>
    <col min="11011" max="11011" width="23.140625" style="1" customWidth="1"/>
    <col min="11012" max="11012" width="38.85546875" style="1" customWidth="1"/>
    <col min="11013" max="11013" width="18.7109375" style="1" customWidth="1"/>
    <col min="11014" max="11014" width="1.5703125" style="1" customWidth="1"/>
    <col min="11015" max="11016" width="18.42578125" style="1" customWidth="1"/>
    <col min="11017" max="11017" width="16.5703125" style="1" customWidth="1"/>
    <col min="11018" max="11018" width="3.7109375" style="1" customWidth="1"/>
    <col min="11019" max="11019" width="4.85546875" style="1" customWidth="1"/>
    <col min="11020" max="11020" width="32.28515625" style="1" customWidth="1"/>
    <col min="11021" max="11021" width="3.85546875" style="1" customWidth="1"/>
    <col min="11022" max="11022" width="9.140625" style="1"/>
    <col min="11023" max="11023" width="2.85546875" style="1" customWidth="1"/>
    <col min="11024" max="11024" width="5.5703125" style="1" customWidth="1"/>
    <col min="11025" max="11025" width="3.85546875" style="1" customWidth="1"/>
    <col min="11026" max="11026" width="14.5703125" style="1" customWidth="1"/>
    <col min="11027" max="11027" width="14.42578125" style="1" customWidth="1"/>
    <col min="11028" max="11264" width="9.140625" style="1"/>
    <col min="11265" max="11265" width="11.85546875" style="1" customWidth="1"/>
    <col min="11266" max="11266" width="18.28515625" style="1" customWidth="1"/>
    <col min="11267" max="11267" width="23.140625" style="1" customWidth="1"/>
    <col min="11268" max="11268" width="38.85546875" style="1" customWidth="1"/>
    <col min="11269" max="11269" width="18.7109375" style="1" customWidth="1"/>
    <col min="11270" max="11270" width="1.5703125" style="1" customWidth="1"/>
    <col min="11271" max="11272" width="18.42578125" style="1" customWidth="1"/>
    <col min="11273" max="11273" width="16.5703125" style="1" customWidth="1"/>
    <col min="11274" max="11274" width="3.7109375" style="1" customWidth="1"/>
    <col min="11275" max="11275" width="4.85546875" style="1" customWidth="1"/>
    <col min="11276" max="11276" width="32.28515625" style="1" customWidth="1"/>
    <col min="11277" max="11277" width="3.85546875" style="1" customWidth="1"/>
    <col min="11278" max="11278" width="9.140625" style="1"/>
    <col min="11279" max="11279" width="2.85546875" style="1" customWidth="1"/>
    <col min="11280" max="11280" width="5.5703125" style="1" customWidth="1"/>
    <col min="11281" max="11281" width="3.85546875" style="1" customWidth="1"/>
    <col min="11282" max="11282" width="14.5703125" style="1" customWidth="1"/>
    <col min="11283" max="11283" width="14.42578125" style="1" customWidth="1"/>
    <col min="11284" max="11520" width="9.140625" style="1"/>
    <col min="11521" max="11521" width="11.85546875" style="1" customWidth="1"/>
    <col min="11522" max="11522" width="18.28515625" style="1" customWidth="1"/>
    <col min="11523" max="11523" width="23.140625" style="1" customWidth="1"/>
    <col min="11524" max="11524" width="38.85546875" style="1" customWidth="1"/>
    <col min="11525" max="11525" width="18.7109375" style="1" customWidth="1"/>
    <col min="11526" max="11526" width="1.5703125" style="1" customWidth="1"/>
    <col min="11527" max="11528" width="18.42578125" style="1" customWidth="1"/>
    <col min="11529" max="11529" width="16.5703125" style="1" customWidth="1"/>
    <col min="11530" max="11530" width="3.7109375" style="1" customWidth="1"/>
    <col min="11531" max="11531" width="4.85546875" style="1" customWidth="1"/>
    <col min="11532" max="11532" width="32.28515625" style="1" customWidth="1"/>
    <col min="11533" max="11533" width="3.85546875" style="1" customWidth="1"/>
    <col min="11534" max="11534" width="9.140625" style="1"/>
    <col min="11535" max="11535" width="2.85546875" style="1" customWidth="1"/>
    <col min="11536" max="11536" width="5.5703125" style="1" customWidth="1"/>
    <col min="11537" max="11537" width="3.85546875" style="1" customWidth="1"/>
    <col min="11538" max="11538" width="14.5703125" style="1" customWidth="1"/>
    <col min="11539" max="11539" width="14.42578125" style="1" customWidth="1"/>
    <col min="11540" max="11776" width="9.140625" style="1"/>
    <col min="11777" max="11777" width="11.85546875" style="1" customWidth="1"/>
    <col min="11778" max="11778" width="18.28515625" style="1" customWidth="1"/>
    <col min="11779" max="11779" width="23.140625" style="1" customWidth="1"/>
    <col min="11780" max="11780" width="38.85546875" style="1" customWidth="1"/>
    <col min="11781" max="11781" width="18.7109375" style="1" customWidth="1"/>
    <col min="11782" max="11782" width="1.5703125" style="1" customWidth="1"/>
    <col min="11783" max="11784" width="18.42578125" style="1" customWidth="1"/>
    <col min="11785" max="11785" width="16.5703125" style="1" customWidth="1"/>
    <col min="11786" max="11786" width="3.7109375" style="1" customWidth="1"/>
    <col min="11787" max="11787" width="4.85546875" style="1" customWidth="1"/>
    <col min="11788" max="11788" width="32.28515625" style="1" customWidth="1"/>
    <col min="11789" max="11789" width="3.85546875" style="1" customWidth="1"/>
    <col min="11790" max="11790" width="9.140625" style="1"/>
    <col min="11791" max="11791" width="2.85546875" style="1" customWidth="1"/>
    <col min="11792" max="11792" width="5.5703125" style="1" customWidth="1"/>
    <col min="11793" max="11793" width="3.85546875" style="1" customWidth="1"/>
    <col min="11794" max="11794" width="14.5703125" style="1" customWidth="1"/>
    <col min="11795" max="11795" width="14.42578125" style="1" customWidth="1"/>
    <col min="11796" max="12032" width="9.140625" style="1"/>
    <col min="12033" max="12033" width="11.85546875" style="1" customWidth="1"/>
    <col min="12034" max="12034" width="18.28515625" style="1" customWidth="1"/>
    <col min="12035" max="12035" width="23.140625" style="1" customWidth="1"/>
    <col min="12036" max="12036" width="38.85546875" style="1" customWidth="1"/>
    <col min="12037" max="12037" width="18.7109375" style="1" customWidth="1"/>
    <col min="12038" max="12038" width="1.5703125" style="1" customWidth="1"/>
    <col min="12039" max="12040" width="18.42578125" style="1" customWidth="1"/>
    <col min="12041" max="12041" width="16.5703125" style="1" customWidth="1"/>
    <col min="12042" max="12042" width="3.7109375" style="1" customWidth="1"/>
    <col min="12043" max="12043" width="4.85546875" style="1" customWidth="1"/>
    <col min="12044" max="12044" width="32.28515625" style="1" customWidth="1"/>
    <col min="12045" max="12045" width="3.85546875" style="1" customWidth="1"/>
    <col min="12046" max="12046" width="9.140625" style="1"/>
    <col min="12047" max="12047" width="2.85546875" style="1" customWidth="1"/>
    <col min="12048" max="12048" width="5.5703125" style="1" customWidth="1"/>
    <col min="12049" max="12049" width="3.85546875" style="1" customWidth="1"/>
    <col min="12050" max="12050" width="14.5703125" style="1" customWidth="1"/>
    <col min="12051" max="12051" width="14.42578125" style="1" customWidth="1"/>
    <col min="12052" max="12288" width="9.140625" style="1"/>
    <col min="12289" max="12289" width="11.85546875" style="1" customWidth="1"/>
    <col min="12290" max="12290" width="18.28515625" style="1" customWidth="1"/>
    <col min="12291" max="12291" width="23.140625" style="1" customWidth="1"/>
    <col min="12292" max="12292" width="38.85546875" style="1" customWidth="1"/>
    <col min="12293" max="12293" width="18.7109375" style="1" customWidth="1"/>
    <col min="12294" max="12294" width="1.5703125" style="1" customWidth="1"/>
    <col min="12295" max="12296" width="18.42578125" style="1" customWidth="1"/>
    <col min="12297" max="12297" width="16.5703125" style="1" customWidth="1"/>
    <col min="12298" max="12298" width="3.7109375" style="1" customWidth="1"/>
    <col min="12299" max="12299" width="4.85546875" style="1" customWidth="1"/>
    <col min="12300" max="12300" width="32.28515625" style="1" customWidth="1"/>
    <col min="12301" max="12301" width="3.85546875" style="1" customWidth="1"/>
    <col min="12302" max="12302" width="9.140625" style="1"/>
    <col min="12303" max="12303" width="2.85546875" style="1" customWidth="1"/>
    <col min="12304" max="12304" width="5.5703125" style="1" customWidth="1"/>
    <col min="12305" max="12305" width="3.85546875" style="1" customWidth="1"/>
    <col min="12306" max="12306" width="14.5703125" style="1" customWidth="1"/>
    <col min="12307" max="12307" width="14.42578125" style="1" customWidth="1"/>
    <col min="12308" max="12544" width="9.140625" style="1"/>
    <col min="12545" max="12545" width="11.85546875" style="1" customWidth="1"/>
    <col min="12546" max="12546" width="18.28515625" style="1" customWidth="1"/>
    <col min="12547" max="12547" width="23.140625" style="1" customWidth="1"/>
    <col min="12548" max="12548" width="38.85546875" style="1" customWidth="1"/>
    <col min="12549" max="12549" width="18.7109375" style="1" customWidth="1"/>
    <col min="12550" max="12550" width="1.5703125" style="1" customWidth="1"/>
    <col min="12551" max="12552" width="18.42578125" style="1" customWidth="1"/>
    <col min="12553" max="12553" width="16.5703125" style="1" customWidth="1"/>
    <col min="12554" max="12554" width="3.7109375" style="1" customWidth="1"/>
    <col min="12555" max="12555" width="4.85546875" style="1" customWidth="1"/>
    <col min="12556" max="12556" width="32.28515625" style="1" customWidth="1"/>
    <col min="12557" max="12557" width="3.85546875" style="1" customWidth="1"/>
    <col min="12558" max="12558" width="9.140625" style="1"/>
    <col min="12559" max="12559" width="2.85546875" style="1" customWidth="1"/>
    <col min="12560" max="12560" width="5.5703125" style="1" customWidth="1"/>
    <col min="12561" max="12561" width="3.85546875" style="1" customWidth="1"/>
    <col min="12562" max="12562" width="14.5703125" style="1" customWidth="1"/>
    <col min="12563" max="12563" width="14.42578125" style="1" customWidth="1"/>
    <col min="12564" max="12800" width="9.140625" style="1"/>
    <col min="12801" max="12801" width="11.85546875" style="1" customWidth="1"/>
    <col min="12802" max="12802" width="18.28515625" style="1" customWidth="1"/>
    <col min="12803" max="12803" width="23.140625" style="1" customWidth="1"/>
    <col min="12804" max="12804" width="38.85546875" style="1" customWidth="1"/>
    <col min="12805" max="12805" width="18.7109375" style="1" customWidth="1"/>
    <col min="12806" max="12806" width="1.5703125" style="1" customWidth="1"/>
    <col min="12807" max="12808" width="18.42578125" style="1" customWidth="1"/>
    <col min="12809" max="12809" width="16.5703125" style="1" customWidth="1"/>
    <col min="12810" max="12810" width="3.7109375" style="1" customWidth="1"/>
    <col min="12811" max="12811" width="4.85546875" style="1" customWidth="1"/>
    <col min="12812" max="12812" width="32.28515625" style="1" customWidth="1"/>
    <col min="12813" max="12813" width="3.85546875" style="1" customWidth="1"/>
    <col min="12814" max="12814" width="9.140625" style="1"/>
    <col min="12815" max="12815" width="2.85546875" style="1" customWidth="1"/>
    <col min="12816" max="12816" width="5.5703125" style="1" customWidth="1"/>
    <col min="12817" max="12817" width="3.85546875" style="1" customWidth="1"/>
    <col min="12818" max="12818" width="14.5703125" style="1" customWidth="1"/>
    <col min="12819" max="12819" width="14.42578125" style="1" customWidth="1"/>
    <col min="12820" max="13056" width="9.140625" style="1"/>
    <col min="13057" max="13057" width="11.85546875" style="1" customWidth="1"/>
    <col min="13058" max="13058" width="18.28515625" style="1" customWidth="1"/>
    <col min="13059" max="13059" width="23.140625" style="1" customWidth="1"/>
    <col min="13060" max="13060" width="38.85546875" style="1" customWidth="1"/>
    <col min="13061" max="13061" width="18.7109375" style="1" customWidth="1"/>
    <col min="13062" max="13062" width="1.5703125" style="1" customWidth="1"/>
    <col min="13063" max="13064" width="18.42578125" style="1" customWidth="1"/>
    <col min="13065" max="13065" width="16.5703125" style="1" customWidth="1"/>
    <col min="13066" max="13066" width="3.7109375" style="1" customWidth="1"/>
    <col min="13067" max="13067" width="4.85546875" style="1" customWidth="1"/>
    <col min="13068" max="13068" width="32.28515625" style="1" customWidth="1"/>
    <col min="13069" max="13069" width="3.85546875" style="1" customWidth="1"/>
    <col min="13070" max="13070" width="9.140625" style="1"/>
    <col min="13071" max="13071" width="2.85546875" style="1" customWidth="1"/>
    <col min="13072" max="13072" width="5.5703125" style="1" customWidth="1"/>
    <col min="13073" max="13073" width="3.85546875" style="1" customWidth="1"/>
    <col min="13074" max="13074" width="14.5703125" style="1" customWidth="1"/>
    <col min="13075" max="13075" width="14.42578125" style="1" customWidth="1"/>
    <col min="13076" max="13312" width="9.140625" style="1"/>
    <col min="13313" max="13313" width="11.85546875" style="1" customWidth="1"/>
    <col min="13314" max="13314" width="18.28515625" style="1" customWidth="1"/>
    <col min="13315" max="13315" width="23.140625" style="1" customWidth="1"/>
    <col min="13316" max="13316" width="38.85546875" style="1" customWidth="1"/>
    <col min="13317" max="13317" width="18.7109375" style="1" customWidth="1"/>
    <col min="13318" max="13318" width="1.5703125" style="1" customWidth="1"/>
    <col min="13319" max="13320" width="18.42578125" style="1" customWidth="1"/>
    <col min="13321" max="13321" width="16.5703125" style="1" customWidth="1"/>
    <col min="13322" max="13322" width="3.7109375" style="1" customWidth="1"/>
    <col min="13323" max="13323" width="4.85546875" style="1" customWidth="1"/>
    <col min="13324" max="13324" width="32.28515625" style="1" customWidth="1"/>
    <col min="13325" max="13325" width="3.85546875" style="1" customWidth="1"/>
    <col min="13326" max="13326" width="9.140625" style="1"/>
    <col min="13327" max="13327" width="2.85546875" style="1" customWidth="1"/>
    <col min="13328" max="13328" width="5.5703125" style="1" customWidth="1"/>
    <col min="13329" max="13329" width="3.85546875" style="1" customWidth="1"/>
    <col min="13330" max="13330" width="14.5703125" style="1" customWidth="1"/>
    <col min="13331" max="13331" width="14.42578125" style="1" customWidth="1"/>
    <col min="13332" max="13568" width="9.140625" style="1"/>
    <col min="13569" max="13569" width="11.85546875" style="1" customWidth="1"/>
    <col min="13570" max="13570" width="18.28515625" style="1" customWidth="1"/>
    <col min="13571" max="13571" width="23.140625" style="1" customWidth="1"/>
    <col min="13572" max="13572" width="38.85546875" style="1" customWidth="1"/>
    <col min="13573" max="13573" width="18.7109375" style="1" customWidth="1"/>
    <col min="13574" max="13574" width="1.5703125" style="1" customWidth="1"/>
    <col min="13575" max="13576" width="18.42578125" style="1" customWidth="1"/>
    <col min="13577" max="13577" width="16.5703125" style="1" customWidth="1"/>
    <col min="13578" max="13578" width="3.7109375" style="1" customWidth="1"/>
    <col min="13579" max="13579" width="4.85546875" style="1" customWidth="1"/>
    <col min="13580" max="13580" width="32.28515625" style="1" customWidth="1"/>
    <col min="13581" max="13581" width="3.85546875" style="1" customWidth="1"/>
    <col min="13582" max="13582" width="9.140625" style="1"/>
    <col min="13583" max="13583" width="2.85546875" style="1" customWidth="1"/>
    <col min="13584" max="13584" width="5.5703125" style="1" customWidth="1"/>
    <col min="13585" max="13585" width="3.85546875" style="1" customWidth="1"/>
    <col min="13586" max="13586" width="14.5703125" style="1" customWidth="1"/>
    <col min="13587" max="13587" width="14.42578125" style="1" customWidth="1"/>
    <col min="13588" max="13824" width="9.140625" style="1"/>
    <col min="13825" max="13825" width="11.85546875" style="1" customWidth="1"/>
    <col min="13826" max="13826" width="18.28515625" style="1" customWidth="1"/>
    <col min="13827" max="13827" width="23.140625" style="1" customWidth="1"/>
    <col min="13828" max="13828" width="38.85546875" style="1" customWidth="1"/>
    <col min="13829" max="13829" width="18.7109375" style="1" customWidth="1"/>
    <col min="13830" max="13830" width="1.5703125" style="1" customWidth="1"/>
    <col min="13831" max="13832" width="18.42578125" style="1" customWidth="1"/>
    <col min="13833" max="13833" width="16.5703125" style="1" customWidth="1"/>
    <col min="13834" max="13834" width="3.7109375" style="1" customWidth="1"/>
    <col min="13835" max="13835" width="4.85546875" style="1" customWidth="1"/>
    <col min="13836" max="13836" width="32.28515625" style="1" customWidth="1"/>
    <col min="13837" max="13837" width="3.85546875" style="1" customWidth="1"/>
    <col min="13838" max="13838" width="9.140625" style="1"/>
    <col min="13839" max="13839" width="2.85546875" style="1" customWidth="1"/>
    <col min="13840" max="13840" width="5.5703125" style="1" customWidth="1"/>
    <col min="13841" max="13841" width="3.85546875" style="1" customWidth="1"/>
    <col min="13842" max="13842" width="14.5703125" style="1" customWidth="1"/>
    <col min="13843" max="13843" width="14.42578125" style="1" customWidth="1"/>
    <col min="13844" max="14080" width="9.140625" style="1"/>
    <col min="14081" max="14081" width="11.85546875" style="1" customWidth="1"/>
    <col min="14082" max="14082" width="18.28515625" style="1" customWidth="1"/>
    <col min="14083" max="14083" width="23.140625" style="1" customWidth="1"/>
    <col min="14084" max="14084" width="38.85546875" style="1" customWidth="1"/>
    <col min="14085" max="14085" width="18.7109375" style="1" customWidth="1"/>
    <col min="14086" max="14086" width="1.5703125" style="1" customWidth="1"/>
    <col min="14087" max="14088" width="18.42578125" style="1" customWidth="1"/>
    <col min="14089" max="14089" width="16.5703125" style="1" customWidth="1"/>
    <col min="14090" max="14090" width="3.7109375" style="1" customWidth="1"/>
    <col min="14091" max="14091" width="4.85546875" style="1" customWidth="1"/>
    <col min="14092" max="14092" width="32.28515625" style="1" customWidth="1"/>
    <col min="14093" max="14093" width="3.85546875" style="1" customWidth="1"/>
    <col min="14094" max="14094" width="9.140625" style="1"/>
    <col min="14095" max="14095" width="2.85546875" style="1" customWidth="1"/>
    <col min="14096" max="14096" width="5.5703125" style="1" customWidth="1"/>
    <col min="14097" max="14097" width="3.85546875" style="1" customWidth="1"/>
    <col min="14098" max="14098" width="14.5703125" style="1" customWidth="1"/>
    <col min="14099" max="14099" width="14.42578125" style="1" customWidth="1"/>
    <col min="14100" max="14336" width="9.140625" style="1"/>
    <col min="14337" max="14337" width="11.85546875" style="1" customWidth="1"/>
    <col min="14338" max="14338" width="18.28515625" style="1" customWidth="1"/>
    <col min="14339" max="14339" width="23.140625" style="1" customWidth="1"/>
    <col min="14340" max="14340" width="38.85546875" style="1" customWidth="1"/>
    <col min="14341" max="14341" width="18.7109375" style="1" customWidth="1"/>
    <col min="14342" max="14342" width="1.5703125" style="1" customWidth="1"/>
    <col min="14343" max="14344" width="18.42578125" style="1" customWidth="1"/>
    <col min="14345" max="14345" width="16.5703125" style="1" customWidth="1"/>
    <col min="14346" max="14346" width="3.7109375" style="1" customWidth="1"/>
    <col min="14347" max="14347" width="4.85546875" style="1" customWidth="1"/>
    <col min="14348" max="14348" width="32.28515625" style="1" customWidth="1"/>
    <col min="14349" max="14349" width="3.85546875" style="1" customWidth="1"/>
    <col min="14350" max="14350" width="9.140625" style="1"/>
    <col min="14351" max="14351" width="2.85546875" style="1" customWidth="1"/>
    <col min="14352" max="14352" width="5.5703125" style="1" customWidth="1"/>
    <col min="14353" max="14353" width="3.85546875" style="1" customWidth="1"/>
    <col min="14354" max="14354" width="14.5703125" style="1" customWidth="1"/>
    <col min="14355" max="14355" width="14.42578125" style="1" customWidth="1"/>
    <col min="14356" max="14592" width="9.140625" style="1"/>
    <col min="14593" max="14593" width="11.85546875" style="1" customWidth="1"/>
    <col min="14594" max="14594" width="18.28515625" style="1" customWidth="1"/>
    <col min="14595" max="14595" width="23.140625" style="1" customWidth="1"/>
    <col min="14596" max="14596" width="38.85546875" style="1" customWidth="1"/>
    <col min="14597" max="14597" width="18.7109375" style="1" customWidth="1"/>
    <col min="14598" max="14598" width="1.5703125" style="1" customWidth="1"/>
    <col min="14599" max="14600" width="18.42578125" style="1" customWidth="1"/>
    <col min="14601" max="14601" width="16.5703125" style="1" customWidth="1"/>
    <col min="14602" max="14602" width="3.7109375" style="1" customWidth="1"/>
    <col min="14603" max="14603" width="4.85546875" style="1" customWidth="1"/>
    <col min="14604" max="14604" width="32.28515625" style="1" customWidth="1"/>
    <col min="14605" max="14605" width="3.85546875" style="1" customWidth="1"/>
    <col min="14606" max="14606" width="9.140625" style="1"/>
    <col min="14607" max="14607" width="2.85546875" style="1" customWidth="1"/>
    <col min="14608" max="14608" width="5.5703125" style="1" customWidth="1"/>
    <col min="14609" max="14609" width="3.85546875" style="1" customWidth="1"/>
    <col min="14610" max="14610" width="14.5703125" style="1" customWidth="1"/>
    <col min="14611" max="14611" width="14.42578125" style="1" customWidth="1"/>
    <col min="14612" max="14848" width="9.140625" style="1"/>
    <col min="14849" max="14849" width="11.85546875" style="1" customWidth="1"/>
    <col min="14850" max="14850" width="18.28515625" style="1" customWidth="1"/>
    <col min="14851" max="14851" width="23.140625" style="1" customWidth="1"/>
    <col min="14852" max="14852" width="38.85546875" style="1" customWidth="1"/>
    <col min="14853" max="14853" width="18.7109375" style="1" customWidth="1"/>
    <col min="14854" max="14854" width="1.5703125" style="1" customWidth="1"/>
    <col min="14855" max="14856" width="18.42578125" style="1" customWidth="1"/>
    <col min="14857" max="14857" width="16.5703125" style="1" customWidth="1"/>
    <col min="14858" max="14858" width="3.7109375" style="1" customWidth="1"/>
    <col min="14859" max="14859" width="4.85546875" style="1" customWidth="1"/>
    <col min="14860" max="14860" width="32.28515625" style="1" customWidth="1"/>
    <col min="14861" max="14861" width="3.85546875" style="1" customWidth="1"/>
    <col min="14862" max="14862" width="9.140625" style="1"/>
    <col min="14863" max="14863" width="2.85546875" style="1" customWidth="1"/>
    <col min="14864" max="14864" width="5.5703125" style="1" customWidth="1"/>
    <col min="14865" max="14865" width="3.85546875" style="1" customWidth="1"/>
    <col min="14866" max="14866" width="14.5703125" style="1" customWidth="1"/>
    <col min="14867" max="14867" width="14.42578125" style="1" customWidth="1"/>
    <col min="14868" max="15104" width="9.140625" style="1"/>
    <col min="15105" max="15105" width="11.85546875" style="1" customWidth="1"/>
    <col min="15106" max="15106" width="18.28515625" style="1" customWidth="1"/>
    <col min="15107" max="15107" width="23.140625" style="1" customWidth="1"/>
    <col min="15108" max="15108" width="38.85546875" style="1" customWidth="1"/>
    <col min="15109" max="15109" width="18.7109375" style="1" customWidth="1"/>
    <col min="15110" max="15110" width="1.5703125" style="1" customWidth="1"/>
    <col min="15111" max="15112" width="18.42578125" style="1" customWidth="1"/>
    <col min="15113" max="15113" width="16.5703125" style="1" customWidth="1"/>
    <col min="15114" max="15114" width="3.7109375" style="1" customWidth="1"/>
    <col min="15115" max="15115" width="4.85546875" style="1" customWidth="1"/>
    <col min="15116" max="15116" width="32.28515625" style="1" customWidth="1"/>
    <col min="15117" max="15117" width="3.85546875" style="1" customWidth="1"/>
    <col min="15118" max="15118" width="9.140625" style="1"/>
    <col min="15119" max="15119" width="2.85546875" style="1" customWidth="1"/>
    <col min="15120" max="15120" width="5.5703125" style="1" customWidth="1"/>
    <col min="15121" max="15121" width="3.85546875" style="1" customWidth="1"/>
    <col min="15122" max="15122" width="14.5703125" style="1" customWidth="1"/>
    <col min="15123" max="15123" width="14.42578125" style="1" customWidth="1"/>
    <col min="15124" max="15360" width="9.140625" style="1"/>
    <col min="15361" max="15361" width="11.85546875" style="1" customWidth="1"/>
    <col min="15362" max="15362" width="18.28515625" style="1" customWidth="1"/>
    <col min="15363" max="15363" width="23.140625" style="1" customWidth="1"/>
    <col min="15364" max="15364" width="38.85546875" style="1" customWidth="1"/>
    <col min="15365" max="15365" width="18.7109375" style="1" customWidth="1"/>
    <col min="15366" max="15366" width="1.5703125" style="1" customWidth="1"/>
    <col min="15367" max="15368" width="18.42578125" style="1" customWidth="1"/>
    <col min="15369" max="15369" width="16.5703125" style="1" customWidth="1"/>
    <col min="15370" max="15370" width="3.7109375" style="1" customWidth="1"/>
    <col min="15371" max="15371" width="4.85546875" style="1" customWidth="1"/>
    <col min="15372" max="15372" width="32.28515625" style="1" customWidth="1"/>
    <col min="15373" max="15373" width="3.85546875" style="1" customWidth="1"/>
    <col min="15374" max="15374" width="9.140625" style="1"/>
    <col min="15375" max="15375" width="2.85546875" style="1" customWidth="1"/>
    <col min="15376" max="15376" width="5.5703125" style="1" customWidth="1"/>
    <col min="15377" max="15377" width="3.85546875" style="1" customWidth="1"/>
    <col min="15378" max="15378" width="14.5703125" style="1" customWidth="1"/>
    <col min="15379" max="15379" width="14.42578125" style="1" customWidth="1"/>
    <col min="15380" max="15616" width="9.140625" style="1"/>
    <col min="15617" max="15617" width="11.85546875" style="1" customWidth="1"/>
    <col min="15618" max="15618" width="18.28515625" style="1" customWidth="1"/>
    <col min="15619" max="15619" width="23.140625" style="1" customWidth="1"/>
    <col min="15620" max="15620" width="38.85546875" style="1" customWidth="1"/>
    <col min="15621" max="15621" width="18.7109375" style="1" customWidth="1"/>
    <col min="15622" max="15622" width="1.5703125" style="1" customWidth="1"/>
    <col min="15623" max="15624" width="18.42578125" style="1" customWidth="1"/>
    <col min="15625" max="15625" width="16.5703125" style="1" customWidth="1"/>
    <col min="15626" max="15626" width="3.7109375" style="1" customWidth="1"/>
    <col min="15627" max="15627" width="4.85546875" style="1" customWidth="1"/>
    <col min="15628" max="15628" width="32.28515625" style="1" customWidth="1"/>
    <col min="15629" max="15629" width="3.85546875" style="1" customWidth="1"/>
    <col min="15630" max="15630" width="9.140625" style="1"/>
    <col min="15631" max="15631" width="2.85546875" style="1" customWidth="1"/>
    <col min="15632" max="15632" width="5.5703125" style="1" customWidth="1"/>
    <col min="15633" max="15633" width="3.85546875" style="1" customWidth="1"/>
    <col min="15634" max="15634" width="14.5703125" style="1" customWidth="1"/>
    <col min="15635" max="15635" width="14.42578125" style="1" customWidth="1"/>
    <col min="15636" max="15872" width="9.140625" style="1"/>
    <col min="15873" max="15873" width="11.85546875" style="1" customWidth="1"/>
    <col min="15874" max="15874" width="18.28515625" style="1" customWidth="1"/>
    <col min="15875" max="15875" width="23.140625" style="1" customWidth="1"/>
    <col min="15876" max="15876" width="38.85546875" style="1" customWidth="1"/>
    <col min="15877" max="15877" width="18.7109375" style="1" customWidth="1"/>
    <col min="15878" max="15878" width="1.5703125" style="1" customWidth="1"/>
    <col min="15879" max="15880" width="18.42578125" style="1" customWidth="1"/>
    <col min="15881" max="15881" width="16.5703125" style="1" customWidth="1"/>
    <col min="15882" max="15882" width="3.7109375" style="1" customWidth="1"/>
    <col min="15883" max="15883" width="4.85546875" style="1" customWidth="1"/>
    <col min="15884" max="15884" width="32.28515625" style="1" customWidth="1"/>
    <col min="15885" max="15885" width="3.85546875" style="1" customWidth="1"/>
    <col min="15886" max="15886" width="9.140625" style="1"/>
    <col min="15887" max="15887" width="2.85546875" style="1" customWidth="1"/>
    <col min="15888" max="15888" width="5.5703125" style="1" customWidth="1"/>
    <col min="15889" max="15889" width="3.85546875" style="1" customWidth="1"/>
    <col min="15890" max="15890" width="14.5703125" style="1" customWidth="1"/>
    <col min="15891" max="15891" width="14.42578125" style="1" customWidth="1"/>
    <col min="15892" max="16128" width="9.140625" style="1"/>
    <col min="16129" max="16129" width="11.85546875" style="1" customWidth="1"/>
    <col min="16130" max="16130" width="18.28515625" style="1" customWidth="1"/>
    <col min="16131" max="16131" width="23.140625" style="1" customWidth="1"/>
    <col min="16132" max="16132" width="38.85546875" style="1" customWidth="1"/>
    <col min="16133" max="16133" width="18.7109375" style="1" customWidth="1"/>
    <col min="16134" max="16134" width="1.5703125" style="1" customWidth="1"/>
    <col min="16135" max="16136" width="18.42578125" style="1" customWidth="1"/>
    <col min="16137" max="16137" width="16.5703125" style="1" customWidth="1"/>
    <col min="16138" max="16138" width="3.7109375" style="1" customWidth="1"/>
    <col min="16139" max="16139" width="4.85546875" style="1" customWidth="1"/>
    <col min="16140" max="16140" width="32.28515625" style="1" customWidth="1"/>
    <col min="16141" max="16141" width="3.85546875" style="1" customWidth="1"/>
    <col min="16142" max="16142" width="9.140625" style="1"/>
    <col min="16143" max="16143" width="2.85546875" style="1" customWidth="1"/>
    <col min="16144" max="16144" width="5.5703125" style="1" customWidth="1"/>
    <col min="16145" max="16145" width="3.85546875" style="1" customWidth="1"/>
    <col min="16146" max="16146" width="14.5703125" style="1" customWidth="1"/>
    <col min="16147" max="16147" width="14.42578125" style="1" customWidth="1"/>
    <col min="16148" max="16384" width="9.140625" style="1"/>
  </cols>
  <sheetData>
    <row r="1" spans="1:19" x14ac:dyDescent="0.2">
      <c r="A1" s="1"/>
      <c r="B1" s="85" t="s">
        <v>0</v>
      </c>
      <c r="C1" s="85"/>
      <c r="D1" s="85"/>
      <c r="E1" s="85"/>
      <c r="F1" s="85"/>
      <c r="G1" s="85"/>
    </row>
    <row r="2" spans="1:19" x14ac:dyDescent="0.2">
      <c r="A2" s="1"/>
      <c r="B2" s="85" t="s">
        <v>1</v>
      </c>
      <c r="C2" s="85"/>
      <c r="D2" s="85"/>
      <c r="E2" s="85"/>
      <c r="F2" s="85"/>
      <c r="G2" s="85"/>
    </row>
    <row r="3" spans="1:19" x14ac:dyDescent="0.2">
      <c r="A3" s="1"/>
      <c r="B3" s="85" t="s">
        <v>158</v>
      </c>
      <c r="C3" s="85"/>
      <c r="D3" s="85"/>
      <c r="E3" s="85"/>
      <c r="F3" s="85"/>
      <c r="G3" s="85"/>
    </row>
    <row r="4" spans="1:19" x14ac:dyDescent="0.2">
      <c r="A4" s="1"/>
      <c r="B4" s="2"/>
      <c r="C4" s="2"/>
      <c r="D4" s="2"/>
      <c r="E4" s="2"/>
      <c r="F4" s="2"/>
      <c r="G4" s="2"/>
    </row>
    <row r="5" spans="1:19" x14ac:dyDescent="0.2">
      <c r="A5" s="1"/>
      <c r="B5" s="2"/>
      <c r="C5" s="2"/>
      <c r="D5" s="2"/>
      <c r="E5" s="2"/>
      <c r="F5" s="2"/>
      <c r="G5" s="2"/>
    </row>
    <row r="6" spans="1:19" ht="53.25" customHeight="1" x14ac:dyDescent="0.2">
      <c r="A6" s="3" t="s">
        <v>3</v>
      </c>
      <c r="B6" s="4" t="s">
        <v>4</v>
      </c>
      <c r="C6" s="4" t="s">
        <v>5</v>
      </c>
      <c r="D6" s="5" t="s">
        <v>6</v>
      </c>
      <c r="E6" s="6" t="s">
        <v>7</v>
      </c>
      <c r="F6" s="6"/>
      <c r="G6" s="7" t="s">
        <v>8</v>
      </c>
    </row>
    <row r="7" spans="1:19" x14ac:dyDescent="0.2">
      <c r="A7" s="1"/>
      <c r="B7" s="8"/>
      <c r="C7" s="8"/>
      <c r="D7" s="8"/>
      <c r="E7" s="9"/>
      <c r="F7" s="9"/>
      <c r="G7" s="10"/>
    </row>
    <row r="8" spans="1:19" ht="15.75" x14ac:dyDescent="0.25">
      <c r="A8" s="1"/>
      <c r="B8" s="8"/>
      <c r="C8" s="8"/>
      <c r="D8" s="11" t="s">
        <v>9</v>
      </c>
      <c r="E8" s="9"/>
      <c r="F8" s="9"/>
      <c r="G8" s="10"/>
    </row>
    <row r="9" spans="1:19" ht="15.75" x14ac:dyDescent="0.25">
      <c r="A9" s="1"/>
      <c r="B9" s="8"/>
      <c r="C9" s="8"/>
      <c r="D9" s="11"/>
      <c r="E9" s="9"/>
      <c r="F9" s="9"/>
      <c r="G9" s="10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2"/>
    </row>
    <row r="10" spans="1:19" ht="15.75" x14ac:dyDescent="0.25">
      <c r="B10" s="8"/>
      <c r="C10" s="8"/>
      <c r="D10" s="11" t="s">
        <v>10</v>
      </c>
      <c r="E10" s="9"/>
      <c r="F10" s="9"/>
      <c r="G10" s="10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2"/>
    </row>
    <row r="11" spans="1:19" x14ac:dyDescent="0.2">
      <c r="A11" s="15">
        <v>13418659</v>
      </c>
      <c r="B11" s="16">
        <v>478437863</v>
      </c>
      <c r="C11" s="17">
        <v>35500</v>
      </c>
      <c r="D11" s="18" t="s">
        <v>11</v>
      </c>
      <c r="E11" s="19">
        <v>659.13</v>
      </c>
      <c r="F11" s="20"/>
      <c r="G11" s="21">
        <v>42856</v>
      </c>
      <c r="H11" s="13"/>
      <c r="I11" s="69"/>
      <c r="J11" s="12"/>
      <c r="K11" s="12"/>
      <c r="L11" s="12"/>
      <c r="M11" s="12"/>
      <c r="N11" s="12"/>
      <c r="O11" s="13"/>
      <c r="P11" s="13"/>
      <c r="Q11" s="13"/>
      <c r="R11" s="13"/>
      <c r="S11" s="12"/>
    </row>
    <row r="12" spans="1:19" x14ac:dyDescent="0.2">
      <c r="A12" s="15"/>
      <c r="B12" s="16">
        <v>478437863</v>
      </c>
      <c r="C12" s="17">
        <v>35500</v>
      </c>
      <c r="D12" s="18" t="s">
        <v>11</v>
      </c>
      <c r="E12" s="19">
        <v>-30.59</v>
      </c>
      <c r="F12" s="20"/>
      <c r="G12" s="21">
        <v>42887</v>
      </c>
      <c r="H12" s="13"/>
      <c r="I12" s="69"/>
      <c r="J12" s="12"/>
      <c r="K12" s="12"/>
      <c r="L12" s="12"/>
      <c r="M12" s="12"/>
      <c r="N12" s="12"/>
      <c r="O12" s="13"/>
      <c r="P12" s="13"/>
      <c r="Q12" s="13"/>
      <c r="R12" s="13"/>
      <c r="S12" s="12"/>
    </row>
    <row r="13" spans="1:19" x14ac:dyDescent="0.2">
      <c r="A13" s="15"/>
      <c r="B13" s="16">
        <v>478437863</v>
      </c>
      <c r="C13" s="76" t="s">
        <v>160</v>
      </c>
      <c r="D13" s="18" t="s">
        <v>11</v>
      </c>
      <c r="E13" s="22">
        <f>328345.27+106034.62+1069692.49+247791.02+28355.74+385637.67+93850.33-2057661-493228.77</f>
        <v>-291182.62999999989</v>
      </c>
      <c r="F13" s="20"/>
      <c r="G13" s="21">
        <v>42948</v>
      </c>
      <c r="H13" s="13"/>
      <c r="I13" s="69"/>
      <c r="J13" s="12"/>
      <c r="K13" s="12"/>
      <c r="L13" s="12"/>
      <c r="M13" s="12"/>
      <c r="N13" s="12"/>
      <c r="O13" s="13"/>
      <c r="P13" s="13"/>
      <c r="Q13" s="13"/>
      <c r="R13" s="13"/>
      <c r="S13" s="12"/>
    </row>
    <row r="14" spans="1:19" x14ac:dyDescent="0.2">
      <c r="A14" s="15"/>
      <c r="B14" s="16"/>
      <c r="C14" s="17"/>
      <c r="D14" s="18" t="s">
        <v>12</v>
      </c>
      <c r="E14" s="19">
        <f>SUM(E11:E13)</f>
        <v>-290554.08999999991</v>
      </c>
      <c r="F14" s="20"/>
      <c r="G14" s="21"/>
      <c r="H14" s="13"/>
      <c r="I14" s="69"/>
      <c r="J14" s="12"/>
      <c r="K14" s="12"/>
      <c r="L14" s="12"/>
      <c r="M14" s="12"/>
      <c r="N14" s="12"/>
      <c r="O14" s="13"/>
      <c r="P14" s="13"/>
      <c r="Q14" s="13"/>
      <c r="R14" s="13"/>
      <c r="S14" s="12"/>
    </row>
    <row r="15" spans="1:19" x14ac:dyDescent="0.2">
      <c r="A15" s="15"/>
      <c r="B15" s="16"/>
      <c r="C15" s="17"/>
      <c r="D15" s="18"/>
      <c r="E15" s="19"/>
      <c r="F15" s="20"/>
      <c r="G15" s="21"/>
      <c r="H15" s="13"/>
      <c r="I15" s="69"/>
      <c r="J15" s="12"/>
      <c r="K15" s="12"/>
      <c r="L15" s="12"/>
      <c r="M15" s="12"/>
      <c r="N15" s="12"/>
      <c r="O15" s="13"/>
      <c r="P15" s="13"/>
      <c r="Q15" s="13"/>
      <c r="R15" s="13"/>
      <c r="S15" s="12"/>
    </row>
    <row r="16" spans="1:19" x14ac:dyDescent="0.2">
      <c r="A16" s="25" t="s">
        <v>13</v>
      </c>
      <c r="B16" s="23">
        <v>478229242</v>
      </c>
      <c r="C16" s="17">
        <v>35500</v>
      </c>
      <c r="D16" s="18" t="s">
        <v>14</v>
      </c>
      <c r="E16" s="19">
        <v>3618.97</v>
      </c>
      <c r="F16" s="20"/>
      <c r="G16" s="21">
        <v>42736</v>
      </c>
      <c r="H16" s="13"/>
      <c r="I16" s="69"/>
      <c r="J16" s="12"/>
      <c r="K16" s="12"/>
      <c r="L16" s="12"/>
      <c r="M16" s="12"/>
      <c r="N16" s="12"/>
      <c r="O16" s="13"/>
      <c r="P16" s="13"/>
      <c r="Q16" s="13"/>
      <c r="R16" s="13"/>
      <c r="S16" s="12"/>
    </row>
    <row r="17" spans="1:19" x14ac:dyDescent="0.2">
      <c r="A17" s="25"/>
      <c r="B17" s="23">
        <v>478229242</v>
      </c>
      <c r="C17" s="17">
        <v>35500</v>
      </c>
      <c r="D17" s="18" t="s">
        <v>14</v>
      </c>
      <c r="E17" s="19">
        <v>2870.99</v>
      </c>
      <c r="F17" s="20"/>
      <c r="G17" s="21">
        <v>42767</v>
      </c>
      <c r="H17" s="13"/>
      <c r="I17" s="69"/>
      <c r="J17" s="12"/>
      <c r="K17" s="12"/>
      <c r="L17" s="12"/>
      <c r="M17" s="12"/>
      <c r="N17" s="12"/>
      <c r="O17" s="13"/>
      <c r="P17" s="13"/>
      <c r="Q17" s="13"/>
      <c r="R17" s="13"/>
      <c r="S17" s="12"/>
    </row>
    <row r="18" spans="1:19" x14ac:dyDescent="0.2">
      <c r="A18" s="25"/>
      <c r="B18" s="23">
        <v>478229242</v>
      </c>
      <c r="C18" s="17">
        <v>35500</v>
      </c>
      <c r="D18" s="18" t="s">
        <v>14</v>
      </c>
      <c r="E18" s="19">
        <v>1856.42</v>
      </c>
      <c r="F18" s="20"/>
      <c r="G18" s="21">
        <v>42795</v>
      </c>
      <c r="H18" s="13"/>
      <c r="I18" s="69"/>
      <c r="J18" s="12"/>
      <c r="K18" s="12"/>
      <c r="L18" s="12"/>
      <c r="M18" s="12"/>
      <c r="N18" s="12"/>
      <c r="O18" s="13"/>
      <c r="P18" s="13"/>
      <c r="Q18" s="13"/>
      <c r="R18" s="13"/>
      <c r="S18" s="12"/>
    </row>
    <row r="19" spans="1:19" x14ac:dyDescent="0.2">
      <c r="A19" s="25"/>
      <c r="B19" s="23">
        <v>478229242</v>
      </c>
      <c r="C19" s="17">
        <v>35500</v>
      </c>
      <c r="D19" s="18" t="s">
        <v>14</v>
      </c>
      <c r="E19" s="19">
        <v>1511.6</v>
      </c>
      <c r="F19" s="20"/>
      <c r="G19" s="21">
        <v>42826</v>
      </c>
      <c r="H19" s="13"/>
      <c r="I19" s="69"/>
      <c r="J19" s="12"/>
      <c r="K19" s="12"/>
      <c r="L19" s="12"/>
      <c r="M19" s="12"/>
      <c r="N19" s="12"/>
      <c r="O19" s="13"/>
      <c r="P19" s="13"/>
      <c r="Q19" s="13"/>
      <c r="R19" s="13"/>
      <c r="S19" s="12"/>
    </row>
    <row r="20" spans="1:19" x14ac:dyDescent="0.2">
      <c r="A20" s="25"/>
      <c r="B20" s="23">
        <v>478229242</v>
      </c>
      <c r="C20" s="17">
        <v>35500</v>
      </c>
      <c r="D20" s="18" t="s">
        <v>14</v>
      </c>
      <c r="E20" s="19">
        <v>1202.6199999999999</v>
      </c>
      <c r="F20" s="20"/>
      <c r="G20" s="21">
        <v>42856</v>
      </c>
      <c r="H20" s="13"/>
      <c r="I20" s="69"/>
      <c r="J20" s="12"/>
      <c r="K20" s="12"/>
      <c r="L20" s="12"/>
      <c r="M20" s="12"/>
      <c r="N20" s="12"/>
      <c r="O20" s="13"/>
      <c r="P20" s="13"/>
      <c r="Q20" s="13"/>
      <c r="R20" s="13"/>
      <c r="S20" s="12"/>
    </row>
    <row r="21" spans="1:19" x14ac:dyDescent="0.2">
      <c r="A21" s="25"/>
      <c r="B21" s="23">
        <v>478229242</v>
      </c>
      <c r="C21" s="17">
        <v>35500</v>
      </c>
      <c r="D21" s="18" t="s">
        <v>14</v>
      </c>
      <c r="E21" s="19">
        <v>166274.37</v>
      </c>
      <c r="F21" s="20"/>
      <c r="G21" s="21">
        <v>42887</v>
      </c>
      <c r="H21" s="13"/>
      <c r="I21" s="69"/>
      <c r="J21" s="12"/>
      <c r="K21" s="12"/>
      <c r="L21" s="12"/>
      <c r="M21" s="12"/>
      <c r="N21" s="12"/>
      <c r="O21" s="13"/>
      <c r="P21" s="13"/>
      <c r="Q21" s="13"/>
      <c r="R21" s="13"/>
      <c r="S21" s="12"/>
    </row>
    <row r="22" spans="1:19" x14ac:dyDescent="0.2">
      <c r="A22" s="25"/>
      <c r="B22" s="23">
        <v>478229242</v>
      </c>
      <c r="C22" s="17">
        <v>35500</v>
      </c>
      <c r="D22" s="18" t="s">
        <v>14</v>
      </c>
      <c r="E22" s="19">
        <v>7858.28</v>
      </c>
      <c r="F22" s="20"/>
      <c r="G22" s="21">
        <v>42917</v>
      </c>
      <c r="H22" s="13"/>
      <c r="I22" s="69"/>
      <c r="J22" s="12"/>
      <c r="K22" s="12"/>
      <c r="L22" s="12"/>
      <c r="M22" s="12"/>
      <c r="N22" s="12"/>
      <c r="O22" s="13"/>
      <c r="P22" s="13"/>
      <c r="Q22" s="13"/>
      <c r="R22" s="13"/>
      <c r="S22" s="12"/>
    </row>
    <row r="23" spans="1:19" x14ac:dyDescent="0.2">
      <c r="A23" s="25"/>
      <c r="B23" s="23">
        <v>478229242</v>
      </c>
      <c r="C23" s="76" t="s">
        <v>160</v>
      </c>
      <c r="D23" s="18" t="s">
        <v>14</v>
      </c>
      <c r="E23" s="19">
        <f>802324.83+1618859.59+337299.97+728404.79+38.99+78.86-3747385.06+35.48</f>
        <v>-260342.55000000025</v>
      </c>
      <c r="F23" s="20"/>
      <c r="G23" s="21">
        <v>42948</v>
      </c>
      <c r="H23" s="12"/>
      <c r="I23" s="24"/>
      <c r="J23" s="12"/>
      <c r="K23" s="12"/>
      <c r="L23" s="12"/>
      <c r="M23" s="12"/>
      <c r="N23" s="12"/>
      <c r="O23" s="13"/>
      <c r="P23" s="13"/>
      <c r="Q23" s="13"/>
      <c r="R23" s="13"/>
      <c r="S23" s="12"/>
    </row>
    <row r="24" spans="1:19" x14ac:dyDescent="0.2">
      <c r="A24" s="25"/>
      <c r="B24" s="23">
        <v>478229242</v>
      </c>
      <c r="C24" s="76" t="s">
        <v>160</v>
      </c>
      <c r="D24" s="18" t="s">
        <v>14</v>
      </c>
      <c r="E24" s="19">
        <f>269518.71+58360.91+12159.88+26259.45+87071.78+175.45+354.86+73.94+159.68</f>
        <v>454134.66</v>
      </c>
      <c r="F24" s="20"/>
      <c r="G24" s="21">
        <v>42979</v>
      </c>
      <c r="H24" s="12"/>
      <c r="I24" s="24"/>
      <c r="J24" s="12"/>
      <c r="K24" s="12"/>
      <c r="L24" s="12"/>
      <c r="M24" s="12"/>
      <c r="N24" s="12"/>
      <c r="O24" s="13"/>
      <c r="P24" s="13"/>
      <c r="Q24" s="13"/>
      <c r="R24" s="13"/>
      <c r="S24" s="12"/>
    </row>
    <row r="25" spans="1:19" x14ac:dyDescent="0.2">
      <c r="A25" s="25"/>
      <c r="B25" s="23">
        <v>478229242</v>
      </c>
      <c r="C25" s="76" t="s">
        <v>160</v>
      </c>
      <c r="D25" s="18" t="s">
        <v>14</v>
      </c>
      <c r="E25" s="19">
        <f>-2719.65+4531.77+944.22+2039.07-157.95-319.47-66.57-143.75</f>
        <v>4107.67</v>
      </c>
      <c r="F25" s="20"/>
      <c r="G25" s="21">
        <v>43009</v>
      </c>
      <c r="H25" s="12"/>
      <c r="I25" s="24"/>
      <c r="J25" s="12"/>
      <c r="K25" s="12"/>
      <c r="L25" s="12"/>
      <c r="M25" s="12"/>
      <c r="N25" s="12"/>
      <c r="O25" s="13"/>
      <c r="P25" s="13"/>
      <c r="Q25" s="13"/>
      <c r="R25" s="13"/>
      <c r="S25" s="12"/>
    </row>
    <row r="26" spans="1:19" x14ac:dyDescent="0.2">
      <c r="A26" s="25"/>
      <c r="B26" s="23">
        <v>478229242</v>
      </c>
      <c r="C26" s="76" t="s">
        <v>160</v>
      </c>
      <c r="D26" s="18" t="s">
        <v>14</v>
      </c>
      <c r="E26" s="19">
        <f>-2157.47+4677.11+974.52+2104.47-23.26-47.04-9.79-21.18</f>
        <v>5497.3599999999988</v>
      </c>
      <c r="F26" s="20"/>
      <c r="G26" s="21">
        <v>43040</v>
      </c>
      <c r="H26" s="12"/>
      <c r="I26" s="24"/>
      <c r="J26" s="12"/>
      <c r="K26" s="12"/>
      <c r="L26" s="12"/>
      <c r="M26" s="12"/>
      <c r="N26" s="12"/>
      <c r="O26" s="13"/>
      <c r="P26" s="13"/>
      <c r="Q26" s="13"/>
      <c r="R26" s="13"/>
      <c r="S26" s="12"/>
    </row>
    <row r="27" spans="1:19" x14ac:dyDescent="0.2">
      <c r="A27" s="25"/>
      <c r="B27" s="23">
        <v>478229242</v>
      </c>
      <c r="C27" s="76" t="s">
        <v>160</v>
      </c>
      <c r="D27" s="18" t="s">
        <v>14</v>
      </c>
      <c r="E27" s="22">
        <f>-129.15+4438.25+924.73+1996.96+6.17+12.48+2.59+5.63</f>
        <v>7257.66</v>
      </c>
      <c r="F27" s="20"/>
      <c r="G27" s="21">
        <v>43070</v>
      </c>
      <c r="H27" s="12"/>
      <c r="I27" s="24"/>
      <c r="J27" s="12"/>
      <c r="K27" s="12"/>
      <c r="L27" s="12"/>
      <c r="M27" s="12"/>
      <c r="N27" s="12"/>
      <c r="O27" s="13"/>
      <c r="P27" s="13"/>
      <c r="Q27" s="13"/>
      <c r="R27" s="13"/>
      <c r="S27" s="12"/>
    </row>
    <row r="28" spans="1:19" x14ac:dyDescent="0.2">
      <c r="A28" s="25"/>
      <c r="B28" s="23"/>
      <c r="C28" s="17"/>
      <c r="D28" s="18" t="s">
        <v>12</v>
      </c>
      <c r="E28" s="19">
        <f>SUM(E16:E27)</f>
        <v>395848.0499999997</v>
      </c>
      <c r="F28" s="20"/>
      <c r="G28" s="21"/>
      <c r="H28" s="12"/>
      <c r="I28" s="24"/>
      <c r="J28" s="12"/>
      <c r="K28" s="12"/>
      <c r="L28" s="12"/>
      <c r="M28" s="12"/>
      <c r="N28" s="12"/>
      <c r="O28" s="13"/>
      <c r="P28" s="13"/>
      <c r="Q28" s="13"/>
      <c r="R28" s="13"/>
      <c r="S28" s="12"/>
    </row>
    <row r="29" spans="1:19" x14ac:dyDescent="0.2">
      <c r="A29" s="25"/>
      <c r="B29" s="23"/>
      <c r="C29" s="17"/>
      <c r="D29" s="18"/>
      <c r="E29" s="19"/>
      <c r="F29" s="20"/>
      <c r="G29" s="21"/>
      <c r="H29" s="12"/>
      <c r="I29" s="24"/>
      <c r="J29" s="12"/>
      <c r="K29" s="12"/>
      <c r="L29" s="12"/>
      <c r="M29" s="12"/>
      <c r="N29" s="12"/>
      <c r="O29" s="13"/>
      <c r="P29" s="13"/>
      <c r="Q29" s="13"/>
      <c r="R29" s="13"/>
      <c r="S29" s="12"/>
    </row>
    <row r="30" spans="1:19" x14ac:dyDescent="0.2">
      <c r="A30" s="51" t="s">
        <v>15</v>
      </c>
      <c r="B30" s="23">
        <v>686847146</v>
      </c>
      <c r="C30" s="17">
        <v>35620</v>
      </c>
      <c r="D30" s="18" t="s">
        <v>16</v>
      </c>
      <c r="E30" s="19">
        <v>65833.66</v>
      </c>
      <c r="F30" s="20"/>
      <c r="G30" s="21">
        <v>42887</v>
      </c>
      <c r="H30" s="12"/>
      <c r="I30" s="24"/>
      <c r="J30" s="12"/>
      <c r="K30" s="12"/>
      <c r="L30" s="12"/>
      <c r="M30" s="12"/>
      <c r="N30" s="12"/>
      <c r="O30" s="13"/>
      <c r="P30" s="13"/>
      <c r="Q30" s="13"/>
      <c r="R30" s="13"/>
      <c r="S30" s="12"/>
    </row>
    <row r="31" spans="1:19" x14ac:dyDescent="0.2">
      <c r="A31" s="51"/>
      <c r="B31" s="23">
        <v>686847146</v>
      </c>
      <c r="C31" s="17">
        <v>35620</v>
      </c>
      <c r="D31" s="18" t="s">
        <v>16</v>
      </c>
      <c r="E31" s="22">
        <v>-65833.62</v>
      </c>
      <c r="F31" s="20"/>
      <c r="G31" s="21">
        <v>42917</v>
      </c>
      <c r="H31" s="12"/>
      <c r="I31" s="24"/>
      <c r="J31" s="12"/>
      <c r="K31" s="12"/>
      <c r="L31" s="12"/>
      <c r="M31" s="12"/>
      <c r="N31" s="12"/>
      <c r="O31" s="13"/>
      <c r="P31" s="13"/>
      <c r="Q31" s="13"/>
      <c r="R31" s="13"/>
      <c r="S31" s="12"/>
    </row>
    <row r="32" spans="1:19" x14ac:dyDescent="0.2">
      <c r="A32" s="51"/>
      <c r="B32" s="23"/>
      <c r="C32" s="17"/>
      <c r="D32" s="74" t="s">
        <v>12</v>
      </c>
      <c r="E32" s="19">
        <f>SUM(E30:E31)</f>
        <v>4.0000000008149073E-2</v>
      </c>
      <c r="F32" s="20"/>
      <c r="G32" s="21"/>
      <c r="H32" s="12"/>
      <c r="I32" s="24"/>
      <c r="J32" s="12"/>
      <c r="K32" s="12"/>
      <c r="L32" s="12"/>
      <c r="M32" s="12"/>
      <c r="N32" s="12"/>
      <c r="O32" s="13"/>
      <c r="P32" s="13"/>
      <c r="Q32" s="13"/>
      <c r="R32" s="13"/>
      <c r="S32" s="12"/>
    </row>
    <row r="33" spans="1:19" x14ac:dyDescent="0.2">
      <c r="A33" s="51"/>
      <c r="B33" s="23"/>
      <c r="C33" s="17"/>
      <c r="D33" s="18"/>
      <c r="E33" s="19"/>
      <c r="F33" s="20"/>
      <c r="G33" s="21"/>
      <c r="H33" s="12"/>
      <c r="I33" s="24"/>
      <c r="J33" s="12"/>
      <c r="K33" s="12"/>
      <c r="L33" s="12"/>
      <c r="M33" s="12"/>
      <c r="N33" s="12"/>
      <c r="O33" s="13"/>
      <c r="P33" s="13"/>
      <c r="Q33" s="13"/>
      <c r="R33" s="13"/>
      <c r="S33" s="12"/>
    </row>
    <row r="34" spans="1:19" x14ac:dyDescent="0.2">
      <c r="A34" s="51" t="s">
        <v>17</v>
      </c>
      <c r="B34" s="23">
        <v>478541516</v>
      </c>
      <c r="C34" s="17">
        <v>35400</v>
      </c>
      <c r="D34" s="18" t="s">
        <v>18</v>
      </c>
      <c r="E34" s="19">
        <v>30352.720000000001</v>
      </c>
      <c r="F34" s="20"/>
      <c r="G34" s="21">
        <v>42795</v>
      </c>
      <c r="H34" s="12"/>
      <c r="I34" s="24"/>
      <c r="J34" s="12"/>
      <c r="K34" s="12"/>
      <c r="L34" s="12"/>
      <c r="M34" s="12"/>
      <c r="N34" s="12"/>
      <c r="O34" s="13"/>
      <c r="P34" s="13"/>
      <c r="Q34" s="13"/>
      <c r="R34" s="13"/>
      <c r="S34" s="12"/>
    </row>
    <row r="35" spans="1:19" x14ac:dyDescent="0.2">
      <c r="A35" s="52"/>
      <c r="B35" s="23">
        <v>478541516</v>
      </c>
      <c r="C35" s="17">
        <v>35400</v>
      </c>
      <c r="D35" s="18" t="s">
        <v>18</v>
      </c>
      <c r="E35" s="27">
        <v>7688.24</v>
      </c>
      <c r="F35" s="20"/>
      <c r="G35" s="21">
        <v>42826</v>
      </c>
      <c r="H35" s="12"/>
      <c r="I35" s="24"/>
      <c r="J35" s="12"/>
      <c r="K35" s="12"/>
      <c r="L35" s="12"/>
      <c r="M35" s="12"/>
      <c r="N35" s="12"/>
      <c r="O35" s="13"/>
      <c r="P35" s="13"/>
      <c r="Q35" s="13"/>
      <c r="R35" s="13"/>
      <c r="S35" s="12"/>
    </row>
    <row r="36" spans="1:19" x14ac:dyDescent="0.2">
      <c r="A36" s="52"/>
      <c r="B36" s="23"/>
      <c r="C36" s="17"/>
      <c r="D36" s="18" t="s">
        <v>12</v>
      </c>
      <c r="E36" s="26">
        <f>SUM(E34:E35)</f>
        <v>38040.959999999999</v>
      </c>
      <c r="F36" s="20"/>
      <c r="G36" s="21"/>
      <c r="H36" s="12"/>
      <c r="I36" s="24"/>
      <c r="J36" s="12"/>
      <c r="K36" s="12"/>
      <c r="L36" s="12"/>
      <c r="M36" s="12"/>
      <c r="N36" s="12"/>
      <c r="O36" s="13"/>
      <c r="P36" s="13"/>
      <c r="Q36" s="13"/>
      <c r="R36" s="13"/>
      <c r="S36" s="12"/>
    </row>
    <row r="37" spans="1:19" x14ac:dyDescent="0.2">
      <c r="A37" s="52"/>
      <c r="B37" s="23"/>
      <c r="C37" s="17"/>
      <c r="D37" s="18"/>
      <c r="E37" s="26"/>
      <c r="F37" s="20"/>
      <c r="G37" s="21"/>
      <c r="H37" s="12"/>
      <c r="I37" s="24"/>
      <c r="J37" s="12"/>
      <c r="K37" s="12"/>
      <c r="L37" s="12"/>
      <c r="M37" s="12"/>
      <c r="N37" s="12"/>
      <c r="O37" s="13"/>
      <c r="P37" s="13"/>
      <c r="Q37" s="13"/>
      <c r="R37" s="13"/>
      <c r="S37" s="12"/>
    </row>
    <row r="38" spans="1:19" x14ac:dyDescent="0.2">
      <c r="A38" s="51" t="s">
        <v>163</v>
      </c>
      <c r="B38" s="23">
        <v>4410319</v>
      </c>
      <c r="C38" s="17">
        <v>35011</v>
      </c>
      <c r="D38" s="74" t="s">
        <v>168</v>
      </c>
      <c r="E38" s="26">
        <v>-130701.14</v>
      </c>
      <c r="F38" s="20"/>
      <c r="G38" s="21">
        <v>43070</v>
      </c>
      <c r="H38" s="12"/>
      <c r="I38" s="24"/>
      <c r="J38" s="12"/>
      <c r="K38" s="12"/>
      <c r="L38" s="12"/>
      <c r="M38" s="12"/>
      <c r="N38" s="12"/>
      <c r="O38" s="13"/>
      <c r="P38" s="13"/>
      <c r="Q38" s="13"/>
      <c r="R38" s="13"/>
      <c r="S38" s="12"/>
    </row>
    <row r="39" spans="1:19" x14ac:dyDescent="0.2">
      <c r="A39" s="52"/>
      <c r="B39" s="23"/>
      <c r="C39" s="17"/>
      <c r="D39" s="18"/>
      <c r="E39" s="26"/>
      <c r="F39" s="20"/>
      <c r="G39" s="21"/>
      <c r="H39" s="80"/>
      <c r="I39" s="81"/>
      <c r="J39" s="80"/>
      <c r="K39" s="80"/>
      <c r="L39" s="80"/>
      <c r="M39" s="80"/>
      <c r="N39" s="80"/>
      <c r="O39" s="82"/>
      <c r="P39" s="82"/>
      <c r="Q39" s="82"/>
      <c r="R39" s="82"/>
      <c r="S39" s="12"/>
    </row>
    <row r="40" spans="1:19" x14ac:dyDescent="0.2">
      <c r="A40" s="25" t="s">
        <v>22</v>
      </c>
      <c r="B40" s="23">
        <v>4401479</v>
      </c>
      <c r="C40" s="17">
        <v>35500</v>
      </c>
      <c r="D40" s="18" t="s">
        <v>23</v>
      </c>
      <c r="E40" s="26">
        <v>1357.49</v>
      </c>
      <c r="F40" s="20"/>
      <c r="G40" s="21">
        <v>42767</v>
      </c>
      <c r="H40" s="12"/>
      <c r="I40" s="24"/>
      <c r="J40" s="12"/>
      <c r="K40" s="12"/>
      <c r="L40" s="12"/>
      <c r="M40" s="12"/>
      <c r="N40" s="12"/>
      <c r="O40" s="13"/>
      <c r="P40" s="13"/>
      <c r="Q40" s="13"/>
      <c r="R40" s="13"/>
      <c r="S40" s="12"/>
    </row>
    <row r="41" spans="1:19" x14ac:dyDescent="0.2">
      <c r="A41" s="52"/>
      <c r="B41" s="23"/>
      <c r="C41" s="17"/>
      <c r="D41" s="18"/>
      <c r="E41" s="26"/>
      <c r="F41" s="20"/>
      <c r="G41" s="21"/>
      <c r="H41" s="12"/>
      <c r="I41" s="24"/>
      <c r="J41" s="12"/>
      <c r="K41" s="12"/>
      <c r="L41" s="12"/>
      <c r="M41" s="12"/>
      <c r="N41" s="12"/>
      <c r="O41" s="13"/>
      <c r="P41" s="13"/>
      <c r="Q41" s="13"/>
      <c r="R41" s="13"/>
      <c r="S41" s="12"/>
    </row>
    <row r="42" spans="1:19" x14ac:dyDescent="0.2">
      <c r="A42" s="25" t="s">
        <v>24</v>
      </c>
      <c r="B42" s="23">
        <v>4405648</v>
      </c>
      <c r="C42" s="17">
        <v>35610</v>
      </c>
      <c r="D42" s="18" t="s">
        <v>20</v>
      </c>
      <c r="E42" s="26">
        <v>1642.51</v>
      </c>
      <c r="F42" s="20"/>
      <c r="G42" s="21">
        <v>42767</v>
      </c>
      <c r="H42" s="12"/>
      <c r="I42" s="24"/>
      <c r="J42" s="12"/>
      <c r="K42" s="12"/>
      <c r="L42" s="12"/>
      <c r="M42" s="12"/>
      <c r="N42" s="12"/>
      <c r="O42" s="13"/>
      <c r="P42" s="13"/>
      <c r="Q42" s="13"/>
      <c r="R42" s="13"/>
      <c r="S42" s="12"/>
    </row>
    <row r="43" spans="1:19" x14ac:dyDescent="0.2">
      <c r="A43" s="52"/>
      <c r="B43" s="23"/>
      <c r="C43" s="17"/>
      <c r="D43" s="18"/>
      <c r="E43" s="26"/>
      <c r="F43" s="20"/>
      <c r="G43" s="21"/>
      <c r="H43" s="12"/>
      <c r="I43" s="24"/>
      <c r="J43" s="12"/>
      <c r="K43" s="12"/>
      <c r="L43" s="12"/>
      <c r="M43" s="12"/>
      <c r="N43" s="12"/>
      <c r="O43" s="13"/>
      <c r="P43" s="13"/>
      <c r="Q43" s="13"/>
      <c r="R43" s="13"/>
      <c r="S43" s="12"/>
    </row>
    <row r="44" spans="1:19" x14ac:dyDescent="0.2">
      <c r="A44" s="51" t="s">
        <v>25</v>
      </c>
      <c r="B44" s="23">
        <v>759166158</v>
      </c>
      <c r="C44" s="17">
        <v>35610</v>
      </c>
      <c r="D44" s="18" t="s">
        <v>20</v>
      </c>
      <c r="E44" s="26">
        <v>388.39</v>
      </c>
      <c r="F44" s="20"/>
      <c r="G44" s="21">
        <v>42736</v>
      </c>
      <c r="H44" s="12"/>
      <c r="I44" s="24"/>
      <c r="J44" s="12"/>
      <c r="K44" s="12"/>
      <c r="L44" s="12"/>
      <c r="M44" s="12"/>
      <c r="N44" s="12"/>
      <c r="O44" s="13"/>
      <c r="P44" s="13"/>
      <c r="Q44" s="13"/>
      <c r="R44" s="13"/>
      <c r="S44" s="12"/>
    </row>
    <row r="45" spans="1:19" x14ac:dyDescent="0.2">
      <c r="A45" s="52"/>
      <c r="B45" s="23">
        <v>759166158</v>
      </c>
      <c r="C45" s="17">
        <v>35610</v>
      </c>
      <c r="D45" s="18" t="s">
        <v>20</v>
      </c>
      <c r="E45" s="28">
        <v>407.64</v>
      </c>
      <c r="F45" s="20"/>
      <c r="G45" s="21">
        <v>42767</v>
      </c>
      <c r="H45" s="12"/>
      <c r="I45" s="24"/>
      <c r="J45" s="12"/>
      <c r="K45" s="12"/>
      <c r="L45" s="12"/>
      <c r="M45" s="12"/>
      <c r="N45" s="12"/>
      <c r="O45" s="13"/>
      <c r="P45" s="13"/>
      <c r="Q45" s="13"/>
      <c r="R45" s="13"/>
      <c r="S45" s="12"/>
    </row>
    <row r="46" spans="1:19" x14ac:dyDescent="0.2">
      <c r="A46" s="52"/>
      <c r="B46" s="23">
        <v>759166158</v>
      </c>
      <c r="C46" s="17">
        <v>35610</v>
      </c>
      <c r="D46" s="18" t="s">
        <v>20</v>
      </c>
      <c r="E46" s="27">
        <f>11.8</f>
        <v>11.8</v>
      </c>
      <c r="F46" s="20"/>
      <c r="G46" s="21">
        <v>43070</v>
      </c>
      <c r="H46" s="12"/>
      <c r="I46" s="24"/>
      <c r="J46" s="12"/>
      <c r="K46" s="12"/>
      <c r="L46" s="12"/>
      <c r="M46" s="12"/>
      <c r="N46" s="12"/>
      <c r="O46" s="13"/>
      <c r="P46" s="13"/>
      <c r="Q46" s="13"/>
      <c r="R46" s="13"/>
      <c r="S46" s="12"/>
    </row>
    <row r="47" spans="1:19" x14ac:dyDescent="0.2">
      <c r="A47" s="52"/>
      <c r="B47" s="23"/>
      <c r="C47" s="17"/>
      <c r="D47" s="18" t="s">
        <v>12</v>
      </c>
      <c r="E47" s="28">
        <f>SUM(E44:E46)</f>
        <v>807.82999999999993</v>
      </c>
      <c r="F47" s="20"/>
      <c r="G47" s="21"/>
      <c r="H47" s="12"/>
      <c r="I47" s="24"/>
      <c r="J47" s="12"/>
      <c r="K47" s="12"/>
      <c r="L47" s="12"/>
      <c r="M47" s="12"/>
      <c r="N47" s="12"/>
      <c r="O47" s="13"/>
      <c r="P47" s="13"/>
      <c r="Q47" s="13"/>
      <c r="R47" s="13"/>
      <c r="S47" s="12"/>
    </row>
    <row r="48" spans="1:19" x14ac:dyDescent="0.2">
      <c r="A48" s="52"/>
      <c r="B48" s="23"/>
      <c r="C48" s="17"/>
      <c r="D48" s="18"/>
      <c r="E48" s="26"/>
      <c r="F48" s="20"/>
      <c r="G48" s="21"/>
      <c r="H48" s="12"/>
      <c r="I48" s="24"/>
      <c r="J48" s="12"/>
      <c r="K48" s="12"/>
      <c r="L48" s="12"/>
      <c r="M48" s="12"/>
      <c r="N48" s="12"/>
      <c r="O48" s="13"/>
      <c r="P48" s="13"/>
      <c r="Q48" s="13"/>
      <c r="R48" s="13"/>
      <c r="S48" s="12"/>
    </row>
    <row r="49" spans="1:19" x14ac:dyDescent="0.2">
      <c r="A49" s="51" t="s">
        <v>26</v>
      </c>
      <c r="B49" s="23">
        <v>770275175</v>
      </c>
      <c r="C49" s="17">
        <v>35610</v>
      </c>
      <c r="D49" s="18" t="s">
        <v>27</v>
      </c>
      <c r="E49" s="26">
        <f>2.7</f>
        <v>2.7</v>
      </c>
      <c r="F49" s="20"/>
      <c r="G49" s="21">
        <v>43070</v>
      </c>
      <c r="H49" s="12"/>
      <c r="I49" s="24"/>
      <c r="J49" s="12"/>
      <c r="K49" s="12"/>
      <c r="L49" s="12"/>
      <c r="M49" s="12"/>
      <c r="N49" s="12"/>
      <c r="O49" s="13"/>
      <c r="P49" s="13"/>
      <c r="Q49" s="13"/>
      <c r="R49" s="13"/>
      <c r="S49" s="12"/>
    </row>
    <row r="50" spans="1:19" x14ac:dyDescent="0.2">
      <c r="A50" s="52"/>
      <c r="B50" s="23"/>
      <c r="C50" s="17"/>
      <c r="D50" s="18"/>
      <c r="E50" s="26"/>
      <c r="F50" s="20"/>
      <c r="G50" s="21"/>
      <c r="H50" s="12"/>
      <c r="I50" s="24"/>
      <c r="J50" s="12"/>
      <c r="K50" s="12"/>
      <c r="L50" s="12"/>
      <c r="M50" s="12"/>
      <c r="N50" s="12"/>
      <c r="O50" s="13"/>
      <c r="P50" s="13"/>
      <c r="Q50" s="13"/>
      <c r="R50" s="13"/>
      <c r="S50" s="12"/>
    </row>
    <row r="51" spans="1:19" x14ac:dyDescent="0.2">
      <c r="A51" s="25" t="s">
        <v>28</v>
      </c>
      <c r="B51" s="23">
        <v>770346587</v>
      </c>
      <c r="C51" s="17">
        <v>35610</v>
      </c>
      <c r="D51" s="18" t="s">
        <v>29</v>
      </c>
      <c r="E51" s="26">
        <v>2.7</v>
      </c>
      <c r="F51" s="20"/>
      <c r="G51" s="21">
        <v>43070</v>
      </c>
      <c r="H51" s="12"/>
      <c r="I51" s="24"/>
      <c r="J51" s="12"/>
      <c r="K51" s="12"/>
      <c r="L51" s="12"/>
      <c r="M51" s="12"/>
      <c r="N51" s="12"/>
      <c r="O51" s="13"/>
      <c r="P51" s="13"/>
      <c r="Q51" s="13"/>
      <c r="R51" s="13"/>
      <c r="S51" s="12"/>
    </row>
    <row r="52" spans="1:19" x14ac:dyDescent="0.2">
      <c r="A52" s="52"/>
      <c r="B52" s="23"/>
      <c r="C52" s="17"/>
      <c r="D52" s="18"/>
      <c r="E52" s="26"/>
      <c r="F52" s="20"/>
      <c r="G52" s="21"/>
      <c r="H52" s="12"/>
      <c r="I52" s="24"/>
      <c r="J52" s="12"/>
      <c r="K52" s="12"/>
      <c r="L52" s="12"/>
      <c r="M52" s="12"/>
      <c r="N52" s="12"/>
      <c r="O52" s="13"/>
      <c r="P52" s="13"/>
      <c r="Q52" s="13"/>
      <c r="R52" s="13"/>
      <c r="S52" s="12"/>
    </row>
    <row r="53" spans="1:19" x14ac:dyDescent="0.2">
      <c r="A53" s="51" t="s">
        <v>30</v>
      </c>
      <c r="B53" s="23">
        <v>759166143</v>
      </c>
      <c r="C53" s="17">
        <v>35610</v>
      </c>
      <c r="D53" s="18" t="s">
        <v>31</v>
      </c>
      <c r="E53" s="28">
        <v>157.08000000000001</v>
      </c>
      <c r="F53" s="20"/>
      <c r="G53" s="21">
        <v>42767</v>
      </c>
      <c r="H53" s="12"/>
      <c r="I53" s="24"/>
      <c r="J53" s="12"/>
      <c r="K53" s="12"/>
      <c r="L53" s="12"/>
      <c r="M53" s="12"/>
      <c r="N53" s="12"/>
      <c r="O53" s="13"/>
      <c r="P53" s="13"/>
      <c r="Q53" s="13"/>
      <c r="R53" s="13"/>
      <c r="S53" s="12"/>
    </row>
    <row r="54" spans="1:19" x14ac:dyDescent="0.2">
      <c r="A54" s="51"/>
      <c r="B54" s="23">
        <v>759166143</v>
      </c>
      <c r="C54" s="17">
        <v>35610</v>
      </c>
      <c r="D54" s="18" t="s">
        <v>31</v>
      </c>
      <c r="E54" s="27">
        <v>108.74</v>
      </c>
      <c r="F54" s="20"/>
      <c r="G54" s="21">
        <v>42795</v>
      </c>
      <c r="H54" s="12"/>
      <c r="I54" s="24"/>
      <c r="J54" s="12"/>
      <c r="K54" s="12"/>
      <c r="L54" s="12"/>
      <c r="M54" s="12"/>
      <c r="N54" s="12"/>
      <c r="O54" s="13"/>
      <c r="P54" s="13"/>
      <c r="Q54" s="13"/>
      <c r="R54" s="13"/>
      <c r="S54" s="12"/>
    </row>
    <row r="55" spans="1:19" x14ac:dyDescent="0.2">
      <c r="A55" s="25"/>
      <c r="B55" s="23"/>
      <c r="C55" s="17"/>
      <c r="D55" s="18" t="s">
        <v>12</v>
      </c>
      <c r="E55" s="26">
        <f>SUM(E53:E54)</f>
        <v>265.82</v>
      </c>
      <c r="F55" s="20"/>
      <c r="G55" s="21"/>
      <c r="H55" s="12"/>
      <c r="I55" s="24"/>
      <c r="J55" s="12"/>
      <c r="K55" s="12"/>
      <c r="L55" s="12"/>
      <c r="M55" s="12"/>
      <c r="N55" s="12"/>
      <c r="O55" s="13"/>
      <c r="P55" s="13"/>
      <c r="Q55" s="13"/>
      <c r="R55" s="13"/>
      <c r="S55" s="12"/>
    </row>
    <row r="56" spans="1:19" x14ac:dyDescent="0.2">
      <c r="A56" s="52"/>
      <c r="B56" s="23"/>
      <c r="C56" s="17"/>
      <c r="D56" s="18"/>
      <c r="E56" s="26"/>
      <c r="F56" s="20"/>
      <c r="G56" s="21"/>
      <c r="H56" s="12"/>
      <c r="I56" s="24"/>
      <c r="J56" s="12"/>
      <c r="K56" s="12"/>
      <c r="L56" s="12"/>
      <c r="M56" s="12"/>
      <c r="N56" s="12"/>
      <c r="O56" s="13"/>
      <c r="P56" s="13"/>
      <c r="Q56" s="13"/>
      <c r="R56" s="13"/>
      <c r="S56" s="12"/>
    </row>
    <row r="57" spans="1:19" x14ac:dyDescent="0.2">
      <c r="A57" s="52">
        <v>13416100</v>
      </c>
      <c r="B57" s="16">
        <v>478316423</v>
      </c>
      <c r="C57" s="76" t="s">
        <v>160</v>
      </c>
      <c r="D57" s="18" t="s">
        <v>35</v>
      </c>
      <c r="E57" s="26">
        <f>-8555.51-63986.1-22729.82+101541.33</f>
        <v>6269.9000000000087</v>
      </c>
      <c r="F57" s="20"/>
      <c r="G57" s="21">
        <v>42948</v>
      </c>
      <c r="H57" s="12"/>
      <c r="I57" s="24"/>
      <c r="J57" s="12"/>
      <c r="K57" s="12"/>
      <c r="L57" s="12"/>
      <c r="M57" s="12"/>
      <c r="N57" s="12"/>
      <c r="O57" s="13"/>
      <c r="P57" s="13"/>
      <c r="Q57" s="13"/>
      <c r="R57" s="13"/>
      <c r="S57" s="12"/>
    </row>
    <row r="58" spans="1:19" x14ac:dyDescent="0.2">
      <c r="A58" s="52"/>
      <c r="B58" s="16">
        <v>478316423</v>
      </c>
      <c r="C58" s="76" t="s">
        <v>161</v>
      </c>
      <c r="D58" s="18" t="s">
        <v>35</v>
      </c>
      <c r="E58" s="26">
        <f>-12595.26+16106.25+5721.43</f>
        <v>9232.42</v>
      </c>
      <c r="F58" s="20"/>
      <c r="G58" s="21">
        <v>43009</v>
      </c>
      <c r="H58" s="12"/>
      <c r="I58" s="24"/>
      <c r="J58" s="12"/>
      <c r="K58" s="12"/>
      <c r="L58" s="12"/>
      <c r="M58" s="12"/>
      <c r="N58" s="12"/>
      <c r="O58" s="13"/>
      <c r="P58" s="13"/>
      <c r="Q58" s="13"/>
      <c r="R58" s="13"/>
      <c r="S58" s="12"/>
    </row>
    <row r="59" spans="1:19" x14ac:dyDescent="0.2">
      <c r="A59" s="52"/>
      <c r="B59" s="16">
        <v>478316423</v>
      </c>
      <c r="C59" s="76" t="s">
        <v>161</v>
      </c>
      <c r="D59" s="18" t="s">
        <v>35</v>
      </c>
      <c r="E59" s="26">
        <f>-5076.68+6491.83+2306.1</f>
        <v>3721.2499999999995</v>
      </c>
      <c r="F59" s="20"/>
      <c r="G59" s="21">
        <v>43040</v>
      </c>
      <c r="H59" s="12"/>
      <c r="I59" s="24"/>
      <c r="J59" s="12"/>
      <c r="K59" s="12"/>
      <c r="L59" s="12"/>
      <c r="M59" s="12"/>
      <c r="N59" s="12"/>
      <c r="O59" s="13"/>
      <c r="P59" s="13"/>
      <c r="Q59" s="13"/>
      <c r="R59" s="13"/>
      <c r="S59" s="12"/>
    </row>
    <row r="60" spans="1:19" x14ac:dyDescent="0.2">
      <c r="A60" s="52"/>
      <c r="B60" s="16">
        <v>478316423</v>
      </c>
      <c r="C60" s="76" t="s">
        <v>161</v>
      </c>
      <c r="D60" s="18" t="s">
        <v>35</v>
      </c>
      <c r="E60" s="27">
        <f>-2612.82+3341.16+1186.87</f>
        <v>1915.2099999999996</v>
      </c>
      <c r="F60" s="20"/>
      <c r="G60" s="21">
        <v>43070</v>
      </c>
      <c r="H60" s="12"/>
      <c r="I60" s="24"/>
      <c r="J60" s="12"/>
      <c r="K60" s="12"/>
      <c r="L60" s="12"/>
      <c r="M60" s="12"/>
      <c r="N60" s="12"/>
      <c r="O60" s="13"/>
      <c r="P60" s="13"/>
      <c r="Q60" s="13"/>
      <c r="R60" s="13"/>
      <c r="S60" s="12"/>
    </row>
    <row r="61" spans="1:19" x14ac:dyDescent="0.2">
      <c r="A61" s="52"/>
      <c r="B61" s="16"/>
      <c r="C61" s="76"/>
      <c r="D61" s="74" t="s">
        <v>12</v>
      </c>
      <c r="E61" s="26">
        <f>SUM(E57:E60)</f>
        <v>21138.780000000006</v>
      </c>
      <c r="F61" s="20"/>
      <c r="G61" s="21"/>
      <c r="H61" s="12"/>
      <c r="I61" s="24"/>
      <c r="J61" s="12"/>
      <c r="K61" s="12"/>
      <c r="L61" s="12"/>
      <c r="M61" s="12"/>
      <c r="N61" s="12"/>
      <c r="O61" s="13"/>
      <c r="P61" s="13"/>
      <c r="Q61" s="13"/>
      <c r="R61" s="13"/>
      <c r="S61" s="12"/>
    </row>
    <row r="62" spans="1:19" x14ac:dyDescent="0.2">
      <c r="A62" s="52"/>
      <c r="B62" s="16"/>
      <c r="C62" s="17"/>
      <c r="D62" s="18"/>
      <c r="E62" s="27"/>
      <c r="F62" s="20"/>
      <c r="G62" s="21"/>
      <c r="H62" s="12"/>
      <c r="I62" s="24"/>
      <c r="J62" s="12"/>
      <c r="K62" s="12"/>
      <c r="L62" s="12"/>
      <c r="M62" s="12"/>
      <c r="N62" s="12"/>
      <c r="O62" s="13"/>
      <c r="P62" s="13"/>
      <c r="Q62" s="13"/>
      <c r="R62" s="13"/>
      <c r="S62" s="12"/>
    </row>
    <row r="63" spans="1:19" x14ac:dyDescent="0.2">
      <c r="A63" s="54">
        <v>14620046</v>
      </c>
      <c r="B63" s="23">
        <v>740069164</v>
      </c>
      <c r="C63" s="17">
        <v>35610</v>
      </c>
      <c r="D63" s="29" t="s">
        <v>36</v>
      </c>
      <c r="E63" s="26">
        <v>615.03</v>
      </c>
      <c r="F63" s="20"/>
      <c r="G63" s="21">
        <v>42736</v>
      </c>
      <c r="H63" s="12"/>
      <c r="I63" s="24"/>
      <c r="J63" s="12"/>
      <c r="K63" s="12"/>
      <c r="L63" s="12"/>
      <c r="M63" s="12"/>
      <c r="N63" s="12"/>
      <c r="O63" s="13"/>
      <c r="P63" s="13"/>
      <c r="Q63" s="13"/>
      <c r="R63" s="13"/>
      <c r="S63" s="12"/>
    </row>
    <row r="64" spans="1:19" x14ac:dyDescent="0.2">
      <c r="A64" s="52"/>
      <c r="B64" s="23">
        <v>740069164</v>
      </c>
      <c r="C64" s="17">
        <v>35610</v>
      </c>
      <c r="D64" s="29" t="s">
        <v>36</v>
      </c>
      <c r="E64" s="26">
        <v>512.71</v>
      </c>
      <c r="F64" s="20"/>
      <c r="G64" s="21">
        <v>42767</v>
      </c>
      <c r="H64" s="12"/>
      <c r="I64" s="24"/>
      <c r="J64" s="12"/>
      <c r="K64" s="12"/>
      <c r="L64" s="12"/>
      <c r="M64" s="12"/>
      <c r="N64" s="12"/>
      <c r="O64" s="13"/>
      <c r="P64" s="13"/>
      <c r="Q64" s="13"/>
      <c r="R64" s="13"/>
      <c r="S64" s="12"/>
    </row>
    <row r="65" spans="1:19" x14ac:dyDescent="0.2">
      <c r="A65" s="52"/>
      <c r="B65" s="23">
        <v>740069164</v>
      </c>
      <c r="C65" s="17">
        <v>35610</v>
      </c>
      <c r="D65" s="29" t="s">
        <v>36</v>
      </c>
      <c r="E65" s="26">
        <v>89.38</v>
      </c>
      <c r="F65" s="20"/>
      <c r="G65" s="21">
        <v>42795</v>
      </c>
      <c r="H65" s="12"/>
      <c r="I65" s="24"/>
      <c r="J65" s="12"/>
      <c r="K65" s="12"/>
      <c r="L65" s="12"/>
      <c r="M65" s="12"/>
      <c r="N65" s="12"/>
      <c r="O65" s="13"/>
      <c r="P65" s="13"/>
      <c r="Q65" s="13"/>
      <c r="R65" s="13"/>
      <c r="S65" s="12"/>
    </row>
    <row r="66" spans="1:19" x14ac:dyDescent="0.2">
      <c r="A66" s="52"/>
      <c r="B66" s="23">
        <v>740069164</v>
      </c>
      <c r="C66" s="17">
        <v>35610</v>
      </c>
      <c r="D66" s="29" t="s">
        <v>36</v>
      </c>
      <c r="E66" s="70">
        <v>308.63</v>
      </c>
      <c r="F66" s="20"/>
      <c r="G66" s="21">
        <v>42917</v>
      </c>
      <c r="H66" s="12"/>
      <c r="I66" s="24"/>
      <c r="J66" s="12"/>
      <c r="K66" s="12"/>
      <c r="L66" s="12"/>
      <c r="M66" s="12"/>
      <c r="N66" s="12"/>
      <c r="O66" s="13"/>
      <c r="P66" s="13"/>
      <c r="Q66" s="13"/>
      <c r="R66" s="13"/>
      <c r="S66" s="12"/>
    </row>
    <row r="67" spans="1:19" x14ac:dyDescent="0.2">
      <c r="A67" s="52"/>
      <c r="B67" s="23">
        <v>740069164</v>
      </c>
      <c r="C67" s="17">
        <v>35610</v>
      </c>
      <c r="D67" s="29" t="s">
        <v>36</v>
      </c>
      <c r="E67" s="70">
        <v>-51.2</v>
      </c>
      <c r="F67" s="20"/>
      <c r="G67" s="21">
        <v>42948</v>
      </c>
      <c r="H67" s="12"/>
      <c r="I67" s="24"/>
      <c r="J67" s="12"/>
      <c r="K67" s="12"/>
      <c r="L67" s="12"/>
      <c r="M67" s="12"/>
      <c r="N67" s="12"/>
      <c r="O67" s="13"/>
      <c r="P67" s="13"/>
      <c r="Q67" s="13"/>
      <c r="R67" s="13"/>
      <c r="S67" s="12"/>
    </row>
    <row r="68" spans="1:19" x14ac:dyDescent="0.2">
      <c r="A68" s="52"/>
      <c r="B68" s="23">
        <v>740069164</v>
      </c>
      <c r="C68" s="17">
        <v>35610</v>
      </c>
      <c r="D68" s="29" t="s">
        <v>36</v>
      </c>
      <c r="E68" s="27">
        <v>35.07</v>
      </c>
      <c r="F68" s="20"/>
      <c r="G68" s="21">
        <v>43070</v>
      </c>
      <c r="H68" s="12"/>
      <c r="I68" s="24"/>
      <c r="J68" s="12"/>
      <c r="K68" s="12"/>
      <c r="L68" s="12"/>
      <c r="M68" s="12"/>
      <c r="N68" s="12"/>
      <c r="O68" s="13"/>
      <c r="P68" s="13"/>
      <c r="Q68" s="13"/>
      <c r="R68" s="13"/>
      <c r="S68" s="12"/>
    </row>
    <row r="69" spans="1:19" x14ac:dyDescent="0.2">
      <c r="A69" s="52"/>
      <c r="B69" s="23"/>
      <c r="C69" s="17"/>
      <c r="D69" s="77" t="s">
        <v>12</v>
      </c>
      <c r="E69" s="70">
        <f>SUM(E63:E68)</f>
        <v>1509.62</v>
      </c>
      <c r="F69" s="20"/>
      <c r="G69" s="21"/>
      <c r="H69" s="12"/>
      <c r="I69" s="24"/>
      <c r="J69" s="12"/>
      <c r="K69" s="12"/>
      <c r="L69" s="12"/>
      <c r="M69" s="12"/>
      <c r="N69" s="12"/>
      <c r="O69" s="13"/>
      <c r="P69" s="13"/>
      <c r="Q69" s="13"/>
      <c r="R69" s="13"/>
      <c r="S69" s="12"/>
    </row>
    <row r="70" spans="1:19" x14ac:dyDescent="0.2">
      <c r="A70" s="52"/>
      <c r="B70" s="16"/>
      <c r="C70" s="17"/>
      <c r="D70" s="18"/>
      <c r="E70" s="26"/>
      <c r="F70" s="20"/>
      <c r="G70" s="21"/>
      <c r="H70" s="12"/>
      <c r="I70" s="24"/>
      <c r="J70" s="12"/>
      <c r="K70" s="12"/>
      <c r="L70" s="12"/>
      <c r="M70" s="12"/>
      <c r="N70" s="12"/>
      <c r="O70" s="13"/>
      <c r="P70" s="13"/>
      <c r="Q70" s="13"/>
      <c r="R70" s="13"/>
      <c r="S70" s="12"/>
    </row>
    <row r="71" spans="1:19" x14ac:dyDescent="0.2">
      <c r="A71" s="52">
        <v>14908310</v>
      </c>
      <c r="B71" s="16">
        <v>801737170</v>
      </c>
      <c r="C71" s="17">
        <v>35610</v>
      </c>
      <c r="D71" s="18" t="s">
        <v>37</v>
      </c>
      <c r="E71" s="26">
        <v>3936.22</v>
      </c>
      <c r="F71" s="20"/>
      <c r="G71" s="21">
        <v>42736</v>
      </c>
      <c r="H71" s="12"/>
      <c r="I71" s="24"/>
      <c r="J71" s="12"/>
      <c r="K71" s="12"/>
      <c r="L71" s="12"/>
      <c r="M71" s="12"/>
      <c r="N71" s="12"/>
      <c r="O71" s="13"/>
      <c r="P71" s="13"/>
      <c r="Q71" s="13"/>
      <c r="R71" s="13"/>
      <c r="S71" s="12"/>
    </row>
    <row r="72" spans="1:19" x14ac:dyDescent="0.2">
      <c r="A72" s="52"/>
      <c r="B72" s="16"/>
      <c r="C72" s="17"/>
      <c r="D72" s="18"/>
      <c r="E72" s="26"/>
      <c r="F72" s="20"/>
      <c r="G72" s="21"/>
      <c r="H72" s="12"/>
      <c r="I72" s="24"/>
      <c r="J72" s="12"/>
      <c r="K72" s="12"/>
      <c r="L72" s="12"/>
      <c r="M72" s="12"/>
      <c r="N72" s="12"/>
      <c r="O72" s="13"/>
      <c r="P72" s="13"/>
      <c r="Q72" s="13"/>
      <c r="R72" s="13"/>
      <c r="S72" s="12"/>
    </row>
    <row r="73" spans="1:19" x14ac:dyDescent="0.2">
      <c r="A73" s="52">
        <v>14936079</v>
      </c>
      <c r="B73" s="16">
        <v>804969618</v>
      </c>
      <c r="C73" s="17">
        <v>35610</v>
      </c>
      <c r="D73" s="18" t="s">
        <v>38</v>
      </c>
      <c r="E73" s="70">
        <v>-43323.67</v>
      </c>
      <c r="F73" s="20"/>
      <c r="G73" s="21">
        <v>42736</v>
      </c>
      <c r="H73" s="13"/>
      <c r="I73" s="24"/>
      <c r="J73" s="12"/>
      <c r="K73" s="12"/>
      <c r="L73" s="12"/>
      <c r="M73" s="12"/>
      <c r="N73" s="12"/>
      <c r="O73" s="13"/>
      <c r="P73" s="13"/>
      <c r="Q73" s="13"/>
      <c r="R73" s="13"/>
      <c r="S73" s="12"/>
    </row>
    <row r="74" spans="1:19" x14ac:dyDescent="0.2">
      <c r="A74" s="52"/>
      <c r="B74" s="16">
        <v>804969618</v>
      </c>
      <c r="C74" s="17">
        <v>35610</v>
      </c>
      <c r="D74" s="18" t="s">
        <v>38</v>
      </c>
      <c r="E74" s="26">
        <v>-104441.06</v>
      </c>
      <c r="F74" s="20"/>
      <c r="G74" s="21">
        <v>42767</v>
      </c>
      <c r="H74" s="13"/>
      <c r="I74" s="24"/>
      <c r="J74" s="12"/>
      <c r="K74" s="12"/>
      <c r="L74" s="12"/>
      <c r="M74" s="12"/>
      <c r="N74" s="12"/>
      <c r="O74" s="13"/>
      <c r="P74" s="13"/>
      <c r="Q74" s="13"/>
      <c r="R74" s="13"/>
      <c r="S74" s="12"/>
    </row>
    <row r="75" spans="1:19" x14ac:dyDescent="0.2">
      <c r="A75" s="52"/>
      <c r="B75" s="16">
        <v>804969618</v>
      </c>
      <c r="C75" s="17">
        <v>35610</v>
      </c>
      <c r="D75" s="18" t="s">
        <v>38</v>
      </c>
      <c r="E75" s="26">
        <v>-36290.550000000003</v>
      </c>
      <c r="F75" s="20"/>
      <c r="G75" s="21">
        <v>42795</v>
      </c>
      <c r="H75" s="13"/>
      <c r="I75" s="24"/>
      <c r="J75" s="12"/>
      <c r="K75" s="12"/>
      <c r="L75" s="12"/>
      <c r="M75" s="12"/>
      <c r="N75" s="12"/>
      <c r="O75" s="13"/>
      <c r="P75" s="13"/>
      <c r="Q75" s="13"/>
      <c r="R75" s="13"/>
      <c r="S75" s="12"/>
    </row>
    <row r="76" spans="1:19" x14ac:dyDescent="0.2">
      <c r="A76" s="52"/>
      <c r="B76" s="16">
        <v>804969618</v>
      </c>
      <c r="C76" s="17">
        <v>35610</v>
      </c>
      <c r="D76" s="18" t="s">
        <v>38</v>
      </c>
      <c r="E76" s="26">
        <v>36925.25</v>
      </c>
      <c r="F76" s="20"/>
      <c r="G76" s="21">
        <v>42826</v>
      </c>
      <c r="H76" s="13"/>
      <c r="I76" s="24"/>
      <c r="J76" s="12"/>
      <c r="K76" s="12"/>
      <c r="L76" s="12"/>
      <c r="M76" s="12"/>
      <c r="N76" s="12"/>
      <c r="O76" s="13"/>
      <c r="P76" s="13"/>
      <c r="Q76" s="13"/>
      <c r="R76" s="13"/>
      <c r="S76" s="12"/>
    </row>
    <row r="77" spans="1:19" x14ac:dyDescent="0.2">
      <c r="A77" s="52"/>
      <c r="B77" s="16">
        <v>804969618</v>
      </c>
      <c r="C77" s="17">
        <v>35610</v>
      </c>
      <c r="D77" s="18" t="s">
        <v>38</v>
      </c>
      <c r="E77" s="26">
        <v>18.62</v>
      </c>
      <c r="F77" s="20"/>
      <c r="G77" s="21">
        <v>42856</v>
      </c>
      <c r="H77" s="13"/>
      <c r="I77" s="24"/>
      <c r="J77" s="12"/>
      <c r="K77" s="12"/>
      <c r="L77" s="12"/>
      <c r="M77" s="12"/>
      <c r="N77" s="12"/>
      <c r="O77" s="13"/>
      <c r="P77" s="13"/>
      <c r="Q77" s="13"/>
      <c r="R77" s="13"/>
      <c r="S77" s="12"/>
    </row>
    <row r="78" spans="1:19" x14ac:dyDescent="0.2">
      <c r="A78" s="52"/>
      <c r="B78" s="16">
        <v>804969618</v>
      </c>
      <c r="C78" s="17">
        <v>35610</v>
      </c>
      <c r="D78" s="18" t="s">
        <v>38</v>
      </c>
      <c r="E78" s="26">
        <v>18532.78</v>
      </c>
      <c r="F78" s="20"/>
      <c r="G78" s="21">
        <v>43040</v>
      </c>
      <c r="H78" s="13"/>
      <c r="I78" s="24"/>
      <c r="J78" s="12"/>
      <c r="K78" s="12"/>
      <c r="L78" s="12"/>
      <c r="M78" s="12"/>
      <c r="N78" s="12"/>
      <c r="O78" s="13"/>
      <c r="P78" s="13"/>
      <c r="Q78" s="13"/>
      <c r="R78" s="13"/>
      <c r="S78" s="12"/>
    </row>
    <row r="79" spans="1:19" x14ac:dyDescent="0.2">
      <c r="A79" s="52"/>
      <c r="B79" s="16">
        <v>804969618</v>
      </c>
      <c r="C79" s="17">
        <v>35610</v>
      </c>
      <c r="D79" s="18" t="s">
        <v>38</v>
      </c>
      <c r="E79" s="27">
        <v>44135.63</v>
      </c>
      <c r="F79" s="20"/>
      <c r="G79" s="21">
        <v>43070</v>
      </c>
      <c r="H79" s="13"/>
      <c r="I79" s="24"/>
      <c r="J79" s="12"/>
      <c r="K79" s="12"/>
      <c r="L79" s="12"/>
      <c r="M79" s="12"/>
      <c r="N79" s="12"/>
      <c r="O79" s="13"/>
      <c r="P79" s="13"/>
      <c r="Q79" s="13"/>
      <c r="R79" s="13"/>
      <c r="S79" s="12"/>
    </row>
    <row r="80" spans="1:19" x14ac:dyDescent="0.2">
      <c r="A80" s="52"/>
      <c r="B80" s="16"/>
      <c r="C80" s="17"/>
      <c r="D80" s="74" t="s">
        <v>12</v>
      </c>
      <c r="E80" s="26">
        <f>SUM(E73:E79)</f>
        <v>-84442.999999999971</v>
      </c>
      <c r="F80" s="20"/>
      <c r="G80" s="21"/>
      <c r="H80" s="13"/>
      <c r="I80" s="24"/>
      <c r="J80" s="12"/>
      <c r="K80" s="12"/>
      <c r="L80" s="12"/>
      <c r="M80" s="12"/>
      <c r="N80" s="12"/>
      <c r="O80" s="13"/>
      <c r="P80" s="13"/>
      <c r="Q80" s="13"/>
      <c r="R80" s="13"/>
      <c r="S80" s="12"/>
    </row>
    <row r="81" spans="1:19" x14ac:dyDescent="0.2">
      <c r="A81" s="52"/>
      <c r="B81" s="16"/>
      <c r="C81" s="17"/>
      <c r="D81" s="18"/>
      <c r="E81" s="26"/>
      <c r="F81" s="20"/>
      <c r="G81" s="21"/>
      <c r="H81" s="13"/>
      <c r="I81" s="24"/>
      <c r="J81" s="12"/>
      <c r="K81" s="12"/>
      <c r="L81" s="12"/>
      <c r="M81" s="12"/>
      <c r="N81" s="12"/>
      <c r="O81" s="13"/>
      <c r="P81" s="13"/>
      <c r="Q81" s="13"/>
      <c r="R81" s="13"/>
      <c r="S81" s="12"/>
    </row>
    <row r="82" spans="1:19" x14ac:dyDescent="0.2">
      <c r="A82" s="52">
        <v>15280841</v>
      </c>
      <c r="B82" s="16">
        <v>850588822</v>
      </c>
      <c r="C82" s="17">
        <v>35610</v>
      </c>
      <c r="D82" s="74" t="s">
        <v>169</v>
      </c>
      <c r="E82" s="26">
        <v>213037.27</v>
      </c>
      <c r="F82" s="20"/>
      <c r="G82" s="21">
        <v>42856</v>
      </c>
      <c r="H82" s="13"/>
      <c r="I82" s="24"/>
      <c r="J82" s="12"/>
      <c r="K82" s="12"/>
      <c r="L82" s="12"/>
      <c r="M82" s="12"/>
      <c r="N82" s="12"/>
      <c r="O82" s="13"/>
      <c r="P82" s="13"/>
      <c r="Q82" s="13"/>
      <c r="R82" s="13"/>
      <c r="S82" s="12"/>
    </row>
    <row r="83" spans="1:19" x14ac:dyDescent="0.2">
      <c r="A83" s="52"/>
      <c r="B83" s="16">
        <v>850588822</v>
      </c>
      <c r="C83" s="17">
        <v>35610</v>
      </c>
      <c r="D83" s="74" t="s">
        <v>169</v>
      </c>
      <c r="E83" s="26">
        <v>-3062.61</v>
      </c>
      <c r="F83" s="20"/>
      <c r="G83" s="21">
        <v>42887</v>
      </c>
      <c r="H83" s="13"/>
      <c r="I83" s="24"/>
      <c r="J83" s="12"/>
      <c r="K83" s="12"/>
      <c r="L83" s="12"/>
      <c r="M83" s="12"/>
      <c r="N83" s="12"/>
      <c r="O83" s="13"/>
      <c r="P83" s="13"/>
      <c r="Q83" s="13"/>
      <c r="R83" s="13"/>
      <c r="S83" s="12"/>
    </row>
    <row r="84" spans="1:19" x14ac:dyDescent="0.2">
      <c r="A84" s="52"/>
      <c r="B84" s="16">
        <v>850588822</v>
      </c>
      <c r="C84" s="17">
        <v>35610</v>
      </c>
      <c r="D84" s="74" t="s">
        <v>169</v>
      </c>
      <c r="E84" s="26">
        <v>9454.4699999999993</v>
      </c>
      <c r="F84" s="20"/>
      <c r="G84" s="21">
        <v>42917</v>
      </c>
      <c r="H84" s="13"/>
      <c r="I84" s="24"/>
      <c r="J84" s="12"/>
      <c r="K84" s="12"/>
      <c r="L84" s="12"/>
      <c r="M84" s="12"/>
      <c r="N84" s="12"/>
      <c r="O84" s="13"/>
      <c r="P84" s="13"/>
      <c r="Q84" s="13"/>
      <c r="R84" s="13"/>
      <c r="S84" s="12"/>
    </row>
    <row r="85" spans="1:19" x14ac:dyDescent="0.2">
      <c r="A85" s="52"/>
      <c r="B85" s="16">
        <v>850588822</v>
      </c>
      <c r="C85" s="17">
        <v>35610</v>
      </c>
      <c r="D85" s="74" t="s">
        <v>169</v>
      </c>
      <c r="E85" s="26">
        <v>29486.26</v>
      </c>
      <c r="F85" s="20"/>
      <c r="G85" s="21">
        <v>42948</v>
      </c>
      <c r="H85" s="13"/>
      <c r="I85" s="24"/>
      <c r="J85" s="12"/>
      <c r="K85" s="12"/>
      <c r="L85" s="12"/>
      <c r="M85" s="12"/>
      <c r="N85" s="12"/>
      <c r="O85" s="13"/>
      <c r="P85" s="13"/>
      <c r="Q85" s="13"/>
      <c r="R85" s="13"/>
      <c r="S85" s="12"/>
    </row>
    <row r="86" spans="1:19" x14ac:dyDescent="0.2">
      <c r="A86" s="52"/>
      <c r="B86" s="16">
        <v>850588822</v>
      </c>
      <c r="C86" s="17">
        <v>35610</v>
      </c>
      <c r="D86" s="74" t="s">
        <v>169</v>
      </c>
      <c r="E86" s="26">
        <v>-705.69</v>
      </c>
      <c r="F86" s="20"/>
      <c r="G86" s="21">
        <v>42979</v>
      </c>
      <c r="H86" s="13"/>
      <c r="I86" s="24"/>
      <c r="J86" s="12"/>
      <c r="K86" s="12"/>
      <c r="L86" s="12"/>
      <c r="M86" s="12"/>
      <c r="N86" s="12"/>
      <c r="O86" s="13"/>
      <c r="P86" s="13"/>
      <c r="Q86" s="13"/>
      <c r="R86" s="13"/>
      <c r="S86" s="12"/>
    </row>
    <row r="87" spans="1:19" x14ac:dyDescent="0.2">
      <c r="A87" s="52"/>
      <c r="B87" s="16">
        <v>850588822</v>
      </c>
      <c r="C87" s="17">
        <v>35610</v>
      </c>
      <c r="D87" s="74" t="s">
        <v>169</v>
      </c>
      <c r="E87" s="26">
        <v>-3070.47</v>
      </c>
      <c r="F87" s="20"/>
      <c r="G87" s="21">
        <v>43009</v>
      </c>
      <c r="H87" s="13"/>
      <c r="I87" s="24"/>
      <c r="J87" s="12"/>
      <c r="K87" s="12"/>
      <c r="L87" s="12"/>
      <c r="M87" s="12"/>
      <c r="N87" s="12"/>
      <c r="O87" s="13"/>
      <c r="P87" s="13"/>
      <c r="Q87" s="13"/>
      <c r="R87" s="13"/>
      <c r="S87" s="12"/>
    </row>
    <row r="88" spans="1:19" x14ac:dyDescent="0.2">
      <c r="A88" s="52"/>
      <c r="B88" s="16">
        <v>850588822</v>
      </c>
      <c r="C88" s="17">
        <v>35610</v>
      </c>
      <c r="D88" s="74" t="s">
        <v>169</v>
      </c>
      <c r="E88" s="26">
        <v>-9394.9500000000007</v>
      </c>
      <c r="F88" s="20"/>
      <c r="G88" s="21">
        <v>43040</v>
      </c>
      <c r="H88" s="13"/>
      <c r="I88" s="24"/>
      <c r="J88" s="12"/>
      <c r="K88" s="12"/>
      <c r="L88" s="12"/>
      <c r="M88" s="12"/>
      <c r="N88" s="12"/>
      <c r="O88" s="13"/>
      <c r="P88" s="13"/>
      <c r="Q88" s="13"/>
      <c r="R88" s="13"/>
      <c r="S88" s="12"/>
    </row>
    <row r="89" spans="1:19" x14ac:dyDescent="0.2">
      <c r="A89" s="52"/>
      <c r="B89" s="16">
        <v>850588822</v>
      </c>
      <c r="C89" s="17">
        <v>35610</v>
      </c>
      <c r="D89" s="74" t="s">
        <v>169</v>
      </c>
      <c r="E89" s="27">
        <v>-25159.4</v>
      </c>
      <c r="F89" s="20"/>
      <c r="G89" s="21">
        <v>43070</v>
      </c>
      <c r="H89" s="13"/>
      <c r="I89" s="24"/>
      <c r="J89" s="12"/>
      <c r="K89" s="12"/>
      <c r="L89" s="12"/>
      <c r="M89" s="12"/>
      <c r="N89" s="12"/>
      <c r="O89" s="13"/>
      <c r="P89" s="13"/>
      <c r="Q89" s="13"/>
      <c r="R89" s="13"/>
      <c r="S89" s="12"/>
    </row>
    <row r="90" spans="1:19" x14ac:dyDescent="0.2">
      <c r="A90" s="52"/>
      <c r="B90" s="16"/>
      <c r="C90" s="17"/>
      <c r="D90" s="74" t="s">
        <v>12</v>
      </c>
      <c r="E90" s="26">
        <f>SUM(E82:E89)</f>
        <v>210584.88</v>
      </c>
      <c r="F90" s="20"/>
      <c r="G90" s="21"/>
      <c r="H90" s="13"/>
      <c r="I90" s="24"/>
      <c r="J90" s="12"/>
      <c r="K90" s="12"/>
      <c r="L90" s="12"/>
      <c r="M90" s="12"/>
      <c r="N90" s="12"/>
      <c r="O90" s="13"/>
      <c r="P90" s="13"/>
      <c r="Q90" s="13"/>
      <c r="R90" s="13"/>
      <c r="S90" s="12"/>
    </row>
    <row r="91" spans="1:19" x14ac:dyDescent="0.2">
      <c r="A91" s="52"/>
      <c r="B91" s="16"/>
      <c r="C91" s="17"/>
      <c r="D91" s="18"/>
      <c r="E91" s="26"/>
      <c r="F91" s="20"/>
      <c r="G91" s="21"/>
      <c r="H91" s="13"/>
      <c r="I91" s="24"/>
      <c r="J91" s="12"/>
      <c r="K91" s="12"/>
      <c r="L91" s="12"/>
      <c r="M91" s="12"/>
      <c r="N91" s="12"/>
      <c r="O91" s="13"/>
      <c r="P91" s="13"/>
      <c r="Q91" s="13"/>
      <c r="R91" s="13"/>
      <c r="S91" s="12"/>
    </row>
    <row r="92" spans="1:19" x14ac:dyDescent="0.2">
      <c r="A92" s="52">
        <v>15302452</v>
      </c>
      <c r="B92" s="16">
        <v>853274105</v>
      </c>
      <c r="C92" s="17">
        <v>35610</v>
      </c>
      <c r="D92" s="74" t="s">
        <v>170</v>
      </c>
      <c r="E92" s="26">
        <v>-26.82</v>
      </c>
      <c r="F92" s="20"/>
      <c r="G92" s="21">
        <v>42887</v>
      </c>
      <c r="H92" s="13"/>
      <c r="I92" s="24"/>
      <c r="J92" s="12"/>
      <c r="K92" s="12"/>
      <c r="L92" s="12"/>
      <c r="M92" s="12"/>
      <c r="N92" s="12"/>
      <c r="O92" s="13"/>
      <c r="P92" s="13"/>
      <c r="Q92" s="13"/>
      <c r="R92" s="13"/>
      <c r="S92" s="12"/>
    </row>
    <row r="93" spans="1:19" x14ac:dyDescent="0.2">
      <c r="A93" s="52"/>
      <c r="B93" s="16">
        <v>853274105</v>
      </c>
      <c r="C93" s="17">
        <v>35610</v>
      </c>
      <c r="D93" s="74" t="s">
        <v>170</v>
      </c>
      <c r="E93" s="27">
        <v>26.82</v>
      </c>
      <c r="F93" s="20"/>
      <c r="G93" s="21">
        <v>42917</v>
      </c>
      <c r="H93" s="13"/>
      <c r="I93" s="24"/>
      <c r="J93" s="12"/>
      <c r="K93" s="12"/>
      <c r="L93" s="12"/>
      <c r="M93" s="12"/>
      <c r="N93" s="12"/>
      <c r="O93" s="13"/>
      <c r="P93" s="13"/>
      <c r="Q93" s="13"/>
      <c r="R93" s="13"/>
      <c r="S93" s="12"/>
    </row>
    <row r="94" spans="1:19" x14ac:dyDescent="0.2">
      <c r="A94" s="52"/>
      <c r="B94" s="16"/>
      <c r="C94" s="17"/>
      <c r="D94" s="74" t="s">
        <v>12</v>
      </c>
      <c r="E94" s="26">
        <f>SUM(E92:E93)</f>
        <v>0</v>
      </c>
      <c r="F94" s="20"/>
      <c r="G94" s="21"/>
      <c r="H94" s="13"/>
      <c r="I94" s="24"/>
      <c r="J94" s="12"/>
      <c r="K94" s="12"/>
      <c r="L94" s="12"/>
      <c r="M94" s="12"/>
      <c r="N94" s="12"/>
      <c r="O94" s="13"/>
      <c r="P94" s="13"/>
      <c r="Q94" s="13"/>
      <c r="R94" s="13"/>
      <c r="S94" s="12"/>
    </row>
    <row r="95" spans="1:19" x14ac:dyDescent="0.2">
      <c r="A95" s="52"/>
      <c r="B95" s="16"/>
      <c r="C95" s="17"/>
      <c r="D95" s="18"/>
      <c r="E95" s="26"/>
      <c r="F95" s="20"/>
      <c r="G95" s="21"/>
      <c r="H95" s="13"/>
      <c r="I95" s="24"/>
      <c r="J95" s="12"/>
      <c r="K95" s="12"/>
      <c r="L95" s="12"/>
      <c r="M95" s="12"/>
      <c r="N95" s="12"/>
      <c r="O95" s="13"/>
      <c r="P95" s="13"/>
      <c r="Q95" s="13"/>
      <c r="R95" s="13"/>
      <c r="S95" s="12"/>
    </row>
    <row r="96" spans="1:19" x14ac:dyDescent="0.2">
      <c r="A96" s="52">
        <v>13418878</v>
      </c>
      <c r="B96" s="31">
        <v>478439181</v>
      </c>
      <c r="C96" s="76" t="s">
        <v>160</v>
      </c>
      <c r="D96" s="18" t="s">
        <v>164</v>
      </c>
      <c r="E96" s="26">
        <f>-1.07-463.09-178.77+650.06</f>
        <v>7.1299999999999955</v>
      </c>
      <c r="F96" s="20"/>
      <c r="G96" s="21">
        <v>42948</v>
      </c>
      <c r="H96" s="13"/>
      <c r="I96" s="24"/>
      <c r="J96" s="12"/>
      <c r="K96" s="12"/>
      <c r="L96" s="12"/>
      <c r="M96" s="12"/>
      <c r="N96" s="12"/>
      <c r="O96" s="13"/>
      <c r="P96" s="13"/>
      <c r="Q96" s="13"/>
      <c r="R96" s="13"/>
      <c r="S96" s="12"/>
    </row>
    <row r="97" spans="1:19" x14ac:dyDescent="0.2">
      <c r="A97" s="52"/>
      <c r="B97" s="16"/>
      <c r="C97" s="17"/>
      <c r="D97" s="18"/>
      <c r="E97" s="26"/>
      <c r="F97" s="20"/>
      <c r="G97" s="21"/>
      <c r="H97" s="13"/>
      <c r="I97" s="24"/>
      <c r="J97" s="12"/>
      <c r="K97" s="12"/>
      <c r="L97" s="12"/>
      <c r="M97" s="12"/>
      <c r="N97" s="12"/>
      <c r="O97" s="13"/>
      <c r="P97" s="13"/>
      <c r="Q97" s="13"/>
      <c r="R97" s="13"/>
      <c r="S97" s="12"/>
    </row>
    <row r="98" spans="1:19" x14ac:dyDescent="0.2">
      <c r="A98" s="52">
        <v>13418900</v>
      </c>
      <c r="B98" s="31">
        <v>478439187</v>
      </c>
      <c r="C98" s="76" t="s">
        <v>160</v>
      </c>
      <c r="D98" s="18" t="s">
        <v>165</v>
      </c>
      <c r="E98" s="26">
        <f>-17.99-7869.25-3038.39+11081.71</f>
        <v>156.07999999999993</v>
      </c>
      <c r="F98" s="20"/>
      <c r="G98" s="21">
        <v>42948</v>
      </c>
      <c r="H98" s="13"/>
      <c r="I98" s="24"/>
      <c r="J98" s="12"/>
      <c r="K98" s="12"/>
      <c r="L98" s="12"/>
      <c r="M98" s="12"/>
      <c r="N98" s="12"/>
      <c r="O98" s="13"/>
      <c r="P98" s="13"/>
      <c r="Q98" s="13"/>
      <c r="R98" s="13"/>
      <c r="S98" s="12"/>
    </row>
    <row r="99" spans="1:19" x14ac:dyDescent="0.2">
      <c r="A99" s="52"/>
      <c r="B99" s="16"/>
      <c r="C99" s="17"/>
      <c r="D99" s="18"/>
      <c r="E99" s="26"/>
      <c r="F99" s="20"/>
      <c r="G99" s="21"/>
      <c r="H99" s="13"/>
      <c r="I99" s="24"/>
      <c r="J99" s="12"/>
      <c r="K99" s="12"/>
      <c r="L99" s="12"/>
      <c r="M99" s="12"/>
      <c r="N99" s="12"/>
      <c r="O99" s="13"/>
      <c r="P99" s="13"/>
      <c r="Q99" s="13"/>
      <c r="R99" s="13"/>
      <c r="S99" s="12"/>
    </row>
    <row r="100" spans="1:19" x14ac:dyDescent="0.2">
      <c r="A100" s="52">
        <v>14991086</v>
      </c>
      <c r="B100" s="16">
        <v>811995625</v>
      </c>
      <c r="C100" s="76">
        <v>35300</v>
      </c>
      <c r="D100" s="74" t="s">
        <v>171</v>
      </c>
      <c r="E100" s="26">
        <v>352999.63</v>
      </c>
      <c r="F100" s="20"/>
      <c r="G100" s="21">
        <v>42948</v>
      </c>
      <c r="H100" s="13"/>
      <c r="I100" s="24"/>
      <c r="J100" s="12"/>
      <c r="K100" s="12"/>
      <c r="L100" s="12"/>
      <c r="M100" s="12"/>
      <c r="N100" s="12"/>
      <c r="O100" s="13"/>
      <c r="P100" s="13"/>
      <c r="Q100" s="13"/>
      <c r="R100" s="13"/>
      <c r="S100" s="12"/>
    </row>
    <row r="101" spans="1:19" x14ac:dyDescent="0.2">
      <c r="A101" s="52"/>
      <c r="B101" s="16">
        <v>811995625</v>
      </c>
      <c r="C101" s="17">
        <v>35300</v>
      </c>
      <c r="D101" s="74" t="s">
        <v>171</v>
      </c>
      <c r="E101" s="26">
        <v>-10</v>
      </c>
      <c r="F101" s="20"/>
      <c r="G101" s="21">
        <v>42979</v>
      </c>
      <c r="H101" s="13"/>
      <c r="I101" s="24"/>
      <c r="J101" s="12"/>
      <c r="K101" s="12"/>
      <c r="L101" s="12"/>
      <c r="M101" s="12"/>
      <c r="N101" s="12"/>
      <c r="O101" s="13"/>
      <c r="P101" s="13"/>
      <c r="Q101" s="13"/>
      <c r="R101" s="13"/>
      <c r="S101" s="12"/>
    </row>
    <row r="102" spans="1:19" x14ac:dyDescent="0.2">
      <c r="A102" s="52"/>
      <c r="B102" s="16">
        <v>811995625</v>
      </c>
      <c r="C102" s="17">
        <v>35300</v>
      </c>
      <c r="D102" s="74" t="s">
        <v>171</v>
      </c>
      <c r="E102" s="27">
        <f>197.35</f>
        <v>197.35</v>
      </c>
      <c r="F102" s="20"/>
      <c r="G102" s="21">
        <v>43070</v>
      </c>
      <c r="H102" s="13"/>
      <c r="I102" s="24"/>
      <c r="J102" s="12"/>
      <c r="K102" s="12"/>
      <c r="L102" s="12"/>
      <c r="M102" s="12"/>
      <c r="N102" s="12"/>
      <c r="O102" s="13"/>
      <c r="P102" s="13"/>
      <c r="Q102" s="13"/>
      <c r="R102" s="13"/>
      <c r="S102" s="12"/>
    </row>
    <row r="103" spans="1:19" x14ac:dyDescent="0.2">
      <c r="A103" s="52"/>
      <c r="B103" s="16"/>
      <c r="C103" s="17"/>
      <c r="D103" s="74" t="s">
        <v>12</v>
      </c>
      <c r="E103" s="26">
        <f>SUM(E100:E102)</f>
        <v>353186.98</v>
      </c>
      <c r="F103" s="20"/>
      <c r="G103" s="21"/>
      <c r="H103" s="13"/>
      <c r="I103" s="24"/>
      <c r="J103" s="12"/>
      <c r="K103" s="12"/>
      <c r="L103" s="12"/>
      <c r="M103" s="12"/>
      <c r="N103" s="12"/>
      <c r="O103" s="13"/>
      <c r="P103" s="13"/>
      <c r="Q103" s="13"/>
      <c r="R103" s="13"/>
      <c r="S103" s="12"/>
    </row>
    <row r="104" spans="1:19" x14ac:dyDescent="0.2">
      <c r="A104" s="52"/>
      <c r="B104" s="16"/>
      <c r="C104" s="17"/>
      <c r="D104" s="18"/>
      <c r="E104" s="26"/>
      <c r="F104" s="20"/>
      <c r="G104" s="21"/>
      <c r="H104" s="13"/>
      <c r="I104" s="24"/>
      <c r="J104" s="12"/>
      <c r="K104" s="12"/>
      <c r="L104" s="12"/>
      <c r="M104" s="12"/>
      <c r="N104" s="12"/>
      <c r="O104" s="13"/>
      <c r="P104" s="13"/>
      <c r="Q104" s="13"/>
      <c r="R104" s="13"/>
      <c r="S104" s="12"/>
    </row>
    <row r="105" spans="1:19" x14ac:dyDescent="0.2">
      <c r="A105" s="72" t="s">
        <v>162</v>
      </c>
      <c r="B105" s="16">
        <v>4401291</v>
      </c>
      <c r="C105" s="17">
        <v>35300</v>
      </c>
      <c r="D105" s="74" t="s">
        <v>172</v>
      </c>
      <c r="E105" s="26">
        <v>-29325.18</v>
      </c>
      <c r="F105" s="20"/>
      <c r="G105" s="21">
        <v>42979</v>
      </c>
      <c r="H105" s="13"/>
      <c r="I105" s="24"/>
      <c r="J105" s="12"/>
      <c r="K105" s="12"/>
      <c r="L105" s="12"/>
      <c r="M105" s="12"/>
      <c r="N105" s="12"/>
      <c r="O105" s="13"/>
      <c r="P105" s="13"/>
      <c r="Q105" s="13"/>
      <c r="R105" s="13"/>
      <c r="S105" s="12"/>
    </row>
    <row r="106" spans="1:19" x14ac:dyDescent="0.2">
      <c r="A106" s="52"/>
      <c r="B106" s="16"/>
      <c r="C106" s="17"/>
      <c r="D106" s="18"/>
      <c r="E106" s="26"/>
      <c r="F106" s="20"/>
      <c r="G106" s="21"/>
      <c r="H106" s="13"/>
      <c r="I106" s="24"/>
      <c r="J106" s="12"/>
      <c r="K106" s="12"/>
      <c r="L106" s="12"/>
      <c r="M106" s="12"/>
      <c r="N106" s="12"/>
      <c r="O106" s="13"/>
      <c r="P106" s="13"/>
      <c r="Q106" s="13"/>
      <c r="R106" s="13"/>
      <c r="S106" s="12"/>
    </row>
    <row r="107" spans="1:19" x14ac:dyDescent="0.2">
      <c r="A107" s="72" t="s">
        <v>156</v>
      </c>
      <c r="B107" s="73" t="s">
        <v>156</v>
      </c>
      <c r="C107" s="17">
        <v>35620</v>
      </c>
      <c r="D107" s="74" t="s">
        <v>157</v>
      </c>
      <c r="E107" s="26">
        <f>245629.83+259202.19-6269.9-7.13-156.08+45552.8+12.6</f>
        <v>543964.30999999994</v>
      </c>
      <c r="F107" s="20"/>
      <c r="G107" s="21">
        <v>42948</v>
      </c>
      <c r="H107" s="13"/>
      <c r="I107" s="24"/>
      <c r="J107" s="12"/>
      <c r="K107" s="12"/>
      <c r="L107" s="12"/>
      <c r="M107" s="12"/>
      <c r="N107" s="12"/>
      <c r="O107" s="13"/>
      <c r="P107" s="13"/>
      <c r="Q107" s="13"/>
      <c r="R107" s="13"/>
      <c r="S107" s="12"/>
    </row>
    <row r="108" spans="1:19" x14ac:dyDescent="0.2">
      <c r="A108" s="72"/>
      <c r="B108" s="16"/>
      <c r="C108" s="17"/>
      <c r="D108" s="74"/>
      <c r="E108" s="75"/>
      <c r="F108" s="20"/>
      <c r="G108" s="21"/>
      <c r="H108" s="13"/>
      <c r="I108" s="24"/>
      <c r="J108" s="12"/>
      <c r="K108" s="12"/>
      <c r="L108" s="12"/>
      <c r="M108" s="12"/>
      <c r="N108" s="12"/>
      <c r="O108" s="13"/>
      <c r="P108" s="13"/>
      <c r="Q108" s="13"/>
      <c r="R108" s="13"/>
      <c r="S108" s="12"/>
    </row>
    <row r="109" spans="1:19" x14ac:dyDescent="0.2">
      <c r="A109" s="72"/>
      <c r="B109" s="16"/>
      <c r="C109" s="17"/>
      <c r="D109" s="18"/>
      <c r="E109" s="26"/>
      <c r="F109" s="20"/>
      <c r="G109" s="21"/>
      <c r="H109" s="13"/>
      <c r="I109" s="24"/>
      <c r="J109" s="12"/>
      <c r="K109" s="12"/>
      <c r="L109" s="12"/>
      <c r="M109" s="12"/>
      <c r="N109" s="12"/>
      <c r="O109" s="13"/>
      <c r="P109" s="13"/>
      <c r="Q109" s="13"/>
      <c r="R109" s="13"/>
      <c r="S109" s="12"/>
    </row>
    <row r="110" spans="1:19" ht="13.5" thickBot="1" x14ac:dyDescent="0.25">
      <c r="A110" s="72"/>
      <c r="B110" s="23"/>
      <c r="C110" s="17"/>
      <c r="D110" s="18" t="s">
        <v>39</v>
      </c>
      <c r="E110" s="68">
        <f>E14+E28+E32+E36+E38+E40+E42+E47+E49+E51+E55+E61+E69+E71+E80+E90+E94+E96+E98+E103+E105+E107</f>
        <v>1037428.6899999997</v>
      </c>
      <c r="F110" s="20"/>
      <c r="G110" s="84"/>
      <c r="H110" s="13"/>
      <c r="I110" s="24"/>
      <c r="J110" s="12"/>
      <c r="K110" s="12"/>
      <c r="L110" s="12"/>
      <c r="M110" s="12"/>
      <c r="N110" s="12"/>
      <c r="O110" s="13"/>
      <c r="P110" s="13"/>
      <c r="Q110" s="13"/>
      <c r="R110" s="13"/>
      <c r="S110" s="12"/>
    </row>
    <row r="111" spans="1:19" ht="13.5" thickTop="1" x14ac:dyDescent="0.2">
      <c r="A111" s="72"/>
      <c r="B111" s="31"/>
      <c r="C111" s="32"/>
      <c r="D111" s="12"/>
      <c r="E111" s="57"/>
      <c r="F111" s="20"/>
      <c r="G111" s="30"/>
      <c r="H111" s="13"/>
      <c r="I111" s="24"/>
      <c r="J111" s="12"/>
      <c r="K111" s="12"/>
      <c r="L111" s="12"/>
      <c r="M111" s="12"/>
      <c r="N111" s="12"/>
      <c r="O111" s="13"/>
      <c r="P111" s="13"/>
      <c r="Q111" s="13"/>
      <c r="R111" s="13"/>
      <c r="S111" s="12"/>
    </row>
    <row r="112" spans="1:19" ht="15.75" x14ac:dyDescent="0.25">
      <c r="A112" s="72"/>
      <c r="B112" s="17"/>
      <c r="C112" s="17"/>
      <c r="D112" s="34" t="s">
        <v>40</v>
      </c>
      <c r="E112" s="58"/>
      <c r="F112" s="29"/>
      <c r="G112" s="29"/>
      <c r="H112" s="13"/>
      <c r="I112" s="24"/>
      <c r="J112" s="12"/>
      <c r="K112" s="12"/>
      <c r="L112" s="12"/>
      <c r="M112" s="12"/>
      <c r="N112" s="12"/>
      <c r="O112" s="13"/>
      <c r="P112" s="13"/>
      <c r="Q112" s="13"/>
      <c r="R112" s="13"/>
      <c r="S112" s="12"/>
    </row>
    <row r="113" spans="1:19" x14ac:dyDescent="0.2">
      <c r="A113" s="72"/>
      <c r="B113" s="16"/>
      <c r="C113" s="16"/>
      <c r="D113" s="12"/>
      <c r="E113" s="36"/>
      <c r="F113" s="36"/>
      <c r="G113" s="21"/>
      <c r="H113" s="13"/>
      <c r="I113" s="24"/>
      <c r="J113" s="12"/>
      <c r="K113" s="12"/>
      <c r="L113" s="12"/>
      <c r="M113" s="12"/>
      <c r="N113" s="12"/>
      <c r="O113" s="13"/>
      <c r="P113" s="13"/>
      <c r="Q113" s="13"/>
      <c r="R113" s="13"/>
      <c r="S113" s="12"/>
    </row>
    <row r="114" spans="1:19" x14ac:dyDescent="0.2">
      <c r="A114" s="72"/>
      <c r="B114" s="39">
        <v>654797117</v>
      </c>
      <c r="C114" s="17">
        <v>35300</v>
      </c>
      <c r="D114" s="29" t="s">
        <v>50</v>
      </c>
      <c r="E114" s="59">
        <v>-9.2100000000000009</v>
      </c>
      <c r="F114" s="36"/>
      <c r="G114" s="21">
        <v>42736</v>
      </c>
      <c r="H114" s="13"/>
      <c r="I114" s="24"/>
      <c r="J114" s="12"/>
      <c r="K114" s="12"/>
      <c r="L114" s="12"/>
      <c r="M114" s="12"/>
      <c r="N114" s="12"/>
      <c r="O114" s="13"/>
      <c r="P114" s="13"/>
      <c r="Q114" s="13"/>
      <c r="R114" s="13"/>
      <c r="S114" s="12"/>
    </row>
    <row r="115" spans="1:19" x14ac:dyDescent="0.2">
      <c r="A115" s="72"/>
      <c r="B115" s="39">
        <v>654797117</v>
      </c>
      <c r="C115" s="17">
        <v>35300</v>
      </c>
      <c r="D115" s="29" t="s">
        <v>50</v>
      </c>
      <c r="E115" s="36">
        <v>162.44999999999999</v>
      </c>
      <c r="F115" s="36"/>
      <c r="G115" s="21">
        <v>42856</v>
      </c>
      <c r="H115" s="13"/>
      <c r="I115" s="24"/>
      <c r="J115" s="12"/>
      <c r="K115" s="12"/>
      <c r="L115" s="12"/>
      <c r="M115" s="12"/>
      <c r="N115" s="12"/>
      <c r="O115" s="13"/>
      <c r="P115" s="13"/>
      <c r="Q115" s="13"/>
      <c r="R115" s="13"/>
      <c r="S115" s="12"/>
    </row>
    <row r="116" spans="1:19" x14ac:dyDescent="0.2">
      <c r="A116" s="72"/>
      <c r="B116" s="39">
        <v>654797117</v>
      </c>
      <c r="C116" s="17">
        <v>35300</v>
      </c>
      <c r="D116" s="29" t="s">
        <v>50</v>
      </c>
      <c r="E116" s="36">
        <v>184625.15</v>
      </c>
      <c r="F116" s="36"/>
      <c r="G116" s="21">
        <v>42887</v>
      </c>
      <c r="H116" s="13"/>
      <c r="I116" s="24"/>
      <c r="J116" s="12"/>
      <c r="K116" s="12"/>
      <c r="L116" s="12"/>
      <c r="M116" s="12"/>
      <c r="N116" s="12"/>
      <c r="O116" s="13"/>
      <c r="P116" s="13"/>
      <c r="Q116" s="13"/>
      <c r="R116" s="13"/>
      <c r="S116" s="12"/>
    </row>
    <row r="117" spans="1:19" x14ac:dyDescent="0.2">
      <c r="A117" s="72"/>
      <c r="B117" s="39">
        <v>654797117</v>
      </c>
      <c r="C117" s="17">
        <v>35300</v>
      </c>
      <c r="D117" s="29" t="s">
        <v>50</v>
      </c>
      <c r="E117" s="36">
        <v>3126.07</v>
      </c>
      <c r="F117" s="36"/>
      <c r="G117" s="21">
        <v>42979</v>
      </c>
      <c r="H117" s="13"/>
      <c r="I117" s="24"/>
      <c r="J117" s="12"/>
      <c r="K117" s="12"/>
      <c r="L117" s="12"/>
      <c r="M117" s="12"/>
      <c r="N117" s="12"/>
      <c r="O117" s="13"/>
      <c r="P117" s="13"/>
      <c r="Q117" s="13"/>
      <c r="R117" s="13"/>
      <c r="S117" s="12"/>
    </row>
    <row r="118" spans="1:19" x14ac:dyDescent="0.2">
      <c r="A118" s="72"/>
      <c r="B118" s="39">
        <v>654797117</v>
      </c>
      <c r="C118" s="17">
        <v>35300</v>
      </c>
      <c r="D118" s="29" t="s">
        <v>50</v>
      </c>
      <c r="E118" s="36">
        <v>156.16</v>
      </c>
      <c r="F118" s="36"/>
      <c r="G118" s="21">
        <v>43009</v>
      </c>
      <c r="H118" s="13"/>
      <c r="I118" s="24"/>
      <c r="J118" s="12"/>
      <c r="K118" s="12"/>
      <c r="L118" s="12"/>
      <c r="M118" s="12"/>
      <c r="N118" s="12"/>
      <c r="O118" s="13"/>
      <c r="P118" s="13"/>
      <c r="Q118" s="13"/>
      <c r="R118" s="13"/>
      <c r="S118" s="12"/>
    </row>
    <row r="119" spans="1:19" x14ac:dyDescent="0.2">
      <c r="A119" s="52"/>
      <c r="B119" s="39">
        <v>654797117</v>
      </c>
      <c r="C119" s="17">
        <v>35300</v>
      </c>
      <c r="D119" s="29" t="s">
        <v>50</v>
      </c>
      <c r="E119" s="36">
        <v>3.84</v>
      </c>
      <c r="F119" s="36"/>
      <c r="G119" s="21">
        <v>43040</v>
      </c>
      <c r="H119" s="13"/>
      <c r="I119" s="24"/>
      <c r="J119" s="12"/>
      <c r="K119" s="12"/>
      <c r="L119" s="12"/>
      <c r="M119" s="12"/>
      <c r="N119" s="12"/>
      <c r="O119" s="13"/>
      <c r="P119" s="13"/>
      <c r="Q119" s="13"/>
      <c r="R119" s="13"/>
      <c r="S119" s="12"/>
    </row>
    <row r="120" spans="1:19" x14ac:dyDescent="0.2">
      <c r="A120" s="52"/>
      <c r="B120" s="39">
        <v>654797117</v>
      </c>
      <c r="C120" s="17">
        <v>35300</v>
      </c>
      <c r="D120" s="29" t="s">
        <v>50</v>
      </c>
      <c r="E120" s="38">
        <v>8.94</v>
      </c>
      <c r="F120" s="36"/>
      <c r="G120" s="21">
        <v>43070</v>
      </c>
      <c r="H120" s="12"/>
      <c r="I120" s="24"/>
      <c r="J120" s="12"/>
      <c r="K120" s="12"/>
      <c r="L120" s="12"/>
      <c r="M120" s="12"/>
      <c r="N120" s="12"/>
      <c r="O120" s="13"/>
      <c r="P120" s="13"/>
      <c r="Q120" s="13"/>
      <c r="R120" s="13"/>
      <c r="S120" s="12"/>
    </row>
    <row r="121" spans="1:19" x14ac:dyDescent="0.2">
      <c r="A121" s="52"/>
      <c r="B121" s="16"/>
      <c r="C121" s="16"/>
      <c r="D121" s="18" t="s">
        <v>12</v>
      </c>
      <c r="E121" s="36">
        <f>SUM(E114:E120)</f>
        <v>188073.4</v>
      </c>
      <c r="F121" s="36"/>
      <c r="G121" s="21"/>
      <c r="H121" s="71"/>
      <c r="I121" s="24"/>
      <c r="J121" s="12"/>
      <c r="K121" s="12"/>
      <c r="L121" s="12"/>
      <c r="M121" s="12"/>
      <c r="N121" s="12"/>
      <c r="O121" s="13"/>
      <c r="P121" s="13"/>
      <c r="Q121" s="13"/>
      <c r="R121" s="13"/>
      <c r="S121" s="12"/>
    </row>
    <row r="122" spans="1:19" x14ac:dyDescent="0.2">
      <c r="A122" s="10"/>
      <c r="C122" s="17"/>
      <c r="D122" s="29"/>
      <c r="E122" s="36"/>
      <c r="F122" s="36"/>
      <c r="G122" s="21"/>
      <c r="H122" s="12"/>
      <c r="I122" s="24"/>
      <c r="J122" s="12"/>
      <c r="K122" s="12"/>
      <c r="L122" s="12"/>
      <c r="M122" s="12"/>
      <c r="N122" s="12"/>
      <c r="O122" s="13"/>
      <c r="P122" s="13"/>
      <c r="Q122" s="13"/>
      <c r="R122" s="13"/>
      <c r="S122" s="12"/>
    </row>
    <row r="123" spans="1:19" x14ac:dyDescent="0.2">
      <c r="A123" s="55"/>
      <c r="B123" s="39">
        <v>536139128</v>
      </c>
      <c r="C123" s="76" t="s">
        <v>59</v>
      </c>
      <c r="D123" s="1" t="s">
        <v>58</v>
      </c>
      <c r="E123" s="36">
        <v>2951.44</v>
      </c>
      <c r="F123" s="36"/>
      <c r="G123" s="21">
        <v>42736</v>
      </c>
      <c r="I123" s="35"/>
      <c r="J123" s="29"/>
      <c r="K123" s="29"/>
      <c r="L123" s="29"/>
    </row>
    <row r="124" spans="1:19" x14ac:dyDescent="0.2">
      <c r="A124" s="55"/>
      <c r="B124" s="39">
        <v>536139128</v>
      </c>
      <c r="C124" s="76" t="s">
        <v>59</v>
      </c>
      <c r="D124" s="1" t="s">
        <v>58</v>
      </c>
      <c r="E124" s="26">
        <v>278</v>
      </c>
      <c r="F124" s="36"/>
      <c r="G124" s="21">
        <v>42887</v>
      </c>
      <c r="H124" s="29"/>
      <c r="I124" s="35"/>
      <c r="J124" s="29"/>
      <c r="K124" s="29"/>
      <c r="L124" s="29"/>
    </row>
    <row r="125" spans="1:19" x14ac:dyDescent="0.2">
      <c r="A125" s="51" t="s">
        <v>49</v>
      </c>
      <c r="B125" s="39">
        <v>536139128</v>
      </c>
      <c r="C125" s="76" t="s">
        <v>59</v>
      </c>
      <c r="D125" s="1" t="s">
        <v>58</v>
      </c>
      <c r="E125" s="26">
        <v>92.67</v>
      </c>
      <c r="F125" s="20"/>
      <c r="G125" s="21">
        <v>42948</v>
      </c>
      <c r="H125" s="29"/>
      <c r="I125" s="35"/>
      <c r="J125" s="29"/>
      <c r="K125" s="29"/>
      <c r="L125" s="29"/>
    </row>
    <row r="126" spans="1:19" x14ac:dyDescent="0.2">
      <c r="A126" s="55"/>
      <c r="B126" s="39">
        <v>536139128</v>
      </c>
      <c r="C126" s="76" t="s">
        <v>59</v>
      </c>
      <c r="D126" s="1" t="s">
        <v>58</v>
      </c>
      <c r="E126" s="27">
        <v>4006.56</v>
      </c>
      <c r="F126" s="20"/>
      <c r="G126" s="21">
        <v>42979</v>
      </c>
      <c r="H126" s="29"/>
      <c r="I126" s="35"/>
      <c r="J126" s="29"/>
      <c r="K126" s="29"/>
      <c r="L126" s="29"/>
    </row>
    <row r="127" spans="1:19" x14ac:dyDescent="0.2">
      <c r="A127" s="55"/>
      <c r="C127" s="17"/>
      <c r="D127" s="29" t="s">
        <v>12</v>
      </c>
      <c r="E127" s="26">
        <f>SUM(E123:E126)</f>
        <v>7328.67</v>
      </c>
      <c r="F127" s="20"/>
      <c r="G127" s="21"/>
      <c r="H127" s="29"/>
      <c r="I127" s="35"/>
      <c r="J127" s="29"/>
      <c r="K127" s="29"/>
      <c r="L127" s="29"/>
    </row>
    <row r="128" spans="1:19" x14ac:dyDescent="0.2">
      <c r="A128" s="55"/>
      <c r="C128" s="17"/>
      <c r="D128" s="29"/>
      <c r="E128" s="26"/>
      <c r="F128" s="20"/>
      <c r="G128" s="21"/>
      <c r="H128" s="29"/>
      <c r="I128" s="35"/>
      <c r="J128" s="29"/>
      <c r="K128" s="29"/>
      <c r="L128" s="29"/>
    </row>
    <row r="129" spans="1:12" x14ac:dyDescent="0.2">
      <c r="A129" s="55"/>
      <c r="B129" s="39">
        <v>511281973</v>
      </c>
      <c r="C129" s="17" t="s">
        <v>61</v>
      </c>
      <c r="D129" s="1" t="s">
        <v>62</v>
      </c>
      <c r="E129" s="26">
        <v>2082.1</v>
      </c>
      <c r="F129" s="20"/>
      <c r="G129" s="21">
        <v>42767</v>
      </c>
      <c r="H129" s="29"/>
      <c r="I129" s="35"/>
      <c r="J129" s="29"/>
      <c r="K129" s="29"/>
      <c r="L129" s="29"/>
    </row>
    <row r="130" spans="1:12" x14ac:dyDescent="0.2">
      <c r="A130" s="55"/>
      <c r="C130" s="17"/>
      <c r="E130" s="26"/>
      <c r="F130" s="20"/>
      <c r="G130" s="21"/>
      <c r="H130" s="29"/>
      <c r="I130" s="35"/>
      <c r="J130" s="29"/>
      <c r="K130" s="29"/>
      <c r="L130" s="29"/>
    </row>
    <row r="131" spans="1:12" x14ac:dyDescent="0.2">
      <c r="A131" s="55"/>
      <c r="B131" s="39">
        <v>775778834</v>
      </c>
      <c r="C131" s="17">
        <v>35011</v>
      </c>
      <c r="D131" s="1" t="s">
        <v>68</v>
      </c>
      <c r="E131" s="26">
        <v>1539.3</v>
      </c>
      <c r="F131" s="20"/>
      <c r="G131" s="21">
        <v>42887</v>
      </c>
      <c r="H131" s="29"/>
      <c r="I131" s="35"/>
      <c r="J131" s="29"/>
      <c r="K131" s="29"/>
      <c r="L131" s="29"/>
    </row>
    <row r="132" spans="1:12" x14ac:dyDescent="0.2">
      <c r="A132" s="55"/>
      <c r="B132" s="39">
        <v>775778834</v>
      </c>
      <c r="C132" s="17">
        <v>35011</v>
      </c>
      <c r="D132" s="1" t="s">
        <v>68</v>
      </c>
      <c r="E132" s="26">
        <v>-925.84</v>
      </c>
      <c r="F132" s="20"/>
      <c r="G132" s="21">
        <v>42917</v>
      </c>
      <c r="H132" s="29"/>
      <c r="I132" s="35"/>
      <c r="J132" s="29"/>
      <c r="K132" s="29"/>
      <c r="L132" s="29"/>
    </row>
    <row r="133" spans="1:12" x14ac:dyDescent="0.2">
      <c r="A133" s="55"/>
      <c r="B133" s="39">
        <v>775778834</v>
      </c>
      <c r="C133" s="17">
        <v>35011</v>
      </c>
      <c r="D133" s="1" t="s">
        <v>68</v>
      </c>
      <c r="E133" s="27">
        <v>223654.11</v>
      </c>
      <c r="F133" s="20"/>
      <c r="G133" s="21">
        <v>42979</v>
      </c>
      <c r="H133" s="29"/>
      <c r="I133" s="35"/>
      <c r="J133" s="29"/>
      <c r="K133" s="29"/>
      <c r="L133" s="29"/>
    </row>
    <row r="134" spans="1:12" x14ac:dyDescent="0.2">
      <c r="A134" s="55" t="s">
        <v>57</v>
      </c>
      <c r="C134" s="17"/>
      <c r="D134" s="29" t="s">
        <v>12</v>
      </c>
      <c r="E134" s="26">
        <f>SUM(E131:E133)</f>
        <v>224267.56999999998</v>
      </c>
      <c r="F134" s="20"/>
      <c r="G134" s="21"/>
      <c r="H134" s="29"/>
      <c r="I134" s="35"/>
      <c r="J134" s="29"/>
      <c r="K134" s="29"/>
      <c r="L134" s="29"/>
    </row>
    <row r="135" spans="1:12" x14ac:dyDescent="0.2">
      <c r="A135" s="55"/>
      <c r="C135" s="17"/>
      <c r="D135" s="29"/>
      <c r="E135" s="26"/>
      <c r="F135" s="20"/>
      <c r="G135" s="21"/>
      <c r="H135" s="29"/>
      <c r="I135" s="35"/>
      <c r="J135" s="29"/>
      <c r="K135" s="29"/>
      <c r="L135" s="29"/>
    </row>
    <row r="136" spans="1:12" x14ac:dyDescent="0.2">
      <c r="A136" s="52"/>
      <c r="B136" s="39">
        <v>719157878</v>
      </c>
      <c r="C136" s="17">
        <v>35300</v>
      </c>
      <c r="D136" s="1" t="s">
        <v>72</v>
      </c>
      <c r="E136" s="26">
        <v>-5465.53</v>
      </c>
      <c r="F136" s="20"/>
      <c r="G136" s="21">
        <v>42887</v>
      </c>
      <c r="H136" s="29"/>
      <c r="I136" s="35"/>
      <c r="J136" s="29"/>
      <c r="K136" s="29"/>
      <c r="L136" s="29"/>
    </row>
    <row r="137" spans="1:12" x14ac:dyDescent="0.2">
      <c r="A137" s="52"/>
      <c r="B137" s="39">
        <v>719157878</v>
      </c>
      <c r="C137" s="17">
        <v>35300</v>
      </c>
      <c r="D137" s="1" t="s">
        <v>72</v>
      </c>
      <c r="E137" s="26">
        <v>166.1</v>
      </c>
      <c r="F137" s="20"/>
      <c r="G137" s="21">
        <v>42948</v>
      </c>
      <c r="H137" s="29"/>
      <c r="I137" s="35"/>
      <c r="J137" s="29"/>
      <c r="K137" s="29"/>
      <c r="L137" s="29"/>
    </row>
    <row r="138" spans="1:12" x14ac:dyDescent="0.2">
      <c r="A138" s="52"/>
      <c r="B138" s="39">
        <v>719157878</v>
      </c>
      <c r="C138" s="17">
        <v>35300</v>
      </c>
      <c r="D138" s="1" t="s">
        <v>72</v>
      </c>
      <c r="E138" s="60">
        <v>-166.1</v>
      </c>
      <c r="F138" s="43"/>
      <c r="G138" s="21">
        <v>42979</v>
      </c>
      <c r="H138" s="29"/>
      <c r="I138" s="35"/>
      <c r="J138" s="29"/>
      <c r="K138" s="29"/>
      <c r="L138" s="29"/>
    </row>
    <row r="139" spans="1:12" x14ac:dyDescent="0.2">
      <c r="A139" s="52"/>
      <c r="C139" s="17"/>
      <c r="D139" s="29" t="s">
        <v>12</v>
      </c>
      <c r="E139" s="20">
        <f>SUM(E136:E138)</f>
        <v>-5465.53</v>
      </c>
      <c r="F139" s="43"/>
      <c r="G139" s="21"/>
      <c r="H139" s="29"/>
      <c r="I139" s="35"/>
      <c r="J139" s="29"/>
      <c r="K139" s="29"/>
      <c r="L139" s="29"/>
    </row>
    <row r="140" spans="1:12" x14ac:dyDescent="0.2">
      <c r="A140" s="51" t="s">
        <v>60</v>
      </c>
      <c r="C140" s="17"/>
      <c r="E140" s="20"/>
      <c r="F140" s="43"/>
      <c r="G140" s="21"/>
      <c r="H140" s="29"/>
      <c r="I140" s="35"/>
      <c r="J140" s="29"/>
      <c r="K140" s="29"/>
      <c r="L140" s="29"/>
    </row>
    <row r="141" spans="1:12" x14ac:dyDescent="0.2">
      <c r="A141" s="51"/>
      <c r="B141" s="39">
        <v>495300103</v>
      </c>
      <c r="C141" s="17">
        <v>35300</v>
      </c>
      <c r="D141" s="1" t="s">
        <v>76</v>
      </c>
      <c r="E141" s="20">
        <v>-2041.63</v>
      </c>
      <c r="F141" s="43"/>
      <c r="G141" s="21">
        <v>42887</v>
      </c>
      <c r="H141" s="29"/>
      <c r="I141" s="35"/>
      <c r="J141" s="29"/>
      <c r="K141" s="29"/>
      <c r="L141" s="29"/>
    </row>
    <row r="142" spans="1:12" x14ac:dyDescent="0.2">
      <c r="A142" s="51" t="s">
        <v>67</v>
      </c>
      <c r="B142" s="39">
        <v>495300103</v>
      </c>
      <c r="C142" s="17">
        <v>35300</v>
      </c>
      <c r="D142" s="1" t="s">
        <v>76</v>
      </c>
      <c r="E142" s="60">
        <v>622.94000000000005</v>
      </c>
      <c r="F142" s="43"/>
      <c r="G142" s="21">
        <v>42917</v>
      </c>
      <c r="H142" s="29"/>
      <c r="I142" s="35"/>
      <c r="J142" s="29"/>
      <c r="K142" s="29"/>
      <c r="L142" s="29"/>
    </row>
    <row r="143" spans="1:12" x14ac:dyDescent="0.2">
      <c r="A143" s="51"/>
      <c r="C143" s="17"/>
      <c r="D143" s="29" t="s">
        <v>12</v>
      </c>
      <c r="E143" s="20">
        <f>SUM(E141:E142)</f>
        <v>-1418.69</v>
      </c>
      <c r="F143" s="43"/>
      <c r="G143" s="21"/>
      <c r="H143" s="29"/>
      <c r="I143" s="35"/>
      <c r="J143" s="29"/>
      <c r="K143" s="29"/>
      <c r="L143" s="29"/>
    </row>
    <row r="144" spans="1:12" x14ac:dyDescent="0.2">
      <c r="A144" s="52"/>
      <c r="C144" s="17"/>
      <c r="E144" s="20"/>
      <c r="F144" s="43"/>
      <c r="G144" s="21"/>
      <c r="H144" s="41"/>
      <c r="I144" s="35"/>
      <c r="J144" s="29"/>
      <c r="K144" s="29"/>
      <c r="L144" s="29"/>
    </row>
    <row r="145" spans="1:12" x14ac:dyDescent="0.2">
      <c r="A145" s="52"/>
      <c r="B145" s="39">
        <v>511281437</v>
      </c>
      <c r="C145" s="17" t="s">
        <v>59</v>
      </c>
      <c r="D145" s="1" t="s">
        <v>78</v>
      </c>
      <c r="E145" s="20">
        <v>1875.95</v>
      </c>
      <c r="F145" s="43"/>
      <c r="G145" s="21">
        <v>42736</v>
      </c>
      <c r="H145" s="29"/>
      <c r="I145" s="35"/>
      <c r="J145" s="29"/>
      <c r="K145" s="29"/>
      <c r="L145" s="29"/>
    </row>
    <row r="146" spans="1:12" x14ac:dyDescent="0.2">
      <c r="A146" s="52"/>
      <c r="B146" s="39">
        <v>511281437</v>
      </c>
      <c r="C146" s="17" t="s">
        <v>59</v>
      </c>
      <c r="D146" s="1" t="s">
        <v>78</v>
      </c>
      <c r="E146" s="20">
        <v>11399.46</v>
      </c>
      <c r="F146" s="43"/>
      <c r="G146" s="21">
        <v>42767</v>
      </c>
      <c r="H146" s="29"/>
      <c r="I146" s="35"/>
      <c r="J146" s="29"/>
      <c r="K146" s="29"/>
      <c r="L146" s="29"/>
    </row>
    <row r="147" spans="1:12" x14ac:dyDescent="0.2">
      <c r="A147" s="51" t="s">
        <v>71</v>
      </c>
      <c r="B147" s="39">
        <v>511281437</v>
      </c>
      <c r="C147" s="17" t="s">
        <v>59</v>
      </c>
      <c r="D147" s="1" t="s">
        <v>78</v>
      </c>
      <c r="E147" s="20">
        <v>1780.64</v>
      </c>
      <c r="F147" s="43"/>
      <c r="G147" s="21">
        <v>42795</v>
      </c>
      <c r="H147" s="29"/>
      <c r="I147" s="35"/>
      <c r="J147" s="29"/>
      <c r="K147" s="29"/>
      <c r="L147" s="29"/>
    </row>
    <row r="148" spans="1:12" x14ac:dyDescent="0.2">
      <c r="A148" s="51"/>
      <c r="B148" s="39">
        <v>511281437</v>
      </c>
      <c r="C148" s="17" t="s">
        <v>59</v>
      </c>
      <c r="D148" s="1" t="s">
        <v>78</v>
      </c>
      <c r="E148" s="20">
        <v>17477.52</v>
      </c>
      <c r="F148" s="43"/>
      <c r="G148" s="21">
        <v>42826</v>
      </c>
      <c r="H148" s="29"/>
      <c r="I148" s="35"/>
      <c r="J148" s="29"/>
      <c r="K148" s="29"/>
      <c r="L148" s="29"/>
    </row>
    <row r="149" spans="1:12" x14ac:dyDescent="0.2">
      <c r="A149" s="52"/>
      <c r="B149" s="37">
        <v>511281437</v>
      </c>
      <c r="C149" s="17" t="s">
        <v>59</v>
      </c>
      <c r="D149" t="s">
        <v>78</v>
      </c>
      <c r="E149" s="20">
        <v>6201.9</v>
      </c>
      <c r="F149" s="43"/>
      <c r="G149" s="21">
        <v>42856</v>
      </c>
      <c r="H149" s="29"/>
      <c r="I149" s="35"/>
      <c r="J149" s="29"/>
      <c r="K149" s="29"/>
      <c r="L149" s="29"/>
    </row>
    <row r="150" spans="1:12" x14ac:dyDescent="0.2">
      <c r="A150" s="52"/>
      <c r="B150" s="37">
        <v>511281437</v>
      </c>
      <c r="C150" s="17" t="s">
        <v>59</v>
      </c>
      <c r="D150" t="s">
        <v>78</v>
      </c>
      <c r="E150" s="20">
        <v>1491.66</v>
      </c>
      <c r="F150" s="43"/>
      <c r="G150" s="21">
        <v>42887</v>
      </c>
      <c r="H150" s="29"/>
      <c r="I150" s="35"/>
      <c r="J150" s="29"/>
      <c r="K150" s="29"/>
      <c r="L150" s="29"/>
    </row>
    <row r="151" spans="1:12" x14ac:dyDescent="0.2">
      <c r="A151" s="52"/>
      <c r="B151" s="37">
        <v>511281437</v>
      </c>
      <c r="C151" s="17" t="s">
        <v>59</v>
      </c>
      <c r="D151" t="s">
        <v>78</v>
      </c>
      <c r="E151" s="20">
        <v>458.84</v>
      </c>
      <c r="F151" s="43"/>
      <c r="G151" s="21">
        <v>42917</v>
      </c>
      <c r="H151" s="29"/>
      <c r="I151" s="35"/>
      <c r="J151" s="29"/>
      <c r="K151" s="29"/>
      <c r="L151" s="29"/>
    </row>
    <row r="152" spans="1:12" x14ac:dyDescent="0.2">
      <c r="A152" s="51" t="s">
        <v>75</v>
      </c>
      <c r="B152" s="37">
        <v>511281437</v>
      </c>
      <c r="C152" s="17" t="s">
        <v>59</v>
      </c>
      <c r="D152" t="s">
        <v>78</v>
      </c>
      <c r="E152" s="20">
        <v>504.52</v>
      </c>
      <c r="F152" s="43"/>
      <c r="G152" s="21">
        <v>42948</v>
      </c>
      <c r="H152" s="29"/>
      <c r="I152" s="35"/>
      <c r="J152" s="29"/>
      <c r="K152" s="29"/>
      <c r="L152" s="29"/>
    </row>
    <row r="153" spans="1:12" x14ac:dyDescent="0.2">
      <c r="A153" s="52"/>
      <c r="B153" s="37">
        <v>511281437</v>
      </c>
      <c r="C153" s="17" t="s">
        <v>59</v>
      </c>
      <c r="D153" t="s">
        <v>78</v>
      </c>
      <c r="E153" s="20">
        <v>1891.42</v>
      </c>
      <c r="F153" s="43"/>
      <c r="G153" s="21">
        <v>42979</v>
      </c>
      <c r="H153" s="29"/>
      <c r="I153" s="35"/>
      <c r="J153" s="29"/>
      <c r="K153" s="29"/>
      <c r="L153" s="29"/>
    </row>
    <row r="154" spans="1:12" x14ac:dyDescent="0.2">
      <c r="A154" s="52"/>
      <c r="B154" s="37">
        <v>511281437</v>
      </c>
      <c r="C154" s="17" t="s">
        <v>59</v>
      </c>
      <c r="D154" t="s">
        <v>78</v>
      </c>
      <c r="E154" s="20">
        <v>1477.31</v>
      </c>
      <c r="F154" s="43"/>
      <c r="G154" s="21">
        <v>43009</v>
      </c>
      <c r="H154" s="29"/>
      <c r="I154" s="35"/>
      <c r="J154" s="29"/>
      <c r="K154" s="29"/>
      <c r="L154" s="29"/>
    </row>
    <row r="155" spans="1:12" x14ac:dyDescent="0.2">
      <c r="A155" s="52"/>
      <c r="B155" s="37">
        <v>511281437</v>
      </c>
      <c r="C155" s="17" t="s">
        <v>59</v>
      </c>
      <c r="D155" t="s">
        <v>78</v>
      </c>
      <c r="E155" s="20">
        <v>308.95999999999998</v>
      </c>
      <c r="F155" s="43"/>
      <c r="G155" s="21">
        <v>43040</v>
      </c>
      <c r="H155" s="29"/>
      <c r="I155" s="35"/>
      <c r="J155" s="29"/>
      <c r="K155" s="29"/>
      <c r="L155" s="29"/>
    </row>
    <row r="156" spans="1:12" x14ac:dyDescent="0.2">
      <c r="A156" s="51" t="s">
        <v>77</v>
      </c>
      <c r="B156" s="37">
        <v>511281437</v>
      </c>
      <c r="C156" s="17" t="s">
        <v>59</v>
      </c>
      <c r="D156" t="s">
        <v>78</v>
      </c>
      <c r="E156" s="60">
        <v>1517.7</v>
      </c>
      <c r="F156" s="43"/>
      <c r="G156" s="21">
        <v>43070</v>
      </c>
      <c r="H156" s="29"/>
      <c r="I156" s="35"/>
      <c r="J156" s="29"/>
      <c r="K156" s="29"/>
      <c r="L156" s="29"/>
    </row>
    <row r="157" spans="1:12" x14ac:dyDescent="0.2">
      <c r="A157" s="52"/>
      <c r="B157" s="37"/>
      <c r="C157" s="17"/>
      <c r="D157" s="40" t="s">
        <v>12</v>
      </c>
      <c r="E157" s="20">
        <f>SUM(E145:E156)</f>
        <v>46385.87999999999</v>
      </c>
      <c r="F157" s="43"/>
      <c r="G157" s="21"/>
      <c r="H157" s="29"/>
      <c r="I157" s="35"/>
      <c r="J157" s="29"/>
      <c r="K157" s="29"/>
      <c r="L157" s="29"/>
    </row>
    <row r="158" spans="1:12" x14ac:dyDescent="0.2">
      <c r="A158" s="52"/>
      <c r="B158" s="23"/>
      <c r="C158" s="17"/>
      <c r="D158" s="29"/>
      <c r="E158" s="20"/>
      <c r="F158" s="43"/>
      <c r="G158" s="21"/>
      <c r="H158" s="29"/>
      <c r="I158" s="35"/>
      <c r="J158" s="29"/>
      <c r="K158" s="29"/>
      <c r="L158" s="29"/>
    </row>
    <row r="159" spans="1:12" x14ac:dyDescent="0.2">
      <c r="A159" s="52"/>
      <c r="B159" s="37">
        <v>540946841</v>
      </c>
      <c r="C159" s="17">
        <v>35300</v>
      </c>
      <c r="D159" t="s">
        <v>88</v>
      </c>
      <c r="E159" s="61">
        <v>51.37</v>
      </c>
      <c r="F159" s="43"/>
      <c r="G159" s="21">
        <v>42767</v>
      </c>
      <c r="H159" s="29"/>
      <c r="I159" s="35"/>
      <c r="J159" s="29"/>
      <c r="K159" s="29"/>
      <c r="L159" s="29"/>
    </row>
    <row r="160" spans="1:12" x14ac:dyDescent="0.2">
      <c r="A160" s="52"/>
      <c r="B160" s="37">
        <v>540946841</v>
      </c>
      <c r="C160" s="17">
        <v>35300</v>
      </c>
      <c r="D160" t="s">
        <v>88</v>
      </c>
      <c r="E160" s="20">
        <v>35.590000000000003</v>
      </c>
      <c r="F160" s="43"/>
      <c r="G160" s="21">
        <v>42795</v>
      </c>
      <c r="H160" s="29"/>
      <c r="I160" s="35"/>
      <c r="J160" s="29"/>
      <c r="K160" s="29"/>
      <c r="L160" s="29"/>
    </row>
    <row r="161" spans="1:12" x14ac:dyDescent="0.2">
      <c r="A161" s="52"/>
      <c r="B161" s="37">
        <v>540946841</v>
      </c>
      <c r="C161" s="17">
        <v>35300</v>
      </c>
      <c r="D161" t="s">
        <v>88</v>
      </c>
      <c r="E161" s="20">
        <v>1873.07</v>
      </c>
      <c r="F161" s="43"/>
      <c r="G161" s="21">
        <v>42887</v>
      </c>
      <c r="H161" s="29"/>
      <c r="I161" s="35"/>
      <c r="J161" s="29"/>
      <c r="K161" s="29"/>
      <c r="L161" s="29"/>
    </row>
    <row r="162" spans="1:12" x14ac:dyDescent="0.2">
      <c r="A162" s="52"/>
      <c r="B162" s="37">
        <v>540946841</v>
      </c>
      <c r="C162" s="17">
        <v>35300</v>
      </c>
      <c r="D162" t="s">
        <v>88</v>
      </c>
      <c r="E162" s="20">
        <v>3591.45</v>
      </c>
      <c r="F162" s="43"/>
      <c r="G162" s="21">
        <v>42917</v>
      </c>
      <c r="H162" s="29"/>
      <c r="I162" s="35"/>
      <c r="J162" s="29"/>
      <c r="K162" s="29"/>
      <c r="L162" s="29"/>
    </row>
    <row r="163" spans="1:12" x14ac:dyDescent="0.2">
      <c r="A163" s="52"/>
      <c r="B163" s="37">
        <v>540946841</v>
      </c>
      <c r="C163" s="17">
        <v>35300</v>
      </c>
      <c r="D163" t="s">
        <v>88</v>
      </c>
      <c r="E163" s="20">
        <v>-1587.58</v>
      </c>
      <c r="F163" s="43"/>
      <c r="G163" s="21">
        <v>42948</v>
      </c>
      <c r="H163" s="29"/>
      <c r="I163" s="35"/>
      <c r="J163" s="29"/>
      <c r="K163" s="29"/>
      <c r="L163" s="29"/>
    </row>
    <row r="164" spans="1:12" x14ac:dyDescent="0.2">
      <c r="A164" s="52"/>
      <c r="B164" s="37">
        <v>540946841</v>
      </c>
      <c r="C164" s="17">
        <v>35300</v>
      </c>
      <c r="D164" t="s">
        <v>88</v>
      </c>
      <c r="E164" s="28">
        <v>793.51</v>
      </c>
      <c r="F164" s="43"/>
      <c r="G164" s="21">
        <v>42979</v>
      </c>
      <c r="H164" s="29"/>
      <c r="I164" s="35"/>
      <c r="J164" s="29"/>
      <c r="K164" s="29"/>
      <c r="L164" s="29"/>
    </row>
    <row r="165" spans="1:12" x14ac:dyDescent="0.2">
      <c r="A165" s="52"/>
      <c r="B165" s="37">
        <v>540946841</v>
      </c>
      <c r="C165" s="17">
        <v>35300</v>
      </c>
      <c r="D165" t="s">
        <v>88</v>
      </c>
      <c r="E165" s="20">
        <v>-41.99</v>
      </c>
      <c r="F165" s="43"/>
      <c r="G165" s="21">
        <v>43009</v>
      </c>
      <c r="H165" s="29"/>
      <c r="I165" s="35"/>
      <c r="J165" s="29"/>
      <c r="K165" s="29"/>
      <c r="L165" s="29"/>
    </row>
    <row r="166" spans="1:12" x14ac:dyDescent="0.2">
      <c r="A166" s="52"/>
      <c r="B166" s="37">
        <v>540946841</v>
      </c>
      <c r="C166" s="17">
        <v>35300</v>
      </c>
      <c r="D166" t="s">
        <v>88</v>
      </c>
      <c r="E166" s="60">
        <v>476.67</v>
      </c>
      <c r="F166" s="43"/>
      <c r="G166" s="21">
        <v>43070</v>
      </c>
      <c r="H166" s="29"/>
      <c r="I166" s="35"/>
      <c r="J166" s="29"/>
      <c r="K166" s="29"/>
      <c r="L166" s="29"/>
    </row>
    <row r="167" spans="1:12" x14ac:dyDescent="0.2">
      <c r="A167" s="52"/>
      <c r="B167" s="37"/>
      <c r="C167" s="17"/>
      <c r="D167" s="40" t="s">
        <v>12</v>
      </c>
      <c r="E167" s="20">
        <f>SUM(E159:E166)</f>
        <v>5192.09</v>
      </c>
      <c r="F167" s="43"/>
      <c r="G167" s="21"/>
      <c r="H167" s="29"/>
      <c r="I167" s="35"/>
      <c r="J167" s="29"/>
      <c r="K167" s="29"/>
      <c r="L167" s="29"/>
    </row>
    <row r="168" spans="1:12" x14ac:dyDescent="0.2">
      <c r="A168" s="52"/>
      <c r="B168" s="37"/>
      <c r="C168" s="17"/>
      <c r="D168"/>
      <c r="E168" s="60"/>
      <c r="F168" s="43"/>
      <c r="G168" s="21"/>
      <c r="H168" s="29"/>
      <c r="I168" s="35"/>
      <c r="J168" s="29"/>
      <c r="K168" s="29"/>
      <c r="L168" s="29"/>
    </row>
    <row r="169" spans="1:12" x14ac:dyDescent="0.2">
      <c r="A169" s="52"/>
      <c r="B169" s="37">
        <v>503025824</v>
      </c>
      <c r="C169" s="17">
        <v>35300</v>
      </c>
      <c r="D169" t="s">
        <v>90</v>
      </c>
      <c r="E169" s="20">
        <v>92.67</v>
      </c>
      <c r="F169" s="43"/>
      <c r="G169" s="21">
        <v>42856</v>
      </c>
      <c r="H169" s="29"/>
      <c r="I169" s="35"/>
      <c r="J169" s="29"/>
      <c r="K169" s="29"/>
      <c r="L169" s="29"/>
    </row>
    <row r="170" spans="1:12" x14ac:dyDescent="0.2">
      <c r="A170" s="51" t="s">
        <v>87</v>
      </c>
      <c r="B170" s="37">
        <v>503025824</v>
      </c>
      <c r="C170" s="17">
        <v>35300</v>
      </c>
      <c r="D170" t="s">
        <v>90</v>
      </c>
      <c r="E170" s="60">
        <v>93984.25</v>
      </c>
      <c r="F170" s="43"/>
      <c r="G170" s="21">
        <v>43009</v>
      </c>
      <c r="H170" s="29"/>
      <c r="I170" s="35"/>
      <c r="J170" s="29"/>
      <c r="K170" s="29"/>
      <c r="L170" s="29"/>
    </row>
    <row r="171" spans="1:12" x14ac:dyDescent="0.2">
      <c r="A171" s="52"/>
      <c r="B171" s="23"/>
      <c r="C171" s="17"/>
      <c r="D171" s="29" t="s">
        <v>12</v>
      </c>
      <c r="E171" s="20">
        <f>SUM(E169:E170)</f>
        <v>94076.92</v>
      </c>
      <c r="F171" s="43"/>
      <c r="G171" s="21"/>
      <c r="H171" s="29"/>
      <c r="I171" s="35"/>
      <c r="J171" s="29"/>
      <c r="K171" s="29"/>
      <c r="L171" s="29"/>
    </row>
    <row r="172" spans="1:12" x14ac:dyDescent="0.2">
      <c r="A172" s="52"/>
      <c r="B172" s="23"/>
      <c r="C172" s="17"/>
      <c r="D172" s="29"/>
      <c r="E172" s="20"/>
      <c r="F172" s="43"/>
      <c r="G172" s="21"/>
      <c r="H172" s="29"/>
      <c r="I172" s="35"/>
      <c r="J172" s="29"/>
      <c r="K172" s="29"/>
      <c r="L172" s="29"/>
    </row>
    <row r="173" spans="1:12" x14ac:dyDescent="0.2">
      <c r="A173" s="52"/>
      <c r="B173" s="39">
        <v>544530217</v>
      </c>
      <c r="C173" s="17">
        <v>35300</v>
      </c>
      <c r="D173" t="s">
        <v>96</v>
      </c>
      <c r="E173" s="44">
        <v>39671.160000000003</v>
      </c>
      <c r="F173" s="43"/>
      <c r="G173" s="21">
        <v>42736</v>
      </c>
      <c r="H173" s="29"/>
      <c r="I173" s="35"/>
      <c r="J173" s="29"/>
      <c r="K173" s="29"/>
      <c r="L173" s="29"/>
    </row>
    <row r="174" spans="1:12" x14ac:dyDescent="0.2">
      <c r="A174" s="52"/>
      <c r="B174" s="39">
        <v>544530217</v>
      </c>
      <c r="C174" s="17">
        <v>35300</v>
      </c>
      <c r="D174" t="s">
        <v>96</v>
      </c>
      <c r="E174" s="20">
        <v>73327.06</v>
      </c>
      <c r="F174" s="43"/>
      <c r="G174" s="21">
        <v>42767</v>
      </c>
      <c r="H174" s="29"/>
      <c r="I174" s="35"/>
      <c r="J174" s="29"/>
      <c r="K174" s="29"/>
      <c r="L174" s="29"/>
    </row>
    <row r="175" spans="1:12" x14ac:dyDescent="0.2">
      <c r="A175" s="52"/>
      <c r="B175" s="39">
        <v>544530217</v>
      </c>
      <c r="C175" s="17">
        <v>35300</v>
      </c>
      <c r="D175" t="s">
        <v>96</v>
      </c>
      <c r="E175" s="20">
        <v>21998.1</v>
      </c>
      <c r="F175" s="43"/>
      <c r="G175" s="21">
        <v>42795</v>
      </c>
      <c r="H175" s="29"/>
      <c r="I175" s="35"/>
      <c r="J175" s="29"/>
      <c r="K175" s="29"/>
      <c r="L175" s="29"/>
    </row>
    <row r="176" spans="1:12" x14ac:dyDescent="0.2">
      <c r="A176" s="52"/>
      <c r="B176" s="39">
        <v>544530217</v>
      </c>
      <c r="C176" s="17">
        <v>35300</v>
      </c>
      <c r="D176" t="s">
        <v>96</v>
      </c>
      <c r="E176" s="20">
        <v>14428.32</v>
      </c>
      <c r="F176" s="43"/>
      <c r="G176" s="21">
        <v>42826</v>
      </c>
      <c r="H176" s="29"/>
      <c r="I176" s="35"/>
      <c r="J176" s="29"/>
      <c r="K176" s="29"/>
      <c r="L176" s="29"/>
    </row>
    <row r="177" spans="1:12" x14ac:dyDescent="0.2">
      <c r="A177" s="52"/>
      <c r="B177" s="39">
        <v>544530217</v>
      </c>
      <c r="C177" s="17">
        <v>35300</v>
      </c>
      <c r="D177" t="s">
        <v>96</v>
      </c>
      <c r="E177" s="20">
        <v>2385.06</v>
      </c>
      <c r="F177" s="43"/>
      <c r="G177" s="21">
        <v>42856</v>
      </c>
      <c r="H177" s="29"/>
      <c r="I177" s="35"/>
      <c r="J177" s="29"/>
      <c r="K177" s="29"/>
      <c r="L177" s="29"/>
    </row>
    <row r="178" spans="1:12" x14ac:dyDescent="0.2">
      <c r="A178" s="52"/>
      <c r="B178" s="39">
        <v>544530217</v>
      </c>
      <c r="C178" s="17">
        <v>35300</v>
      </c>
      <c r="D178" t="s">
        <v>96</v>
      </c>
      <c r="E178" s="28">
        <v>-4871.3900000000003</v>
      </c>
      <c r="F178" s="43"/>
      <c r="G178" s="21">
        <v>42887</v>
      </c>
      <c r="H178" s="29"/>
      <c r="I178" s="35"/>
      <c r="J178" s="29"/>
      <c r="K178" s="29"/>
      <c r="L178" s="29"/>
    </row>
    <row r="179" spans="1:12" x14ac:dyDescent="0.2">
      <c r="A179" s="52"/>
      <c r="B179" s="39">
        <v>544530217</v>
      </c>
      <c r="C179" s="17">
        <v>35300</v>
      </c>
      <c r="D179" t="s">
        <v>96</v>
      </c>
      <c r="E179" s="20">
        <v>-1740.9</v>
      </c>
      <c r="F179" s="43"/>
      <c r="G179" s="21">
        <v>42917</v>
      </c>
      <c r="H179" s="29"/>
      <c r="I179" s="35"/>
      <c r="J179" s="29"/>
      <c r="K179" s="29"/>
      <c r="L179" s="29"/>
    </row>
    <row r="180" spans="1:12" x14ac:dyDescent="0.2">
      <c r="A180" s="25" t="s">
        <v>89</v>
      </c>
      <c r="B180" s="39">
        <v>544530217</v>
      </c>
      <c r="C180" s="17">
        <v>35300</v>
      </c>
      <c r="D180" t="s">
        <v>96</v>
      </c>
      <c r="E180" s="20">
        <v>-99.78</v>
      </c>
      <c r="F180" s="43"/>
      <c r="G180" s="21">
        <v>42948</v>
      </c>
      <c r="H180" s="29"/>
      <c r="I180" s="35"/>
      <c r="J180" s="29"/>
      <c r="K180" s="29"/>
      <c r="L180" s="29"/>
    </row>
    <row r="181" spans="1:12" x14ac:dyDescent="0.2">
      <c r="A181" s="52"/>
      <c r="B181" s="39">
        <v>544530217</v>
      </c>
      <c r="C181" s="17">
        <v>35300</v>
      </c>
      <c r="D181" t="s">
        <v>96</v>
      </c>
      <c r="E181" s="20">
        <v>-9665.3700000000008</v>
      </c>
      <c r="F181" s="43"/>
      <c r="G181" s="21">
        <v>42979</v>
      </c>
      <c r="H181" s="29"/>
      <c r="I181" s="35"/>
      <c r="J181" s="29"/>
      <c r="K181" s="29"/>
      <c r="L181" s="29"/>
    </row>
    <row r="182" spans="1:12" x14ac:dyDescent="0.2">
      <c r="A182" s="52"/>
      <c r="B182" s="39">
        <v>544530217</v>
      </c>
      <c r="C182" s="17">
        <v>35300</v>
      </c>
      <c r="D182" t="s">
        <v>96</v>
      </c>
      <c r="E182" s="20">
        <v>1279.6400000000001</v>
      </c>
      <c r="F182" s="43"/>
      <c r="G182" s="21">
        <v>43009</v>
      </c>
      <c r="H182" s="29"/>
      <c r="I182" s="35"/>
      <c r="J182" s="29"/>
      <c r="K182" s="29"/>
      <c r="L182" s="29"/>
    </row>
    <row r="183" spans="1:12" x14ac:dyDescent="0.2">
      <c r="A183" s="52"/>
      <c r="B183" s="39">
        <v>544530217</v>
      </c>
      <c r="C183" s="17">
        <v>35300</v>
      </c>
      <c r="D183" t="s">
        <v>96</v>
      </c>
      <c r="E183" s="60">
        <v>9868.39</v>
      </c>
      <c r="F183" s="43"/>
      <c r="G183" s="21">
        <v>43070</v>
      </c>
      <c r="H183" s="29"/>
      <c r="I183" s="35"/>
      <c r="J183" s="29"/>
      <c r="K183" s="29"/>
      <c r="L183" s="29"/>
    </row>
    <row r="184" spans="1:12" x14ac:dyDescent="0.2">
      <c r="A184" s="25" t="s">
        <v>95</v>
      </c>
      <c r="B184" s="37"/>
      <c r="C184" s="17"/>
      <c r="D184" s="40" t="s">
        <v>12</v>
      </c>
      <c r="E184" s="20">
        <f>SUM(E173:E183)</f>
        <v>146580.29000000004</v>
      </c>
      <c r="F184" s="43"/>
      <c r="G184" s="21"/>
      <c r="H184" s="29"/>
      <c r="I184" s="35"/>
      <c r="J184" s="29"/>
      <c r="K184" s="29"/>
      <c r="L184" s="29"/>
    </row>
    <row r="185" spans="1:12" x14ac:dyDescent="0.2">
      <c r="A185" s="52"/>
      <c r="B185" s="37"/>
      <c r="C185" s="17"/>
      <c r="D185"/>
      <c r="E185" s="20"/>
      <c r="F185" s="43"/>
      <c r="G185" s="21"/>
      <c r="H185" s="29"/>
      <c r="I185" s="35"/>
      <c r="J185" s="29"/>
      <c r="K185" s="29"/>
      <c r="L185" s="29"/>
    </row>
    <row r="186" spans="1:12" x14ac:dyDescent="0.2">
      <c r="A186" s="52"/>
      <c r="B186" s="37">
        <v>513124964</v>
      </c>
      <c r="C186" s="17" t="s">
        <v>47</v>
      </c>
      <c r="D186" t="s">
        <v>100</v>
      </c>
      <c r="E186" s="20">
        <v>1491.3</v>
      </c>
      <c r="F186" s="43"/>
      <c r="G186" s="21">
        <v>42736</v>
      </c>
      <c r="H186" s="29"/>
      <c r="I186" s="35"/>
      <c r="J186" s="29"/>
      <c r="K186" s="29"/>
      <c r="L186" s="29"/>
    </row>
    <row r="187" spans="1:12" x14ac:dyDescent="0.2">
      <c r="A187" s="52"/>
      <c r="B187" s="37">
        <v>513124964</v>
      </c>
      <c r="C187" s="17" t="s">
        <v>47</v>
      </c>
      <c r="D187" t="s">
        <v>100</v>
      </c>
      <c r="E187" s="20">
        <v>2641.07</v>
      </c>
      <c r="F187" s="43"/>
      <c r="G187" s="21">
        <v>42767</v>
      </c>
      <c r="H187" s="29"/>
      <c r="I187" s="35"/>
      <c r="J187" s="29"/>
      <c r="K187" s="29"/>
      <c r="L187" s="29"/>
    </row>
    <row r="188" spans="1:12" x14ac:dyDescent="0.2">
      <c r="A188" s="52"/>
      <c r="B188" s="37">
        <v>513124964</v>
      </c>
      <c r="C188" s="17" t="s">
        <v>47</v>
      </c>
      <c r="D188" t="s">
        <v>100</v>
      </c>
      <c r="E188" s="20">
        <v>526.02</v>
      </c>
      <c r="F188" s="43"/>
      <c r="G188" s="21">
        <v>42795</v>
      </c>
      <c r="H188" s="29"/>
      <c r="I188" s="35"/>
      <c r="J188" s="29"/>
      <c r="K188" s="29"/>
      <c r="L188" s="29"/>
    </row>
    <row r="189" spans="1:12" x14ac:dyDescent="0.2">
      <c r="A189" s="52"/>
      <c r="B189" s="37">
        <v>513124964</v>
      </c>
      <c r="C189" s="17" t="s">
        <v>47</v>
      </c>
      <c r="D189" t="s">
        <v>100</v>
      </c>
      <c r="E189" s="28">
        <v>-13245.79</v>
      </c>
      <c r="F189" s="43"/>
      <c r="G189" s="21">
        <v>42887</v>
      </c>
      <c r="H189" s="29"/>
      <c r="I189" s="35"/>
      <c r="J189" s="29"/>
      <c r="K189" s="29"/>
      <c r="L189" s="29"/>
    </row>
    <row r="190" spans="1:12" x14ac:dyDescent="0.2">
      <c r="A190" s="52"/>
      <c r="B190" s="37">
        <v>513124964</v>
      </c>
      <c r="C190" s="76" t="s">
        <v>166</v>
      </c>
      <c r="D190" t="s">
        <v>100</v>
      </c>
      <c r="E190" s="20">
        <v>1280.3800000000001</v>
      </c>
      <c r="F190" s="43"/>
      <c r="G190" s="21">
        <v>42948</v>
      </c>
      <c r="H190" s="29"/>
      <c r="I190" s="35"/>
      <c r="J190" s="29"/>
      <c r="K190" s="29"/>
      <c r="L190" s="29"/>
    </row>
    <row r="191" spans="1:12" x14ac:dyDescent="0.2">
      <c r="A191" s="52"/>
      <c r="B191" s="37">
        <v>513124964</v>
      </c>
      <c r="C191" s="17" t="s">
        <v>47</v>
      </c>
      <c r="D191" t="s">
        <v>100</v>
      </c>
      <c r="E191" s="60">
        <v>-1280.3800000000001</v>
      </c>
      <c r="F191" s="43"/>
      <c r="G191" s="21">
        <v>42979</v>
      </c>
      <c r="H191" s="29"/>
      <c r="I191" s="35"/>
      <c r="J191" s="29"/>
      <c r="K191" s="29"/>
      <c r="L191" s="29"/>
    </row>
    <row r="192" spans="1:12" x14ac:dyDescent="0.2">
      <c r="A192" s="52"/>
      <c r="B192" s="37"/>
      <c r="C192" s="17"/>
      <c r="D192" s="40" t="s">
        <v>12</v>
      </c>
      <c r="E192" s="20">
        <f>SUM(E186:E191)</f>
        <v>-8587.4000000000015</v>
      </c>
      <c r="F192" s="43"/>
      <c r="G192" s="21"/>
      <c r="H192" s="29"/>
      <c r="I192" s="35"/>
      <c r="J192" s="29"/>
      <c r="K192" s="29"/>
      <c r="L192" s="29"/>
    </row>
    <row r="193" spans="1:12" x14ac:dyDescent="0.2">
      <c r="A193" s="52"/>
      <c r="B193" s="37"/>
      <c r="C193" s="17"/>
      <c r="D193"/>
      <c r="E193" s="20"/>
      <c r="F193" s="43"/>
      <c r="G193" s="21"/>
      <c r="H193" s="29"/>
      <c r="I193" s="35"/>
      <c r="J193" s="29"/>
      <c r="K193" s="29"/>
      <c r="L193" s="29"/>
    </row>
    <row r="194" spans="1:12" x14ac:dyDescent="0.2">
      <c r="A194" s="52"/>
      <c r="B194" s="37">
        <v>710349743</v>
      </c>
      <c r="C194" s="73" t="s">
        <v>61</v>
      </c>
      <c r="D194" s="29" t="s">
        <v>102</v>
      </c>
      <c r="E194" s="20">
        <v>12982471.49</v>
      </c>
      <c r="F194" s="43"/>
      <c r="G194" s="21">
        <v>42736</v>
      </c>
      <c r="H194" s="29"/>
      <c r="I194" s="35"/>
      <c r="J194" s="29"/>
      <c r="K194" s="29"/>
      <c r="L194" s="29"/>
    </row>
    <row r="195" spans="1:12" x14ac:dyDescent="0.2">
      <c r="A195" s="52"/>
      <c r="B195" s="37">
        <v>710349743</v>
      </c>
      <c r="C195" s="73" t="s">
        <v>61</v>
      </c>
      <c r="D195" s="29" t="s">
        <v>102</v>
      </c>
      <c r="E195" s="20">
        <v>8129750.7000000002</v>
      </c>
      <c r="F195" s="43"/>
      <c r="G195" s="21">
        <v>42767</v>
      </c>
      <c r="H195" s="29"/>
      <c r="I195" s="35"/>
      <c r="J195" s="29"/>
      <c r="K195" s="29"/>
      <c r="L195" s="29"/>
    </row>
    <row r="196" spans="1:12" x14ac:dyDescent="0.2">
      <c r="A196" s="52"/>
      <c r="B196" s="37">
        <v>710349743</v>
      </c>
      <c r="C196" s="73" t="s">
        <v>61</v>
      </c>
      <c r="D196" s="29" t="s">
        <v>102</v>
      </c>
      <c r="E196" s="20">
        <v>726919.01</v>
      </c>
      <c r="F196" s="43"/>
      <c r="G196" s="21">
        <v>42795</v>
      </c>
      <c r="H196" s="29"/>
      <c r="I196" s="35"/>
      <c r="J196" s="29"/>
      <c r="K196" s="29"/>
      <c r="L196" s="29"/>
    </row>
    <row r="197" spans="1:12" x14ac:dyDescent="0.2">
      <c r="A197" s="51" t="s">
        <v>99</v>
      </c>
      <c r="B197" s="37">
        <v>710349743</v>
      </c>
      <c r="C197" s="73" t="s">
        <v>61</v>
      </c>
      <c r="D197" s="29" t="s">
        <v>102</v>
      </c>
      <c r="E197" s="20">
        <v>-5322163.66</v>
      </c>
      <c r="F197" s="43"/>
      <c r="G197" s="21">
        <v>42826</v>
      </c>
      <c r="H197" s="29"/>
      <c r="I197" s="35"/>
      <c r="J197" s="29"/>
      <c r="K197" s="29"/>
      <c r="L197" s="29"/>
    </row>
    <row r="198" spans="1:12" x14ac:dyDescent="0.2">
      <c r="A198" s="52"/>
      <c r="B198" s="37">
        <v>710349743</v>
      </c>
      <c r="C198" s="73" t="s">
        <v>61</v>
      </c>
      <c r="D198" s="29" t="s">
        <v>102</v>
      </c>
      <c r="E198" s="60">
        <v>90.3</v>
      </c>
      <c r="F198" s="43"/>
      <c r="G198" s="21">
        <v>42856</v>
      </c>
      <c r="H198" s="29"/>
      <c r="I198" s="35"/>
      <c r="J198" s="29"/>
      <c r="K198" s="29"/>
      <c r="L198" s="29"/>
    </row>
    <row r="199" spans="1:12" x14ac:dyDescent="0.2">
      <c r="A199" s="52"/>
      <c r="B199" s="37"/>
      <c r="C199" s="17"/>
      <c r="D199" s="29" t="s">
        <v>12</v>
      </c>
      <c r="E199" s="44">
        <f>SUM(E194:E198)</f>
        <v>16517067.840000004</v>
      </c>
      <c r="F199" s="43"/>
      <c r="G199" s="21"/>
      <c r="H199" s="29"/>
      <c r="I199" s="35"/>
      <c r="J199" s="29"/>
      <c r="K199" s="29"/>
      <c r="L199" s="29"/>
    </row>
    <row r="200" spans="1:12" x14ac:dyDescent="0.2">
      <c r="A200" s="52"/>
      <c r="B200" s="37"/>
      <c r="C200" s="17"/>
      <c r="D200"/>
      <c r="E200" s="20"/>
      <c r="F200" s="43"/>
      <c r="G200" s="21"/>
      <c r="H200" s="29"/>
      <c r="I200" s="35"/>
      <c r="J200" s="29"/>
      <c r="K200" s="29"/>
      <c r="L200" s="29"/>
    </row>
    <row r="201" spans="1:12" x14ac:dyDescent="0.2">
      <c r="A201" s="52"/>
      <c r="B201" s="37">
        <v>509201475</v>
      </c>
      <c r="C201" s="17">
        <v>35500</v>
      </c>
      <c r="D201" t="s">
        <v>104</v>
      </c>
      <c r="E201" s="20">
        <v>-14265296.859999999</v>
      </c>
      <c r="F201" s="43"/>
      <c r="G201" s="21">
        <v>42736</v>
      </c>
      <c r="H201" s="29"/>
      <c r="I201" s="35"/>
      <c r="J201" s="29"/>
      <c r="K201" s="29"/>
      <c r="L201" s="29"/>
    </row>
    <row r="202" spans="1:12" x14ac:dyDescent="0.2">
      <c r="A202" s="52"/>
      <c r="B202" s="37">
        <v>509201475</v>
      </c>
      <c r="C202" s="17">
        <v>35500</v>
      </c>
      <c r="D202" t="s">
        <v>104</v>
      </c>
      <c r="E202" s="20">
        <v>-9008906.0299999993</v>
      </c>
      <c r="F202" s="43"/>
      <c r="G202" s="21">
        <v>42767</v>
      </c>
      <c r="H202" s="29"/>
      <c r="I202" s="35"/>
      <c r="J202" s="29"/>
      <c r="K202" s="29"/>
      <c r="L202" s="29"/>
    </row>
    <row r="203" spans="1:12" x14ac:dyDescent="0.2">
      <c r="A203" s="52"/>
      <c r="B203" s="37">
        <v>509201475</v>
      </c>
      <c r="C203" s="17">
        <v>35500</v>
      </c>
      <c r="D203" t="s">
        <v>104</v>
      </c>
      <c r="E203" s="20">
        <v>-836792.12</v>
      </c>
      <c r="F203" s="43"/>
      <c r="G203" s="21">
        <v>42795</v>
      </c>
      <c r="H203" s="29"/>
      <c r="I203" s="35"/>
      <c r="J203" s="29"/>
      <c r="K203" s="29"/>
      <c r="L203" s="29"/>
    </row>
    <row r="204" spans="1:12" x14ac:dyDescent="0.2">
      <c r="A204" s="52"/>
      <c r="B204" s="37">
        <v>509201475</v>
      </c>
      <c r="C204" s="17">
        <v>35500</v>
      </c>
      <c r="D204" t="s">
        <v>104</v>
      </c>
      <c r="E204" s="20">
        <v>-37740.6</v>
      </c>
      <c r="F204" s="43"/>
      <c r="G204" s="21">
        <v>42826</v>
      </c>
      <c r="H204" s="29"/>
      <c r="I204" s="35"/>
      <c r="J204" s="29"/>
      <c r="K204" s="29"/>
      <c r="L204" s="29"/>
    </row>
    <row r="205" spans="1:12" x14ac:dyDescent="0.2">
      <c r="A205" s="25" t="s">
        <v>101</v>
      </c>
      <c r="B205" s="37">
        <v>509201475</v>
      </c>
      <c r="C205" s="17">
        <v>35500</v>
      </c>
      <c r="D205" t="s">
        <v>104</v>
      </c>
      <c r="E205" s="20">
        <v>599.27</v>
      </c>
      <c r="F205" s="43"/>
      <c r="G205" s="21">
        <v>42856</v>
      </c>
      <c r="H205" s="29"/>
      <c r="I205" s="35"/>
      <c r="J205" s="29"/>
      <c r="K205" s="29"/>
      <c r="L205" s="29"/>
    </row>
    <row r="206" spans="1:12" x14ac:dyDescent="0.2">
      <c r="A206" s="52"/>
      <c r="B206" s="37">
        <v>509201475</v>
      </c>
      <c r="C206" s="17">
        <v>35500</v>
      </c>
      <c r="D206" t="s">
        <v>104</v>
      </c>
      <c r="E206" s="28">
        <v>-40.74</v>
      </c>
      <c r="F206" s="43"/>
      <c r="G206" s="21">
        <v>42887</v>
      </c>
      <c r="H206" s="29"/>
      <c r="I206" s="35"/>
      <c r="J206" s="29"/>
      <c r="K206" s="29"/>
      <c r="L206" s="29"/>
    </row>
    <row r="207" spans="1:12" x14ac:dyDescent="0.2">
      <c r="A207" s="52"/>
      <c r="B207" s="37">
        <v>509201475</v>
      </c>
      <c r="C207" s="17">
        <v>35500</v>
      </c>
      <c r="D207" t="s">
        <v>104</v>
      </c>
      <c r="E207" s="28">
        <v>61.12</v>
      </c>
      <c r="F207" s="43"/>
      <c r="G207" s="21">
        <v>42917</v>
      </c>
      <c r="H207" s="29"/>
      <c r="I207" s="35"/>
      <c r="J207" s="29"/>
      <c r="K207" s="29"/>
      <c r="L207" s="29"/>
    </row>
    <row r="208" spans="1:12" x14ac:dyDescent="0.2">
      <c r="A208" s="52"/>
      <c r="B208" s="37">
        <v>509201475</v>
      </c>
      <c r="C208" s="17">
        <v>35500</v>
      </c>
      <c r="D208" t="s">
        <v>104</v>
      </c>
      <c r="E208" s="28">
        <v>130.58000000000001</v>
      </c>
      <c r="F208" s="43"/>
      <c r="G208" s="21">
        <v>42948</v>
      </c>
      <c r="H208" s="29"/>
      <c r="I208" s="35"/>
      <c r="J208" s="29"/>
      <c r="K208" s="29"/>
      <c r="L208" s="29"/>
    </row>
    <row r="209" spans="1:12" x14ac:dyDescent="0.2">
      <c r="A209" s="52"/>
      <c r="B209" s="37">
        <v>509201475</v>
      </c>
      <c r="C209" s="17">
        <v>35500</v>
      </c>
      <c r="D209" t="s">
        <v>104</v>
      </c>
      <c r="E209" s="28">
        <v>-342.33</v>
      </c>
      <c r="F209" s="43"/>
      <c r="G209" s="21">
        <v>42979</v>
      </c>
      <c r="H209" s="29"/>
      <c r="I209" s="35"/>
      <c r="J209" s="29"/>
      <c r="K209" s="29"/>
      <c r="L209" s="29"/>
    </row>
    <row r="210" spans="1:12" x14ac:dyDescent="0.2">
      <c r="A210" s="52"/>
      <c r="B210" s="37">
        <v>509201475</v>
      </c>
      <c r="C210" s="17">
        <v>35500</v>
      </c>
      <c r="D210" t="s">
        <v>104</v>
      </c>
      <c r="E210" s="28">
        <v>1256.7</v>
      </c>
      <c r="F210" s="43"/>
      <c r="G210" s="21">
        <v>43009</v>
      </c>
      <c r="H210" s="29"/>
      <c r="I210" s="35"/>
      <c r="J210" s="29"/>
      <c r="K210" s="29"/>
      <c r="L210" s="29"/>
    </row>
    <row r="211" spans="1:12" x14ac:dyDescent="0.2">
      <c r="A211" s="52"/>
      <c r="B211" s="37">
        <v>509201475</v>
      </c>
      <c r="C211" s="17">
        <v>35500</v>
      </c>
      <c r="D211" t="s">
        <v>104</v>
      </c>
      <c r="E211" s="28">
        <v>-2065.29</v>
      </c>
      <c r="F211" s="43"/>
      <c r="G211" s="21">
        <v>43040</v>
      </c>
      <c r="H211" s="29"/>
      <c r="I211" s="35"/>
      <c r="J211" s="29"/>
      <c r="K211" s="29"/>
      <c r="L211" s="29"/>
    </row>
    <row r="212" spans="1:12" x14ac:dyDescent="0.2">
      <c r="A212" s="51" t="s">
        <v>103</v>
      </c>
      <c r="B212" s="37">
        <v>509201475</v>
      </c>
      <c r="C212" s="17">
        <v>35500</v>
      </c>
      <c r="D212" t="s">
        <v>104</v>
      </c>
      <c r="E212" s="60">
        <v>3364583.51</v>
      </c>
      <c r="F212" s="43"/>
      <c r="G212" s="21">
        <v>43070</v>
      </c>
      <c r="H212" s="29"/>
      <c r="I212" s="35"/>
      <c r="J212" s="29"/>
      <c r="K212" s="29"/>
      <c r="L212" s="29"/>
    </row>
    <row r="213" spans="1:12" x14ac:dyDescent="0.2">
      <c r="A213" s="52"/>
      <c r="B213" s="23"/>
      <c r="C213" s="17"/>
      <c r="D213" s="29" t="s">
        <v>12</v>
      </c>
      <c r="E213" s="28">
        <f>SUM(E201:E212)</f>
        <v>-20784552.789999999</v>
      </c>
      <c r="F213" s="43"/>
      <c r="G213" s="21"/>
      <c r="H213" s="29"/>
      <c r="I213" s="35"/>
      <c r="J213" s="29"/>
      <c r="K213" s="29"/>
      <c r="L213" s="29"/>
    </row>
    <row r="214" spans="1:12" x14ac:dyDescent="0.2">
      <c r="A214" s="52"/>
      <c r="B214" s="37"/>
      <c r="C214" s="17"/>
      <c r="D214"/>
      <c r="E214" s="20"/>
      <c r="F214" s="43"/>
      <c r="G214" s="21"/>
      <c r="H214" s="29"/>
      <c r="I214" s="35"/>
      <c r="J214" s="29"/>
      <c r="K214" s="29"/>
      <c r="L214" s="29"/>
    </row>
    <row r="215" spans="1:12" x14ac:dyDescent="0.2">
      <c r="A215" s="52"/>
      <c r="B215" s="37">
        <v>713632077</v>
      </c>
      <c r="C215" s="17">
        <v>35300</v>
      </c>
      <c r="D215" t="s">
        <v>106</v>
      </c>
      <c r="E215" s="20">
        <v>157.06</v>
      </c>
      <c r="F215" s="43"/>
      <c r="G215" s="21">
        <v>42887</v>
      </c>
      <c r="H215" s="29"/>
      <c r="I215" s="35"/>
      <c r="J215" s="29"/>
      <c r="K215" s="29"/>
      <c r="L215" s="29"/>
    </row>
    <row r="216" spans="1:12" x14ac:dyDescent="0.2">
      <c r="A216" s="52"/>
      <c r="B216" s="37"/>
      <c r="C216" s="17"/>
      <c r="D216"/>
      <c r="E216" s="20"/>
      <c r="F216" s="43"/>
      <c r="G216" s="21"/>
      <c r="H216" s="29"/>
      <c r="I216" s="35"/>
      <c r="J216" s="29"/>
      <c r="K216" s="29"/>
      <c r="L216" s="29"/>
    </row>
    <row r="217" spans="1:12" x14ac:dyDescent="0.2">
      <c r="A217" s="52"/>
      <c r="B217" s="37">
        <v>513060926</v>
      </c>
      <c r="C217" s="39">
        <v>35022</v>
      </c>
      <c r="D217" t="s">
        <v>108</v>
      </c>
      <c r="E217" s="20">
        <v>1165.0999999999999</v>
      </c>
      <c r="F217" s="43"/>
      <c r="G217" s="21">
        <v>42736</v>
      </c>
      <c r="H217" s="29"/>
      <c r="I217" s="35"/>
      <c r="J217" s="29"/>
      <c r="K217" s="29"/>
      <c r="L217" s="29"/>
    </row>
    <row r="218" spans="1:12" x14ac:dyDescent="0.2">
      <c r="A218" s="52"/>
      <c r="B218" s="37">
        <v>513060926</v>
      </c>
      <c r="C218" s="39">
        <v>35022</v>
      </c>
      <c r="D218" t="s">
        <v>108</v>
      </c>
      <c r="E218" s="20">
        <v>756.53</v>
      </c>
      <c r="F218" s="43"/>
      <c r="G218" s="21">
        <v>42795</v>
      </c>
      <c r="H218" s="29"/>
      <c r="I218" s="35"/>
      <c r="J218" s="29"/>
      <c r="K218" s="29"/>
      <c r="L218" s="29"/>
    </row>
    <row r="219" spans="1:12" x14ac:dyDescent="0.2">
      <c r="A219" s="52"/>
      <c r="B219" s="37">
        <v>513060926</v>
      </c>
      <c r="C219" s="39">
        <v>35022</v>
      </c>
      <c r="D219" t="s">
        <v>108</v>
      </c>
      <c r="E219" s="20">
        <v>191.06</v>
      </c>
      <c r="F219" s="43"/>
      <c r="G219" s="21">
        <v>42826</v>
      </c>
      <c r="H219" s="29"/>
      <c r="I219" s="35"/>
      <c r="J219" s="29"/>
      <c r="K219" s="29"/>
      <c r="L219" s="29"/>
    </row>
    <row r="220" spans="1:12" x14ac:dyDescent="0.2">
      <c r="A220" s="52"/>
      <c r="B220" s="37">
        <v>513060926</v>
      </c>
      <c r="C220" s="39">
        <v>35022</v>
      </c>
      <c r="D220" t="s">
        <v>108</v>
      </c>
      <c r="E220" s="20">
        <v>10000</v>
      </c>
      <c r="F220" s="43"/>
      <c r="G220" s="21">
        <v>43009</v>
      </c>
      <c r="H220" s="29"/>
      <c r="I220" s="35"/>
      <c r="J220" s="29"/>
      <c r="K220" s="29"/>
      <c r="L220" s="29"/>
    </row>
    <row r="221" spans="1:12" x14ac:dyDescent="0.2">
      <c r="A221" s="52"/>
      <c r="B221" s="37">
        <v>513060926</v>
      </c>
      <c r="C221" s="39">
        <v>35022</v>
      </c>
      <c r="D221" t="s">
        <v>108</v>
      </c>
      <c r="E221" s="60">
        <v>20.88</v>
      </c>
      <c r="F221" s="43"/>
      <c r="G221" s="21">
        <v>43070</v>
      </c>
      <c r="H221" s="29"/>
      <c r="I221" s="35"/>
      <c r="J221" s="29"/>
      <c r="K221" s="29"/>
      <c r="L221" s="29"/>
    </row>
    <row r="222" spans="1:12" x14ac:dyDescent="0.2">
      <c r="A222" s="52"/>
      <c r="B222" s="37"/>
      <c r="C222" s="17"/>
      <c r="D222" s="40" t="s">
        <v>12</v>
      </c>
      <c r="E222" s="20">
        <f>SUM(E217:E221)</f>
        <v>12133.57</v>
      </c>
      <c r="F222" s="43"/>
      <c r="G222" s="21"/>
      <c r="H222" s="29"/>
      <c r="I222" s="35"/>
      <c r="J222" s="29"/>
      <c r="K222" s="29"/>
      <c r="L222" s="29"/>
    </row>
    <row r="223" spans="1:12" x14ac:dyDescent="0.2">
      <c r="A223" s="52"/>
      <c r="B223" s="37"/>
      <c r="C223" s="17"/>
      <c r="D223"/>
      <c r="E223" s="20"/>
      <c r="F223" s="43"/>
      <c r="G223" s="21"/>
      <c r="H223" s="29"/>
      <c r="I223" s="35"/>
      <c r="J223" s="29"/>
      <c r="K223" s="29"/>
      <c r="L223" s="29"/>
    </row>
    <row r="224" spans="1:12" x14ac:dyDescent="0.2">
      <c r="A224" s="52"/>
      <c r="B224" s="37">
        <v>545747247</v>
      </c>
      <c r="C224" s="17">
        <v>35300</v>
      </c>
      <c r="D224" t="s">
        <v>112</v>
      </c>
      <c r="E224" s="20">
        <v>32.659999999999997</v>
      </c>
      <c r="F224" s="43"/>
      <c r="G224" s="21">
        <v>42736</v>
      </c>
      <c r="H224" s="29"/>
      <c r="I224" s="35"/>
      <c r="J224" s="29"/>
      <c r="K224" s="29"/>
      <c r="L224" s="29"/>
    </row>
    <row r="225" spans="1:12" x14ac:dyDescent="0.2">
      <c r="A225" s="52"/>
      <c r="B225" s="37"/>
      <c r="C225" s="17"/>
      <c r="D225"/>
      <c r="E225" s="20"/>
      <c r="F225" s="43"/>
      <c r="G225" s="21"/>
      <c r="H225" s="29"/>
      <c r="I225" s="35"/>
      <c r="J225" s="29"/>
      <c r="K225" s="29"/>
      <c r="L225" s="29"/>
    </row>
    <row r="226" spans="1:12" x14ac:dyDescent="0.2">
      <c r="A226" s="25" t="s">
        <v>105</v>
      </c>
      <c r="B226" s="37">
        <v>534342055</v>
      </c>
      <c r="C226" s="76" t="s">
        <v>59</v>
      </c>
      <c r="D226" t="s">
        <v>114</v>
      </c>
      <c r="E226" s="20">
        <v>-8102.4</v>
      </c>
      <c r="F226" s="43"/>
      <c r="G226" s="21">
        <v>42736</v>
      </c>
      <c r="H226" s="29"/>
      <c r="I226" s="35"/>
      <c r="J226" s="29"/>
      <c r="K226" s="29"/>
      <c r="L226" s="29"/>
    </row>
    <row r="227" spans="1:12" x14ac:dyDescent="0.2">
      <c r="A227" s="52"/>
      <c r="B227" s="37">
        <v>534342055</v>
      </c>
      <c r="C227" s="76" t="s">
        <v>59</v>
      </c>
      <c r="D227" t="s">
        <v>114</v>
      </c>
      <c r="E227" s="60">
        <v>1439.46</v>
      </c>
      <c r="F227" s="43"/>
      <c r="G227" s="21">
        <v>42795</v>
      </c>
      <c r="H227" s="29"/>
      <c r="I227" s="35"/>
      <c r="J227" s="29"/>
      <c r="K227" s="29"/>
      <c r="L227" s="29"/>
    </row>
    <row r="228" spans="1:12" x14ac:dyDescent="0.2">
      <c r="A228" s="51" t="s">
        <v>107</v>
      </c>
      <c r="B228" s="23"/>
      <c r="C228" s="17"/>
      <c r="D228" s="29" t="s">
        <v>12</v>
      </c>
      <c r="E228" s="28">
        <f>SUM(E226:E227)</f>
        <v>-6662.94</v>
      </c>
      <c r="F228" s="43"/>
      <c r="G228" s="21"/>
      <c r="H228" s="29"/>
      <c r="I228" s="35"/>
      <c r="J228" s="29"/>
      <c r="K228" s="29"/>
      <c r="L228" s="29"/>
    </row>
    <row r="229" spans="1:12" x14ac:dyDescent="0.2">
      <c r="A229" s="52"/>
      <c r="B229" s="23"/>
      <c r="C229" s="17"/>
      <c r="D229" s="29"/>
      <c r="E229" s="28"/>
      <c r="F229" s="43"/>
      <c r="G229" s="21"/>
      <c r="H229" s="29"/>
      <c r="I229" s="35"/>
      <c r="J229" s="29"/>
      <c r="K229" s="29"/>
      <c r="L229" s="29"/>
    </row>
    <row r="230" spans="1:12" x14ac:dyDescent="0.2">
      <c r="A230" s="52"/>
      <c r="B230" s="39">
        <v>536767657</v>
      </c>
      <c r="C230" s="17">
        <v>35610</v>
      </c>
      <c r="D230" s="40" t="s">
        <v>128</v>
      </c>
      <c r="E230" s="20">
        <v>-1740182.6</v>
      </c>
      <c r="F230" s="43"/>
      <c r="G230" s="21">
        <v>43040</v>
      </c>
      <c r="H230" s="29"/>
      <c r="I230" s="35"/>
      <c r="J230" s="29"/>
      <c r="K230" s="29"/>
      <c r="L230" s="29"/>
    </row>
    <row r="231" spans="1:12" x14ac:dyDescent="0.2">
      <c r="A231" s="52"/>
      <c r="B231" s="37"/>
      <c r="C231" s="17"/>
      <c r="D231"/>
      <c r="E231" s="20"/>
      <c r="F231" s="43"/>
      <c r="G231" s="21"/>
      <c r="H231" s="29"/>
      <c r="I231" s="35"/>
      <c r="J231" s="29"/>
      <c r="K231" s="29"/>
      <c r="L231" s="29"/>
    </row>
    <row r="232" spans="1:12" x14ac:dyDescent="0.2">
      <c r="A232" s="52"/>
      <c r="B232" s="39">
        <v>745092783</v>
      </c>
      <c r="C232" s="17">
        <v>35011</v>
      </c>
      <c r="D232" s="40" t="s">
        <v>130</v>
      </c>
      <c r="E232" s="20">
        <v>657.69</v>
      </c>
      <c r="F232" s="43"/>
      <c r="G232" s="21">
        <v>42736</v>
      </c>
      <c r="H232" s="29"/>
      <c r="I232" s="35"/>
      <c r="J232" s="29"/>
      <c r="K232" s="29"/>
      <c r="L232" s="29"/>
    </row>
    <row r="233" spans="1:12" x14ac:dyDescent="0.2">
      <c r="A233" s="52"/>
      <c r="B233" s="39">
        <v>745092783</v>
      </c>
      <c r="C233" s="17">
        <v>35011</v>
      </c>
      <c r="D233" s="40" t="s">
        <v>130</v>
      </c>
      <c r="E233" s="20">
        <v>743.44</v>
      </c>
      <c r="F233" s="43"/>
      <c r="G233" s="21">
        <v>42767</v>
      </c>
      <c r="H233" s="29"/>
      <c r="I233" s="35"/>
      <c r="J233" s="29"/>
      <c r="K233" s="29"/>
      <c r="L233" s="29"/>
    </row>
    <row r="234" spans="1:12" x14ac:dyDescent="0.2">
      <c r="A234" s="52"/>
      <c r="B234" s="39">
        <v>745092783</v>
      </c>
      <c r="C234" s="17">
        <v>35011</v>
      </c>
      <c r="D234" s="40" t="s">
        <v>130</v>
      </c>
      <c r="E234" s="20">
        <v>482.85</v>
      </c>
      <c r="F234" s="43"/>
      <c r="G234" s="21">
        <v>42795</v>
      </c>
      <c r="H234" s="29"/>
      <c r="I234" s="35"/>
      <c r="J234" s="29"/>
      <c r="K234" s="29"/>
      <c r="L234" s="29"/>
    </row>
    <row r="235" spans="1:12" x14ac:dyDescent="0.2">
      <c r="A235" s="25" t="s">
        <v>111</v>
      </c>
      <c r="B235" s="39">
        <v>745092783</v>
      </c>
      <c r="C235" s="17">
        <v>35011</v>
      </c>
      <c r="D235" s="40" t="s">
        <v>130</v>
      </c>
      <c r="E235" s="20">
        <v>846.57</v>
      </c>
      <c r="F235" s="43"/>
      <c r="G235" s="21">
        <v>42826</v>
      </c>
      <c r="H235" s="29"/>
      <c r="I235" s="35"/>
      <c r="J235" s="29"/>
      <c r="K235" s="29"/>
      <c r="L235" s="29"/>
    </row>
    <row r="236" spans="1:12" x14ac:dyDescent="0.2">
      <c r="A236" s="52"/>
      <c r="B236" s="39">
        <v>745092783</v>
      </c>
      <c r="C236" s="17">
        <v>35011</v>
      </c>
      <c r="D236" s="40" t="s">
        <v>130</v>
      </c>
      <c r="E236" s="20">
        <v>36376.639999999999</v>
      </c>
      <c r="F236" s="43"/>
      <c r="G236" s="21">
        <v>42856</v>
      </c>
      <c r="H236" s="29"/>
      <c r="I236" s="35"/>
      <c r="J236" s="29"/>
      <c r="K236" s="29"/>
      <c r="L236" s="29"/>
    </row>
    <row r="237" spans="1:12" x14ac:dyDescent="0.2">
      <c r="A237" s="51" t="s">
        <v>113</v>
      </c>
      <c r="B237" s="39">
        <v>745092783</v>
      </c>
      <c r="C237" s="17">
        <v>35011</v>
      </c>
      <c r="D237" s="40" t="s">
        <v>130</v>
      </c>
      <c r="E237" s="20">
        <v>4205.3500000000004</v>
      </c>
      <c r="F237" s="43"/>
      <c r="G237" s="21">
        <v>42887</v>
      </c>
      <c r="H237" s="29"/>
      <c r="I237" s="35"/>
      <c r="J237" s="29"/>
      <c r="K237" s="29"/>
      <c r="L237" s="29"/>
    </row>
    <row r="238" spans="1:12" x14ac:dyDescent="0.2">
      <c r="A238" s="52"/>
      <c r="B238" s="39">
        <v>745092783</v>
      </c>
      <c r="C238" s="17">
        <v>35011</v>
      </c>
      <c r="D238" s="40" t="s">
        <v>130</v>
      </c>
      <c r="E238" s="20">
        <v>2796.33</v>
      </c>
      <c r="F238" s="43"/>
      <c r="G238" s="21">
        <v>42917</v>
      </c>
      <c r="H238" s="29"/>
      <c r="I238" s="35"/>
      <c r="J238" s="29"/>
      <c r="K238" s="29"/>
      <c r="L238" s="29"/>
    </row>
    <row r="239" spans="1:12" x14ac:dyDescent="0.2">
      <c r="A239" s="52"/>
      <c r="B239" s="39">
        <v>745092783</v>
      </c>
      <c r="C239" s="17">
        <v>35011</v>
      </c>
      <c r="D239" s="40" t="s">
        <v>130</v>
      </c>
      <c r="E239" s="60">
        <v>4535.05</v>
      </c>
      <c r="F239" s="43"/>
      <c r="G239" s="21">
        <v>42948</v>
      </c>
      <c r="H239" s="29"/>
      <c r="I239" s="35"/>
      <c r="J239" s="29"/>
      <c r="K239" s="29"/>
      <c r="L239" s="29"/>
    </row>
    <row r="240" spans="1:12" x14ac:dyDescent="0.2">
      <c r="A240" s="52"/>
      <c r="B240" s="37"/>
      <c r="C240" s="17"/>
      <c r="D240" s="40" t="s">
        <v>12</v>
      </c>
      <c r="E240" s="20">
        <f>SUM(E232:E239)</f>
        <v>50643.920000000006</v>
      </c>
      <c r="F240" s="43"/>
      <c r="G240" s="21"/>
      <c r="H240" s="29"/>
      <c r="I240" s="35"/>
      <c r="J240" s="29"/>
      <c r="K240" s="29"/>
      <c r="L240" s="29"/>
    </row>
    <row r="241" spans="1:12" x14ac:dyDescent="0.2">
      <c r="A241" s="51" t="s">
        <v>126</v>
      </c>
      <c r="B241" s="23"/>
      <c r="C241" s="17"/>
      <c r="D241" s="29"/>
      <c r="E241" s="20"/>
      <c r="F241" s="43"/>
      <c r="G241" s="21"/>
      <c r="H241" s="29"/>
      <c r="I241" s="35"/>
      <c r="J241" s="29"/>
      <c r="K241" s="29"/>
      <c r="L241" s="29"/>
    </row>
    <row r="242" spans="1:12" x14ac:dyDescent="0.2">
      <c r="A242" s="52"/>
      <c r="B242" s="23">
        <v>540699748</v>
      </c>
      <c r="C242" s="17">
        <v>35300</v>
      </c>
      <c r="D242" s="29" t="s">
        <v>133</v>
      </c>
      <c r="E242" s="20">
        <v>-13354.58</v>
      </c>
      <c r="F242" s="43"/>
      <c r="G242" s="78">
        <v>42736</v>
      </c>
      <c r="H242" s="29"/>
      <c r="I242" s="35"/>
      <c r="J242" s="29"/>
      <c r="K242" s="29"/>
      <c r="L242" s="29"/>
    </row>
    <row r="243" spans="1:12" x14ac:dyDescent="0.2">
      <c r="A243" s="51" t="s">
        <v>129</v>
      </c>
      <c r="B243" s="23">
        <v>540699748</v>
      </c>
      <c r="C243" s="17">
        <v>35300</v>
      </c>
      <c r="D243" s="29" t="s">
        <v>133</v>
      </c>
      <c r="E243" s="20">
        <v>23962.57</v>
      </c>
      <c r="F243" s="43"/>
      <c r="G243" s="78">
        <v>42767</v>
      </c>
      <c r="H243" s="29"/>
      <c r="I243" s="35"/>
      <c r="J243" s="29"/>
      <c r="K243" s="29"/>
      <c r="L243" s="29"/>
    </row>
    <row r="244" spans="1:12" x14ac:dyDescent="0.2">
      <c r="A244" s="52"/>
      <c r="B244" s="23">
        <v>540699748</v>
      </c>
      <c r="C244" s="17">
        <v>35300</v>
      </c>
      <c r="D244" s="29" t="s">
        <v>133</v>
      </c>
      <c r="E244" s="20">
        <v>15510.78</v>
      </c>
      <c r="F244" s="43"/>
      <c r="G244" s="78">
        <v>42795</v>
      </c>
      <c r="H244" s="29"/>
      <c r="I244" s="35"/>
      <c r="J244" s="29"/>
      <c r="K244" s="29"/>
      <c r="L244" s="29"/>
    </row>
    <row r="245" spans="1:12" x14ac:dyDescent="0.2">
      <c r="A245" s="52"/>
      <c r="B245" s="23">
        <v>540699748</v>
      </c>
      <c r="C245" s="76" t="s">
        <v>47</v>
      </c>
      <c r="D245" s="29" t="s">
        <v>133</v>
      </c>
      <c r="E245" s="20">
        <v>6721.46</v>
      </c>
      <c r="F245" s="43"/>
      <c r="G245" s="78">
        <v>42826</v>
      </c>
      <c r="H245" s="29"/>
      <c r="I245" s="35"/>
      <c r="J245" s="29"/>
      <c r="K245" s="29"/>
      <c r="L245" s="29"/>
    </row>
    <row r="246" spans="1:12" x14ac:dyDescent="0.2">
      <c r="A246" s="52"/>
      <c r="B246" s="23">
        <v>540699748</v>
      </c>
      <c r="C246" s="76" t="s">
        <v>47</v>
      </c>
      <c r="D246" s="29" t="s">
        <v>133</v>
      </c>
      <c r="E246" s="20">
        <v>13734.72</v>
      </c>
      <c r="F246" s="43"/>
      <c r="G246" s="21">
        <v>42856</v>
      </c>
      <c r="H246" s="29"/>
      <c r="I246" s="35"/>
      <c r="J246" s="29"/>
      <c r="K246" s="29"/>
      <c r="L246" s="29"/>
    </row>
    <row r="247" spans="1:12" x14ac:dyDescent="0.2">
      <c r="A247" s="52"/>
      <c r="B247" s="23">
        <v>540699748</v>
      </c>
      <c r="C247" s="76" t="s">
        <v>47</v>
      </c>
      <c r="D247" s="29" t="s">
        <v>133</v>
      </c>
      <c r="E247" s="20">
        <v>128061.65</v>
      </c>
      <c r="F247" s="43"/>
      <c r="G247" s="21">
        <v>42887</v>
      </c>
      <c r="H247" s="29"/>
      <c r="I247" s="35"/>
      <c r="J247" s="29"/>
      <c r="K247" s="29"/>
      <c r="L247" s="29"/>
    </row>
    <row r="248" spans="1:12" x14ac:dyDescent="0.2">
      <c r="A248" s="52"/>
      <c r="B248" s="23">
        <v>540699748</v>
      </c>
      <c r="C248" s="76" t="s">
        <v>47</v>
      </c>
      <c r="D248" s="29" t="s">
        <v>133</v>
      </c>
      <c r="E248" s="20">
        <v>14624.79</v>
      </c>
      <c r="F248" s="43"/>
      <c r="G248" s="21">
        <v>42917</v>
      </c>
      <c r="H248" s="29"/>
      <c r="I248" s="35"/>
      <c r="J248" s="29"/>
      <c r="K248" s="29"/>
      <c r="L248" s="29"/>
    </row>
    <row r="249" spans="1:12" x14ac:dyDescent="0.2">
      <c r="A249" s="52"/>
      <c r="B249" s="23">
        <v>540699748</v>
      </c>
      <c r="C249" s="76" t="s">
        <v>47</v>
      </c>
      <c r="D249" s="29" t="s">
        <v>133</v>
      </c>
      <c r="E249" s="20">
        <v>4981.62</v>
      </c>
      <c r="F249" s="43"/>
      <c r="G249" s="21">
        <v>42948</v>
      </c>
      <c r="H249" s="29"/>
      <c r="I249" s="35"/>
      <c r="J249" s="29"/>
      <c r="K249" s="29"/>
      <c r="L249" s="29"/>
    </row>
    <row r="250" spans="1:12" x14ac:dyDescent="0.2">
      <c r="A250" s="52"/>
      <c r="B250" s="23">
        <v>540699748</v>
      </c>
      <c r="C250" s="76" t="s">
        <v>47</v>
      </c>
      <c r="D250" s="29" t="s">
        <v>133</v>
      </c>
      <c r="E250" s="20">
        <v>884.27</v>
      </c>
      <c r="F250" s="43"/>
      <c r="G250" s="21">
        <v>42979</v>
      </c>
      <c r="H250" s="29"/>
      <c r="I250" s="35"/>
      <c r="J250" s="29"/>
      <c r="K250" s="29"/>
      <c r="L250" s="29"/>
    </row>
    <row r="251" spans="1:12" x14ac:dyDescent="0.2">
      <c r="A251" s="52"/>
      <c r="B251" s="23">
        <v>540699748</v>
      </c>
      <c r="C251" s="76" t="s">
        <v>47</v>
      </c>
      <c r="D251" s="29" t="s">
        <v>133</v>
      </c>
      <c r="E251" s="20">
        <v>5429.75</v>
      </c>
      <c r="F251" s="43"/>
      <c r="G251" s="21">
        <v>43009</v>
      </c>
      <c r="H251" s="29"/>
      <c r="I251" s="35"/>
      <c r="J251" s="29"/>
      <c r="K251" s="29"/>
      <c r="L251" s="29"/>
    </row>
    <row r="252" spans="1:12" x14ac:dyDescent="0.2">
      <c r="A252" s="52"/>
      <c r="B252" s="23">
        <v>540699748</v>
      </c>
      <c r="C252" s="76" t="s">
        <v>47</v>
      </c>
      <c r="D252" s="29" t="s">
        <v>133</v>
      </c>
      <c r="E252" s="20">
        <v>5305.86</v>
      </c>
      <c r="F252" s="43"/>
      <c r="G252" s="21">
        <v>43040</v>
      </c>
      <c r="H252" s="29"/>
      <c r="I252" s="35"/>
      <c r="J252" s="29"/>
      <c r="K252" s="29"/>
      <c r="L252" s="29"/>
    </row>
    <row r="253" spans="1:12" x14ac:dyDescent="0.2">
      <c r="A253" s="51" t="s">
        <v>132</v>
      </c>
      <c r="B253" s="23">
        <v>540699748</v>
      </c>
      <c r="C253" s="76" t="s">
        <v>47</v>
      </c>
      <c r="D253" s="29" t="s">
        <v>133</v>
      </c>
      <c r="E253" s="60">
        <v>-1744.54</v>
      </c>
      <c r="F253" s="43"/>
      <c r="G253" s="21">
        <v>43070</v>
      </c>
      <c r="H253" s="29"/>
      <c r="I253" s="35"/>
      <c r="J253" s="29"/>
      <c r="K253" s="29"/>
      <c r="L253" s="29"/>
    </row>
    <row r="254" spans="1:12" x14ac:dyDescent="0.2">
      <c r="A254" s="51"/>
      <c r="B254" s="37"/>
      <c r="C254" s="17"/>
      <c r="D254" s="29" t="s">
        <v>12</v>
      </c>
      <c r="E254" s="20">
        <f>SUM(E242:E253)</f>
        <v>204118.34999999998</v>
      </c>
      <c r="F254" s="43"/>
      <c r="G254" s="21"/>
      <c r="H254" s="29"/>
      <c r="I254" s="35"/>
      <c r="J254" s="29"/>
      <c r="K254" s="29"/>
      <c r="L254" s="29"/>
    </row>
    <row r="255" spans="1:12" x14ac:dyDescent="0.2">
      <c r="A255" s="51"/>
      <c r="B255" s="37"/>
      <c r="C255" s="17"/>
      <c r="D255"/>
      <c r="E255" s="60"/>
      <c r="F255" s="43"/>
      <c r="G255" s="21"/>
      <c r="H255" s="29"/>
      <c r="I255" s="35"/>
      <c r="J255" s="29"/>
      <c r="K255" s="29"/>
      <c r="L255" s="29"/>
    </row>
    <row r="256" spans="1:12" x14ac:dyDescent="0.2">
      <c r="A256" s="51"/>
      <c r="B256" s="23">
        <v>523690351</v>
      </c>
      <c r="C256" s="17">
        <v>35300</v>
      </c>
      <c r="D256" s="29" t="s">
        <v>135</v>
      </c>
      <c r="E256" s="28">
        <v>156412.46</v>
      </c>
      <c r="F256" s="43"/>
      <c r="G256" s="21">
        <v>42736</v>
      </c>
      <c r="H256" s="29"/>
      <c r="I256" s="35"/>
      <c r="J256" s="29"/>
      <c r="K256" s="29"/>
      <c r="L256" s="29"/>
    </row>
    <row r="257" spans="1:12" x14ac:dyDescent="0.2">
      <c r="A257" s="51"/>
      <c r="B257" s="23">
        <v>523690351</v>
      </c>
      <c r="C257" s="17">
        <v>35300</v>
      </c>
      <c r="D257" s="29" t="s">
        <v>135</v>
      </c>
      <c r="E257" s="28">
        <v>88568.04</v>
      </c>
      <c r="F257" s="43"/>
      <c r="G257" s="21">
        <v>42767</v>
      </c>
      <c r="H257" s="29"/>
      <c r="I257" s="35"/>
      <c r="J257" s="29"/>
      <c r="K257" s="29"/>
      <c r="L257" s="29"/>
    </row>
    <row r="258" spans="1:12" x14ac:dyDescent="0.2">
      <c r="A258" s="52"/>
      <c r="B258" s="23">
        <v>523690351</v>
      </c>
      <c r="C258" s="17">
        <v>35300</v>
      </c>
      <c r="D258" s="29" t="s">
        <v>135</v>
      </c>
      <c r="E258" s="28">
        <v>319577.63</v>
      </c>
      <c r="F258" s="43"/>
      <c r="G258" s="21">
        <v>42795</v>
      </c>
      <c r="H258" s="29"/>
      <c r="I258" s="35"/>
      <c r="J258" s="29"/>
      <c r="K258" s="29"/>
      <c r="L258" s="29"/>
    </row>
    <row r="259" spans="1:12" x14ac:dyDescent="0.2">
      <c r="A259" s="52"/>
      <c r="B259" s="23">
        <v>523690351</v>
      </c>
      <c r="C259" s="76" t="s">
        <v>47</v>
      </c>
      <c r="D259" s="29" t="s">
        <v>135</v>
      </c>
      <c r="E259" s="28">
        <v>-28662.86</v>
      </c>
      <c r="F259" s="43"/>
      <c r="G259" s="21">
        <v>42826</v>
      </c>
      <c r="H259" s="29"/>
      <c r="I259" s="35"/>
      <c r="J259" s="29"/>
      <c r="K259" s="29"/>
      <c r="L259" s="29"/>
    </row>
    <row r="260" spans="1:12" x14ac:dyDescent="0.2">
      <c r="A260" s="52"/>
      <c r="B260" s="23">
        <v>523690351</v>
      </c>
      <c r="C260" s="76" t="s">
        <v>47</v>
      </c>
      <c r="D260" s="29" t="s">
        <v>135</v>
      </c>
      <c r="E260" s="28">
        <v>-60857.59</v>
      </c>
      <c r="F260" s="43"/>
      <c r="G260" s="21">
        <v>42856</v>
      </c>
      <c r="H260" s="29"/>
      <c r="I260" s="35"/>
      <c r="J260" s="29"/>
      <c r="K260" s="29"/>
      <c r="L260" s="29"/>
    </row>
    <row r="261" spans="1:12" x14ac:dyDescent="0.2">
      <c r="A261" s="52"/>
      <c r="B261" s="23">
        <v>523690351</v>
      </c>
      <c r="C261" s="76" t="s">
        <v>47</v>
      </c>
      <c r="D261" s="29" t="s">
        <v>135</v>
      </c>
      <c r="E261" s="28">
        <v>397145.53</v>
      </c>
      <c r="F261" s="43"/>
      <c r="G261" s="21">
        <v>42887</v>
      </c>
      <c r="H261" s="29"/>
      <c r="I261" s="35"/>
      <c r="J261" s="29"/>
      <c r="K261" s="29"/>
      <c r="L261" s="29"/>
    </row>
    <row r="262" spans="1:12" x14ac:dyDescent="0.2">
      <c r="A262" s="52"/>
      <c r="B262" s="23">
        <v>523690351</v>
      </c>
      <c r="C262" s="76" t="s">
        <v>47</v>
      </c>
      <c r="D262" s="29" t="s">
        <v>135</v>
      </c>
      <c r="E262" s="20">
        <v>56996.78</v>
      </c>
      <c r="F262" s="43"/>
      <c r="G262" s="21">
        <v>42917</v>
      </c>
      <c r="H262" s="29"/>
      <c r="I262" s="35"/>
      <c r="J262" s="29"/>
      <c r="K262" s="29"/>
      <c r="L262" s="29"/>
    </row>
    <row r="263" spans="1:12" x14ac:dyDescent="0.2">
      <c r="A263" s="52"/>
      <c r="B263" s="23">
        <v>523690351</v>
      </c>
      <c r="C263" s="76" t="s">
        <v>47</v>
      </c>
      <c r="D263" s="29" t="s">
        <v>135</v>
      </c>
      <c r="E263" s="20">
        <v>7357.73</v>
      </c>
      <c r="F263" s="43"/>
      <c r="G263" s="21">
        <v>42948</v>
      </c>
      <c r="H263" s="29"/>
      <c r="I263" s="35"/>
      <c r="J263" s="29"/>
      <c r="K263" s="29"/>
      <c r="L263" s="29"/>
    </row>
    <row r="264" spans="1:12" x14ac:dyDescent="0.2">
      <c r="A264" s="52"/>
      <c r="B264" s="23">
        <v>523690351</v>
      </c>
      <c r="C264" s="76" t="s">
        <v>47</v>
      </c>
      <c r="D264" s="29" t="s">
        <v>135</v>
      </c>
      <c r="E264" s="20">
        <v>16895.12</v>
      </c>
      <c r="F264" s="43"/>
      <c r="G264" s="21">
        <v>42979</v>
      </c>
      <c r="H264" s="29"/>
      <c r="I264" s="35"/>
      <c r="J264" s="29"/>
      <c r="K264" s="29"/>
      <c r="L264" s="29"/>
    </row>
    <row r="265" spans="1:12" x14ac:dyDescent="0.2">
      <c r="A265" s="52"/>
      <c r="B265" s="23">
        <v>523690351</v>
      </c>
      <c r="C265" s="76" t="s">
        <v>47</v>
      </c>
      <c r="D265" s="29" t="s">
        <v>135</v>
      </c>
      <c r="E265" s="20">
        <v>284540.71999999997</v>
      </c>
      <c r="F265" s="43"/>
      <c r="G265" s="21" t="s">
        <v>159</v>
      </c>
      <c r="H265" s="29"/>
      <c r="I265" s="35"/>
      <c r="J265" s="29"/>
      <c r="K265" s="29"/>
      <c r="L265" s="29"/>
    </row>
    <row r="266" spans="1:12" x14ac:dyDescent="0.2">
      <c r="A266" s="52"/>
      <c r="B266" s="23">
        <v>523690351</v>
      </c>
      <c r="C266" s="76" t="s">
        <v>47</v>
      </c>
      <c r="D266" s="29" t="s">
        <v>135</v>
      </c>
      <c r="E266" s="20">
        <v>58397.25</v>
      </c>
      <c r="F266" s="43"/>
      <c r="G266" s="21">
        <v>43040</v>
      </c>
      <c r="H266" s="29"/>
      <c r="I266" s="35"/>
      <c r="J266" s="29"/>
      <c r="K266" s="29"/>
      <c r="L266" s="29"/>
    </row>
    <row r="267" spans="1:12" x14ac:dyDescent="0.2">
      <c r="A267" s="51" t="s">
        <v>134</v>
      </c>
      <c r="B267" s="23">
        <v>523690351</v>
      </c>
      <c r="C267" s="76" t="s">
        <v>47</v>
      </c>
      <c r="D267" s="29" t="s">
        <v>135</v>
      </c>
      <c r="E267" s="60">
        <v>29524.67</v>
      </c>
      <c r="F267" s="43"/>
      <c r="G267" s="21">
        <v>43070</v>
      </c>
      <c r="H267" s="29"/>
      <c r="I267" s="35"/>
      <c r="J267" s="29"/>
      <c r="K267" s="29"/>
      <c r="L267" s="29"/>
    </row>
    <row r="268" spans="1:12" x14ac:dyDescent="0.2">
      <c r="A268" s="51"/>
      <c r="B268" s="37"/>
      <c r="C268" s="17"/>
      <c r="D268" s="29" t="s">
        <v>12</v>
      </c>
      <c r="E268" s="20">
        <f>SUM(E256:E267)</f>
        <v>1325895.48</v>
      </c>
      <c r="F268" s="43"/>
      <c r="G268" s="21"/>
      <c r="H268" s="29"/>
      <c r="I268" s="35"/>
      <c r="J268" s="29"/>
      <c r="K268" s="29"/>
      <c r="L268" s="29"/>
    </row>
    <row r="269" spans="1:12" x14ac:dyDescent="0.2">
      <c r="A269" s="51"/>
      <c r="B269" s="37"/>
      <c r="C269" s="17"/>
      <c r="D269"/>
      <c r="E269" s="20"/>
      <c r="F269" s="43"/>
      <c r="G269" s="21"/>
      <c r="H269" s="29"/>
      <c r="I269" s="35"/>
      <c r="J269" s="29"/>
      <c r="K269" s="29"/>
      <c r="L269" s="29"/>
    </row>
    <row r="270" spans="1:12" x14ac:dyDescent="0.2">
      <c r="A270" s="51"/>
      <c r="B270" s="39">
        <v>765959807</v>
      </c>
      <c r="C270" s="17">
        <v>35300</v>
      </c>
      <c r="D270" t="s">
        <v>139</v>
      </c>
      <c r="E270" s="20">
        <v>58309.37</v>
      </c>
      <c r="F270" s="43"/>
      <c r="G270" s="21">
        <v>42736</v>
      </c>
      <c r="H270" s="29"/>
      <c r="I270" s="35"/>
      <c r="J270" s="29"/>
      <c r="K270" s="29"/>
      <c r="L270" s="29"/>
    </row>
    <row r="271" spans="1:12" x14ac:dyDescent="0.2">
      <c r="A271" s="51"/>
      <c r="B271" s="39">
        <v>765959807</v>
      </c>
      <c r="C271" s="17">
        <v>35300</v>
      </c>
      <c r="D271" t="s">
        <v>139</v>
      </c>
      <c r="E271" s="20">
        <v>63464.54</v>
      </c>
      <c r="F271" s="43"/>
      <c r="G271" s="21">
        <v>42767</v>
      </c>
      <c r="H271" s="29"/>
      <c r="I271" s="35"/>
      <c r="J271" s="29"/>
      <c r="K271" s="29"/>
      <c r="L271" s="29"/>
    </row>
    <row r="272" spans="1:12" x14ac:dyDescent="0.2">
      <c r="A272" s="52"/>
      <c r="B272" s="39">
        <v>765959807</v>
      </c>
      <c r="C272" s="17">
        <v>35300</v>
      </c>
      <c r="D272" t="s">
        <v>139</v>
      </c>
      <c r="E272" s="20">
        <v>-838.29</v>
      </c>
      <c r="F272" s="43"/>
      <c r="G272" s="21">
        <v>42795</v>
      </c>
      <c r="H272" s="29"/>
      <c r="I272" s="35"/>
      <c r="J272" s="29"/>
      <c r="K272" s="29"/>
      <c r="L272" s="29"/>
    </row>
    <row r="273" spans="1:12" x14ac:dyDescent="0.2">
      <c r="A273" s="52"/>
      <c r="B273" s="39">
        <v>765959807</v>
      </c>
      <c r="C273" s="17">
        <v>35300</v>
      </c>
      <c r="D273" t="s">
        <v>139</v>
      </c>
      <c r="E273" s="20">
        <v>11194.23</v>
      </c>
      <c r="F273" s="43"/>
      <c r="G273" s="21">
        <v>42826</v>
      </c>
      <c r="H273" s="29"/>
      <c r="I273" s="35"/>
      <c r="J273" s="29"/>
      <c r="K273" s="29"/>
      <c r="L273" s="29"/>
    </row>
    <row r="274" spans="1:12" x14ac:dyDescent="0.2">
      <c r="A274" s="52"/>
      <c r="B274" s="39">
        <v>765959807</v>
      </c>
      <c r="C274" s="17">
        <v>35300</v>
      </c>
      <c r="D274" t="s">
        <v>139</v>
      </c>
      <c r="E274" s="20">
        <v>183.35</v>
      </c>
      <c r="F274" s="43"/>
      <c r="G274" s="21">
        <v>42856</v>
      </c>
      <c r="H274" s="29"/>
      <c r="I274" s="35"/>
      <c r="J274" s="29"/>
      <c r="K274" s="29"/>
      <c r="L274" s="29"/>
    </row>
    <row r="275" spans="1:12" x14ac:dyDescent="0.2">
      <c r="A275" s="52"/>
      <c r="B275" s="39">
        <v>765959807</v>
      </c>
      <c r="C275" s="17">
        <v>35300</v>
      </c>
      <c r="D275" t="s">
        <v>139</v>
      </c>
      <c r="E275" s="20">
        <v>248.12</v>
      </c>
      <c r="F275" s="43"/>
      <c r="G275" s="21">
        <v>42887</v>
      </c>
      <c r="H275" s="45"/>
      <c r="I275" s="35"/>
      <c r="J275" s="29"/>
      <c r="K275" s="29"/>
      <c r="L275" s="29"/>
    </row>
    <row r="276" spans="1:12" x14ac:dyDescent="0.2">
      <c r="A276" s="52"/>
      <c r="B276" s="39">
        <v>765959807</v>
      </c>
      <c r="C276" s="17">
        <v>35300</v>
      </c>
      <c r="D276" t="s">
        <v>139</v>
      </c>
      <c r="E276" s="83">
        <v>127.92</v>
      </c>
      <c r="F276" s="43"/>
      <c r="G276" s="21">
        <v>42917</v>
      </c>
      <c r="H276" s="45"/>
      <c r="I276" s="35"/>
      <c r="J276" s="29"/>
      <c r="K276" s="29"/>
      <c r="L276" s="29"/>
    </row>
    <row r="277" spans="1:12" x14ac:dyDescent="0.2">
      <c r="A277" s="52"/>
      <c r="B277" s="39">
        <v>765959807</v>
      </c>
      <c r="C277" s="17">
        <v>35300</v>
      </c>
      <c r="D277" t="s">
        <v>139</v>
      </c>
      <c r="E277" s="83">
        <v>-29.3</v>
      </c>
      <c r="F277" s="43"/>
      <c r="G277" s="21">
        <v>42948</v>
      </c>
      <c r="H277" s="45"/>
      <c r="I277" s="35"/>
      <c r="J277" s="29"/>
      <c r="K277" s="29"/>
      <c r="L277" s="29"/>
    </row>
    <row r="278" spans="1:12" x14ac:dyDescent="0.2">
      <c r="A278" s="52"/>
      <c r="B278" s="39">
        <v>765959807</v>
      </c>
      <c r="C278" s="17">
        <v>35300</v>
      </c>
      <c r="D278" t="s">
        <v>139</v>
      </c>
      <c r="E278" s="60">
        <v>7359.86</v>
      </c>
      <c r="F278" s="43"/>
      <c r="G278" s="21">
        <v>43070</v>
      </c>
      <c r="H278" s="45"/>
      <c r="I278" s="35"/>
      <c r="J278" s="29"/>
      <c r="K278" s="29"/>
      <c r="L278" s="29"/>
    </row>
    <row r="279" spans="1:12" x14ac:dyDescent="0.2">
      <c r="A279" s="52"/>
      <c r="B279" s="37"/>
      <c r="C279" s="17"/>
      <c r="D279" s="40" t="s">
        <v>12</v>
      </c>
      <c r="E279" s="20">
        <f>SUM(E270:E278)</f>
        <v>140019.80000000002</v>
      </c>
      <c r="F279" s="43"/>
      <c r="G279" s="21"/>
      <c r="H279" s="45"/>
      <c r="I279" s="35"/>
      <c r="J279" s="29"/>
      <c r="K279" s="29"/>
      <c r="L279" s="29"/>
    </row>
    <row r="280" spans="1:12" x14ac:dyDescent="0.2">
      <c r="A280" s="52"/>
      <c r="B280" s="37"/>
      <c r="C280" s="17"/>
      <c r="D280"/>
      <c r="E280" s="20"/>
      <c r="F280" s="43"/>
      <c r="G280" s="21"/>
      <c r="H280" s="45"/>
      <c r="I280" s="35"/>
      <c r="J280" s="29"/>
      <c r="K280" s="29"/>
      <c r="L280" s="29"/>
    </row>
    <row r="281" spans="1:12" x14ac:dyDescent="0.2">
      <c r="A281" s="51" t="s">
        <v>138</v>
      </c>
      <c r="B281" s="37">
        <v>542480347</v>
      </c>
      <c r="C281" s="17">
        <v>35300</v>
      </c>
      <c r="D281" t="s">
        <v>142</v>
      </c>
      <c r="E281" s="20">
        <v>473.54</v>
      </c>
      <c r="F281" s="43"/>
      <c r="G281" s="21">
        <v>42767</v>
      </c>
      <c r="H281" s="29"/>
      <c r="I281" s="35"/>
      <c r="J281" s="29"/>
      <c r="K281" s="29"/>
      <c r="L281" s="29"/>
    </row>
    <row r="282" spans="1:12" x14ac:dyDescent="0.2">
      <c r="A282" s="52"/>
      <c r="B282" s="37">
        <v>542480347</v>
      </c>
      <c r="C282" s="17">
        <v>35300</v>
      </c>
      <c r="D282" t="s">
        <v>142</v>
      </c>
      <c r="E282" s="60">
        <v>327.85</v>
      </c>
      <c r="F282" s="43"/>
      <c r="G282" s="21">
        <v>42795</v>
      </c>
      <c r="H282" s="29"/>
      <c r="I282" s="35"/>
      <c r="J282" s="29"/>
      <c r="K282" s="29"/>
      <c r="L282" s="29"/>
    </row>
    <row r="283" spans="1:12" x14ac:dyDescent="0.2">
      <c r="A283" s="52"/>
      <c r="B283" s="37"/>
      <c r="C283" s="17"/>
      <c r="D283" s="40" t="s">
        <v>12</v>
      </c>
      <c r="E283" s="20">
        <f>SUM(E281:E282)</f>
        <v>801.3900000000001</v>
      </c>
      <c r="F283" s="43"/>
      <c r="G283" s="21"/>
      <c r="H283" s="29"/>
      <c r="I283" s="35"/>
      <c r="J283" s="29"/>
      <c r="K283" s="29"/>
      <c r="L283" s="29"/>
    </row>
    <row r="284" spans="1:12" x14ac:dyDescent="0.2">
      <c r="A284" s="52"/>
      <c r="B284" s="37"/>
      <c r="C284" s="17"/>
      <c r="D284"/>
      <c r="E284" s="20"/>
      <c r="F284" s="43"/>
      <c r="G284" s="21"/>
      <c r="H284" s="29"/>
      <c r="I284" s="35"/>
      <c r="J284" s="29"/>
      <c r="K284" s="29"/>
      <c r="L284" s="29"/>
    </row>
    <row r="285" spans="1:12" x14ac:dyDescent="0.2">
      <c r="A285" s="52"/>
      <c r="B285" s="37">
        <v>544496386</v>
      </c>
      <c r="C285" s="17">
        <v>35022</v>
      </c>
      <c r="D285" t="s">
        <v>143</v>
      </c>
      <c r="E285" s="20">
        <v>10345.799999999999</v>
      </c>
      <c r="F285" s="43"/>
      <c r="G285" s="21">
        <v>42736</v>
      </c>
      <c r="H285" s="29"/>
      <c r="I285" s="35"/>
      <c r="J285" s="29"/>
      <c r="K285" s="29"/>
      <c r="L285" s="29"/>
    </row>
    <row r="286" spans="1:12" x14ac:dyDescent="0.2">
      <c r="A286" s="52"/>
      <c r="B286" s="37">
        <v>544496386</v>
      </c>
      <c r="C286" s="17">
        <v>35022</v>
      </c>
      <c r="D286" t="s">
        <v>143</v>
      </c>
      <c r="E286" s="20">
        <v>1122.8599999999999</v>
      </c>
      <c r="F286" s="43"/>
      <c r="G286" s="21">
        <v>42767</v>
      </c>
      <c r="H286" s="29"/>
      <c r="I286" s="35"/>
      <c r="J286" s="29"/>
      <c r="K286" s="29"/>
      <c r="L286" s="29"/>
    </row>
    <row r="287" spans="1:12" x14ac:dyDescent="0.2">
      <c r="A287" s="52"/>
      <c r="B287" s="37">
        <v>544496386</v>
      </c>
      <c r="C287" s="17">
        <v>35022</v>
      </c>
      <c r="D287" t="s">
        <v>143</v>
      </c>
      <c r="E287" s="20">
        <v>8295.2999999999993</v>
      </c>
      <c r="F287" s="43"/>
      <c r="G287" s="21">
        <v>42795</v>
      </c>
      <c r="H287" s="29"/>
      <c r="I287" s="35"/>
      <c r="J287" s="29"/>
      <c r="K287" s="29"/>
      <c r="L287" s="29"/>
    </row>
    <row r="288" spans="1:12" x14ac:dyDescent="0.2">
      <c r="A288" s="52"/>
      <c r="B288" s="37">
        <v>544496386</v>
      </c>
      <c r="C288" s="17">
        <v>35022</v>
      </c>
      <c r="D288" t="s">
        <v>143</v>
      </c>
      <c r="E288" s="20">
        <v>8839.52</v>
      </c>
      <c r="F288" s="43"/>
      <c r="G288" s="21">
        <v>42826</v>
      </c>
      <c r="H288" s="29"/>
      <c r="I288" s="35"/>
      <c r="J288" s="29"/>
      <c r="K288" s="29"/>
      <c r="L288" s="29"/>
    </row>
    <row r="289" spans="1:12" x14ac:dyDescent="0.2">
      <c r="A289" s="52"/>
      <c r="B289" s="37">
        <v>544496386</v>
      </c>
      <c r="C289" s="17">
        <v>35022</v>
      </c>
      <c r="D289" t="s">
        <v>143</v>
      </c>
      <c r="E289" s="20">
        <v>8525.0400000000009</v>
      </c>
      <c r="F289" s="43"/>
      <c r="G289" s="21">
        <v>42856</v>
      </c>
      <c r="H289" s="29"/>
      <c r="I289" s="35"/>
      <c r="J289" s="29"/>
      <c r="K289" s="29"/>
      <c r="L289" s="29"/>
    </row>
    <row r="290" spans="1:12" x14ac:dyDescent="0.2">
      <c r="A290" s="52"/>
      <c r="B290" s="37">
        <v>544496386</v>
      </c>
      <c r="C290" s="17">
        <v>35022</v>
      </c>
      <c r="D290" t="s">
        <v>143</v>
      </c>
      <c r="E290" s="20">
        <v>165872.32000000001</v>
      </c>
      <c r="F290" s="43"/>
      <c r="G290" s="78">
        <v>42887</v>
      </c>
      <c r="H290" s="29"/>
      <c r="I290" s="35"/>
      <c r="J290" s="29"/>
      <c r="K290" s="29"/>
      <c r="L290" s="29"/>
    </row>
    <row r="291" spans="1:12" x14ac:dyDescent="0.2">
      <c r="A291" s="52"/>
      <c r="B291" s="37">
        <v>544496386</v>
      </c>
      <c r="C291" s="17">
        <v>35022</v>
      </c>
      <c r="D291" t="s">
        <v>143</v>
      </c>
      <c r="E291" s="20">
        <v>22007.200000000001</v>
      </c>
      <c r="F291" s="43"/>
      <c r="G291" s="21">
        <v>42917</v>
      </c>
      <c r="H291" s="29"/>
      <c r="I291" s="35"/>
      <c r="J291" s="29"/>
      <c r="K291" s="29"/>
      <c r="L291" s="29"/>
    </row>
    <row r="292" spans="1:12" x14ac:dyDescent="0.2">
      <c r="A292" s="52">
        <v>13123835</v>
      </c>
      <c r="B292" s="37">
        <v>544496386</v>
      </c>
      <c r="C292" s="17">
        <v>35022</v>
      </c>
      <c r="D292" t="s">
        <v>143</v>
      </c>
      <c r="E292" s="20">
        <v>21504.25</v>
      </c>
      <c r="F292" s="43"/>
      <c r="G292" s="21">
        <v>42948</v>
      </c>
      <c r="H292" s="29"/>
      <c r="I292" s="35"/>
      <c r="J292" s="29"/>
      <c r="K292" s="29"/>
      <c r="L292" s="29"/>
    </row>
    <row r="293" spans="1:12" x14ac:dyDescent="0.2">
      <c r="A293" s="52"/>
      <c r="B293" s="37">
        <v>544496386</v>
      </c>
      <c r="C293" s="17">
        <v>35022</v>
      </c>
      <c r="D293" t="s">
        <v>143</v>
      </c>
      <c r="E293" s="20">
        <v>914.39</v>
      </c>
      <c r="F293" s="43"/>
      <c r="G293" s="21">
        <v>42979</v>
      </c>
      <c r="H293" s="29"/>
      <c r="I293" s="35"/>
      <c r="J293" s="29"/>
      <c r="K293" s="29"/>
      <c r="L293" s="29"/>
    </row>
    <row r="294" spans="1:12" x14ac:dyDescent="0.2">
      <c r="A294" s="52"/>
      <c r="B294" s="37">
        <v>544496386</v>
      </c>
      <c r="C294" s="17">
        <v>35022</v>
      </c>
      <c r="D294" t="s">
        <v>143</v>
      </c>
      <c r="E294" s="20">
        <v>23477</v>
      </c>
      <c r="F294" s="43"/>
      <c r="G294" s="21">
        <v>43009</v>
      </c>
      <c r="H294" s="29"/>
      <c r="I294" s="35"/>
      <c r="J294" s="29"/>
      <c r="K294" s="29"/>
      <c r="L294" s="29"/>
    </row>
    <row r="295" spans="1:12" x14ac:dyDescent="0.2">
      <c r="A295" s="52"/>
      <c r="B295" s="37">
        <v>544496386</v>
      </c>
      <c r="C295" s="17">
        <v>35022</v>
      </c>
      <c r="D295" t="s">
        <v>143</v>
      </c>
      <c r="E295" s="20">
        <v>5769.48</v>
      </c>
      <c r="F295" s="43"/>
      <c r="G295" s="21">
        <v>43040</v>
      </c>
      <c r="H295" s="29"/>
      <c r="I295" s="35"/>
      <c r="J295" s="29"/>
      <c r="K295" s="29"/>
      <c r="L295" s="29"/>
    </row>
    <row r="296" spans="1:12" x14ac:dyDescent="0.2">
      <c r="A296" s="52">
        <v>14258354</v>
      </c>
      <c r="B296" s="37">
        <v>544496386</v>
      </c>
      <c r="C296" s="17">
        <v>35022</v>
      </c>
      <c r="D296" t="s">
        <v>143</v>
      </c>
      <c r="E296" s="60">
        <v>-27296.639999999999</v>
      </c>
      <c r="F296" s="43"/>
      <c r="G296" s="21">
        <v>43070</v>
      </c>
      <c r="H296" s="29"/>
      <c r="I296" s="35"/>
      <c r="J296" s="29"/>
      <c r="K296" s="29"/>
      <c r="L296" s="29"/>
    </row>
    <row r="297" spans="1:12" x14ac:dyDescent="0.2">
      <c r="A297" s="52"/>
      <c r="B297" s="37"/>
      <c r="C297" s="17"/>
      <c r="D297" s="40" t="s">
        <v>12</v>
      </c>
      <c r="E297" s="20">
        <f>SUM(E285:E296)</f>
        <v>249376.52000000002</v>
      </c>
      <c r="F297" s="43"/>
      <c r="G297" s="21"/>
      <c r="H297" s="29"/>
      <c r="I297" s="35"/>
      <c r="J297" s="29"/>
      <c r="K297" s="29"/>
      <c r="L297" s="29"/>
    </row>
    <row r="298" spans="1:12" x14ac:dyDescent="0.2">
      <c r="A298" s="52"/>
      <c r="B298" s="37"/>
      <c r="C298" s="17"/>
      <c r="D298"/>
      <c r="E298" s="20"/>
      <c r="F298" s="43"/>
      <c r="G298" s="21"/>
      <c r="H298" s="29"/>
      <c r="I298" s="35"/>
      <c r="J298" s="29"/>
      <c r="K298" s="29"/>
      <c r="L298" s="29"/>
    </row>
    <row r="299" spans="1:12" x14ac:dyDescent="0.2">
      <c r="A299" s="52"/>
      <c r="B299" s="37">
        <v>678978199</v>
      </c>
      <c r="C299" s="17">
        <v>35300</v>
      </c>
      <c r="D299" t="s">
        <v>144</v>
      </c>
      <c r="E299" s="20">
        <v>116.32</v>
      </c>
      <c r="F299" s="43"/>
      <c r="G299" s="21">
        <v>42736</v>
      </c>
      <c r="H299" s="29"/>
      <c r="I299" s="35"/>
      <c r="J299" s="29"/>
      <c r="K299" s="29"/>
      <c r="L299" s="29"/>
    </row>
    <row r="300" spans="1:12" x14ac:dyDescent="0.2">
      <c r="A300" s="52"/>
      <c r="B300" s="37">
        <v>678978199</v>
      </c>
      <c r="C300" s="17">
        <v>35300</v>
      </c>
      <c r="D300" t="s">
        <v>144</v>
      </c>
      <c r="E300" s="20">
        <v>4582.1400000000003</v>
      </c>
      <c r="F300" s="43"/>
      <c r="G300" s="21">
        <v>42767</v>
      </c>
      <c r="H300" s="29"/>
      <c r="I300" s="35"/>
      <c r="J300" s="29"/>
      <c r="K300" s="29"/>
      <c r="L300" s="29"/>
    </row>
    <row r="301" spans="1:12" x14ac:dyDescent="0.2">
      <c r="A301" s="52"/>
      <c r="B301" s="37">
        <v>678978199</v>
      </c>
      <c r="C301" s="17">
        <v>35300</v>
      </c>
      <c r="D301" t="s">
        <v>144</v>
      </c>
      <c r="E301" s="20">
        <v>3402.04</v>
      </c>
      <c r="F301" s="43"/>
      <c r="G301" s="21">
        <v>42795</v>
      </c>
      <c r="H301" s="29"/>
      <c r="I301" s="35"/>
      <c r="J301" s="29"/>
      <c r="K301" s="29"/>
      <c r="L301" s="29"/>
    </row>
    <row r="302" spans="1:12" x14ac:dyDescent="0.2">
      <c r="A302" s="52"/>
      <c r="B302" s="37">
        <v>678978199</v>
      </c>
      <c r="C302" s="17">
        <v>35300</v>
      </c>
      <c r="D302" t="s">
        <v>144</v>
      </c>
      <c r="E302" s="20">
        <v>369.26</v>
      </c>
      <c r="F302" s="43"/>
      <c r="G302" s="21">
        <v>42826</v>
      </c>
      <c r="H302" s="29"/>
      <c r="I302" s="35"/>
      <c r="J302" s="29"/>
      <c r="K302" s="29"/>
      <c r="L302" s="29"/>
    </row>
    <row r="303" spans="1:12" x14ac:dyDescent="0.2">
      <c r="A303" s="52"/>
      <c r="B303" s="37">
        <v>678978199</v>
      </c>
      <c r="C303" s="17">
        <v>35300</v>
      </c>
      <c r="D303" t="s">
        <v>144</v>
      </c>
      <c r="E303" s="20">
        <v>0.16</v>
      </c>
      <c r="F303" s="43"/>
      <c r="G303" s="21">
        <v>42856</v>
      </c>
      <c r="H303" s="29"/>
      <c r="I303" s="35"/>
      <c r="J303" s="29"/>
      <c r="K303" s="29"/>
      <c r="L303" s="29"/>
    </row>
    <row r="304" spans="1:12" x14ac:dyDescent="0.2">
      <c r="A304" s="52"/>
      <c r="B304" s="37">
        <v>678978199</v>
      </c>
      <c r="C304" s="17">
        <v>35300</v>
      </c>
      <c r="D304" t="s">
        <v>144</v>
      </c>
      <c r="E304" s="20">
        <v>292.86</v>
      </c>
      <c r="F304" s="43"/>
      <c r="G304" s="21">
        <v>42979</v>
      </c>
      <c r="H304" s="29"/>
      <c r="I304" s="35"/>
      <c r="J304" s="29"/>
      <c r="K304" s="29"/>
      <c r="L304" s="29"/>
    </row>
    <row r="305" spans="1:12" x14ac:dyDescent="0.2">
      <c r="A305" s="52"/>
      <c r="B305" s="37">
        <v>678978199</v>
      </c>
      <c r="C305" s="17">
        <v>35300</v>
      </c>
      <c r="D305" t="s">
        <v>144</v>
      </c>
      <c r="E305" s="20">
        <v>2886.58</v>
      </c>
      <c r="F305" s="43"/>
      <c r="G305" s="21">
        <v>43009</v>
      </c>
      <c r="H305" s="29"/>
      <c r="I305" s="35"/>
      <c r="J305" s="29"/>
      <c r="K305" s="29"/>
      <c r="L305" s="29"/>
    </row>
    <row r="306" spans="1:12" x14ac:dyDescent="0.2">
      <c r="A306" s="52"/>
      <c r="B306" s="37">
        <v>678978199</v>
      </c>
      <c r="C306" s="17">
        <v>35300</v>
      </c>
      <c r="D306" t="s">
        <v>144</v>
      </c>
      <c r="E306" s="20">
        <v>3203.18</v>
      </c>
      <c r="F306" s="43"/>
      <c r="G306" s="21">
        <v>43040</v>
      </c>
      <c r="H306" s="29"/>
      <c r="I306" s="35"/>
      <c r="J306" s="29"/>
      <c r="K306" s="29"/>
      <c r="L306" s="29"/>
    </row>
    <row r="307" spans="1:12" x14ac:dyDescent="0.2">
      <c r="A307" s="52"/>
      <c r="B307" s="37">
        <v>678978199</v>
      </c>
      <c r="C307" s="17">
        <v>35300</v>
      </c>
      <c r="D307" t="s">
        <v>144</v>
      </c>
      <c r="E307" s="60">
        <v>4233.25</v>
      </c>
      <c r="F307" s="43"/>
      <c r="G307" s="21">
        <v>43070</v>
      </c>
      <c r="H307" s="29"/>
      <c r="I307" s="35"/>
      <c r="J307" s="29"/>
      <c r="K307" s="29"/>
      <c r="L307" s="29"/>
    </row>
    <row r="308" spans="1:12" x14ac:dyDescent="0.2">
      <c r="A308" s="52"/>
      <c r="B308" s="23"/>
      <c r="C308" s="17"/>
      <c r="D308" s="29" t="s">
        <v>12</v>
      </c>
      <c r="E308" s="20">
        <f>SUM(E299:E307)</f>
        <v>19085.79</v>
      </c>
      <c r="F308" s="43"/>
      <c r="G308" s="21"/>
      <c r="H308" s="29"/>
      <c r="I308" s="35"/>
      <c r="J308" s="29"/>
      <c r="K308" s="29"/>
      <c r="L308" s="29"/>
    </row>
    <row r="309" spans="1:12" x14ac:dyDescent="0.2">
      <c r="A309" s="52"/>
      <c r="B309" s="23"/>
      <c r="C309" s="17"/>
      <c r="D309" s="29"/>
      <c r="E309" s="60"/>
      <c r="F309" s="43"/>
      <c r="G309" s="21"/>
      <c r="H309" s="29"/>
      <c r="I309" s="35"/>
      <c r="J309" s="29"/>
      <c r="K309" s="29"/>
      <c r="L309" s="29"/>
    </row>
    <row r="310" spans="1:12" x14ac:dyDescent="0.2">
      <c r="A310" s="52">
        <v>14435971</v>
      </c>
      <c r="B310" s="37">
        <v>689555528</v>
      </c>
      <c r="C310" s="17" t="s">
        <v>61</v>
      </c>
      <c r="D310" t="s">
        <v>143</v>
      </c>
      <c r="E310" s="20">
        <v>236269.26</v>
      </c>
      <c r="F310" s="43"/>
      <c r="G310" s="21">
        <v>42736</v>
      </c>
      <c r="H310" s="29"/>
      <c r="I310" s="35"/>
      <c r="J310" s="29"/>
      <c r="K310" s="29"/>
      <c r="L310" s="29"/>
    </row>
    <row r="311" spans="1:12" x14ac:dyDescent="0.2">
      <c r="A311" s="52"/>
      <c r="B311" s="37">
        <v>689555528</v>
      </c>
      <c r="C311" s="17" t="s">
        <v>61</v>
      </c>
      <c r="D311" t="s">
        <v>143</v>
      </c>
      <c r="E311" s="20">
        <v>28.63</v>
      </c>
      <c r="F311" s="43"/>
      <c r="G311" s="21">
        <v>42767</v>
      </c>
      <c r="H311" s="29"/>
      <c r="I311" s="35"/>
      <c r="J311" s="29"/>
      <c r="K311" s="29"/>
      <c r="L311" s="29"/>
    </row>
    <row r="312" spans="1:12" x14ac:dyDescent="0.2">
      <c r="A312" s="52"/>
      <c r="B312" s="37">
        <v>689555528</v>
      </c>
      <c r="C312" s="17" t="s">
        <v>61</v>
      </c>
      <c r="D312" t="s">
        <v>143</v>
      </c>
      <c r="E312" s="20">
        <v>19.82</v>
      </c>
      <c r="F312" s="43"/>
      <c r="G312" s="21">
        <v>42795</v>
      </c>
      <c r="H312" s="29"/>
      <c r="I312" s="35"/>
      <c r="J312" s="29"/>
      <c r="K312" s="29"/>
      <c r="L312" s="29"/>
    </row>
    <row r="313" spans="1:12" x14ac:dyDescent="0.2">
      <c r="A313" s="52"/>
      <c r="B313" s="37">
        <v>689555528</v>
      </c>
      <c r="C313" s="17" t="s">
        <v>61</v>
      </c>
      <c r="D313" t="s">
        <v>143</v>
      </c>
      <c r="E313" s="20">
        <v>41276252.899999999</v>
      </c>
      <c r="F313" s="43"/>
      <c r="G313" s="21">
        <v>42948</v>
      </c>
      <c r="H313" s="29"/>
      <c r="I313" s="35"/>
      <c r="J313" s="29"/>
      <c r="K313" s="29"/>
      <c r="L313" s="29"/>
    </row>
    <row r="314" spans="1:12" x14ac:dyDescent="0.2">
      <c r="A314" s="52"/>
      <c r="B314" s="37">
        <v>689555528</v>
      </c>
      <c r="C314" s="17" t="s">
        <v>61</v>
      </c>
      <c r="D314" t="s">
        <v>143</v>
      </c>
      <c r="E314" s="60">
        <v>12184748.210000001</v>
      </c>
      <c r="F314" s="43"/>
      <c r="G314" s="21">
        <v>42979</v>
      </c>
      <c r="H314" s="29"/>
      <c r="I314" s="35"/>
      <c r="J314" s="29"/>
      <c r="K314" s="29"/>
      <c r="L314" s="29"/>
    </row>
    <row r="315" spans="1:12" x14ac:dyDescent="0.2">
      <c r="A315" s="52"/>
      <c r="B315" s="37"/>
      <c r="C315" s="17"/>
      <c r="D315" s="40" t="s">
        <v>12</v>
      </c>
      <c r="E315" s="20">
        <f>SUM(E310:E314)</f>
        <v>53697318.82</v>
      </c>
      <c r="F315" s="43"/>
      <c r="G315" s="21"/>
      <c r="H315" s="29"/>
      <c r="I315" s="35"/>
      <c r="J315" s="29"/>
      <c r="K315" s="29"/>
      <c r="L315" s="29"/>
    </row>
    <row r="316" spans="1:12" x14ac:dyDescent="0.2">
      <c r="A316" s="52"/>
      <c r="B316" s="37"/>
      <c r="C316" s="17"/>
      <c r="D316"/>
      <c r="E316" s="20"/>
      <c r="F316" s="43"/>
      <c r="G316" s="21"/>
      <c r="H316" s="29"/>
      <c r="I316" s="35"/>
      <c r="J316" s="29"/>
      <c r="K316" s="29"/>
      <c r="L316" s="29"/>
    </row>
    <row r="317" spans="1:12" x14ac:dyDescent="0.2">
      <c r="A317" s="52"/>
      <c r="B317" s="37">
        <v>6895555910</v>
      </c>
      <c r="C317" s="17" t="s">
        <v>61</v>
      </c>
      <c r="D317" t="s">
        <v>143</v>
      </c>
      <c r="E317" s="20">
        <v>-139661.78</v>
      </c>
      <c r="F317" s="43"/>
      <c r="G317" s="21">
        <v>42736</v>
      </c>
      <c r="H317" s="29"/>
      <c r="I317" s="35"/>
      <c r="J317" s="29"/>
      <c r="K317" s="29"/>
      <c r="L317" s="29"/>
    </row>
    <row r="318" spans="1:12" x14ac:dyDescent="0.2">
      <c r="A318" s="52"/>
      <c r="B318" s="37">
        <v>6895555910</v>
      </c>
      <c r="C318" s="17" t="s">
        <v>61</v>
      </c>
      <c r="D318" t="s">
        <v>143</v>
      </c>
      <c r="E318" s="20">
        <v>227715.93</v>
      </c>
      <c r="F318" s="43"/>
      <c r="G318" s="21">
        <v>42767</v>
      </c>
      <c r="H318" s="29"/>
      <c r="I318" s="35"/>
      <c r="J318" s="29"/>
      <c r="K318" s="29"/>
      <c r="L318" s="29"/>
    </row>
    <row r="319" spans="1:12" x14ac:dyDescent="0.2">
      <c r="A319" s="52"/>
      <c r="B319" s="37">
        <v>6895555910</v>
      </c>
      <c r="C319" s="17" t="s">
        <v>61</v>
      </c>
      <c r="D319" t="s">
        <v>143</v>
      </c>
      <c r="E319" s="20">
        <v>214248.72</v>
      </c>
      <c r="F319" s="43"/>
      <c r="G319" s="21">
        <v>42795</v>
      </c>
      <c r="H319" s="29"/>
      <c r="I319" s="35"/>
      <c r="J319" s="29"/>
      <c r="K319" s="29"/>
      <c r="L319" s="29"/>
    </row>
    <row r="320" spans="1:12" x14ac:dyDescent="0.2">
      <c r="A320" s="52"/>
      <c r="B320" s="37">
        <v>6895555910</v>
      </c>
      <c r="C320" s="17" t="s">
        <v>61</v>
      </c>
      <c r="D320" t="s">
        <v>143</v>
      </c>
      <c r="E320" s="20">
        <v>124924.37</v>
      </c>
      <c r="F320" s="43"/>
      <c r="G320" s="21">
        <v>42826</v>
      </c>
      <c r="H320" s="29"/>
      <c r="I320" s="35"/>
      <c r="J320" s="29"/>
      <c r="K320" s="29"/>
      <c r="L320" s="29"/>
    </row>
    <row r="321" spans="1:12" x14ac:dyDescent="0.2">
      <c r="A321" s="52">
        <v>14464107</v>
      </c>
      <c r="B321" s="37">
        <v>6895555910</v>
      </c>
      <c r="C321" s="17" t="s">
        <v>61</v>
      </c>
      <c r="D321" t="s">
        <v>143</v>
      </c>
      <c r="E321" s="20">
        <v>322565.25</v>
      </c>
      <c r="F321" s="43"/>
      <c r="G321" s="21">
        <v>42856</v>
      </c>
      <c r="H321" s="29"/>
      <c r="I321" s="35"/>
      <c r="J321" s="29"/>
      <c r="K321" s="29"/>
      <c r="L321" s="29"/>
    </row>
    <row r="322" spans="1:12" x14ac:dyDescent="0.2">
      <c r="A322" s="52"/>
      <c r="B322" s="37">
        <v>6895555910</v>
      </c>
      <c r="C322" s="17" t="s">
        <v>61</v>
      </c>
      <c r="D322" t="s">
        <v>143</v>
      </c>
      <c r="E322" s="20">
        <v>379676.56</v>
      </c>
      <c r="F322" s="43"/>
      <c r="G322" s="21">
        <v>42887</v>
      </c>
      <c r="H322" s="29"/>
      <c r="I322" s="35"/>
      <c r="J322" s="29"/>
      <c r="K322" s="29"/>
      <c r="L322" s="29"/>
    </row>
    <row r="323" spans="1:12" x14ac:dyDescent="0.2">
      <c r="A323" s="52"/>
      <c r="B323" s="37">
        <v>6895555910</v>
      </c>
      <c r="C323" s="17" t="s">
        <v>61</v>
      </c>
      <c r="D323" t="s">
        <v>143</v>
      </c>
      <c r="E323" s="20">
        <v>118159.86</v>
      </c>
      <c r="F323" s="43"/>
      <c r="G323" s="21">
        <v>42917</v>
      </c>
      <c r="H323" s="29"/>
      <c r="I323" s="35"/>
      <c r="J323" s="29"/>
      <c r="K323" s="29"/>
      <c r="L323" s="29"/>
    </row>
    <row r="324" spans="1:12" x14ac:dyDescent="0.2">
      <c r="A324" s="52"/>
      <c r="B324" s="37">
        <v>6895555910</v>
      </c>
      <c r="C324" s="17" t="s">
        <v>61</v>
      </c>
      <c r="D324" t="s">
        <v>143</v>
      </c>
      <c r="E324" s="20">
        <v>-19397600.760000002</v>
      </c>
      <c r="F324" s="43"/>
      <c r="G324" s="21">
        <v>42948</v>
      </c>
      <c r="H324" s="29"/>
      <c r="I324" s="35"/>
      <c r="J324" s="29"/>
      <c r="K324" s="29"/>
      <c r="L324" s="29"/>
    </row>
    <row r="325" spans="1:12" x14ac:dyDescent="0.2">
      <c r="A325" s="52"/>
      <c r="B325" s="37">
        <v>6895555910</v>
      </c>
      <c r="C325" s="76" t="s">
        <v>167</v>
      </c>
      <c r="D325" t="s">
        <v>143</v>
      </c>
      <c r="E325" s="20">
        <v>-5809858.21</v>
      </c>
      <c r="F325" s="43"/>
      <c r="G325" s="21">
        <v>42979</v>
      </c>
      <c r="H325" s="29"/>
      <c r="I325" s="35"/>
      <c r="J325" s="29"/>
      <c r="K325" s="29"/>
      <c r="L325" s="29"/>
    </row>
    <row r="326" spans="1:12" x14ac:dyDescent="0.2">
      <c r="A326" s="52"/>
      <c r="B326" s="37">
        <v>6895555910</v>
      </c>
      <c r="C326" s="76" t="s">
        <v>167</v>
      </c>
      <c r="D326" t="s">
        <v>143</v>
      </c>
      <c r="E326" s="20">
        <v>44868.43</v>
      </c>
      <c r="F326" s="43"/>
      <c r="G326" s="21">
        <v>43009</v>
      </c>
      <c r="H326" s="29"/>
      <c r="I326" s="35"/>
      <c r="J326" s="29"/>
      <c r="K326" s="29"/>
      <c r="L326" s="29"/>
    </row>
    <row r="327" spans="1:12" x14ac:dyDescent="0.2">
      <c r="A327" s="52"/>
      <c r="B327" s="37">
        <v>6895555910</v>
      </c>
      <c r="C327" s="76" t="s">
        <v>167</v>
      </c>
      <c r="D327" t="s">
        <v>143</v>
      </c>
      <c r="E327" s="20">
        <v>-38469.300000000003</v>
      </c>
      <c r="F327" s="43"/>
      <c r="G327" s="21">
        <v>43040</v>
      </c>
      <c r="H327" s="29"/>
      <c r="I327" s="35"/>
      <c r="J327" s="29"/>
      <c r="K327" s="29"/>
      <c r="L327" s="29"/>
    </row>
    <row r="328" spans="1:12" x14ac:dyDescent="0.2">
      <c r="A328" s="52">
        <v>14464108</v>
      </c>
      <c r="B328" s="37">
        <v>6895555910</v>
      </c>
      <c r="C328" s="76" t="s">
        <v>167</v>
      </c>
      <c r="D328" t="s">
        <v>143</v>
      </c>
      <c r="E328" s="60">
        <v>4849.1000000000004</v>
      </c>
      <c r="F328" s="43"/>
      <c r="G328" s="21">
        <v>43070</v>
      </c>
      <c r="H328" s="29"/>
      <c r="I328" s="35"/>
      <c r="J328" s="29"/>
      <c r="K328" s="29"/>
      <c r="L328" s="29"/>
    </row>
    <row r="329" spans="1:12" x14ac:dyDescent="0.2">
      <c r="A329" s="52"/>
      <c r="B329" s="37"/>
      <c r="C329" s="17"/>
      <c r="D329" s="40" t="s">
        <v>12</v>
      </c>
      <c r="E329" s="20">
        <f>SUM(E317:E328)</f>
        <v>-23948581.830000002</v>
      </c>
      <c r="F329" s="43"/>
      <c r="G329" s="21"/>
      <c r="H329" s="29"/>
      <c r="I329" s="35"/>
      <c r="J329" s="29"/>
      <c r="K329" s="29"/>
      <c r="L329" s="29"/>
    </row>
    <row r="330" spans="1:12" x14ac:dyDescent="0.2">
      <c r="A330" s="52"/>
      <c r="B330" s="37"/>
      <c r="C330" s="17"/>
      <c r="D330"/>
      <c r="E330" s="20"/>
      <c r="F330" s="43"/>
      <c r="G330" s="21"/>
      <c r="H330" s="29"/>
      <c r="I330" s="35"/>
      <c r="J330" s="29"/>
      <c r="K330" s="29"/>
      <c r="L330" s="29"/>
    </row>
    <row r="331" spans="1:12" x14ac:dyDescent="0.2">
      <c r="A331" s="52"/>
      <c r="B331" s="37">
        <v>544395083</v>
      </c>
      <c r="C331" s="17">
        <v>35610</v>
      </c>
      <c r="D331" s="40" t="s">
        <v>146</v>
      </c>
      <c r="E331" s="20">
        <v>65720.72</v>
      </c>
      <c r="F331" s="43"/>
      <c r="G331" s="21">
        <v>42736</v>
      </c>
      <c r="H331" s="29"/>
      <c r="I331" s="35"/>
      <c r="J331" s="29"/>
      <c r="K331" s="29"/>
      <c r="L331" s="29"/>
    </row>
    <row r="332" spans="1:12" x14ac:dyDescent="0.2">
      <c r="A332" s="52"/>
      <c r="B332" s="37">
        <v>544395083</v>
      </c>
      <c r="C332" s="17">
        <v>35610</v>
      </c>
      <c r="D332" s="40" t="s">
        <v>146</v>
      </c>
      <c r="E332" s="20">
        <v>272364.24</v>
      </c>
      <c r="F332" s="43"/>
      <c r="G332" s="21">
        <v>42767</v>
      </c>
      <c r="H332" s="29"/>
      <c r="I332" s="35"/>
      <c r="J332" s="29"/>
      <c r="K332" s="29"/>
      <c r="L332" s="29"/>
    </row>
    <row r="333" spans="1:12" x14ac:dyDescent="0.2">
      <c r="A333" s="52"/>
      <c r="B333" s="37">
        <v>544395083</v>
      </c>
      <c r="C333" s="17">
        <v>35610</v>
      </c>
      <c r="D333" s="40" t="s">
        <v>146</v>
      </c>
      <c r="E333" s="20">
        <v>127229.35</v>
      </c>
      <c r="F333" s="43"/>
      <c r="G333" s="21">
        <v>42795</v>
      </c>
      <c r="H333" s="29"/>
      <c r="I333" s="35"/>
      <c r="J333" s="29"/>
      <c r="K333" s="29"/>
      <c r="L333" s="29"/>
    </row>
    <row r="334" spans="1:12" x14ac:dyDescent="0.2">
      <c r="A334" s="52"/>
      <c r="B334" s="37">
        <v>544395083</v>
      </c>
      <c r="C334" s="17">
        <v>35610</v>
      </c>
      <c r="D334" s="40" t="s">
        <v>146</v>
      </c>
      <c r="E334" s="20">
        <v>220706.46</v>
      </c>
      <c r="F334" s="43"/>
      <c r="G334" s="21">
        <v>42826</v>
      </c>
      <c r="H334" s="29"/>
      <c r="I334" s="35"/>
      <c r="J334" s="29"/>
      <c r="K334" s="29"/>
      <c r="L334" s="29"/>
    </row>
    <row r="335" spans="1:12" x14ac:dyDescent="0.2">
      <c r="A335" s="52"/>
      <c r="B335" s="37">
        <v>544395083</v>
      </c>
      <c r="C335" s="17">
        <v>35610</v>
      </c>
      <c r="D335" s="40" t="s">
        <v>146</v>
      </c>
      <c r="E335" s="20">
        <v>176588.87</v>
      </c>
      <c r="F335" s="43"/>
      <c r="G335" s="21">
        <v>42856</v>
      </c>
      <c r="H335" s="29"/>
      <c r="I335" s="35"/>
      <c r="J335" s="29"/>
      <c r="K335" s="29"/>
      <c r="L335" s="29"/>
    </row>
    <row r="336" spans="1:12" x14ac:dyDescent="0.2">
      <c r="A336" s="52"/>
      <c r="B336" s="37">
        <v>544395083</v>
      </c>
      <c r="C336" s="17">
        <v>35610</v>
      </c>
      <c r="D336" s="40" t="s">
        <v>146</v>
      </c>
      <c r="E336" s="20">
        <v>183288.52</v>
      </c>
      <c r="F336" s="43"/>
      <c r="G336" s="21">
        <v>42887</v>
      </c>
      <c r="H336" s="29"/>
      <c r="I336" s="35"/>
      <c r="J336" s="29"/>
      <c r="K336" s="29"/>
      <c r="L336" s="29"/>
    </row>
    <row r="337" spans="1:12" x14ac:dyDescent="0.2">
      <c r="A337" s="52"/>
      <c r="B337" s="37">
        <v>544395083</v>
      </c>
      <c r="C337" s="17">
        <v>35610</v>
      </c>
      <c r="D337" s="40" t="s">
        <v>146</v>
      </c>
      <c r="E337" s="20">
        <v>26871.23</v>
      </c>
      <c r="F337" s="43"/>
      <c r="G337" s="21">
        <v>42917</v>
      </c>
      <c r="H337" s="29"/>
      <c r="I337" s="35"/>
      <c r="J337" s="29"/>
      <c r="K337" s="29"/>
      <c r="L337" s="29"/>
    </row>
    <row r="338" spans="1:12" x14ac:dyDescent="0.2">
      <c r="A338" s="52"/>
      <c r="B338" s="37">
        <v>544395083</v>
      </c>
      <c r="C338" s="17">
        <v>35610</v>
      </c>
      <c r="D338" s="40" t="s">
        <v>146</v>
      </c>
      <c r="E338" s="20">
        <v>-28100236.670000002</v>
      </c>
      <c r="F338" s="43"/>
      <c r="G338" s="21">
        <v>42948</v>
      </c>
      <c r="H338" s="29"/>
      <c r="I338" s="35"/>
      <c r="J338" s="29"/>
      <c r="K338" s="29"/>
      <c r="L338" s="29"/>
    </row>
    <row r="339" spans="1:12" x14ac:dyDescent="0.2">
      <c r="A339" s="52"/>
      <c r="B339" s="37">
        <v>544395083</v>
      </c>
      <c r="C339" s="17">
        <v>35610</v>
      </c>
      <c r="D339" s="40" t="s">
        <v>146</v>
      </c>
      <c r="E339" s="20">
        <v>-561637.27</v>
      </c>
      <c r="F339" s="43"/>
      <c r="G339" s="21">
        <v>42979</v>
      </c>
      <c r="H339" s="29"/>
      <c r="I339" s="35"/>
      <c r="J339" s="29"/>
      <c r="K339" s="29"/>
      <c r="L339" s="29"/>
    </row>
    <row r="340" spans="1:12" x14ac:dyDescent="0.2">
      <c r="A340" s="52"/>
      <c r="B340" s="37">
        <v>544395083</v>
      </c>
      <c r="C340" s="17">
        <v>35610</v>
      </c>
      <c r="D340" s="40" t="s">
        <v>146</v>
      </c>
      <c r="E340" s="60">
        <v>5088057.46</v>
      </c>
      <c r="F340" s="43"/>
      <c r="G340" s="21">
        <v>43070</v>
      </c>
      <c r="H340" s="29"/>
      <c r="I340" s="35"/>
      <c r="J340" s="29"/>
      <c r="K340" s="29"/>
      <c r="L340" s="29"/>
    </row>
    <row r="341" spans="1:12" x14ac:dyDescent="0.2">
      <c r="A341" s="52"/>
      <c r="B341" s="23"/>
      <c r="C341" s="17"/>
      <c r="D341" s="29" t="s">
        <v>12</v>
      </c>
      <c r="E341" s="20">
        <f>SUM(E331:E340)</f>
        <v>-22501047.09</v>
      </c>
      <c r="F341" s="43"/>
      <c r="G341" s="21"/>
      <c r="H341" s="29"/>
      <c r="I341" s="35"/>
      <c r="J341" s="29"/>
      <c r="K341" s="29"/>
      <c r="L341" s="29"/>
    </row>
    <row r="342" spans="1:12" x14ac:dyDescent="0.2">
      <c r="A342" s="52">
        <v>14080138</v>
      </c>
      <c r="B342" s="37"/>
      <c r="C342" s="17"/>
      <c r="D342"/>
      <c r="E342" s="20"/>
      <c r="F342" s="43"/>
      <c r="G342" s="21"/>
      <c r="H342" s="29"/>
      <c r="I342" s="35"/>
      <c r="J342" s="29"/>
      <c r="K342" s="29"/>
      <c r="L342" s="29"/>
    </row>
    <row r="343" spans="1:12" x14ac:dyDescent="0.2">
      <c r="A343" s="52"/>
      <c r="B343" s="37">
        <v>711507286</v>
      </c>
      <c r="C343" s="17">
        <v>35300</v>
      </c>
      <c r="D343" s="40" t="s">
        <v>147</v>
      </c>
      <c r="E343" s="20">
        <v>393433.46</v>
      </c>
      <c r="F343" s="43"/>
      <c r="G343" s="21">
        <v>42736</v>
      </c>
      <c r="H343" s="29"/>
      <c r="I343" s="35"/>
      <c r="J343" s="29"/>
      <c r="K343" s="29"/>
      <c r="L343" s="29"/>
    </row>
    <row r="344" spans="1:12" x14ac:dyDescent="0.2">
      <c r="A344" s="52"/>
      <c r="B344" s="37">
        <v>711507286</v>
      </c>
      <c r="C344" s="17">
        <v>35300</v>
      </c>
      <c r="D344" s="40" t="s">
        <v>147</v>
      </c>
      <c r="E344" s="20">
        <v>-172125.16</v>
      </c>
      <c r="F344" s="43"/>
      <c r="G344" s="21">
        <v>42767</v>
      </c>
      <c r="H344" s="29"/>
      <c r="I344" s="35"/>
      <c r="J344" s="29"/>
      <c r="K344" s="29"/>
      <c r="L344" s="29"/>
    </row>
    <row r="345" spans="1:12" x14ac:dyDescent="0.2">
      <c r="A345" s="52"/>
      <c r="B345" s="37">
        <v>711507286</v>
      </c>
      <c r="C345" s="17">
        <v>35300</v>
      </c>
      <c r="D345" s="40" t="s">
        <v>147</v>
      </c>
      <c r="E345" s="20">
        <v>107701.12</v>
      </c>
      <c r="F345" s="43"/>
      <c r="G345" s="21">
        <v>42795</v>
      </c>
      <c r="H345" s="29"/>
      <c r="I345" s="35"/>
      <c r="J345" s="29"/>
      <c r="K345" s="29"/>
      <c r="L345" s="29"/>
    </row>
    <row r="346" spans="1:12" x14ac:dyDescent="0.2">
      <c r="A346" s="52"/>
      <c r="B346" s="37">
        <v>711507286</v>
      </c>
      <c r="C346" s="17">
        <v>35300</v>
      </c>
      <c r="D346" s="40" t="s">
        <v>147</v>
      </c>
      <c r="E346" s="20">
        <v>154954.72</v>
      </c>
      <c r="F346" s="43"/>
      <c r="G346" s="21">
        <v>42826</v>
      </c>
      <c r="H346" s="29"/>
      <c r="I346" s="35"/>
      <c r="J346" s="29"/>
      <c r="K346" s="29"/>
      <c r="L346" s="29"/>
    </row>
    <row r="347" spans="1:12" x14ac:dyDescent="0.2">
      <c r="A347" s="52"/>
      <c r="B347" s="37">
        <v>711507286</v>
      </c>
      <c r="C347" s="17">
        <v>35300</v>
      </c>
      <c r="D347" s="40" t="s">
        <v>147</v>
      </c>
      <c r="E347" s="20">
        <v>123511.59</v>
      </c>
      <c r="F347" s="43"/>
      <c r="G347" s="21">
        <v>42856</v>
      </c>
      <c r="H347" s="29"/>
      <c r="I347" s="35"/>
      <c r="J347" s="29"/>
      <c r="K347" s="29"/>
      <c r="L347" s="29"/>
    </row>
    <row r="348" spans="1:12" x14ac:dyDescent="0.2">
      <c r="A348" s="52"/>
      <c r="B348" s="37">
        <v>711507286</v>
      </c>
      <c r="C348" s="17">
        <v>35300</v>
      </c>
      <c r="D348" s="40" t="s">
        <v>147</v>
      </c>
      <c r="E348" s="20">
        <v>-268885.55</v>
      </c>
      <c r="F348" s="43"/>
      <c r="G348" s="21">
        <v>42887</v>
      </c>
      <c r="H348" s="29"/>
      <c r="I348" s="35"/>
      <c r="J348" s="29"/>
      <c r="K348" s="29"/>
      <c r="L348" s="29"/>
    </row>
    <row r="349" spans="1:12" x14ac:dyDescent="0.2">
      <c r="A349" s="52"/>
      <c r="B349" s="37">
        <v>711507286</v>
      </c>
      <c r="C349" s="17">
        <v>35300</v>
      </c>
      <c r="D349" s="40" t="s">
        <v>147</v>
      </c>
      <c r="E349" s="20">
        <v>-22847.759999999998</v>
      </c>
      <c r="F349" s="43"/>
      <c r="G349" s="21">
        <v>42917</v>
      </c>
      <c r="H349" s="29"/>
      <c r="I349" s="35"/>
      <c r="J349" s="29"/>
      <c r="K349" s="29"/>
      <c r="L349" s="29"/>
    </row>
    <row r="350" spans="1:12" x14ac:dyDescent="0.2">
      <c r="A350" s="52"/>
      <c r="B350" s="37">
        <v>711507286</v>
      </c>
      <c r="C350" s="76" t="s">
        <v>47</v>
      </c>
      <c r="D350" s="40" t="s">
        <v>147</v>
      </c>
      <c r="E350" s="20">
        <v>-13671.95</v>
      </c>
      <c r="F350" s="43"/>
      <c r="G350" s="21">
        <v>42948</v>
      </c>
      <c r="H350" s="29"/>
      <c r="I350" s="35"/>
      <c r="J350" s="29"/>
      <c r="K350" s="29"/>
      <c r="L350" s="29"/>
    </row>
    <row r="351" spans="1:12" x14ac:dyDescent="0.2">
      <c r="A351" s="52"/>
      <c r="B351" s="37">
        <v>711507286</v>
      </c>
      <c r="C351" s="76" t="s">
        <v>47</v>
      </c>
      <c r="D351" s="40" t="s">
        <v>147</v>
      </c>
      <c r="E351" s="20">
        <v>20983.45</v>
      </c>
      <c r="F351" s="43"/>
      <c r="G351" s="21">
        <v>42979</v>
      </c>
      <c r="H351" s="29"/>
      <c r="I351" s="35"/>
      <c r="J351" s="29"/>
      <c r="K351" s="29"/>
      <c r="L351" s="29"/>
    </row>
    <row r="352" spans="1:12" x14ac:dyDescent="0.2">
      <c r="A352" s="52"/>
      <c r="B352" s="37">
        <v>711507286</v>
      </c>
      <c r="C352" s="76" t="s">
        <v>47</v>
      </c>
      <c r="D352" s="40" t="s">
        <v>147</v>
      </c>
      <c r="E352" s="20">
        <v>20201.46</v>
      </c>
      <c r="F352" s="43"/>
      <c r="G352" s="21">
        <v>43009</v>
      </c>
      <c r="H352" s="29"/>
      <c r="I352" s="35"/>
      <c r="J352" s="29"/>
      <c r="K352" s="29"/>
      <c r="L352" s="29"/>
    </row>
    <row r="353" spans="1:12" x14ac:dyDescent="0.2">
      <c r="A353" s="52"/>
      <c r="B353" s="37">
        <v>711507286</v>
      </c>
      <c r="C353" s="76" t="s">
        <v>47</v>
      </c>
      <c r="D353" s="40" t="s">
        <v>147</v>
      </c>
      <c r="E353" s="20">
        <v>1131.94</v>
      </c>
      <c r="F353" s="43"/>
      <c r="G353" s="21">
        <v>43040</v>
      </c>
      <c r="H353" s="29"/>
      <c r="I353" s="35"/>
      <c r="J353" s="29"/>
      <c r="K353" s="29"/>
      <c r="L353" s="29"/>
    </row>
    <row r="354" spans="1:12" x14ac:dyDescent="0.2">
      <c r="A354" s="52">
        <v>14528199</v>
      </c>
      <c r="B354" s="37">
        <v>711507286</v>
      </c>
      <c r="C354" s="76" t="s">
        <v>47</v>
      </c>
      <c r="D354" s="40" t="s">
        <v>147</v>
      </c>
      <c r="E354" s="60">
        <v>1369.77</v>
      </c>
      <c r="F354" s="43"/>
      <c r="G354" s="21">
        <v>43070</v>
      </c>
      <c r="H354" s="29"/>
      <c r="I354" s="35"/>
      <c r="J354" s="29"/>
      <c r="K354" s="29"/>
      <c r="L354" s="29"/>
    </row>
    <row r="355" spans="1:12" x14ac:dyDescent="0.2">
      <c r="A355" s="52"/>
      <c r="B355" s="37"/>
      <c r="C355" s="17"/>
      <c r="D355" s="79" t="s">
        <v>12</v>
      </c>
      <c r="E355" s="20">
        <f>SUM(E343:E354)</f>
        <v>345757.09</v>
      </c>
      <c r="F355" s="43"/>
      <c r="G355" s="21"/>
      <c r="H355" s="29"/>
      <c r="I355" s="35"/>
      <c r="J355" s="29"/>
      <c r="K355" s="29"/>
      <c r="L355" s="29"/>
    </row>
    <row r="356" spans="1:12" x14ac:dyDescent="0.2">
      <c r="A356" s="52"/>
      <c r="B356" s="37"/>
      <c r="C356" s="17"/>
      <c r="D356" s="29"/>
      <c r="E356" s="20"/>
      <c r="F356" s="43"/>
      <c r="G356" s="21"/>
      <c r="H356" s="29"/>
      <c r="I356" s="35"/>
      <c r="J356" s="29"/>
      <c r="K356" s="29"/>
      <c r="L356" s="29"/>
    </row>
    <row r="357" spans="1:12" x14ac:dyDescent="0.2">
      <c r="A357" s="52"/>
      <c r="B357" s="23">
        <v>545657671</v>
      </c>
      <c r="C357" s="17">
        <v>35300</v>
      </c>
      <c r="D357" s="29" t="s">
        <v>148</v>
      </c>
      <c r="E357" s="20">
        <v>1714462.3</v>
      </c>
      <c r="F357" s="43"/>
      <c r="G357" s="21">
        <v>42736</v>
      </c>
      <c r="H357" s="29"/>
      <c r="I357" s="35"/>
      <c r="J357" s="29"/>
      <c r="K357" s="29"/>
      <c r="L357" s="29"/>
    </row>
    <row r="358" spans="1:12" x14ac:dyDescent="0.2">
      <c r="A358" s="52"/>
      <c r="B358" s="23">
        <v>545657671</v>
      </c>
      <c r="C358" s="17">
        <v>35300</v>
      </c>
      <c r="D358" s="29" t="s">
        <v>148</v>
      </c>
      <c r="E358" s="20">
        <v>-191748.16</v>
      </c>
      <c r="F358" s="43"/>
      <c r="G358" s="21">
        <v>42767</v>
      </c>
      <c r="H358" s="29"/>
      <c r="I358" s="35"/>
      <c r="J358" s="29"/>
      <c r="K358" s="29"/>
      <c r="L358" s="29"/>
    </row>
    <row r="359" spans="1:12" x14ac:dyDescent="0.2">
      <c r="A359" s="52"/>
      <c r="B359" s="23">
        <v>545657671</v>
      </c>
      <c r="C359" s="17">
        <v>35300</v>
      </c>
      <c r="D359" s="29" t="s">
        <v>148</v>
      </c>
      <c r="E359" s="20">
        <v>-53860.15</v>
      </c>
      <c r="F359" s="43"/>
      <c r="G359" s="21">
        <v>42795</v>
      </c>
      <c r="H359" s="29"/>
      <c r="I359" s="35"/>
      <c r="J359" s="29"/>
      <c r="K359" s="29"/>
      <c r="L359" s="29"/>
    </row>
    <row r="360" spans="1:12" x14ac:dyDescent="0.2">
      <c r="A360" s="52"/>
      <c r="B360" s="23">
        <v>545657671</v>
      </c>
      <c r="C360" s="17">
        <v>35300</v>
      </c>
      <c r="D360" s="29" t="s">
        <v>148</v>
      </c>
      <c r="E360" s="20">
        <v>-845755.37</v>
      </c>
      <c r="F360" s="43"/>
      <c r="G360" s="21">
        <v>42826</v>
      </c>
      <c r="H360" s="29"/>
      <c r="I360" s="35"/>
      <c r="J360" s="29"/>
      <c r="K360" s="29"/>
      <c r="L360" s="29"/>
    </row>
    <row r="361" spans="1:12" x14ac:dyDescent="0.2">
      <c r="A361" s="52"/>
      <c r="B361" s="23">
        <v>545657671</v>
      </c>
      <c r="C361" s="17">
        <v>35300</v>
      </c>
      <c r="D361" s="29" t="s">
        <v>148</v>
      </c>
      <c r="E361" s="20">
        <v>-39113.74</v>
      </c>
      <c r="F361" s="43"/>
      <c r="G361" s="21">
        <v>42856</v>
      </c>
      <c r="H361" s="29"/>
      <c r="I361" s="35"/>
      <c r="J361" s="29"/>
      <c r="K361" s="29"/>
      <c r="L361" s="29"/>
    </row>
    <row r="362" spans="1:12" x14ac:dyDescent="0.2">
      <c r="A362" s="52"/>
      <c r="B362" s="23">
        <v>545657671</v>
      </c>
      <c r="C362" s="17">
        <v>35300</v>
      </c>
      <c r="D362" s="29" t="s">
        <v>148</v>
      </c>
      <c r="E362" s="20">
        <v>3381.9</v>
      </c>
      <c r="F362" s="43"/>
      <c r="G362" s="21">
        <v>42887</v>
      </c>
      <c r="H362" s="29"/>
      <c r="I362" s="35"/>
      <c r="J362" s="29"/>
      <c r="K362" s="29"/>
      <c r="L362" s="29"/>
    </row>
    <row r="363" spans="1:12" x14ac:dyDescent="0.2">
      <c r="A363" s="52"/>
      <c r="B363" s="23">
        <v>545657671</v>
      </c>
      <c r="C363" s="17">
        <v>35300</v>
      </c>
      <c r="D363" s="29" t="s">
        <v>148</v>
      </c>
      <c r="E363" s="20">
        <v>-10352.32</v>
      </c>
      <c r="F363" s="43"/>
      <c r="G363" s="21">
        <v>42917</v>
      </c>
      <c r="H363" s="29"/>
      <c r="I363" s="35"/>
      <c r="J363" s="29"/>
      <c r="K363" s="29"/>
      <c r="L363" s="29"/>
    </row>
    <row r="364" spans="1:12" x14ac:dyDescent="0.2">
      <c r="A364" s="52"/>
      <c r="B364" s="23">
        <v>545657671</v>
      </c>
      <c r="C364" s="17">
        <v>35300</v>
      </c>
      <c r="D364" s="29" t="s">
        <v>148</v>
      </c>
      <c r="E364" s="20">
        <v>19004.93</v>
      </c>
      <c r="F364" s="43"/>
      <c r="G364" s="21">
        <v>42948</v>
      </c>
      <c r="H364" s="29"/>
      <c r="I364" s="35"/>
      <c r="J364" s="29"/>
      <c r="K364" s="29"/>
      <c r="L364" s="29"/>
    </row>
    <row r="365" spans="1:12" x14ac:dyDescent="0.2">
      <c r="A365" s="52"/>
      <c r="B365" s="23">
        <v>545657671</v>
      </c>
      <c r="C365" s="17">
        <v>35300</v>
      </c>
      <c r="D365" s="29" t="s">
        <v>148</v>
      </c>
      <c r="E365" s="20">
        <v>79228.92</v>
      </c>
      <c r="F365" s="43"/>
      <c r="G365" s="21">
        <v>42979</v>
      </c>
      <c r="H365" s="29"/>
      <c r="I365" s="35"/>
      <c r="J365" s="29"/>
      <c r="K365" s="29"/>
      <c r="L365" s="29"/>
    </row>
    <row r="366" spans="1:12" x14ac:dyDescent="0.2">
      <c r="A366" s="52"/>
      <c r="B366" s="23">
        <v>545657671</v>
      </c>
      <c r="C366" s="17">
        <v>35300</v>
      </c>
      <c r="D366" s="29" t="s">
        <v>148</v>
      </c>
      <c r="E366" s="20">
        <v>48201.31</v>
      </c>
      <c r="F366" s="43"/>
      <c r="G366" s="21">
        <v>43009</v>
      </c>
      <c r="H366" s="29"/>
      <c r="I366" s="35"/>
      <c r="J366" s="29"/>
      <c r="K366" s="29"/>
      <c r="L366" s="29"/>
    </row>
    <row r="367" spans="1:12" x14ac:dyDescent="0.2">
      <c r="A367" s="52"/>
      <c r="B367" s="23">
        <v>545657671</v>
      </c>
      <c r="C367" s="17">
        <v>35300</v>
      </c>
      <c r="D367" s="29" t="s">
        <v>148</v>
      </c>
      <c r="E367" s="20">
        <v>39627.449999999997</v>
      </c>
      <c r="F367" s="43"/>
      <c r="G367" s="21">
        <v>43040</v>
      </c>
      <c r="H367" s="29"/>
      <c r="I367" s="35"/>
      <c r="J367" s="29"/>
      <c r="K367" s="29"/>
      <c r="L367" s="29"/>
    </row>
    <row r="368" spans="1:12" x14ac:dyDescent="0.2">
      <c r="A368" s="52">
        <v>14276743</v>
      </c>
      <c r="B368" s="23">
        <v>545657671</v>
      </c>
      <c r="C368" s="17">
        <v>35300</v>
      </c>
      <c r="D368" s="29" t="s">
        <v>148</v>
      </c>
      <c r="E368" s="60">
        <v>-118549.43</v>
      </c>
      <c r="F368" s="43"/>
      <c r="G368" s="21">
        <v>43070</v>
      </c>
      <c r="H368" s="29"/>
      <c r="I368" s="35"/>
      <c r="J368" s="29"/>
      <c r="K368" s="29"/>
      <c r="L368" s="29"/>
    </row>
    <row r="369" spans="1:12" x14ac:dyDescent="0.2">
      <c r="A369" s="52"/>
      <c r="B369" s="37"/>
      <c r="C369" s="17"/>
      <c r="D369" s="29" t="s">
        <v>12</v>
      </c>
      <c r="E369" s="20">
        <f>SUM(E357:E368)</f>
        <v>644527.64000000036</v>
      </c>
      <c r="F369" s="43"/>
      <c r="G369" s="21"/>
      <c r="H369" s="29"/>
      <c r="I369" s="35"/>
      <c r="J369" s="29"/>
      <c r="K369" s="29"/>
      <c r="L369" s="29"/>
    </row>
    <row r="370" spans="1:12" x14ac:dyDescent="0.2">
      <c r="A370" s="52"/>
      <c r="B370" s="37"/>
      <c r="C370" s="17"/>
      <c r="D370"/>
      <c r="E370" s="20"/>
      <c r="F370" s="43"/>
      <c r="G370" s="21"/>
      <c r="H370" s="29"/>
      <c r="I370" s="35"/>
      <c r="J370" s="29"/>
      <c r="K370" s="29"/>
      <c r="L370" s="29"/>
    </row>
    <row r="371" spans="1:12" x14ac:dyDescent="0.2">
      <c r="A371" s="52"/>
      <c r="B371" s="37">
        <v>836242181</v>
      </c>
      <c r="C371" s="17">
        <v>35300</v>
      </c>
      <c r="D371" t="s">
        <v>149</v>
      </c>
      <c r="E371" s="20">
        <v>-146060.04999999999</v>
      </c>
      <c r="F371" s="43"/>
      <c r="G371" s="21">
        <v>42736</v>
      </c>
      <c r="H371" s="29"/>
      <c r="I371" s="35"/>
      <c r="J371" s="29"/>
      <c r="K371" s="29"/>
      <c r="L371" s="29"/>
    </row>
    <row r="372" spans="1:12" x14ac:dyDescent="0.2">
      <c r="A372" s="52"/>
      <c r="B372" s="37">
        <v>836242181</v>
      </c>
      <c r="C372" s="17">
        <v>35300</v>
      </c>
      <c r="D372" t="s">
        <v>149</v>
      </c>
      <c r="E372" s="20">
        <v>85618.66</v>
      </c>
      <c r="F372" s="43"/>
      <c r="G372" s="21">
        <v>42767</v>
      </c>
      <c r="H372" s="29"/>
      <c r="I372" s="35"/>
      <c r="J372" s="29"/>
      <c r="K372" s="29"/>
      <c r="L372" s="29"/>
    </row>
    <row r="373" spans="1:12" x14ac:dyDescent="0.2">
      <c r="A373" s="52"/>
      <c r="B373" s="37">
        <v>836242181</v>
      </c>
      <c r="C373" s="17">
        <v>35300</v>
      </c>
      <c r="D373" t="s">
        <v>149</v>
      </c>
      <c r="E373" s="20">
        <v>26954.63</v>
      </c>
      <c r="F373" s="43"/>
      <c r="G373" s="21">
        <v>42795</v>
      </c>
      <c r="H373" s="29"/>
      <c r="I373" s="35"/>
      <c r="J373" s="29"/>
      <c r="K373" s="29"/>
      <c r="L373" s="29"/>
    </row>
    <row r="374" spans="1:12" x14ac:dyDescent="0.2">
      <c r="A374" s="52"/>
      <c r="B374" s="37">
        <v>836242181</v>
      </c>
      <c r="C374" s="17">
        <v>35300</v>
      </c>
      <c r="D374" t="s">
        <v>149</v>
      </c>
      <c r="E374" s="20">
        <v>4059.27</v>
      </c>
      <c r="F374" s="43"/>
      <c r="G374" s="21">
        <v>42826</v>
      </c>
      <c r="H374" s="29"/>
      <c r="I374" s="35"/>
      <c r="J374" s="29"/>
      <c r="K374" s="29"/>
      <c r="L374" s="29"/>
    </row>
    <row r="375" spans="1:12" x14ac:dyDescent="0.2">
      <c r="A375" s="52"/>
      <c r="B375" s="37">
        <v>836242181</v>
      </c>
      <c r="C375" s="17">
        <v>35300</v>
      </c>
      <c r="D375" t="s">
        <v>149</v>
      </c>
      <c r="E375" s="20">
        <v>199.86</v>
      </c>
      <c r="F375" s="43"/>
      <c r="G375" s="21">
        <v>42856</v>
      </c>
      <c r="H375" s="29"/>
      <c r="I375" s="35"/>
      <c r="J375" s="29"/>
      <c r="K375" s="29"/>
      <c r="L375" s="29"/>
    </row>
    <row r="376" spans="1:12" x14ac:dyDescent="0.2">
      <c r="A376" s="52"/>
      <c r="B376" s="37">
        <v>836242181</v>
      </c>
      <c r="C376" s="17">
        <v>35300</v>
      </c>
      <c r="D376" t="s">
        <v>149</v>
      </c>
      <c r="E376" s="20">
        <v>7291.78</v>
      </c>
      <c r="F376" s="43"/>
      <c r="G376" s="21">
        <v>42887</v>
      </c>
      <c r="H376" s="29"/>
      <c r="I376" s="35"/>
      <c r="J376" s="29"/>
      <c r="K376" s="29"/>
      <c r="L376" s="29"/>
    </row>
    <row r="377" spans="1:12" x14ac:dyDescent="0.2">
      <c r="A377" s="52"/>
      <c r="B377" s="37">
        <v>836242181</v>
      </c>
      <c r="C377" s="17">
        <v>35300</v>
      </c>
      <c r="D377" t="s">
        <v>149</v>
      </c>
      <c r="E377" s="20">
        <v>1393.07</v>
      </c>
      <c r="F377" s="43"/>
      <c r="G377" s="21">
        <v>42917</v>
      </c>
      <c r="H377" s="29"/>
      <c r="I377" s="35"/>
      <c r="J377" s="29"/>
      <c r="K377" s="29"/>
      <c r="L377" s="29"/>
    </row>
    <row r="378" spans="1:12" x14ac:dyDescent="0.2">
      <c r="A378" s="52"/>
      <c r="B378" s="37">
        <v>836242181</v>
      </c>
      <c r="C378" s="17">
        <v>35300</v>
      </c>
      <c r="D378" t="s">
        <v>149</v>
      </c>
      <c r="E378" s="60">
        <v>4807.93</v>
      </c>
      <c r="F378" s="43"/>
      <c r="G378" s="21">
        <v>43070</v>
      </c>
      <c r="H378" s="29"/>
      <c r="I378" s="35"/>
      <c r="J378" s="29"/>
      <c r="K378" s="29"/>
      <c r="L378" s="29"/>
    </row>
    <row r="379" spans="1:12" x14ac:dyDescent="0.2">
      <c r="A379" s="52"/>
      <c r="B379" s="37"/>
      <c r="C379" s="17"/>
      <c r="D379" s="40" t="s">
        <v>12</v>
      </c>
      <c r="E379" s="20">
        <f>SUM(E371:E378)</f>
        <v>-15734.84999999998</v>
      </c>
      <c r="F379" s="43"/>
      <c r="G379" s="21"/>
      <c r="H379" s="29"/>
      <c r="I379" s="35"/>
      <c r="J379" s="29"/>
      <c r="K379" s="29"/>
      <c r="L379" s="29"/>
    </row>
    <row r="380" spans="1:12" x14ac:dyDescent="0.2">
      <c r="A380" s="52"/>
      <c r="B380" s="37"/>
      <c r="C380" s="17"/>
      <c r="D380"/>
      <c r="E380" s="20"/>
      <c r="F380" s="43"/>
      <c r="G380" s="21"/>
      <c r="H380" s="29"/>
      <c r="I380" s="35"/>
      <c r="J380" s="29"/>
      <c r="K380" s="29"/>
      <c r="L380" s="29"/>
    </row>
    <row r="381" spans="1:12" x14ac:dyDescent="0.2">
      <c r="A381" s="52"/>
      <c r="B381" s="37">
        <v>833593997</v>
      </c>
      <c r="C381" s="17">
        <v>35300</v>
      </c>
      <c r="D381" t="s">
        <v>151</v>
      </c>
      <c r="E381" s="20">
        <v>19605.060000000001</v>
      </c>
      <c r="F381" s="43"/>
      <c r="G381" s="21">
        <v>42736</v>
      </c>
      <c r="H381" s="29"/>
      <c r="I381" s="35"/>
      <c r="J381" s="29"/>
      <c r="K381" s="29"/>
      <c r="L381" s="29"/>
    </row>
    <row r="382" spans="1:12" x14ac:dyDescent="0.2">
      <c r="A382" s="52">
        <v>15165673</v>
      </c>
      <c r="B382" s="37">
        <v>833593997</v>
      </c>
      <c r="C382" s="17">
        <v>35300</v>
      </c>
      <c r="D382" t="s">
        <v>151</v>
      </c>
      <c r="E382" s="20">
        <v>18285.91</v>
      </c>
      <c r="F382" s="43"/>
      <c r="G382" s="21">
        <v>42767</v>
      </c>
      <c r="H382" s="29"/>
      <c r="I382" s="35"/>
      <c r="J382" s="29"/>
      <c r="K382" s="29"/>
      <c r="L382" s="29"/>
    </row>
    <row r="383" spans="1:12" x14ac:dyDescent="0.2">
      <c r="A383" s="52"/>
      <c r="B383" s="37">
        <v>833593997</v>
      </c>
      <c r="C383" s="17">
        <v>35300</v>
      </c>
      <c r="D383" t="s">
        <v>151</v>
      </c>
      <c r="E383" s="20">
        <v>19092.580000000002</v>
      </c>
      <c r="F383" s="43"/>
      <c r="G383" s="21">
        <v>42795</v>
      </c>
      <c r="H383" s="29"/>
      <c r="I383" s="35"/>
      <c r="J383" s="29"/>
      <c r="K383" s="29"/>
      <c r="L383" s="29"/>
    </row>
    <row r="384" spans="1:12" x14ac:dyDescent="0.2">
      <c r="A384" s="52"/>
      <c r="B384" s="37">
        <v>833593997</v>
      </c>
      <c r="C384" s="17">
        <v>35300</v>
      </c>
      <c r="D384" t="s">
        <v>151</v>
      </c>
      <c r="E384" s="20">
        <v>29460.91</v>
      </c>
      <c r="F384" s="43"/>
      <c r="G384" s="21">
        <v>42826</v>
      </c>
      <c r="H384" s="29"/>
      <c r="I384" s="35"/>
      <c r="J384" s="29"/>
      <c r="K384" s="29"/>
      <c r="L384" s="29"/>
    </row>
    <row r="385" spans="1:12" x14ac:dyDescent="0.2">
      <c r="A385" s="52"/>
      <c r="B385" s="37">
        <v>833593997</v>
      </c>
      <c r="C385" s="17">
        <v>35300</v>
      </c>
      <c r="D385" t="s">
        <v>151</v>
      </c>
      <c r="E385" s="20">
        <v>30465.25</v>
      </c>
      <c r="F385" s="43"/>
      <c r="G385" s="21">
        <v>42856</v>
      </c>
      <c r="H385" s="29"/>
      <c r="I385" s="35"/>
      <c r="J385" s="29"/>
      <c r="K385" s="29"/>
      <c r="L385" s="29"/>
    </row>
    <row r="386" spans="1:12" x14ac:dyDescent="0.2">
      <c r="A386" s="52"/>
      <c r="B386" s="37">
        <v>833593997</v>
      </c>
      <c r="C386" s="17">
        <v>35300</v>
      </c>
      <c r="D386" t="s">
        <v>151</v>
      </c>
      <c r="E386" s="20">
        <v>-1152.68</v>
      </c>
      <c r="F386" s="43"/>
      <c r="G386" s="21">
        <v>42887</v>
      </c>
      <c r="H386" s="29"/>
      <c r="I386" s="35"/>
      <c r="J386" s="29"/>
      <c r="K386" s="29"/>
      <c r="L386" s="29"/>
    </row>
    <row r="387" spans="1:12" x14ac:dyDescent="0.2">
      <c r="A387" s="52"/>
      <c r="B387" s="37">
        <v>833593997</v>
      </c>
      <c r="C387" s="17">
        <v>35300</v>
      </c>
      <c r="D387" t="s">
        <v>151</v>
      </c>
      <c r="E387" s="20">
        <v>984.05</v>
      </c>
      <c r="F387" s="43"/>
      <c r="G387" s="21">
        <v>42917</v>
      </c>
      <c r="H387" s="29"/>
      <c r="I387" s="35"/>
      <c r="J387" s="29"/>
      <c r="K387" s="29"/>
      <c r="L387" s="29"/>
    </row>
    <row r="388" spans="1:12" x14ac:dyDescent="0.2">
      <c r="A388" s="52"/>
      <c r="B388" s="37">
        <v>833593997</v>
      </c>
      <c r="C388" s="17">
        <v>35300</v>
      </c>
      <c r="D388" t="s">
        <v>151</v>
      </c>
      <c r="E388" s="20">
        <v>3322.52</v>
      </c>
      <c r="F388" s="43"/>
      <c r="G388" s="21">
        <v>42948</v>
      </c>
      <c r="H388" s="29"/>
      <c r="I388" s="35"/>
      <c r="J388" s="29"/>
      <c r="K388" s="29"/>
      <c r="L388" s="29"/>
    </row>
    <row r="389" spans="1:12" x14ac:dyDescent="0.2">
      <c r="A389" s="52"/>
      <c r="B389" s="37">
        <v>833593997</v>
      </c>
      <c r="C389" s="17">
        <v>35300</v>
      </c>
      <c r="D389" t="s">
        <v>151</v>
      </c>
      <c r="E389" s="20">
        <v>-32.03</v>
      </c>
      <c r="F389" s="43"/>
      <c r="G389" s="21">
        <v>42979</v>
      </c>
      <c r="H389" s="29"/>
      <c r="I389" s="35"/>
      <c r="J389" s="29"/>
      <c r="K389" s="29"/>
      <c r="L389" s="29"/>
    </row>
    <row r="390" spans="1:12" x14ac:dyDescent="0.2">
      <c r="A390" s="52"/>
      <c r="B390" s="37">
        <v>833593997</v>
      </c>
      <c r="C390" s="17">
        <v>35300</v>
      </c>
      <c r="D390" t="s">
        <v>151</v>
      </c>
      <c r="E390" s="60">
        <v>2884.89</v>
      </c>
      <c r="F390" s="43"/>
      <c r="G390" s="21">
        <v>43070</v>
      </c>
      <c r="H390" s="29"/>
      <c r="I390" s="35"/>
      <c r="J390" s="29"/>
      <c r="K390" s="29"/>
      <c r="L390" s="29"/>
    </row>
    <row r="391" spans="1:12" x14ac:dyDescent="0.2">
      <c r="A391" s="52"/>
      <c r="B391" s="37"/>
      <c r="C391" s="17"/>
      <c r="D391" t="s">
        <v>12</v>
      </c>
      <c r="E391" s="20">
        <f>SUM(E381:E390)</f>
        <v>122916.46000000002</v>
      </c>
      <c r="F391" s="43"/>
      <c r="G391" s="21"/>
      <c r="H391" s="29"/>
      <c r="I391" s="35"/>
      <c r="J391" s="29"/>
      <c r="K391" s="29"/>
      <c r="L391" s="29"/>
    </row>
    <row r="392" spans="1:12" x14ac:dyDescent="0.2">
      <c r="A392" s="52">
        <v>15144925</v>
      </c>
      <c r="B392" s="37"/>
      <c r="C392" s="17"/>
      <c r="D392"/>
      <c r="E392" s="20"/>
      <c r="F392" s="43"/>
      <c r="G392" s="21"/>
      <c r="H392" s="29"/>
      <c r="I392" s="35"/>
      <c r="J392" s="29"/>
      <c r="K392" s="29"/>
      <c r="L392" s="29"/>
    </row>
    <row r="393" spans="1:12" x14ac:dyDescent="0.2">
      <c r="A393" s="52"/>
      <c r="B393" s="39">
        <v>511281243</v>
      </c>
      <c r="C393" s="17">
        <v>35022</v>
      </c>
      <c r="D393" s="77" t="s">
        <v>173</v>
      </c>
      <c r="E393" s="20">
        <v>951.8</v>
      </c>
      <c r="F393" s="43"/>
      <c r="G393" s="21">
        <v>42767</v>
      </c>
      <c r="H393" s="29"/>
      <c r="I393" s="35"/>
      <c r="J393" s="29"/>
      <c r="K393" s="29"/>
      <c r="L393" s="29"/>
    </row>
    <row r="394" spans="1:12" x14ac:dyDescent="0.2">
      <c r="A394" s="52"/>
      <c r="B394" s="23"/>
      <c r="C394" s="17"/>
      <c r="D394" s="29"/>
      <c r="E394" s="20"/>
      <c r="F394" s="43"/>
      <c r="G394" s="21"/>
      <c r="H394" s="29"/>
      <c r="I394" s="35"/>
      <c r="J394" s="29"/>
      <c r="K394" s="29"/>
      <c r="L394" s="29"/>
    </row>
    <row r="395" spans="1:12" x14ac:dyDescent="0.2">
      <c r="A395" s="52"/>
      <c r="B395" s="23">
        <v>850716728</v>
      </c>
      <c r="C395" s="17">
        <v>35300</v>
      </c>
      <c r="D395" s="77" t="s">
        <v>174</v>
      </c>
      <c r="E395" s="20">
        <v>4.99</v>
      </c>
      <c r="F395" s="43"/>
      <c r="G395" s="21">
        <v>42948</v>
      </c>
      <c r="H395" s="29"/>
      <c r="I395" s="35"/>
      <c r="J395" s="29"/>
      <c r="K395" s="29"/>
      <c r="L395" s="29"/>
    </row>
    <row r="396" spans="1:12" x14ac:dyDescent="0.2">
      <c r="A396" s="52"/>
      <c r="B396" s="23"/>
      <c r="C396" s="17"/>
      <c r="D396" s="29"/>
      <c r="E396" s="20"/>
      <c r="F396" s="43"/>
      <c r="G396" s="21"/>
      <c r="H396" s="29"/>
      <c r="I396" s="35"/>
      <c r="J396" s="29"/>
      <c r="K396" s="29"/>
      <c r="L396" s="29"/>
    </row>
    <row r="397" spans="1:12" x14ac:dyDescent="0.2">
      <c r="A397" s="52"/>
      <c r="B397" s="23">
        <v>477989703</v>
      </c>
      <c r="C397" s="76" t="s">
        <v>61</v>
      </c>
      <c r="D397" s="77" t="s">
        <v>175</v>
      </c>
      <c r="E397" s="20">
        <v>20000</v>
      </c>
      <c r="F397" s="43"/>
      <c r="G397" s="21">
        <v>42826</v>
      </c>
      <c r="H397" s="29"/>
      <c r="I397" s="35"/>
      <c r="J397" s="29"/>
      <c r="K397" s="29"/>
      <c r="L397" s="29"/>
    </row>
    <row r="398" spans="1:12" x14ac:dyDescent="0.2">
      <c r="A398" s="52"/>
      <c r="B398" s="23"/>
      <c r="C398" s="17"/>
      <c r="D398" s="29"/>
      <c r="E398" s="20"/>
      <c r="F398" s="43"/>
      <c r="G398" s="21"/>
      <c r="H398" s="29"/>
      <c r="I398" s="35"/>
      <c r="J398" s="29"/>
      <c r="K398" s="29"/>
      <c r="L398" s="29"/>
    </row>
    <row r="399" spans="1:12" x14ac:dyDescent="0.2">
      <c r="A399" s="52"/>
      <c r="B399" s="23">
        <v>478369456</v>
      </c>
      <c r="C399" s="17">
        <v>35300</v>
      </c>
      <c r="D399" s="77" t="s">
        <v>195</v>
      </c>
      <c r="E399" s="20">
        <v>1337.24</v>
      </c>
      <c r="F399" s="43"/>
      <c r="G399" s="21">
        <v>42856</v>
      </c>
      <c r="H399" s="29"/>
      <c r="I399" s="35"/>
      <c r="J399" s="29"/>
      <c r="K399" s="29"/>
      <c r="L399" s="29"/>
    </row>
    <row r="400" spans="1:12" x14ac:dyDescent="0.2">
      <c r="A400" s="52"/>
      <c r="B400" s="23"/>
      <c r="C400" s="17"/>
      <c r="D400" s="29"/>
      <c r="E400" s="20"/>
      <c r="F400" s="43"/>
      <c r="G400" s="21"/>
      <c r="H400" s="29"/>
      <c r="I400" s="35"/>
      <c r="J400" s="29"/>
      <c r="K400" s="29"/>
      <c r="L400" s="29"/>
    </row>
    <row r="401" spans="1:12" x14ac:dyDescent="0.2">
      <c r="A401" s="52"/>
      <c r="B401" s="23">
        <v>501407786</v>
      </c>
      <c r="C401" s="17">
        <v>35300</v>
      </c>
      <c r="D401" s="77" t="s">
        <v>176</v>
      </c>
      <c r="E401" s="20">
        <v>-10284.73</v>
      </c>
      <c r="F401" s="43"/>
      <c r="G401" s="21">
        <v>42856</v>
      </c>
      <c r="H401" s="29"/>
      <c r="I401" s="35"/>
      <c r="J401" s="29"/>
      <c r="K401" s="29"/>
      <c r="L401" s="29"/>
    </row>
    <row r="402" spans="1:12" x14ac:dyDescent="0.2">
      <c r="A402" s="52"/>
      <c r="B402" s="23">
        <v>501407786</v>
      </c>
      <c r="C402" s="17">
        <v>35300</v>
      </c>
      <c r="D402" s="77" t="s">
        <v>176</v>
      </c>
      <c r="E402" s="60">
        <v>-302301.26</v>
      </c>
      <c r="F402" s="43"/>
      <c r="G402" s="21">
        <v>42948</v>
      </c>
      <c r="H402" s="29"/>
      <c r="I402" s="35"/>
      <c r="J402" s="29"/>
      <c r="K402" s="29"/>
      <c r="L402" s="29"/>
    </row>
    <row r="403" spans="1:12" x14ac:dyDescent="0.2">
      <c r="A403" s="52"/>
      <c r="B403" s="23"/>
      <c r="C403" s="17"/>
      <c r="D403" s="77" t="s">
        <v>12</v>
      </c>
      <c r="E403" s="20">
        <f>SUM(E401:E402)</f>
        <v>-312585.99</v>
      </c>
      <c r="F403" s="43"/>
      <c r="G403" s="21"/>
      <c r="H403" s="29"/>
      <c r="I403" s="35"/>
      <c r="J403" s="29"/>
      <c r="K403" s="29"/>
      <c r="L403" s="29"/>
    </row>
    <row r="404" spans="1:12" x14ac:dyDescent="0.2">
      <c r="A404" s="52">
        <v>13123478</v>
      </c>
      <c r="B404" s="23"/>
      <c r="C404" s="17"/>
      <c r="D404" s="29"/>
      <c r="E404" s="20"/>
      <c r="F404" s="43"/>
      <c r="G404" s="21"/>
      <c r="H404" s="29"/>
      <c r="I404" s="35"/>
      <c r="J404" s="29"/>
      <c r="K404" s="29"/>
      <c r="L404" s="29"/>
    </row>
    <row r="405" spans="1:12" x14ac:dyDescent="0.2">
      <c r="A405" s="52"/>
      <c r="B405" s="23">
        <v>713634480</v>
      </c>
      <c r="C405" s="76" t="s">
        <v>61</v>
      </c>
      <c r="D405" s="77" t="s">
        <v>177</v>
      </c>
      <c r="E405" s="20">
        <v>4868.49</v>
      </c>
      <c r="F405" s="43"/>
      <c r="G405" s="21">
        <v>42795</v>
      </c>
      <c r="H405" s="29"/>
      <c r="I405" s="35"/>
      <c r="J405" s="29"/>
      <c r="K405" s="29"/>
      <c r="L405" s="29"/>
    </row>
    <row r="406" spans="1:12" x14ac:dyDescent="0.2">
      <c r="A406" s="52">
        <v>13256183</v>
      </c>
      <c r="B406" s="23"/>
      <c r="C406" s="17"/>
      <c r="D406" s="29"/>
      <c r="E406" s="20"/>
      <c r="F406" s="43"/>
      <c r="G406" s="21"/>
      <c r="H406" s="29"/>
      <c r="I406" s="35"/>
      <c r="J406" s="29"/>
      <c r="K406" s="29"/>
      <c r="L406" s="29"/>
    </row>
    <row r="407" spans="1:12" x14ac:dyDescent="0.2">
      <c r="A407" s="52"/>
      <c r="B407" s="23">
        <v>696302028</v>
      </c>
      <c r="C407" s="17">
        <v>35300</v>
      </c>
      <c r="D407" s="77" t="s">
        <v>178</v>
      </c>
      <c r="E407" s="20">
        <v>24035092.449999999</v>
      </c>
      <c r="F407" s="43"/>
      <c r="G407" s="21">
        <v>42887</v>
      </c>
      <c r="H407" s="29"/>
      <c r="I407" s="35"/>
      <c r="J407" s="29"/>
      <c r="K407" s="29"/>
      <c r="L407" s="29"/>
    </row>
    <row r="408" spans="1:12" x14ac:dyDescent="0.2">
      <c r="A408" s="52">
        <v>13395937</v>
      </c>
      <c r="B408" s="23">
        <v>696302028</v>
      </c>
      <c r="C408" s="17">
        <v>35300</v>
      </c>
      <c r="D408" s="77" t="s">
        <v>178</v>
      </c>
      <c r="E408" s="20">
        <v>70316.81</v>
      </c>
      <c r="F408" s="43"/>
      <c r="G408" s="21">
        <v>42917</v>
      </c>
      <c r="H408" s="29"/>
      <c r="I408" s="35"/>
      <c r="J408" s="29"/>
      <c r="K408" s="29"/>
      <c r="L408" s="29"/>
    </row>
    <row r="409" spans="1:12" x14ac:dyDescent="0.2">
      <c r="A409" s="52"/>
      <c r="B409" s="23">
        <v>696302028</v>
      </c>
      <c r="C409" s="76" t="s">
        <v>47</v>
      </c>
      <c r="D409" s="77" t="s">
        <v>178</v>
      </c>
      <c r="E409" s="20">
        <v>-59294.14</v>
      </c>
      <c r="F409" s="43"/>
      <c r="G409" s="21">
        <v>42948</v>
      </c>
      <c r="H409" s="29"/>
      <c r="I409" s="35"/>
      <c r="J409" s="29"/>
      <c r="K409" s="29"/>
      <c r="L409" s="29"/>
    </row>
    <row r="410" spans="1:12" x14ac:dyDescent="0.2">
      <c r="A410" s="52">
        <v>13416143</v>
      </c>
      <c r="B410" s="23">
        <v>696302028</v>
      </c>
      <c r="C410" s="76" t="s">
        <v>47</v>
      </c>
      <c r="D410" s="77" t="s">
        <v>178</v>
      </c>
      <c r="E410" s="20">
        <v>98281.81</v>
      </c>
      <c r="F410" s="43"/>
      <c r="G410" s="21">
        <v>42979</v>
      </c>
      <c r="H410" s="29"/>
      <c r="I410" s="35"/>
      <c r="J410" s="29"/>
      <c r="K410" s="29"/>
      <c r="L410" s="29"/>
    </row>
    <row r="411" spans="1:12" x14ac:dyDescent="0.2">
      <c r="A411" s="52"/>
      <c r="B411" s="23">
        <v>696302028</v>
      </c>
      <c r="C411" s="76" t="s">
        <v>47</v>
      </c>
      <c r="D411" s="77" t="s">
        <v>178</v>
      </c>
      <c r="E411" s="20">
        <v>-109474.79</v>
      </c>
      <c r="F411" s="43"/>
      <c r="G411" s="21">
        <v>43009</v>
      </c>
      <c r="H411" s="29"/>
      <c r="I411" s="35"/>
      <c r="J411" s="29"/>
      <c r="K411" s="29"/>
      <c r="L411" s="29"/>
    </row>
    <row r="412" spans="1:12" x14ac:dyDescent="0.2">
      <c r="A412" s="52">
        <v>13584606</v>
      </c>
      <c r="B412" s="23">
        <v>696302028</v>
      </c>
      <c r="C412" s="76" t="s">
        <v>47</v>
      </c>
      <c r="D412" s="77" t="s">
        <v>178</v>
      </c>
      <c r="E412" s="20">
        <v>42.31</v>
      </c>
      <c r="F412" s="43"/>
      <c r="G412" s="21">
        <v>43040</v>
      </c>
      <c r="H412" s="29"/>
      <c r="I412" s="35"/>
      <c r="J412" s="29"/>
      <c r="K412" s="29"/>
      <c r="L412" s="29"/>
    </row>
    <row r="413" spans="1:12" x14ac:dyDescent="0.2">
      <c r="A413" s="52"/>
      <c r="B413" s="23">
        <v>696302028</v>
      </c>
      <c r="C413" s="76" t="s">
        <v>47</v>
      </c>
      <c r="D413" s="77" t="s">
        <v>178</v>
      </c>
      <c r="E413" s="60">
        <v>-1709.46</v>
      </c>
      <c r="F413" s="43"/>
      <c r="G413" s="21">
        <v>43070</v>
      </c>
      <c r="H413" s="29"/>
      <c r="I413" s="35"/>
      <c r="J413" s="29"/>
      <c r="K413" s="29"/>
      <c r="L413" s="29"/>
    </row>
    <row r="414" spans="1:12" x14ac:dyDescent="0.2">
      <c r="A414" s="52"/>
      <c r="B414" s="23"/>
      <c r="C414" s="17"/>
      <c r="D414" s="77" t="s">
        <v>12</v>
      </c>
      <c r="E414" s="20">
        <f>SUM(E407:E413)</f>
        <v>24033254.989999995</v>
      </c>
      <c r="F414" s="43"/>
      <c r="G414" s="21"/>
      <c r="H414" s="29"/>
      <c r="I414" s="35"/>
      <c r="J414" s="29"/>
      <c r="K414" s="29"/>
      <c r="L414" s="29"/>
    </row>
    <row r="415" spans="1:12" x14ac:dyDescent="0.2">
      <c r="A415" s="52"/>
      <c r="B415" s="23"/>
      <c r="C415" s="17"/>
      <c r="D415" s="77"/>
      <c r="E415" s="20"/>
      <c r="F415" s="43"/>
      <c r="G415" s="21"/>
      <c r="H415" s="29"/>
      <c r="I415" s="35"/>
      <c r="J415" s="29"/>
      <c r="K415" s="29"/>
      <c r="L415" s="29"/>
    </row>
    <row r="416" spans="1:12" x14ac:dyDescent="0.2">
      <c r="A416" s="52">
        <v>14471297</v>
      </c>
      <c r="B416" s="23">
        <v>751292370</v>
      </c>
      <c r="C416" s="17">
        <v>35300</v>
      </c>
      <c r="D416" s="77" t="s">
        <v>179</v>
      </c>
      <c r="E416" s="20">
        <v>1041642.54</v>
      </c>
      <c r="F416" s="43"/>
      <c r="G416" s="21">
        <v>42856</v>
      </c>
      <c r="H416" s="29"/>
      <c r="I416" s="35"/>
      <c r="J416" s="29"/>
      <c r="K416" s="29"/>
      <c r="L416" s="29"/>
    </row>
    <row r="417" spans="1:12" x14ac:dyDescent="0.2">
      <c r="A417" s="52"/>
      <c r="B417" s="23">
        <v>751292370</v>
      </c>
      <c r="C417" s="17">
        <v>35300</v>
      </c>
      <c r="D417" s="77" t="s">
        <v>179</v>
      </c>
      <c r="E417" s="20">
        <v>105559.79</v>
      </c>
      <c r="F417" s="43"/>
      <c r="G417" s="21">
        <v>42887</v>
      </c>
      <c r="H417" s="29"/>
      <c r="I417" s="35"/>
      <c r="J417" s="29"/>
      <c r="K417" s="29"/>
      <c r="L417" s="29"/>
    </row>
    <row r="418" spans="1:12" x14ac:dyDescent="0.2">
      <c r="A418" s="52">
        <v>14490072</v>
      </c>
      <c r="B418" s="23">
        <v>751292370</v>
      </c>
      <c r="C418" s="17">
        <v>35300</v>
      </c>
      <c r="D418" s="77" t="s">
        <v>179</v>
      </c>
      <c r="E418" s="20">
        <v>31202.53</v>
      </c>
      <c r="F418" s="43"/>
      <c r="G418" s="21">
        <v>42917</v>
      </c>
      <c r="H418" s="29"/>
      <c r="I418" s="35"/>
      <c r="J418" s="29"/>
      <c r="K418" s="29"/>
      <c r="L418" s="29"/>
    </row>
    <row r="419" spans="1:12" x14ac:dyDescent="0.2">
      <c r="A419" s="52"/>
      <c r="B419" s="23">
        <v>751292370</v>
      </c>
      <c r="C419" s="17">
        <v>35300</v>
      </c>
      <c r="D419" s="77" t="s">
        <v>179</v>
      </c>
      <c r="E419" s="20">
        <v>-2615.94</v>
      </c>
      <c r="F419" s="43"/>
      <c r="G419" s="21">
        <v>42948</v>
      </c>
      <c r="H419" s="29"/>
      <c r="I419" s="35"/>
      <c r="J419" s="29"/>
      <c r="K419" s="29"/>
      <c r="L419" s="29"/>
    </row>
    <row r="420" spans="1:12" x14ac:dyDescent="0.2">
      <c r="A420" s="52"/>
      <c r="B420" s="23">
        <v>751292370</v>
      </c>
      <c r="C420" s="17">
        <v>35300</v>
      </c>
      <c r="D420" s="77" t="s">
        <v>179</v>
      </c>
      <c r="E420" s="20">
        <v>510.19</v>
      </c>
      <c r="F420" s="43"/>
      <c r="G420" s="21">
        <v>42979</v>
      </c>
      <c r="H420" s="29"/>
      <c r="I420" s="35"/>
      <c r="J420" s="29"/>
      <c r="K420" s="29"/>
      <c r="L420" s="29"/>
    </row>
    <row r="421" spans="1:12" x14ac:dyDescent="0.2">
      <c r="A421" s="52"/>
      <c r="B421" s="23">
        <v>751292370</v>
      </c>
      <c r="C421" s="17">
        <v>35300</v>
      </c>
      <c r="D421" s="77" t="s">
        <v>179</v>
      </c>
      <c r="E421" s="20">
        <v>290.38</v>
      </c>
      <c r="F421" s="43"/>
      <c r="G421" s="21">
        <v>43009</v>
      </c>
      <c r="H421" s="29"/>
      <c r="I421" s="35"/>
      <c r="J421" s="29"/>
      <c r="K421" s="29"/>
      <c r="L421" s="29"/>
    </row>
    <row r="422" spans="1:12" x14ac:dyDescent="0.2">
      <c r="A422" s="52"/>
      <c r="B422" s="23">
        <v>751292370</v>
      </c>
      <c r="C422" s="17">
        <v>35300</v>
      </c>
      <c r="D422" s="77" t="s">
        <v>179</v>
      </c>
      <c r="E422" s="20">
        <v>-16.670000000000002</v>
      </c>
      <c r="F422" s="43"/>
      <c r="G422" s="21">
        <v>43040</v>
      </c>
      <c r="H422" s="29"/>
      <c r="I422" s="35"/>
      <c r="J422" s="29"/>
      <c r="K422" s="29"/>
      <c r="L422" s="29"/>
    </row>
    <row r="423" spans="1:12" x14ac:dyDescent="0.2">
      <c r="A423" s="52"/>
      <c r="B423" s="23">
        <v>751292370</v>
      </c>
      <c r="C423" s="17">
        <v>35300</v>
      </c>
      <c r="D423" s="77" t="s">
        <v>179</v>
      </c>
      <c r="E423" s="60">
        <v>69713.320000000007</v>
      </c>
      <c r="F423" s="43"/>
      <c r="G423" s="21">
        <v>43070</v>
      </c>
      <c r="H423" s="29"/>
      <c r="I423" s="35"/>
      <c r="J423" s="29"/>
      <c r="K423" s="29"/>
      <c r="L423" s="29"/>
    </row>
    <row r="424" spans="1:12" x14ac:dyDescent="0.2">
      <c r="A424" s="52"/>
      <c r="B424" s="23"/>
      <c r="C424" s="17"/>
      <c r="D424" s="77" t="s">
        <v>12</v>
      </c>
      <c r="E424" s="20">
        <f>SUM(E416:E423)</f>
        <v>1246286.1400000001</v>
      </c>
      <c r="F424" s="43"/>
      <c r="G424" s="21"/>
      <c r="H424" s="29"/>
      <c r="I424" s="35"/>
      <c r="J424" s="29"/>
      <c r="K424" s="29"/>
      <c r="L424" s="29"/>
    </row>
    <row r="425" spans="1:12" x14ac:dyDescent="0.2">
      <c r="A425" s="52"/>
      <c r="B425" s="23"/>
      <c r="C425" s="17"/>
      <c r="D425" s="77"/>
      <c r="E425" s="20"/>
      <c r="F425" s="43"/>
      <c r="G425" s="21"/>
      <c r="H425" s="29"/>
      <c r="I425" s="35"/>
      <c r="J425" s="29"/>
      <c r="K425" s="29"/>
      <c r="L425" s="29"/>
    </row>
    <row r="426" spans="1:12" x14ac:dyDescent="0.2">
      <c r="A426" s="52"/>
      <c r="B426" s="23">
        <v>753546385</v>
      </c>
      <c r="C426" s="17">
        <v>35300</v>
      </c>
      <c r="D426" s="77" t="s">
        <v>180</v>
      </c>
      <c r="E426" s="20">
        <v>1518028.97</v>
      </c>
      <c r="F426" s="43"/>
      <c r="G426" s="21">
        <v>42826</v>
      </c>
      <c r="H426" s="29"/>
      <c r="I426" s="35"/>
      <c r="J426" s="29"/>
      <c r="K426" s="29"/>
      <c r="L426" s="29"/>
    </row>
    <row r="427" spans="1:12" x14ac:dyDescent="0.2">
      <c r="A427" s="52">
        <v>14667784</v>
      </c>
      <c r="B427" s="23">
        <v>753546385</v>
      </c>
      <c r="C427" s="17">
        <v>35300</v>
      </c>
      <c r="D427" s="77" t="s">
        <v>180</v>
      </c>
      <c r="E427" s="20">
        <v>168418.88</v>
      </c>
      <c r="F427" s="43"/>
      <c r="G427" s="21">
        <v>42856</v>
      </c>
      <c r="H427" s="29"/>
      <c r="I427" s="35"/>
      <c r="J427" s="29"/>
      <c r="K427" s="29"/>
      <c r="L427" s="29"/>
    </row>
    <row r="428" spans="1:12" x14ac:dyDescent="0.2">
      <c r="A428" s="52"/>
      <c r="B428" s="23">
        <v>753546385</v>
      </c>
      <c r="C428" s="17">
        <v>35300</v>
      </c>
      <c r="D428" s="77" t="s">
        <v>180</v>
      </c>
      <c r="E428" s="20">
        <v>50394.45</v>
      </c>
      <c r="F428" s="43"/>
      <c r="G428" s="21">
        <v>42887</v>
      </c>
      <c r="H428" s="29"/>
      <c r="I428" s="35"/>
      <c r="J428" s="29"/>
      <c r="K428" s="29"/>
      <c r="L428" s="29"/>
    </row>
    <row r="429" spans="1:12" x14ac:dyDescent="0.2">
      <c r="A429" s="52"/>
      <c r="B429" s="23">
        <v>753546385</v>
      </c>
      <c r="C429" s="17">
        <v>35300</v>
      </c>
      <c r="D429" s="77" t="s">
        <v>180</v>
      </c>
      <c r="E429" s="20">
        <v>412816.34</v>
      </c>
      <c r="F429" s="43"/>
      <c r="G429" s="21">
        <v>42917</v>
      </c>
      <c r="H429" s="29"/>
      <c r="I429" s="35"/>
      <c r="J429" s="29"/>
      <c r="K429" s="29"/>
      <c r="L429" s="29"/>
    </row>
    <row r="430" spans="1:12" x14ac:dyDescent="0.2">
      <c r="A430" s="52"/>
      <c r="B430" s="23">
        <v>753546385</v>
      </c>
      <c r="C430" s="17">
        <v>35300</v>
      </c>
      <c r="D430" s="77" t="s">
        <v>180</v>
      </c>
      <c r="E430" s="20">
        <v>-173867.46</v>
      </c>
      <c r="F430" s="43"/>
      <c r="G430" s="21">
        <v>42948</v>
      </c>
      <c r="H430" s="29"/>
      <c r="I430" s="35"/>
      <c r="J430" s="29"/>
      <c r="K430" s="29"/>
      <c r="L430" s="29"/>
    </row>
    <row r="431" spans="1:12" x14ac:dyDescent="0.2">
      <c r="A431" s="52"/>
      <c r="B431" s="23">
        <v>753546385</v>
      </c>
      <c r="C431" s="17">
        <v>35300</v>
      </c>
      <c r="D431" s="77" t="s">
        <v>180</v>
      </c>
      <c r="E431" s="20">
        <v>-2409.02</v>
      </c>
      <c r="F431" s="43"/>
      <c r="G431" s="21">
        <v>42979</v>
      </c>
      <c r="H431" s="29"/>
      <c r="I431" s="35"/>
      <c r="J431" s="29"/>
      <c r="K431" s="29"/>
      <c r="L431" s="29"/>
    </row>
    <row r="432" spans="1:12" x14ac:dyDescent="0.2">
      <c r="A432" s="52"/>
      <c r="B432" s="23">
        <v>753546385</v>
      </c>
      <c r="C432" s="17">
        <v>35300</v>
      </c>
      <c r="D432" s="77" t="s">
        <v>180</v>
      </c>
      <c r="E432" s="20">
        <v>51375.08</v>
      </c>
      <c r="F432" s="43"/>
      <c r="G432" s="21">
        <v>43009</v>
      </c>
      <c r="H432" s="29"/>
      <c r="I432" s="35"/>
      <c r="J432" s="29"/>
      <c r="K432" s="29"/>
      <c r="L432" s="29"/>
    </row>
    <row r="433" spans="1:12" x14ac:dyDescent="0.2">
      <c r="A433" s="52"/>
      <c r="B433" s="23">
        <v>753546385</v>
      </c>
      <c r="C433" s="17">
        <v>35300</v>
      </c>
      <c r="D433" s="77" t="s">
        <v>180</v>
      </c>
      <c r="E433" s="20">
        <v>-27238.720000000001</v>
      </c>
      <c r="F433" s="43"/>
      <c r="G433" s="21">
        <v>43040</v>
      </c>
      <c r="H433" s="29"/>
      <c r="I433" s="35"/>
      <c r="J433" s="29"/>
      <c r="K433" s="29"/>
      <c r="L433" s="29"/>
    </row>
    <row r="434" spans="1:12" x14ac:dyDescent="0.2">
      <c r="A434" s="52"/>
      <c r="B434" s="23">
        <v>753546385</v>
      </c>
      <c r="C434" s="17">
        <v>35300</v>
      </c>
      <c r="D434" s="77" t="s">
        <v>180</v>
      </c>
      <c r="E434" s="60">
        <v>209778.58</v>
      </c>
      <c r="F434" s="43"/>
      <c r="G434" s="21">
        <v>43070</v>
      </c>
      <c r="H434" s="29"/>
      <c r="I434" s="35"/>
      <c r="J434" s="29"/>
      <c r="K434" s="29"/>
      <c r="L434" s="29"/>
    </row>
    <row r="435" spans="1:12" x14ac:dyDescent="0.2">
      <c r="A435" s="52"/>
      <c r="B435" s="23"/>
      <c r="C435" s="17"/>
      <c r="D435" s="77" t="s">
        <v>12</v>
      </c>
      <c r="E435" s="20">
        <f>SUM(E426:E434)</f>
        <v>2207297.1</v>
      </c>
      <c r="F435" s="43"/>
      <c r="G435" s="21"/>
      <c r="H435" s="29"/>
      <c r="I435" s="35"/>
      <c r="J435" s="29"/>
      <c r="K435" s="29"/>
      <c r="L435" s="29"/>
    </row>
    <row r="436" spans="1:12" x14ac:dyDescent="0.2">
      <c r="A436" s="52"/>
      <c r="B436" s="23"/>
      <c r="C436" s="17"/>
      <c r="D436" s="77"/>
      <c r="E436" s="20"/>
      <c r="F436" s="43"/>
      <c r="G436" s="21"/>
      <c r="H436" s="29"/>
      <c r="I436" s="35"/>
      <c r="J436" s="29"/>
      <c r="K436" s="29"/>
      <c r="L436" s="29"/>
    </row>
    <row r="437" spans="1:12" x14ac:dyDescent="0.2">
      <c r="A437" s="52">
        <v>14674548</v>
      </c>
      <c r="B437" s="23">
        <v>799878243</v>
      </c>
      <c r="C437" s="17">
        <v>35300</v>
      </c>
      <c r="D437" s="77" t="s">
        <v>181</v>
      </c>
      <c r="E437" s="20">
        <v>20544554.859999999</v>
      </c>
      <c r="F437" s="43"/>
      <c r="G437" s="21">
        <v>42856</v>
      </c>
      <c r="H437" s="29"/>
      <c r="I437" s="35"/>
      <c r="J437" s="29"/>
      <c r="K437" s="29"/>
      <c r="L437" s="29"/>
    </row>
    <row r="438" spans="1:12" x14ac:dyDescent="0.2">
      <c r="A438" s="52"/>
      <c r="B438" s="23">
        <v>799878243</v>
      </c>
      <c r="C438" s="17">
        <v>35300</v>
      </c>
      <c r="D438" s="77" t="s">
        <v>181</v>
      </c>
      <c r="E438" s="20">
        <v>-197236.02</v>
      </c>
      <c r="F438" s="43"/>
      <c r="G438" s="21">
        <v>42887</v>
      </c>
      <c r="H438" s="29"/>
      <c r="I438" s="35"/>
      <c r="J438" s="29"/>
      <c r="K438" s="29"/>
      <c r="L438" s="29"/>
    </row>
    <row r="439" spans="1:12" x14ac:dyDescent="0.2">
      <c r="A439" s="52"/>
      <c r="B439" s="23">
        <v>799878243</v>
      </c>
      <c r="C439" s="17">
        <v>35300</v>
      </c>
      <c r="D439" s="77" t="s">
        <v>181</v>
      </c>
      <c r="E439" s="20">
        <v>10158377.5</v>
      </c>
      <c r="F439" s="43"/>
      <c r="G439" s="21">
        <v>42917</v>
      </c>
      <c r="H439" s="29"/>
      <c r="I439" s="35"/>
      <c r="J439" s="29"/>
      <c r="K439" s="29"/>
      <c r="L439" s="29"/>
    </row>
    <row r="440" spans="1:12" x14ac:dyDescent="0.2">
      <c r="A440" s="52"/>
      <c r="B440" s="23">
        <v>799878243</v>
      </c>
      <c r="C440" s="17">
        <v>35300</v>
      </c>
      <c r="D440" s="77" t="s">
        <v>181</v>
      </c>
      <c r="E440" s="20">
        <v>1903.36</v>
      </c>
      <c r="F440" s="43"/>
      <c r="G440" s="21">
        <v>42948</v>
      </c>
      <c r="H440" s="29"/>
      <c r="I440" s="35"/>
      <c r="J440" s="29"/>
      <c r="K440" s="29"/>
      <c r="L440" s="29"/>
    </row>
    <row r="441" spans="1:12" x14ac:dyDescent="0.2">
      <c r="A441" s="52"/>
      <c r="B441" s="23">
        <v>799878243</v>
      </c>
      <c r="C441" s="17">
        <v>35300</v>
      </c>
      <c r="D441" s="77" t="s">
        <v>181</v>
      </c>
      <c r="E441" s="20">
        <v>285.94</v>
      </c>
      <c r="F441" s="43"/>
      <c r="G441" s="21">
        <v>42979</v>
      </c>
      <c r="H441" s="29"/>
      <c r="I441" s="35"/>
      <c r="J441" s="29"/>
      <c r="K441" s="29"/>
      <c r="L441" s="29"/>
    </row>
    <row r="442" spans="1:12" x14ac:dyDescent="0.2">
      <c r="A442" s="52"/>
      <c r="B442" s="23">
        <v>799878243</v>
      </c>
      <c r="C442" s="17">
        <v>35300</v>
      </c>
      <c r="D442" s="77" t="s">
        <v>181</v>
      </c>
      <c r="E442" s="60">
        <v>212.42</v>
      </c>
      <c r="F442" s="43"/>
      <c r="G442" s="21">
        <v>43070</v>
      </c>
      <c r="H442" s="29"/>
      <c r="I442" s="35"/>
      <c r="J442" s="29"/>
      <c r="K442" s="29"/>
      <c r="L442" s="29"/>
    </row>
    <row r="443" spans="1:12" x14ac:dyDescent="0.2">
      <c r="A443" s="52"/>
      <c r="B443" s="23"/>
      <c r="C443" s="17"/>
      <c r="D443" s="77" t="s">
        <v>12</v>
      </c>
      <c r="E443" s="20">
        <f>SUM(E437:E442)</f>
        <v>30508098.060000002</v>
      </c>
      <c r="F443" s="43"/>
      <c r="G443" s="21"/>
      <c r="H443" s="29"/>
      <c r="I443" s="35"/>
      <c r="J443" s="29"/>
      <c r="K443" s="29"/>
      <c r="L443" s="29"/>
    </row>
    <row r="444" spans="1:12" x14ac:dyDescent="0.2">
      <c r="A444" s="52"/>
      <c r="B444" s="23"/>
      <c r="C444" s="17"/>
      <c r="D444" s="77"/>
      <c r="E444" s="20"/>
      <c r="F444" s="43"/>
      <c r="G444" s="21"/>
      <c r="H444" s="29"/>
      <c r="I444" s="35"/>
      <c r="J444" s="29"/>
      <c r="K444" s="29"/>
      <c r="L444" s="29"/>
    </row>
    <row r="445" spans="1:12" x14ac:dyDescent="0.2">
      <c r="A445" s="52"/>
      <c r="B445" s="23">
        <v>827341817</v>
      </c>
      <c r="C445" s="17">
        <v>35300</v>
      </c>
      <c r="D445" s="77" t="s">
        <v>182</v>
      </c>
      <c r="E445" s="20">
        <v>490756.61</v>
      </c>
      <c r="F445" s="43"/>
      <c r="G445" s="21">
        <v>43040</v>
      </c>
      <c r="H445" s="29"/>
      <c r="I445" s="35"/>
      <c r="J445" s="29"/>
      <c r="K445" s="29"/>
      <c r="L445" s="29"/>
    </row>
    <row r="446" spans="1:12" x14ac:dyDescent="0.2">
      <c r="A446" s="52"/>
      <c r="B446" s="23">
        <v>827341817</v>
      </c>
      <c r="C446" s="17">
        <v>35300</v>
      </c>
      <c r="D446" s="77" t="s">
        <v>182</v>
      </c>
      <c r="E446" s="60">
        <v>14232.97</v>
      </c>
      <c r="F446" s="43"/>
      <c r="G446" s="21">
        <v>43070</v>
      </c>
      <c r="H446" s="29"/>
      <c r="I446" s="35"/>
      <c r="J446" s="29"/>
      <c r="K446" s="29"/>
      <c r="L446" s="29"/>
    </row>
    <row r="447" spans="1:12" x14ac:dyDescent="0.2">
      <c r="A447" s="52"/>
      <c r="B447" s="23"/>
      <c r="C447" s="17"/>
      <c r="D447" s="77" t="s">
        <v>12</v>
      </c>
      <c r="E447" s="20">
        <f>SUM(E445:E446)</f>
        <v>504989.57999999996</v>
      </c>
      <c r="F447" s="43"/>
      <c r="G447" s="21"/>
      <c r="H447" s="29"/>
      <c r="I447" s="35"/>
      <c r="J447" s="29"/>
      <c r="K447" s="29"/>
      <c r="L447" s="29"/>
    </row>
    <row r="448" spans="1:12" x14ac:dyDescent="0.2">
      <c r="A448" s="52">
        <v>14901158</v>
      </c>
      <c r="B448" s="23"/>
      <c r="C448" s="17"/>
      <c r="D448" s="77"/>
      <c r="E448" s="20"/>
      <c r="F448" s="43"/>
      <c r="G448" s="21"/>
      <c r="H448" s="29"/>
      <c r="I448" s="35"/>
      <c r="J448" s="29"/>
      <c r="K448" s="29"/>
      <c r="L448" s="29"/>
    </row>
    <row r="449" spans="1:12" x14ac:dyDescent="0.2">
      <c r="A449" s="52"/>
      <c r="B449" s="23">
        <v>819169327</v>
      </c>
      <c r="C449" s="17">
        <v>35300</v>
      </c>
      <c r="D449" s="77" t="s">
        <v>183</v>
      </c>
      <c r="E449" s="20">
        <v>261498.86</v>
      </c>
      <c r="F449" s="43"/>
      <c r="G449" s="21">
        <v>43070</v>
      </c>
      <c r="H449" s="29"/>
      <c r="I449" s="35"/>
      <c r="J449" s="29"/>
      <c r="K449" s="29"/>
      <c r="L449" s="29"/>
    </row>
    <row r="450" spans="1:12" x14ac:dyDescent="0.2">
      <c r="A450" s="52"/>
      <c r="B450" s="23"/>
      <c r="C450" s="17"/>
      <c r="D450" s="77"/>
      <c r="E450" s="20"/>
      <c r="F450" s="43"/>
      <c r="G450" s="21"/>
      <c r="H450" s="29"/>
      <c r="I450" s="35"/>
      <c r="J450" s="29"/>
      <c r="K450" s="29"/>
      <c r="L450" s="29"/>
    </row>
    <row r="451" spans="1:12" x14ac:dyDescent="0.2">
      <c r="A451" s="52"/>
      <c r="B451" s="23">
        <v>819169432</v>
      </c>
      <c r="C451" s="17">
        <v>35300</v>
      </c>
      <c r="D451" s="77" t="s">
        <v>184</v>
      </c>
      <c r="E451" s="20">
        <v>144185.72</v>
      </c>
      <c r="F451" s="43"/>
      <c r="G451" s="21">
        <v>43070</v>
      </c>
      <c r="H451" s="29"/>
      <c r="I451" s="35"/>
      <c r="J451" s="29"/>
      <c r="K451" s="29"/>
      <c r="L451" s="29"/>
    </row>
    <row r="452" spans="1:12" x14ac:dyDescent="0.2">
      <c r="A452" s="52"/>
      <c r="B452" s="23"/>
      <c r="C452" s="17"/>
      <c r="D452" s="77"/>
      <c r="E452" s="20"/>
      <c r="F452" s="43"/>
      <c r="G452" s="21"/>
      <c r="H452" s="29"/>
      <c r="I452" s="35"/>
      <c r="J452" s="29"/>
      <c r="K452" s="29"/>
      <c r="L452" s="29"/>
    </row>
    <row r="453" spans="1:12" x14ac:dyDescent="0.2">
      <c r="A453" s="52"/>
      <c r="B453" s="23">
        <v>823826588</v>
      </c>
      <c r="C453" s="17">
        <v>35300</v>
      </c>
      <c r="D453" s="77" t="s">
        <v>185</v>
      </c>
      <c r="E453" s="20">
        <v>130091.15</v>
      </c>
      <c r="F453" s="43"/>
      <c r="G453" s="21">
        <v>42856</v>
      </c>
      <c r="H453" s="29"/>
      <c r="I453" s="35"/>
      <c r="J453" s="29"/>
      <c r="K453" s="29"/>
      <c r="L453" s="29"/>
    </row>
    <row r="454" spans="1:12" x14ac:dyDescent="0.2">
      <c r="A454" s="52"/>
      <c r="B454" s="23">
        <v>823826588</v>
      </c>
      <c r="C454" s="17">
        <v>35300</v>
      </c>
      <c r="D454" s="77" t="s">
        <v>185</v>
      </c>
      <c r="E454" s="60">
        <v>923.24</v>
      </c>
      <c r="F454" s="43"/>
      <c r="G454" s="21">
        <v>43070</v>
      </c>
      <c r="H454" s="29"/>
      <c r="I454" s="35"/>
      <c r="J454" s="29"/>
      <c r="K454" s="29"/>
      <c r="L454" s="29"/>
    </row>
    <row r="455" spans="1:12" x14ac:dyDescent="0.2">
      <c r="A455" s="52"/>
      <c r="B455" s="23"/>
      <c r="C455" s="17"/>
      <c r="D455" s="77" t="s">
        <v>12</v>
      </c>
      <c r="E455" s="20">
        <f>SUM(E453:E454)</f>
        <v>131014.39</v>
      </c>
      <c r="F455" s="43"/>
      <c r="G455" s="21"/>
      <c r="H455" s="29"/>
      <c r="I455" s="35"/>
      <c r="J455" s="29"/>
      <c r="K455" s="29"/>
      <c r="L455" s="29"/>
    </row>
    <row r="456" spans="1:12" x14ac:dyDescent="0.2">
      <c r="A456" s="52">
        <v>14991389</v>
      </c>
      <c r="B456" s="23"/>
      <c r="C456" s="17"/>
      <c r="D456" s="77"/>
      <c r="E456" s="20"/>
      <c r="F456" s="43"/>
      <c r="G456" s="21"/>
      <c r="H456" s="29"/>
      <c r="I456" s="35"/>
      <c r="J456" s="29"/>
      <c r="K456" s="29"/>
      <c r="L456" s="29"/>
    </row>
    <row r="457" spans="1:12" x14ac:dyDescent="0.2">
      <c r="A457" s="52"/>
      <c r="B457" s="23">
        <v>824654603</v>
      </c>
      <c r="C457" s="17">
        <v>35300</v>
      </c>
      <c r="D457" s="77" t="s">
        <v>186</v>
      </c>
      <c r="E457" s="20">
        <v>38317.43</v>
      </c>
      <c r="F457" s="43"/>
      <c r="G457" s="21">
        <v>43070</v>
      </c>
      <c r="H457" s="29"/>
      <c r="I457" s="35"/>
      <c r="J457" s="29"/>
      <c r="K457" s="29"/>
      <c r="L457" s="29"/>
    </row>
    <row r="458" spans="1:12" x14ac:dyDescent="0.2">
      <c r="A458" s="52"/>
      <c r="B458" s="23"/>
      <c r="C458" s="17"/>
      <c r="D458" s="77"/>
      <c r="E458" s="20"/>
      <c r="F458" s="43"/>
      <c r="G458" s="21"/>
      <c r="H458" s="29"/>
      <c r="I458" s="35"/>
      <c r="J458" s="29"/>
      <c r="K458" s="29"/>
      <c r="L458" s="29"/>
    </row>
    <row r="459" spans="1:12" x14ac:dyDescent="0.2">
      <c r="A459" s="52"/>
      <c r="B459" s="23">
        <v>827587905</v>
      </c>
      <c r="C459" s="17">
        <v>35300</v>
      </c>
      <c r="D459" s="77" t="s">
        <v>187</v>
      </c>
      <c r="E459" s="20">
        <v>256157.18</v>
      </c>
      <c r="F459" s="43"/>
      <c r="G459" s="21">
        <v>42736</v>
      </c>
      <c r="H459" s="29"/>
      <c r="I459" s="35"/>
      <c r="J459" s="29"/>
      <c r="K459" s="29"/>
      <c r="L459" s="29"/>
    </row>
    <row r="460" spans="1:12" x14ac:dyDescent="0.2">
      <c r="A460" s="52">
        <v>15045085</v>
      </c>
      <c r="B460" s="23">
        <v>827587905</v>
      </c>
      <c r="C460" s="17">
        <v>35300</v>
      </c>
      <c r="D460" s="77" t="s">
        <v>187</v>
      </c>
      <c r="E460" s="20">
        <v>2277.3200000000002</v>
      </c>
      <c r="F460" s="43"/>
      <c r="G460" s="21">
        <v>42887</v>
      </c>
      <c r="H460" s="29"/>
      <c r="I460" s="35"/>
      <c r="J460" s="29"/>
      <c r="K460" s="29"/>
      <c r="L460" s="29"/>
    </row>
    <row r="461" spans="1:12" x14ac:dyDescent="0.2">
      <c r="A461" s="52"/>
      <c r="B461" s="23">
        <v>827587905</v>
      </c>
      <c r="C461" s="17">
        <v>35300</v>
      </c>
      <c r="D461" s="77" t="s">
        <v>187</v>
      </c>
      <c r="E461" s="20">
        <v>73.09</v>
      </c>
      <c r="F461" s="43"/>
      <c r="G461" s="21">
        <v>42917</v>
      </c>
      <c r="H461" s="29"/>
      <c r="I461" s="35"/>
      <c r="J461" s="29"/>
      <c r="K461" s="29"/>
      <c r="L461" s="29"/>
    </row>
    <row r="462" spans="1:12" x14ac:dyDescent="0.2">
      <c r="A462" s="52">
        <v>15045170</v>
      </c>
      <c r="B462" s="23">
        <v>827587905</v>
      </c>
      <c r="C462" s="17">
        <v>35300</v>
      </c>
      <c r="D462" s="77" t="s">
        <v>187</v>
      </c>
      <c r="E462" s="60">
        <v>29.79</v>
      </c>
      <c r="F462" s="43"/>
      <c r="G462" s="21">
        <v>43070</v>
      </c>
      <c r="H462" s="29"/>
      <c r="I462" s="35"/>
      <c r="J462" s="29"/>
      <c r="K462" s="29"/>
      <c r="L462" s="29"/>
    </row>
    <row r="463" spans="1:12" x14ac:dyDescent="0.2">
      <c r="A463" s="52"/>
      <c r="B463" s="23"/>
      <c r="C463" s="17"/>
      <c r="D463" s="77" t="s">
        <v>12</v>
      </c>
      <c r="E463" s="20">
        <f>SUM(E459:E462)</f>
        <v>258537.38</v>
      </c>
      <c r="F463" s="43"/>
      <c r="G463" s="21"/>
      <c r="H463" s="29"/>
      <c r="I463" s="35"/>
      <c r="J463" s="29"/>
      <c r="K463" s="29"/>
      <c r="L463" s="29"/>
    </row>
    <row r="464" spans="1:12" x14ac:dyDescent="0.2">
      <c r="A464" s="52">
        <v>15082975</v>
      </c>
      <c r="B464" s="23"/>
      <c r="C464" s="17"/>
      <c r="D464" s="77"/>
      <c r="E464" s="20"/>
      <c r="F464" s="43"/>
      <c r="G464" s="21"/>
      <c r="H464" s="29"/>
      <c r="I464" s="35"/>
      <c r="J464" s="29"/>
      <c r="K464" s="29"/>
      <c r="L464" s="29"/>
    </row>
    <row r="465" spans="1:12" x14ac:dyDescent="0.2">
      <c r="A465" s="52"/>
      <c r="B465" s="23">
        <v>830093982</v>
      </c>
      <c r="C465" s="17">
        <v>35210</v>
      </c>
      <c r="D465" s="77" t="s">
        <v>188</v>
      </c>
      <c r="E465" s="20">
        <v>9785.76</v>
      </c>
      <c r="F465" s="43"/>
      <c r="G465" s="21">
        <v>42917</v>
      </c>
      <c r="H465" s="29"/>
      <c r="I465" s="35"/>
      <c r="J465" s="29"/>
      <c r="K465" s="29"/>
      <c r="L465" s="29"/>
    </row>
    <row r="466" spans="1:12" x14ac:dyDescent="0.2">
      <c r="A466" s="52"/>
      <c r="B466" s="23"/>
      <c r="C466" s="17"/>
      <c r="D466" s="77"/>
      <c r="E466" s="20"/>
      <c r="F466" s="43"/>
      <c r="G466" s="21"/>
      <c r="H466" s="29"/>
      <c r="I466" s="35"/>
      <c r="J466" s="29"/>
      <c r="K466" s="29"/>
      <c r="L466" s="29"/>
    </row>
    <row r="467" spans="1:12" x14ac:dyDescent="0.2">
      <c r="A467" s="52"/>
      <c r="B467" s="23">
        <v>834027523</v>
      </c>
      <c r="C467" s="17">
        <v>35210</v>
      </c>
      <c r="D467" s="77" t="s">
        <v>189</v>
      </c>
      <c r="E467" s="20">
        <v>1740182.6</v>
      </c>
      <c r="F467" s="43"/>
      <c r="G467" s="21">
        <v>43009</v>
      </c>
      <c r="H467" s="29"/>
      <c r="I467" s="35"/>
      <c r="J467" s="29"/>
      <c r="K467" s="29"/>
      <c r="L467" s="29"/>
    </row>
    <row r="468" spans="1:12" x14ac:dyDescent="0.2">
      <c r="A468" s="52">
        <v>15085575</v>
      </c>
      <c r="B468" s="23">
        <v>834027523</v>
      </c>
      <c r="C468" s="17">
        <v>35210</v>
      </c>
      <c r="D468" s="77" t="s">
        <v>189</v>
      </c>
      <c r="E468" s="20">
        <v>1578668.76</v>
      </c>
      <c r="F468" s="43"/>
      <c r="G468" s="21">
        <v>43040</v>
      </c>
      <c r="H468" s="29"/>
      <c r="I468" s="35"/>
      <c r="J468" s="29"/>
      <c r="K468" s="29"/>
      <c r="L468" s="29"/>
    </row>
    <row r="469" spans="1:12" x14ac:dyDescent="0.2">
      <c r="A469" s="52"/>
      <c r="B469" s="23">
        <v>834027523</v>
      </c>
      <c r="C469" s="17">
        <v>35210</v>
      </c>
      <c r="D469" s="77" t="s">
        <v>189</v>
      </c>
      <c r="E469" s="60">
        <v>247960.62</v>
      </c>
      <c r="F469" s="43"/>
      <c r="G469" s="21">
        <v>43070</v>
      </c>
      <c r="H469" s="29"/>
      <c r="I469" s="35"/>
      <c r="J469" s="29"/>
      <c r="K469" s="29"/>
      <c r="L469" s="29"/>
    </row>
    <row r="470" spans="1:12" x14ac:dyDescent="0.2">
      <c r="A470" s="52">
        <v>15105602</v>
      </c>
      <c r="B470" s="23"/>
      <c r="C470" s="17"/>
      <c r="D470" s="77" t="s">
        <v>12</v>
      </c>
      <c r="E470" s="20">
        <f>SUM(E467:E469)</f>
        <v>3566811.9800000004</v>
      </c>
      <c r="F470" s="43"/>
      <c r="G470" s="21"/>
      <c r="H470" s="29"/>
      <c r="I470" s="35"/>
      <c r="J470" s="29"/>
      <c r="K470" s="29"/>
      <c r="L470" s="29"/>
    </row>
    <row r="471" spans="1:12" x14ac:dyDescent="0.2">
      <c r="A471" s="52"/>
      <c r="B471" s="23"/>
      <c r="C471" s="17"/>
      <c r="D471" s="77"/>
      <c r="E471" s="20"/>
      <c r="F471" s="43"/>
      <c r="G471" s="21"/>
      <c r="H471" s="29"/>
      <c r="I471" s="35"/>
      <c r="J471" s="29"/>
      <c r="K471" s="29"/>
      <c r="L471" s="29"/>
    </row>
    <row r="472" spans="1:12" x14ac:dyDescent="0.2">
      <c r="A472" s="52"/>
      <c r="B472" s="23">
        <v>844707107</v>
      </c>
      <c r="C472" s="17">
        <v>35300</v>
      </c>
      <c r="D472" s="77" t="s">
        <v>190</v>
      </c>
      <c r="E472" s="20">
        <v>4316.7299999999996</v>
      </c>
      <c r="F472" s="43"/>
      <c r="G472" s="21">
        <v>42887</v>
      </c>
      <c r="H472" s="29"/>
      <c r="I472" s="35"/>
      <c r="J472" s="29"/>
      <c r="K472" s="29"/>
      <c r="L472" s="29"/>
    </row>
    <row r="473" spans="1:12" x14ac:dyDescent="0.2">
      <c r="A473" s="52"/>
      <c r="B473" s="23">
        <v>844707107</v>
      </c>
      <c r="C473" s="17">
        <v>35300</v>
      </c>
      <c r="D473" s="77" t="s">
        <v>190</v>
      </c>
      <c r="E473" s="60">
        <v>58.95</v>
      </c>
      <c r="F473" s="43"/>
      <c r="G473" s="21">
        <v>43070</v>
      </c>
      <c r="H473" s="29"/>
      <c r="I473" s="35"/>
      <c r="J473" s="29"/>
      <c r="K473" s="29"/>
      <c r="L473" s="29"/>
    </row>
    <row r="474" spans="1:12" x14ac:dyDescent="0.2">
      <c r="A474" s="52"/>
      <c r="B474" s="23"/>
      <c r="C474" s="17"/>
      <c r="D474" s="77" t="s">
        <v>12</v>
      </c>
      <c r="E474" s="20">
        <f>SUM(E472:E473)</f>
        <v>4375.6799999999994</v>
      </c>
      <c r="F474" s="43"/>
      <c r="G474" s="21"/>
      <c r="H474" s="29"/>
      <c r="I474" s="35"/>
      <c r="J474" s="29"/>
      <c r="K474" s="29"/>
      <c r="L474" s="29"/>
    </row>
    <row r="475" spans="1:12" x14ac:dyDescent="0.2">
      <c r="A475" s="52"/>
      <c r="B475" s="23"/>
      <c r="C475" s="17"/>
      <c r="D475" s="77"/>
      <c r="E475" s="20"/>
      <c r="F475" s="43"/>
      <c r="G475" s="21"/>
      <c r="H475" s="29"/>
      <c r="I475" s="35"/>
      <c r="J475" s="29"/>
      <c r="K475" s="29"/>
      <c r="L475" s="29"/>
    </row>
    <row r="476" spans="1:12" x14ac:dyDescent="0.2">
      <c r="A476" s="52">
        <v>15129557</v>
      </c>
      <c r="B476" s="23">
        <v>847075149</v>
      </c>
      <c r="C476" s="17">
        <v>35300</v>
      </c>
      <c r="D476" s="77" t="s">
        <v>191</v>
      </c>
      <c r="E476" s="20">
        <v>4249.22</v>
      </c>
      <c r="F476" s="43"/>
      <c r="G476" s="21">
        <v>42917</v>
      </c>
      <c r="H476" s="29"/>
      <c r="I476" s="35"/>
      <c r="J476" s="29"/>
      <c r="K476" s="29"/>
      <c r="L476" s="29"/>
    </row>
    <row r="477" spans="1:12" x14ac:dyDescent="0.2">
      <c r="A477" s="52"/>
      <c r="B477" s="23">
        <v>847075149</v>
      </c>
      <c r="C477" s="17">
        <v>35300</v>
      </c>
      <c r="D477" s="77" t="s">
        <v>191</v>
      </c>
      <c r="E477" s="60">
        <v>59.32</v>
      </c>
      <c r="F477" s="43"/>
      <c r="G477" s="21">
        <v>43070</v>
      </c>
      <c r="H477" s="29"/>
      <c r="I477" s="35"/>
      <c r="J477" s="29"/>
      <c r="K477" s="29"/>
      <c r="L477" s="29"/>
    </row>
    <row r="478" spans="1:12" x14ac:dyDescent="0.2">
      <c r="A478" s="52">
        <v>15150073</v>
      </c>
      <c r="B478" s="23"/>
      <c r="C478" s="17"/>
      <c r="D478" s="77" t="s">
        <v>12</v>
      </c>
      <c r="E478" s="20">
        <f>SUM(E476:E477)</f>
        <v>4308.54</v>
      </c>
      <c r="F478" s="43"/>
      <c r="G478" s="21"/>
      <c r="H478" s="29"/>
      <c r="I478" s="35"/>
      <c r="J478" s="29"/>
      <c r="K478" s="29"/>
      <c r="L478" s="29"/>
    </row>
    <row r="479" spans="1:12" x14ac:dyDescent="0.2">
      <c r="A479" s="52"/>
      <c r="B479" s="23"/>
      <c r="C479" s="17"/>
      <c r="D479" s="77"/>
      <c r="E479" s="20"/>
      <c r="F479" s="43"/>
      <c r="G479" s="21"/>
      <c r="H479" s="29"/>
      <c r="I479" s="35"/>
      <c r="J479" s="29"/>
      <c r="K479" s="29"/>
      <c r="L479" s="29"/>
    </row>
    <row r="480" spans="1:12" x14ac:dyDescent="0.2">
      <c r="A480" s="52"/>
      <c r="B480" s="23">
        <v>857642589</v>
      </c>
      <c r="C480" s="17">
        <v>35300</v>
      </c>
      <c r="D480" s="77" t="s">
        <v>196</v>
      </c>
      <c r="E480" s="20">
        <v>382103.99</v>
      </c>
      <c r="F480" s="43"/>
      <c r="G480" s="21">
        <v>43070</v>
      </c>
      <c r="H480" s="29"/>
      <c r="I480" s="35"/>
      <c r="J480" s="29"/>
      <c r="K480" s="29"/>
      <c r="L480" s="29"/>
    </row>
    <row r="481" spans="1:12" x14ac:dyDescent="0.2">
      <c r="A481" s="52"/>
      <c r="B481" s="23"/>
      <c r="C481" s="17"/>
      <c r="D481" s="77"/>
      <c r="E481" s="20"/>
      <c r="F481" s="43"/>
      <c r="G481" s="21"/>
      <c r="H481" s="29"/>
      <c r="I481" s="35"/>
      <c r="J481" s="29"/>
      <c r="K481" s="29"/>
      <c r="L481" s="29"/>
    </row>
    <row r="482" spans="1:12" x14ac:dyDescent="0.2">
      <c r="A482" s="52"/>
      <c r="B482" s="23">
        <v>860526747</v>
      </c>
      <c r="C482" s="17">
        <v>35300</v>
      </c>
      <c r="D482" s="77" t="s">
        <v>192</v>
      </c>
      <c r="E482" s="20">
        <v>187659.29</v>
      </c>
      <c r="F482" s="43"/>
      <c r="G482" s="21">
        <v>42917</v>
      </c>
      <c r="H482" s="29"/>
      <c r="I482" s="35"/>
      <c r="J482" s="29"/>
      <c r="K482" s="29"/>
      <c r="L482" s="29"/>
    </row>
    <row r="483" spans="1:12" x14ac:dyDescent="0.2">
      <c r="A483" s="52">
        <v>15223087</v>
      </c>
      <c r="B483" s="23">
        <v>860526747</v>
      </c>
      <c r="C483" s="17">
        <v>35300</v>
      </c>
      <c r="D483" s="77" t="s">
        <v>192</v>
      </c>
      <c r="E483" s="20">
        <v>-44041.57</v>
      </c>
      <c r="F483" s="43"/>
      <c r="G483" s="21">
        <v>42948</v>
      </c>
      <c r="H483" s="29"/>
      <c r="I483" s="35"/>
      <c r="J483" s="29"/>
      <c r="K483" s="29"/>
      <c r="L483" s="29"/>
    </row>
    <row r="484" spans="1:12" x14ac:dyDescent="0.2">
      <c r="A484" s="52"/>
      <c r="B484" s="23">
        <v>860526747</v>
      </c>
      <c r="C484" s="17">
        <v>35300</v>
      </c>
      <c r="D484" s="77" t="s">
        <v>192</v>
      </c>
      <c r="E484" s="20">
        <v>-1520.01</v>
      </c>
      <c r="F484" s="43"/>
      <c r="G484" s="21">
        <v>42979</v>
      </c>
      <c r="H484" s="29"/>
      <c r="I484" s="35"/>
      <c r="J484" s="29"/>
      <c r="K484" s="29"/>
      <c r="L484" s="29"/>
    </row>
    <row r="485" spans="1:12" x14ac:dyDescent="0.2">
      <c r="A485" s="52"/>
      <c r="B485" s="23">
        <v>860526747</v>
      </c>
      <c r="C485" s="17">
        <v>35300</v>
      </c>
      <c r="D485" s="77" t="s">
        <v>192</v>
      </c>
      <c r="E485" s="20">
        <v>-31.79</v>
      </c>
      <c r="F485" s="43"/>
      <c r="G485" s="21">
        <v>43009</v>
      </c>
      <c r="H485" s="29"/>
      <c r="I485" s="35"/>
      <c r="J485" s="29"/>
      <c r="K485" s="29"/>
      <c r="L485" s="29"/>
    </row>
    <row r="486" spans="1:12" x14ac:dyDescent="0.2">
      <c r="A486" s="52"/>
      <c r="B486" s="23">
        <v>860526747</v>
      </c>
      <c r="C486" s="17">
        <v>35300</v>
      </c>
      <c r="D486" s="77" t="s">
        <v>192</v>
      </c>
      <c r="E486" s="20">
        <v>-45.56</v>
      </c>
      <c r="F486" s="43"/>
      <c r="G486" s="21">
        <v>43040</v>
      </c>
      <c r="H486" s="29"/>
      <c r="I486" s="35"/>
      <c r="J486" s="29"/>
      <c r="K486" s="29"/>
      <c r="L486" s="29"/>
    </row>
    <row r="487" spans="1:12" x14ac:dyDescent="0.2">
      <c r="A487" s="52">
        <v>15251957</v>
      </c>
      <c r="B487" s="23">
        <v>860526747</v>
      </c>
      <c r="C487" s="17">
        <v>35300</v>
      </c>
      <c r="D487" s="77" t="s">
        <v>192</v>
      </c>
      <c r="E487" s="60">
        <v>19002.71</v>
      </c>
      <c r="F487" s="43"/>
      <c r="G487" s="21">
        <v>43070</v>
      </c>
      <c r="H487" s="29"/>
      <c r="I487" s="35"/>
      <c r="J487" s="29"/>
      <c r="K487" s="29"/>
      <c r="L487" s="29"/>
    </row>
    <row r="488" spans="1:12" x14ac:dyDescent="0.2">
      <c r="A488" s="52"/>
      <c r="B488" s="23"/>
      <c r="C488" s="17"/>
      <c r="D488" s="77" t="s">
        <v>12</v>
      </c>
      <c r="E488" s="20">
        <f>SUM(E482:E487)</f>
        <v>161023.06999999998</v>
      </c>
      <c r="F488" s="43"/>
      <c r="G488" s="21"/>
      <c r="H488" s="29"/>
      <c r="I488" s="35"/>
      <c r="J488" s="29"/>
      <c r="K488" s="29"/>
      <c r="L488" s="29"/>
    </row>
    <row r="489" spans="1:12" x14ac:dyDescent="0.2">
      <c r="A489" s="52"/>
      <c r="B489" s="23"/>
      <c r="C489" s="17"/>
      <c r="D489" s="77"/>
      <c r="E489" s="20"/>
      <c r="F489" s="43"/>
      <c r="G489" s="21"/>
      <c r="H489" s="29"/>
      <c r="I489" s="35"/>
      <c r="J489" s="29"/>
      <c r="K489" s="29"/>
      <c r="L489" s="29"/>
    </row>
    <row r="490" spans="1:12" x14ac:dyDescent="0.2">
      <c r="A490" s="52"/>
      <c r="B490" s="23">
        <v>3369924630</v>
      </c>
      <c r="C490" s="17">
        <v>35011</v>
      </c>
      <c r="D490" s="77" t="s">
        <v>193</v>
      </c>
      <c r="E490" s="20">
        <v>41680.07</v>
      </c>
      <c r="F490" s="43"/>
      <c r="G490" s="21">
        <v>43040</v>
      </c>
      <c r="H490" s="29"/>
      <c r="I490" s="35"/>
      <c r="J490" s="29"/>
      <c r="K490" s="29"/>
      <c r="L490" s="29"/>
    </row>
    <row r="491" spans="1:12" x14ac:dyDescent="0.2">
      <c r="A491" s="52">
        <v>15330859</v>
      </c>
      <c r="B491" s="23">
        <v>3369924630</v>
      </c>
      <c r="C491" s="17">
        <v>35011</v>
      </c>
      <c r="D491" s="77" t="s">
        <v>193</v>
      </c>
      <c r="E491" s="60">
        <v>199.76</v>
      </c>
      <c r="F491" s="43"/>
      <c r="G491" s="21">
        <v>43070</v>
      </c>
      <c r="H491" s="29"/>
      <c r="I491" s="35"/>
      <c r="J491" s="29"/>
      <c r="K491" s="29"/>
      <c r="L491" s="29"/>
    </row>
    <row r="492" spans="1:12" x14ac:dyDescent="0.2">
      <c r="A492" s="52"/>
      <c r="B492" s="23"/>
      <c r="C492" s="17"/>
      <c r="D492" s="77" t="s">
        <v>12</v>
      </c>
      <c r="E492" s="20">
        <f>SUM(E490:E491)</f>
        <v>41879.83</v>
      </c>
      <c r="F492" s="43"/>
      <c r="G492" s="21"/>
      <c r="H492" s="29"/>
      <c r="I492" s="35"/>
      <c r="J492" s="29"/>
      <c r="K492" s="29"/>
      <c r="L492" s="29"/>
    </row>
    <row r="493" spans="1:12" x14ac:dyDescent="0.2">
      <c r="A493" s="52">
        <v>15351980</v>
      </c>
      <c r="B493" s="23"/>
      <c r="C493" s="17"/>
      <c r="D493" s="77"/>
      <c r="E493" s="20"/>
      <c r="F493" s="43"/>
      <c r="G493" s="21"/>
      <c r="H493" s="29"/>
      <c r="I493" s="35"/>
      <c r="J493" s="29"/>
      <c r="K493" s="29"/>
      <c r="L493" s="29"/>
    </row>
    <row r="494" spans="1:12" x14ac:dyDescent="0.2">
      <c r="A494" s="52"/>
      <c r="B494" s="23">
        <v>3389017329</v>
      </c>
      <c r="C494" s="17">
        <v>35300</v>
      </c>
      <c r="D494" s="77" t="s">
        <v>194</v>
      </c>
      <c r="E494" s="20">
        <v>14619.67</v>
      </c>
      <c r="F494" s="43"/>
      <c r="G494" s="21">
        <v>43070</v>
      </c>
      <c r="H494" s="29"/>
      <c r="I494" s="35"/>
      <c r="J494" s="29"/>
      <c r="K494" s="29"/>
      <c r="L494" s="29"/>
    </row>
    <row r="495" spans="1:12" x14ac:dyDescent="0.2">
      <c r="A495" s="52"/>
      <c r="C495" s="17"/>
      <c r="E495" s="20"/>
      <c r="F495" s="43"/>
      <c r="G495" s="21"/>
      <c r="H495" s="29"/>
      <c r="I495" s="35"/>
      <c r="J495" s="29"/>
      <c r="K495" s="29"/>
      <c r="L495" s="29"/>
    </row>
    <row r="496" spans="1:12" x14ac:dyDescent="0.2">
      <c r="A496" s="52"/>
      <c r="B496" s="23"/>
      <c r="C496" s="17"/>
      <c r="D496" s="29" t="s">
        <v>154</v>
      </c>
      <c r="E496" s="46">
        <f>E121+E127+E129+E134+E139+E143+E157+E167+E171+E184+E192+E199+E213+E215+E222+E224+E228+E230+E240+E254+E268+E279+E283+E297+E308+E315+E329+E341+E355+E369+E379+E391+E393+E395+E397+E399+E403+E405+E414+E424+E435+E443+E447+E449+E451+E455+E457+E463+E465+E470+E474+E478+E480+E488+E492+E494</f>
        <v>68264570.289999992</v>
      </c>
      <c r="F496" s="43"/>
      <c r="G496" s="84"/>
      <c r="H496" s="29"/>
      <c r="I496" s="35"/>
      <c r="J496" s="29"/>
      <c r="K496" s="29"/>
      <c r="L496" s="29"/>
    </row>
    <row r="497" spans="1:12" x14ac:dyDescent="0.2">
      <c r="A497" s="52"/>
      <c r="C497" s="17"/>
      <c r="E497" s="20"/>
      <c r="F497" s="43"/>
      <c r="G497" s="21"/>
      <c r="H497" s="29"/>
      <c r="I497" s="35"/>
      <c r="J497" s="29"/>
      <c r="K497" s="29"/>
      <c r="L497" s="29"/>
    </row>
    <row r="498" spans="1:12" ht="13.5" thickBot="1" x14ac:dyDescent="0.25">
      <c r="A498" s="52"/>
      <c r="B498" s="37"/>
      <c r="C498" s="17"/>
      <c r="D498" s="40" t="s">
        <v>155</v>
      </c>
      <c r="E498" s="66">
        <f>E496+E110</f>
        <v>69301998.979999989</v>
      </c>
      <c r="F498" s="43"/>
      <c r="G498" s="84"/>
      <c r="H498" s="29"/>
      <c r="I498" s="35"/>
      <c r="J498" s="29"/>
      <c r="K498" s="29"/>
      <c r="L498" s="29"/>
    </row>
    <row r="499" spans="1:12" ht="13.5" thickTop="1" x14ac:dyDescent="0.2">
      <c r="A499" s="52"/>
      <c r="B499" s="23"/>
      <c r="C499" s="17"/>
      <c r="D499" s="29"/>
      <c r="E499" s="20"/>
      <c r="F499" s="43"/>
      <c r="G499" s="21"/>
      <c r="H499" s="29"/>
      <c r="I499" s="35"/>
      <c r="J499" s="29"/>
      <c r="K499" s="29"/>
      <c r="L499" s="29"/>
    </row>
    <row r="500" spans="1:12" x14ac:dyDescent="0.2">
      <c r="A500" s="52"/>
      <c r="B500" s="23"/>
      <c r="C500" s="17"/>
      <c r="D500" s="29"/>
      <c r="E500" s="20"/>
      <c r="F500" s="43"/>
      <c r="G500" s="21"/>
      <c r="H500" s="29"/>
      <c r="I500" s="35"/>
      <c r="J500" s="29"/>
      <c r="K500" s="29"/>
      <c r="L500" s="29"/>
    </row>
    <row r="501" spans="1:12" x14ac:dyDescent="0.2">
      <c r="A501" s="52"/>
      <c r="B501" s="37"/>
      <c r="C501" s="17"/>
      <c r="D501"/>
      <c r="E501" s="20"/>
      <c r="F501" s="43"/>
      <c r="G501" s="21"/>
      <c r="H501" s="29"/>
      <c r="I501" s="35"/>
      <c r="J501" s="29"/>
      <c r="K501" s="29"/>
      <c r="L501" s="29"/>
    </row>
    <row r="502" spans="1:12" x14ac:dyDescent="0.2">
      <c r="A502" s="52"/>
      <c r="B502" s="37"/>
      <c r="C502" s="17"/>
      <c r="D502"/>
      <c r="E502" s="60"/>
      <c r="F502" s="43"/>
      <c r="G502" s="21"/>
      <c r="H502" s="29"/>
      <c r="I502" s="35"/>
      <c r="J502" s="29"/>
      <c r="K502" s="29"/>
      <c r="L502" s="29"/>
    </row>
    <row r="503" spans="1:12" x14ac:dyDescent="0.2">
      <c r="A503" s="52"/>
      <c r="B503" s="23"/>
      <c r="C503" s="17"/>
      <c r="D503" s="29"/>
      <c r="E503" s="20"/>
      <c r="F503" s="43"/>
      <c r="G503" s="21"/>
      <c r="H503" s="29"/>
      <c r="I503" s="35"/>
      <c r="J503" s="29"/>
      <c r="K503" s="29"/>
      <c r="L503" s="29"/>
    </row>
    <row r="504" spans="1:12" x14ac:dyDescent="0.2">
      <c r="A504" s="52"/>
      <c r="B504" s="23"/>
      <c r="C504" s="17"/>
      <c r="D504" s="29"/>
      <c r="E504" s="20"/>
      <c r="F504" s="43"/>
      <c r="G504" s="21"/>
      <c r="H504" s="29"/>
      <c r="I504" s="35"/>
      <c r="J504" s="29"/>
      <c r="K504" s="29"/>
      <c r="L504" s="29"/>
    </row>
    <row r="505" spans="1:12" x14ac:dyDescent="0.2">
      <c r="A505" s="52"/>
      <c r="B505" s="37"/>
      <c r="C505" s="17"/>
      <c r="D505"/>
      <c r="E505" s="20"/>
      <c r="F505" s="43"/>
      <c r="G505" s="21"/>
      <c r="H505" s="29"/>
      <c r="I505" s="35"/>
      <c r="J505" s="29"/>
      <c r="K505" s="29"/>
      <c r="L505" s="29"/>
    </row>
    <row r="506" spans="1:12" x14ac:dyDescent="0.2">
      <c r="A506" s="52"/>
      <c r="B506" s="23"/>
      <c r="C506" s="17"/>
      <c r="D506" s="29"/>
      <c r="E506" s="20"/>
      <c r="F506" s="43"/>
      <c r="G506" s="21"/>
      <c r="H506" s="29"/>
      <c r="I506" s="35"/>
      <c r="J506" s="29"/>
      <c r="K506" s="29"/>
      <c r="L506" s="29"/>
    </row>
    <row r="507" spans="1:12" x14ac:dyDescent="0.2">
      <c r="A507" s="15"/>
      <c r="B507" s="37"/>
      <c r="C507" s="17"/>
      <c r="D507"/>
      <c r="E507" s="20"/>
      <c r="F507" s="43"/>
      <c r="G507" s="21"/>
      <c r="H507" s="71"/>
      <c r="I507" s="35"/>
      <c r="J507" s="29"/>
      <c r="K507" s="29"/>
      <c r="L507" s="29"/>
    </row>
    <row r="508" spans="1:12" x14ac:dyDescent="0.2">
      <c r="A508" s="15"/>
      <c r="B508" s="37"/>
      <c r="C508" s="17"/>
      <c r="D508"/>
      <c r="E508" s="20"/>
      <c r="F508" s="43"/>
      <c r="G508" s="21"/>
      <c r="H508" s="29"/>
      <c r="I508" s="35"/>
      <c r="J508" s="29"/>
      <c r="K508" s="29"/>
      <c r="L508" s="29"/>
    </row>
    <row r="509" spans="1:12" x14ac:dyDescent="0.2">
      <c r="A509" s="15"/>
      <c r="B509" s="37"/>
      <c r="C509" s="17"/>
      <c r="D509"/>
      <c r="E509" s="20"/>
      <c r="F509" s="43"/>
      <c r="G509" s="21"/>
      <c r="H509" s="71"/>
      <c r="I509" s="35"/>
      <c r="J509" s="29"/>
      <c r="K509" s="29"/>
      <c r="L509" s="29"/>
    </row>
    <row r="510" spans="1:12" x14ac:dyDescent="0.2">
      <c r="A510" s="15"/>
      <c r="B510" s="37"/>
      <c r="C510" s="17"/>
      <c r="D510"/>
      <c r="E510" s="20"/>
      <c r="F510" s="43"/>
      <c r="G510" s="21"/>
      <c r="H510" s="29"/>
      <c r="I510" s="35"/>
      <c r="J510" s="29"/>
      <c r="K510" s="29"/>
      <c r="L510" s="29"/>
    </row>
    <row r="511" spans="1:12" x14ac:dyDescent="0.2">
      <c r="A511" s="15"/>
      <c r="B511" s="37"/>
      <c r="C511" s="17"/>
      <c r="D511"/>
      <c r="E511" s="20"/>
      <c r="F511" s="43"/>
      <c r="G511" s="21"/>
      <c r="H511" s="29"/>
      <c r="I511" s="35"/>
      <c r="J511" s="29"/>
      <c r="K511" s="29"/>
      <c r="L511" s="29"/>
    </row>
    <row r="512" spans="1:12" x14ac:dyDescent="0.2">
      <c r="A512" s="15"/>
      <c r="B512" s="37"/>
      <c r="C512" s="17"/>
      <c r="D512"/>
      <c r="E512" s="60"/>
      <c r="F512" s="43"/>
      <c r="G512" s="21"/>
      <c r="H512" s="29"/>
      <c r="I512" s="35"/>
      <c r="J512" s="29"/>
      <c r="K512" s="29"/>
      <c r="L512" s="29"/>
    </row>
    <row r="513" spans="1:12" x14ac:dyDescent="0.2">
      <c r="A513" s="15"/>
      <c r="B513" s="17"/>
      <c r="C513" s="17"/>
      <c r="D513" s="29"/>
      <c r="E513" s="20"/>
      <c r="F513" s="43"/>
      <c r="G513" s="33"/>
      <c r="H513" s="29"/>
      <c r="I513" s="35"/>
      <c r="J513" s="29"/>
      <c r="K513" s="29"/>
      <c r="L513" s="29"/>
    </row>
    <row r="514" spans="1:12" x14ac:dyDescent="0.2">
      <c r="A514" s="15"/>
      <c r="B514" s="17"/>
      <c r="C514" s="17"/>
      <c r="D514" s="29"/>
      <c r="E514" s="63"/>
      <c r="F514" s="29"/>
      <c r="G514" s="33"/>
      <c r="H514" s="29"/>
      <c r="I514" s="35"/>
      <c r="J514" s="29"/>
      <c r="K514" s="29"/>
      <c r="L514" s="29"/>
    </row>
    <row r="515" spans="1:12" x14ac:dyDescent="0.2">
      <c r="A515" s="15"/>
      <c r="B515" s="37"/>
      <c r="C515" s="17"/>
      <c r="D515"/>
      <c r="E515" s="63"/>
      <c r="F515" s="29"/>
      <c r="G515" s="21"/>
      <c r="H515" s="29"/>
      <c r="I515" s="35"/>
      <c r="J515" s="29"/>
      <c r="K515" s="29"/>
      <c r="L515" s="29"/>
    </row>
    <row r="516" spans="1:12" x14ac:dyDescent="0.2">
      <c r="A516" s="15"/>
      <c r="B516" s="37"/>
      <c r="C516" s="17"/>
      <c r="D516"/>
      <c r="E516" s="60"/>
      <c r="F516" s="29"/>
      <c r="G516" s="21"/>
      <c r="H516" s="29"/>
      <c r="I516" s="35"/>
      <c r="J516" s="29"/>
      <c r="K516" s="29"/>
      <c r="L516" s="29"/>
    </row>
    <row r="517" spans="1:12" x14ac:dyDescent="0.2">
      <c r="A517" s="15"/>
      <c r="B517" s="29"/>
      <c r="C517" s="29"/>
      <c r="D517" s="29"/>
      <c r="E517" s="63"/>
      <c r="F517" s="29"/>
      <c r="G517" s="33"/>
      <c r="H517" s="29"/>
      <c r="I517" s="35"/>
      <c r="J517" s="29"/>
      <c r="K517" s="29"/>
      <c r="L517" s="29"/>
    </row>
    <row r="518" spans="1:12" x14ac:dyDescent="0.2">
      <c r="A518" s="15"/>
      <c r="B518" s="29"/>
      <c r="C518" s="29"/>
      <c r="D518" s="29"/>
      <c r="E518" s="58"/>
      <c r="F518" s="29"/>
      <c r="G518" s="33"/>
      <c r="H518" s="29"/>
      <c r="I518" s="35"/>
      <c r="J518" s="29"/>
      <c r="K518" s="29"/>
      <c r="L518" s="29"/>
    </row>
    <row r="519" spans="1:12" x14ac:dyDescent="0.2">
      <c r="A519" s="15"/>
      <c r="B519" s="37"/>
      <c r="C519" s="17"/>
      <c r="D519"/>
      <c r="E519" s="64"/>
      <c r="F519" s="29"/>
      <c r="G519" s="21"/>
      <c r="H519" s="29"/>
      <c r="I519" s="35"/>
      <c r="J519" s="29"/>
      <c r="K519" s="29"/>
      <c r="L519" s="29"/>
    </row>
    <row r="520" spans="1:12" x14ac:dyDescent="0.2">
      <c r="A520" s="15"/>
      <c r="B520" s="29"/>
      <c r="C520" s="29"/>
      <c r="D520" s="29"/>
      <c r="E520" s="64"/>
      <c r="F520" s="29"/>
      <c r="G520" s="29"/>
      <c r="H520" s="29"/>
      <c r="I520" s="35"/>
      <c r="J520" s="29"/>
      <c r="K520" s="29"/>
      <c r="L520" s="29"/>
    </row>
    <row r="521" spans="1:12" x14ac:dyDescent="0.2">
      <c r="A521" s="15"/>
      <c r="B521" s="37"/>
      <c r="C521" s="17"/>
      <c r="D521"/>
      <c r="E521" s="64"/>
      <c r="F521" s="29"/>
      <c r="G521" s="21"/>
      <c r="H521" s="29"/>
      <c r="I521" s="35"/>
      <c r="J521" s="29"/>
      <c r="K521" s="29"/>
      <c r="L521" s="29"/>
    </row>
    <row r="522" spans="1:12" x14ac:dyDescent="0.2">
      <c r="A522" s="15"/>
      <c r="B522" s="29"/>
      <c r="C522" s="29"/>
      <c r="D522" s="29"/>
      <c r="E522" s="64"/>
      <c r="F522" s="29"/>
      <c r="G522" s="29"/>
      <c r="H522" s="29"/>
      <c r="I522" s="35"/>
      <c r="J522" s="29"/>
      <c r="K522" s="29"/>
      <c r="L522" s="29"/>
    </row>
    <row r="523" spans="1:12" x14ac:dyDescent="0.2">
      <c r="A523" s="15"/>
      <c r="B523" s="37"/>
      <c r="C523" s="17"/>
      <c r="D523"/>
      <c r="E523" s="64"/>
      <c r="F523" s="29"/>
      <c r="G523" s="21"/>
      <c r="H523" s="29"/>
      <c r="I523" s="35"/>
      <c r="J523" s="29"/>
      <c r="K523" s="29"/>
      <c r="L523" s="29"/>
    </row>
    <row r="524" spans="1:12" x14ac:dyDescent="0.2">
      <c r="A524" s="33"/>
      <c r="B524" s="37"/>
      <c r="C524" s="17"/>
      <c r="D524"/>
      <c r="E524" s="64"/>
      <c r="F524" s="29"/>
      <c r="G524" s="21"/>
      <c r="H524" s="29"/>
      <c r="I524" s="35"/>
      <c r="J524" s="29"/>
      <c r="K524" s="29"/>
      <c r="L524" s="29"/>
    </row>
    <row r="525" spans="1:12" x14ac:dyDescent="0.2">
      <c r="A525" s="33"/>
      <c r="B525" s="37"/>
      <c r="C525" s="17"/>
      <c r="D525"/>
      <c r="E525" s="60"/>
      <c r="F525" s="29"/>
      <c r="G525" s="21"/>
      <c r="H525" s="29"/>
      <c r="I525" s="35"/>
      <c r="J525" s="29"/>
      <c r="K525" s="29"/>
      <c r="L525" s="29"/>
    </row>
    <row r="526" spans="1:12" x14ac:dyDescent="0.2">
      <c r="A526" s="33"/>
      <c r="B526" s="29"/>
      <c r="C526" s="29"/>
      <c r="D526" s="29"/>
      <c r="E526" s="64"/>
      <c r="F526" s="29"/>
      <c r="G526" s="29"/>
      <c r="H526" s="29"/>
      <c r="I526" s="35"/>
      <c r="J526" s="29"/>
      <c r="K526" s="29"/>
      <c r="L526" s="29"/>
    </row>
    <row r="527" spans="1:12" x14ac:dyDescent="0.2">
      <c r="A527" s="33"/>
      <c r="B527" s="1"/>
      <c r="C527" s="29"/>
      <c r="D527" s="29"/>
      <c r="E527" s="64"/>
      <c r="F527" s="29"/>
      <c r="G527" s="29"/>
      <c r="H527" s="29"/>
      <c r="I527" s="35"/>
      <c r="J527" s="29"/>
      <c r="K527" s="29"/>
      <c r="L527" s="29"/>
    </row>
    <row r="528" spans="1:12" x14ac:dyDescent="0.2">
      <c r="A528" s="33"/>
      <c r="B528" s="37"/>
      <c r="C528" s="17"/>
      <c r="D528"/>
      <c r="E528" s="64"/>
      <c r="F528" s="29"/>
      <c r="G528" s="21"/>
      <c r="H528" s="29"/>
      <c r="I528" s="35"/>
      <c r="J528" s="29"/>
      <c r="K528" s="29"/>
      <c r="L528" s="29"/>
    </row>
    <row r="529" spans="1:12" x14ac:dyDescent="0.2">
      <c r="A529" s="33"/>
      <c r="B529" s="37"/>
      <c r="C529" s="17"/>
      <c r="D529"/>
      <c r="E529" s="64"/>
      <c r="F529" s="29"/>
      <c r="G529" s="21"/>
      <c r="H529" s="29"/>
      <c r="I529" s="35"/>
      <c r="J529" s="29"/>
      <c r="K529" s="29"/>
      <c r="L529" s="29"/>
    </row>
    <row r="530" spans="1:12" x14ac:dyDescent="0.2">
      <c r="A530" s="33"/>
      <c r="B530" s="37"/>
      <c r="C530" s="17"/>
      <c r="D530"/>
      <c r="E530" s="64"/>
      <c r="F530" s="29"/>
      <c r="G530" s="21"/>
      <c r="H530" s="29"/>
      <c r="I530" s="35"/>
      <c r="J530" s="29"/>
      <c r="K530" s="29"/>
      <c r="L530" s="29"/>
    </row>
    <row r="531" spans="1:12" x14ac:dyDescent="0.2">
      <c r="A531" s="33"/>
      <c r="B531" s="37"/>
      <c r="C531" s="17"/>
      <c r="D531"/>
      <c r="E531" s="64"/>
      <c r="F531" s="29"/>
      <c r="G531" s="21"/>
      <c r="H531" s="29"/>
      <c r="I531" s="35"/>
      <c r="J531" s="29"/>
      <c r="K531" s="29"/>
      <c r="L531" s="29"/>
    </row>
    <row r="532" spans="1:12" x14ac:dyDescent="0.2">
      <c r="A532" s="33"/>
      <c r="B532" s="37"/>
      <c r="C532" s="17"/>
      <c r="D532"/>
      <c r="E532" s="64"/>
      <c r="F532" s="29"/>
      <c r="G532" s="21"/>
      <c r="H532" s="29"/>
      <c r="I532" s="35"/>
      <c r="J532" s="29"/>
      <c r="K532" s="29"/>
      <c r="L532" s="29"/>
    </row>
    <row r="533" spans="1:12" x14ac:dyDescent="0.2">
      <c r="A533" s="33"/>
      <c r="B533" s="37"/>
      <c r="C533" s="17"/>
      <c r="D533"/>
      <c r="E533" s="64"/>
      <c r="F533" s="29"/>
      <c r="G533" s="21"/>
      <c r="H533" s="29"/>
      <c r="I533" s="35"/>
      <c r="J533" s="29"/>
      <c r="K533" s="29"/>
      <c r="L533" s="29"/>
    </row>
    <row r="534" spans="1:12" x14ac:dyDescent="0.2">
      <c r="A534" s="33"/>
      <c r="B534" s="37"/>
      <c r="C534" s="17"/>
      <c r="D534"/>
      <c r="E534" s="60"/>
      <c r="F534" s="29"/>
      <c r="G534" s="21"/>
      <c r="H534" s="29"/>
      <c r="I534" s="35"/>
      <c r="J534" s="29"/>
      <c r="K534" s="29"/>
      <c r="L534" s="29"/>
    </row>
    <row r="535" spans="1:12" x14ac:dyDescent="0.2">
      <c r="A535" s="33"/>
      <c r="B535" s="29"/>
      <c r="C535" s="29"/>
      <c r="D535" s="29"/>
      <c r="E535" s="64"/>
      <c r="F535" s="29"/>
      <c r="G535" s="29"/>
      <c r="H535" s="29"/>
      <c r="I535" s="35"/>
      <c r="J535" s="29"/>
      <c r="K535" s="29"/>
      <c r="L535" s="29"/>
    </row>
    <row r="536" spans="1:12" x14ac:dyDescent="0.2">
      <c r="A536" s="33"/>
      <c r="B536" s="29"/>
      <c r="C536" s="29"/>
      <c r="D536" s="29"/>
      <c r="E536" s="64"/>
      <c r="F536" s="29"/>
      <c r="G536" s="29"/>
      <c r="H536" s="29"/>
      <c r="I536" s="35"/>
      <c r="J536" s="29"/>
      <c r="K536" s="29"/>
      <c r="L536" s="29"/>
    </row>
    <row r="537" spans="1:12" x14ac:dyDescent="0.2">
      <c r="A537" s="33"/>
      <c r="B537" s="37"/>
      <c r="C537" s="17"/>
      <c r="D537" s="40"/>
      <c r="E537" s="64"/>
      <c r="F537" s="29"/>
      <c r="G537" s="21"/>
      <c r="H537" s="29"/>
      <c r="I537" s="35"/>
      <c r="J537" s="29"/>
      <c r="K537" s="29"/>
      <c r="L537" s="29"/>
    </row>
    <row r="538" spans="1:12" x14ac:dyDescent="0.2">
      <c r="A538" s="1"/>
      <c r="B538" s="37"/>
      <c r="C538" s="17"/>
      <c r="D538" s="40"/>
      <c r="E538" s="60"/>
      <c r="F538" s="29"/>
      <c r="G538" s="21"/>
      <c r="H538" s="29"/>
      <c r="I538" s="35"/>
      <c r="J538" s="29"/>
      <c r="K538" s="29"/>
      <c r="L538" s="29"/>
    </row>
    <row r="539" spans="1:12" x14ac:dyDescent="0.2">
      <c r="A539" s="33"/>
      <c r="B539" s="29"/>
      <c r="C539" s="29"/>
      <c r="D539" s="29"/>
      <c r="E539" s="64"/>
      <c r="F539" s="29"/>
      <c r="G539" s="29"/>
      <c r="H539" s="29"/>
      <c r="I539" s="35"/>
      <c r="J539" s="29"/>
      <c r="K539" s="29"/>
      <c r="L539" s="29"/>
    </row>
    <row r="540" spans="1:12" x14ac:dyDescent="0.2">
      <c r="A540" s="33"/>
      <c r="B540" s="29"/>
      <c r="C540" s="29"/>
      <c r="D540" s="29"/>
      <c r="E540" s="64"/>
      <c r="F540" s="29"/>
      <c r="G540" s="29"/>
      <c r="H540" s="29"/>
      <c r="I540" s="35"/>
      <c r="J540" s="29"/>
      <c r="K540" s="29"/>
      <c r="L540" s="29"/>
    </row>
    <row r="541" spans="1:12" x14ac:dyDescent="0.2">
      <c r="A541" s="33"/>
      <c r="B541" s="37"/>
      <c r="C541" s="17"/>
      <c r="D541"/>
      <c r="E541" s="64"/>
      <c r="F541" s="29"/>
      <c r="G541" s="21"/>
      <c r="H541" s="29"/>
      <c r="I541" s="35"/>
      <c r="J541" s="29"/>
      <c r="K541" s="29"/>
      <c r="L541" s="29"/>
    </row>
    <row r="542" spans="1:12" x14ac:dyDescent="0.2">
      <c r="A542" s="33"/>
      <c r="B542" s="29"/>
      <c r="C542" s="29"/>
      <c r="D542" s="29"/>
      <c r="E542" s="64"/>
      <c r="F542" s="29"/>
      <c r="G542" s="29"/>
      <c r="H542" s="29"/>
      <c r="I542" s="35"/>
      <c r="J542" s="29"/>
      <c r="K542" s="29"/>
      <c r="L542" s="29"/>
    </row>
    <row r="543" spans="1:12" x14ac:dyDescent="0.2">
      <c r="A543" s="33"/>
      <c r="B543" s="37"/>
      <c r="C543" s="17"/>
      <c r="D543"/>
      <c r="E543" s="64"/>
      <c r="F543" s="29"/>
      <c r="G543" s="21"/>
      <c r="H543" s="29"/>
      <c r="I543" s="35"/>
      <c r="J543" s="29"/>
      <c r="K543" s="29"/>
      <c r="L543" s="29"/>
    </row>
    <row r="544" spans="1:12" x14ac:dyDescent="0.2">
      <c r="A544" s="33"/>
      <c r="B544" s="37"/>
      <c r="C544" s="17"/>
      <c r="D544"/>
      <c r="E544" s="64"/>
      <c r="F544" s="29"/>
      <c r="G544" s="21"/>
      <c r="H544" s="29"/>
      <c r="I544" s="35"/>
      <c r="J544" s="29"/>
      <c r="K544" s="29"/>
      <c r="L544" s="29"/>
    </row>
    <row r="545" spans="1:12" x14ac:dyDescent="0.2">
      <c r="A545" s="33"/>
      <c r="B545" s="37"/>
      <c r="C545" s="17"/>
      <c r="D545"/>
      <c r="E545" s="64"/>
      <c r="F545" s="29"/>
      <c r="G545" s="21"/>
      <c r="H545" s="29"/>
      <c r="I545" s="35"/>
      <c r="J545" s="29"/>
      <c r="K545" s="29"/>
      <c r="L545" s="29"/>
    </row>
    <row r="546" spans="1:12" x14ac:dyDescent="0.2">
      <c r="A546" s="33"/>
      <c r="B546" s="37"/>
      <c r="C546" s="17"/>
      <c r="D546"/>
      <c r="E546" s="64"/>
      <c r="F546" s="29"/>
      <c r="G546" s="21"/>
      <c r="H546" s="29"/>
      <c r="I546" s="35"/>
      <c r="J546" s="29"/>
      <c r="K546" s="29"/>
      <c r="L546" s="29"/>
    </row>
    <row r="547" spans="1:12" x14ac:dyDescent="0.2">
      <c r="A547" s="33"/>
      <c r="B547" s="37"/>
      <c r="C547" s="17"/>
      <c r="D547"/>
      <c r="E547" s="64"/>
      <c r="F547" s="29"/>
      <c r="G547" s="21"/>
      <c r="H547" s="29"/>
      <c r="I547" s="35"/>
      <c r="J547" s="29"/>
      <c r="K547" s="29"/>
      <c r="L547" s="29"/>
    </row>
    <row r="548" spans="1:12" x14ac:dyDescent="0.2">
      <c r="A548" s="33"/>
      <c r="B548" s="37"/>
      <c r="C548" s="17"/>
      <c r="D548"/>
      <c r="E548" s="60"/>
      <c r="F548" s="29"/>
      <c r="G548" s="21"/>
      <c r="H548" s="29"/>
      <c r="I548" s="35"/>
      <c r="J548" s="29"/>
      <c r="K548" s="29"/>
      <c r="L548" s="29"/>
    </row>
    <row r="549" spans="1:12" x14ac:dyDescent="0.2">
      <c r="A549" s="33"/>
      <c r="B549" s="29"/>
      <c r="C549" s="29"/>
      <c r="D549" s="29"/>
      <c r="E549" s="64"/>
      <c r="F549" s="29"/>
      <c r="G549" s="29"/>
      <c r="H549" s="29"/>
      <c r="I549" s="35"/>
      <c r="J549" s="29"/>
      <c r="K549" s="29"/>
      <c r="L549" s="29"/>
    </row>
    <row r="550" spans="1:12" x14ac:dyDescent="0.2">
      <c r="A550" s="33"/>
      <c r="B550" s="29"/>
      <c r="C550" s="29"/>
      <c r="D550" s="29"/>
      <c r="E550" s="64"/>
      <c r="F550" s="29"/>
      <c r="G550" s="29"/>
      <c r="H550" s="29"/>
      <c r="I550" s="35"/>
      <c r="J550" s="29"/>
      <c r="K550" s="29"/>
      <c r="L550" s="29"/>
    </row>
    <row r="551" spans="1:12" x14ac:dyDescent="0.2">
      <c r="A551" s="33"/>
      <c r="B551" s="37"/>
      <c r="C551" s="17"/>
      <c r="D551"/>
      <c r="E551" s="64"/>
      <c r="F551" s="29"/>
      <c r="G551" s="21"/>
      <c r="H551" s="29"/>
      <c r="I551" s="35"/>
      <c r="J551" s="29"/>
      <c r="K551" s="29"/>
      <c r="L551" s="29"/>
    </row>
    <row r="552" spans="1:12" x14ac:dyDescent="0.2">
      <c r="A552" s="33"/>
      <c r="B552" s="37"/>
      <c r="C552" s="17"/>
      <c r="D552"/>
      <c r="E552" s="64"/>
      <c r="F552" s="29"/>
      <c r="G552" s="21"/>
      <c r="H552" s="29"/>
      <c r="I552" s="35"/>
      <c r="J552" s="29"/>
      <c r="K552" s="29"/>
      <c r="L552" s="29"/>
    </row>
    <row r="553" spans="1:12" x14ac:dyDescent="0.2">
      <c r="A553" s="29"/>
      <c r="B553" s="37"/>
      <c r="C553" s="17"/>
      <c r="D553"/>
      <c r="E553" s="64"/>
      <c r="F553" s="29"/>
      <c r="G553" s="21"/>
      <c r="H553" s="29"/>
      <c r="I553" s="35"/>
      <c r="J553" s="29"/>
      <c r="K553" s="29"/>
      <c r="L553" s="29"/>
    </row>
    <row r="554" spans="1:12" x14ac:dyDescent="0.2">
      <c r="A554" s="33"/>
      <c r="B554" s="37"/>
      <c r="C554" s="17"/>
      <c r="D554"/>
      <c r="E554" s="64"/>
      <c r="F554" s="29"/>
      <c r="G554" s="21"/>
      <c r="H554" s="41"/>
      <c r="I554" s="35"/>
      <c r="J554" s="29"/>
      <c r="K554" s="29"/>
      <c r="L554" s="29"/>
    </row>
    <row r="555" spans="1:12" x14ac:dyDescent="0.2">
      <c r="A555" s="29"/>
      <c r="B555" s="37"/>
      <c r="C555" s="17"/>
      <c r="D555"/>
      <c r="E555" s="64"/>
      <c r="F555" s="29"/>
      <c r="G555" s="21"/>
      <c r="H555" s="41"/>
      <c r="I555" s="35"/>
      <c r="J555" s="29"/>
      <c r="K555" s="29"/>
      <c r="L555" s="29"/>
    </row>
    <row r="556" spans="1:12" x14ac:dyDescent="0.2">
      <c r="A556" s="29"/>
      <c r="B556" s="37"/>
      <c r="C556" s="17"/>
      <c r="D556"/>
      <c r="E556" s="60"/>
      <c r="F556" s="29"/>
      <c r="G556" s="21"/>
      <c r="H556" s="41"/>
      <c r="I556" s="35"/>
      <c r="J556" s="29"/>
      <c r="K556" s="29"/>
      <c r="L556" s="29"/>
    </row>
    <row r="557" spans="1:12" x14ac:dyDescent="0.2">
      <c r="A557" s="29"/>
      <c r="B557" s="29"/>
      <c r="C557" s="29"/>
      <c r="D557" s="29"/>
      <c r="E557" s="64"/>
      <c r="F557" s="29"/>
      <c r="G557" s="29"/>
      <c r="H557" s="41"/>
      <c r="I557" s="35"/>
      <c r="J557" s="29"/>
      <c r="K557" s="29"/>
      <c r="L557" s="29"/>
    </row>
    <row r="558" spans="1:12" x14ac:dyDescent="0.2">
      <c r="A558" s="29"/>
      <c r="B558" s="1"/>
      <c r="E558" s="65"/>
      <c r="H558" s="41"/>
      <c r="I558" s="35"/>
      <c r="J558" s="29"/>
      <c r="K558" s="29"/>
      <c r="L558" s="29"/>
    </row>
    <row r="559" spans="1:12" x14ac:dyDescent="0.2">
      <c r="A559" s="29"/>
      <c r="B559" s="37"/>
      <c r="C559" s="17"/>
      <c r="D559"/>
      <c r="E559" s="65"/>
      <c r="G559" s="21"/>
      <c r="H559" s="41"/>
      <c r="I559" s="35"/>
      <c r="J559" s="29"/>
      <c r="K559" s="29"/>
      <c r="L559" s="29"/>
    </row>
    <row r="560" spans="1:12" x14ac:dyDescent="0.2">
      <c r="A560" s="29"/>
      <c r="B560" s="37"/>
      <c r="C560" s="17"/>
      <c r="D560"/>
      <c r="E560" s="65"/>
      <c r="G560" s="21"/>
      <c r="H560" s="29"/>
      <c r="I560" s="35"/>
      <c r="J560" s="29"/>
      <c r="K560" s="29"/>
      <c r="L560" s="29"/>
    </row>
    <row r="561" spans="1:12" x14ac:dyDescent="0.2">
      <c r="A561" s="29"/>
      <c r="B561" s="37"/>
      <c r="C561" s="17"/>
      <c r="D561"/>
      <c r="E561" s="65"/>
      <c r="G561" s="21"/>
      <c r="H561" s="29"/>
      <c r="I561" s="35"/>
      <c r="J561" s="29"/>
      <c r="K561" s="29"/>
      <c r="L561" s="29"/>
    </row>
    <row r="562" spans="1:12" x14ac:dyDescent="0.2">
      <c r="A562" s="33"/>
      <c r="B562" s="37"/>
      <c r="C562" s="17"/>
      <c r="D562"/>
      <c r="E562" s="65"/>
      <c r="G562" s="21"/>
      <c r="H562" s="29"/>
      <c r="I562" s="35"/>
      <c r="J562" s="29"/>
      <c r="K562" s="29"/>
      <c r="L562" s="29"/>
    </row>
    <row r="563" spans="1:12" x14ac:dyDescent="0.2">
      <c r="A563" s="29"/>
      <c r="B563" s="37"/>
      <c r="C563" s="17"/>
      <c r="D563"/>
      <c r="E563" s="65"/>
      <c r="G563" s="21"/>
      <c r="H563" s="29"/>
      <c r="I563" s="35"/>
      <c r="J563" s="29"/>
      <c r="K563" s="29"/>
      <c r="L563" s="29"/>
    </row>
    <row r="564" spans="1:12" x14ac:dyDescent="0.2">
      <c r="A564" s="29"/>
      <c r="B564" s="37"/>
      <c r="C564" s="17"/>
      <c r="D564"/>
      <c r="E564" s="65"/>
      <c r="G564" s="21"/>
      <c r="H564" s="29"/>
      <c r="I564" s="35"/>
      <c r="J564" s="29"/>
      <c r="K564" s="29"/>
      <c r="L564" s="29"/>
    </row>
    <row r="565" spans="1:12" x14ac:dyDescent="0.2">
      <c r="A565" s="29"/>
      <c r="B565" s="37"/>
      <c r="C565" s="17"/>
      <c r="D565"/>
      <c r="E565" s="65"/>
      <c r="G565" s="21"/>
      <c r="H565" s="29"/>
      <c r="I565" s="35"/>
      <c r="J565" s="29"/>
      <c r="K565" s="29"/>
      <c r="L565" s="29"/>
    </row>
    <row r="566" spans="1:12" x14ac:dyDescent="0.2">
      <c r="A566" s="29"/>
      <c r="B566" s="37"/>
      <c r="C566" s="17"/>
      <c r="D566"/>
      <c r="E566" s="60"/>
      <c r="G566" s="21"/>
      <c r="H566" s="29"/>
      <c r="I566" s="35"/>
      <c r="J566" s="29"/>
      <c r="K566" s="29"/>
      <c r="L566" s="29"/>
    </row>
    <row r="567" spans="1:12" x14ac:dyDescent="0.2">
      <c r="A567" s="29"/>
      <c r="B567" s="1"/>
      <c r="D567" s="29"/>
      <c r="E567" s="65"/>
      <c r="G567" s="47"/>
      <c r="H567" s="29"/>
      <c r="I567" s="35"/>
      <c r="J567" s="29"/>
      <c r="K567" s="29"/>
      <c r="L567" s="29"/>
    </row>
    <row r="568" spans="1:12" x14ac:dyDescent="0.2">
      <c r="A568" s="29"/>
      <c r="B568" s="1"/>
      <c r="E568" s="65"/>
      <c r="H568" s="29"/>
      <c r="I568" s="35"/>
      <c r="J568" s="29"/>
      <c r="K568" s="29"/>
      <c r="L568" s="29"/>
    </row>
    <row r="569" spans="1:12" x14ac:dyDescent="0.2">
      <c r="A569" s="1"/>
      <c r="B569" s="37"/>
      <c r="C569" s="17"/>
      <c r="D569"/>
      <c r="E569" s="65"/>
      <c r="G569" s="21"/>
      <c r="H569" s="29"/>
      <c r="I569" s="47"/>
    </row>
    <row r="570" spans="1:12" x14ac:dyDescent="0.2">
      <c r="B570" s="37"/>
      <c r="C570" s="17"/>
      <c r="D570"/>
      <c r="E570" s="65"/>
      <c r="G570" s="21"/>
      <c r="I570" s="47"/>
    </row>
    <row r="571" spans="1:12" x14ac:dyDescent="0.2">
      <c r="B571" s="37"/>
      <c r="C571" s="17"/>
      <c r="D571"/>
      <c r="E571" s="65"/>
      <c r="G571" s="21"/>
      <c r="H571" s="48"/>
      <c r="I571" s="47"/>
    </row>
    <row r="572" spans="1:12" x14ac:dyDescent="0.2">
      <c r="A572" s="1"/>
      <c r="B572" s="37"/>
      <c r="C572" s="17"/>
      <c r="D572"/>
      <c r="E572" s="65"/>
      <c r="G572" s="21"/>
      <c r="I572" s="47"/>
    </row>
    <row r="573" spans="1:12" x14ac:dyDescent="0.2">
      <c r="A573" s="1"/>
      <c r="B573" s="37"/>
      <c r="C573" s="17"/>
      <c r="D573"/>
      <c r="G573" s="21"/>
      <c r="I573" s="47"/>
    </row>
    <row r="574" spans="1:12" x14ac:dyDescent="0.2">
      <c r="A574" s="1"/>
      <c r="B574" s="37"/>
      <c r="C574" s="17"/>
      <c r="D574"/>
      <c r="G574" s="21"/>
      <c r="I574" s="47"/>
    </row>
    <row r="575" spans="1:12" x14ac:dyDescent="0.2">
      <c r="A575" s="1"/>
      <c r="B575" s="37"/>
      <c r="C575" s="17"/>
      <c r="D575"/>
      <c r="G575" s="21"/>
      <c r="I575" s="47"/>
    </row>
    <row r="576" spans="1:12" x14ac:dyDescent="0.2">
      <c r="A576" s="1"/>
      <c r="B576" s="37"/>
      <c r="C576" s="17"/>
      <c r="D576"/>
      <c r="E576" s="42"/>
      <c r="G576" s="21"/>
      <c r="I576" s="47"/>
    </row>
    <row r="577" spans="1:9" x14ac:dyDescent="0.2">
      <c r="A577" s="1"/>
      <c r="B577" s="1"/>
      <c r="D577" s="29"/>
      <c r="G577" s="47"/>
      <c r="I577" s="47"/>
    </row>
    <row r="578" spans="1:9" x14ac:dyDescent="0.2">
      <c r="A578" s="1"/>
      <c r="B578" s="1"/>
      <c r="I578" s="47"/>
    </row>
    <row r="579" spans="1:9" x14ac:dyDescent="0.2">
      <c r="A579" s="1"/>
      <c r="B579" s="37"/>
      <c r="C579" s="17"/>
      <c r="D579"/>
      <c r="G579" s="21"/>
      <c r="I579" s="47"/>
    </row>
    <row r="580" spans="1:9" x14ac:dyDescent="0.2">
      <c r="B580" s="37"/>
      <c r="C580" s="17"/>
      <c r="D580"/>
      <c r="E580" s="42"/>
      <c r="G580" s="21"/>
      <c r="I580" s="47"/>
    </row>
    <row r="581" spans="1:9" x14ac:dyDescent="0.2">
      <c r="B581" s="1"/>
      <c r="D581" s="29"/>
      <c r="I581" s="47"/>
    </row>
    <row r="582" spans="1:9" x14ac:dyDescent="0.2">
      <c r="A582" s="1"/>
      <c r="B582" s="1"/>
      <c r="I582" s="47"/>
    </row>
    <row r="583" spans="1:9" x14ac:dyDescent="0.2">
      <c r="A583" s="1"/>
      <c r="B583" s="37"/>
      <c r="C583" s="17"/>
      <c r="D583"/>
      <c r="G583" s="21"/>
      <c r="I583" s="47"/>
    </row>
    <row r="584" spans="1:9" x14ac:dyDescent="0.2">
      <c r="A584" s="1"/>
      <c r="B584" s="1"/>
      <c r="I584" s="47"/>
    </row>
    <row r="585" spans="1:9" x14ac:dyDescent="0.2">
      <c r="A585" s="1"/>
      <c r="B585" s="37"/>
      <c r="C585" s="17"/>
      <c r="D585"/>
      <c r="G585" s="21"/>
      <c r="I585" s="47"/>
    </row>
    <row r="586" spans="1:9" x14ac:dyDescent="0.2">
      <c r="A586" s="1"/>
      <c r="B586" s="37"/>
      <c r="C586" s="17"/>
      <c r="D586"/>
      <c r="G586" s="21"/>
      <c r="I586" s="47"/>
    </row>
    <row r="587" spans="1:9" x14ac:dyDescent="0.2">
      <c r="A587" s="1"/>
      <c r="B587" s="37"/>
      <c r="C587" s="17"/>
      <c r="D587"/>
      <c r="G587" s="21"/>
      <c r="I587" s="47"/>
    </row>
    <row r="588" spans="1:9" x14ac:dyDescent="0.2">
      <c r="A588" s="1"/>
      <c r="B588" s="37"/>
      <c r="C588" s="17"/>
      <c r="D588"/>
      <c r="G588" s="21"/>
      <c r="I588" s="47"/>
    </row>
    <row r="589" spans="1:9" x14ac:dyDescent="0.2">
      <c r="A589" s="1"/>
      <c r="B589" s="37"/>
      <c r="C589" s="17"/>
      <c r="D589"/>
      <c r="G589" s="21"/>
      <c r="I589" s="47"/>
    </row>
    <row r="590" spans="1:9" x14ac:dyDescent="0.2">
      <c r="B590" s="37"/>
      <c r="C590" s="17"/>
      <c r="D590"/>
      <c r="G590" s="21"/>
      <c r="I590" s="47"/>
    </row>
    <row r="591" spans="1:9" x14ac:dyDescent="0.2">
      <c r="A591" s="1"/>
      <c r="B591" s="37"/>
      <c r="C591" s="17"/>
      <c r="D591"/>
      <c r="E591" s="42"/>
      <c r="G591" s="21"/>
      <c r="I591" s="47"/>
    </row>
    <row r="592" spans="1:9" x14ac:dyDescent="0.2">
      <c r="A592" s="1"/>
      <c r="B592" s="1"/>
      <c r="D592" s="29"/>
      <c r="I592" s="47"/>
    </row>
    <row r="593" spans="1:9" x14ac:dyDescent="0.2">
      <c r="A593" s="1"/>
      <c r="B593" s="1"/>
      <c r="I593" s="47"/>
    </row>
    <row r="594" spans="1:9" x14ac:dyDescent="0.2">
      <c r="B594" s="37"/>
      <c r="C594" s="39"/>
      <c r="D594"/>
      <c r="G594" s="21"/>
      <c r="I594" s="47"/>
    </row>
    <row r="595" spans="1:9" x14ac:dyDescent="0.2">
      <c r="A595" s="1"/>
      <c r="B595" s="37"/>
      <c r="C595" s="39"/>
      <c r="D595"/>
      <c r="G595" s="21"/>
      <c r="I595" s="47"/>
    </row>
    <row r="596" spans="1:9" x14ac:dyDescent="0.2">
      <c r="B596" s="37"/>
      <c r="C596" s="39"/>
      <c r="D596"/>
      <c r="G596" s="21"/>
      <c r="I596" s="47"/>
    </row>
    <row r="597" spans="1:9" x14ac:dyDescent="0.2">
      <c r="A597" s="1"/>
      <c r="B597" s="37"/>
      <c r="C597" s="39"/>
      <c r="D597"/>
      <c r="G597" s="21"/>
      <c r="I597" s="47"/>
    </row>
    <row r="598" spans="1:9" x14ac:dyDescent="0.2">
      <c r="A598" s="1"/>
      <c r="B598" s="37"/>
      <c r="C598" s="39"/>
      <c r="D598"/>
      <c r="G598" s="21"/>
      <c r="I598" s="47"/>
    </row>
    <row r="599" spans="1:9" x14ac:dyDescent="0.2">
      <c r="A599" s="1"/>
      <c r="B599" s="37"/>
      <c r="C599" s="39"/>
      <c r="D599"/>
      <c r="G599" s="21"/>
      <c r="I599" s="47"/>
    </row>
    <row r="600" spans="1:9" x14ac:dyDescent="0.2">
      <c r="A600" s="1"/>
      <c r="B600" s="37"/>
      <c r="C600" s="39"/>
      <c r="D600"/>
      <c r="G600" s="21"/>
      <c r="I600" s="47"/>
    </row>
    <row r="601" spans="1:9" x14ac:dyDescent="0.2">
      <c r="A601" s="1"/>
      <c r="B601" s="37"/>
      <c r="C601" s="39"/>
      <c r="D601"/>
      <c r="G601" s="21"/>
      <c r="I601" s="47"/>
    </row>
    <row r="602" spans="1:9" x14ac:dyDescent="0.2">
      <c r="A602" s="1"/>
      <c r="B602" s="37"/>
      <c r="C602" s="39"/>
      <c r="D602"/>
      <c r="G602" s="21"/>
      <c r="I602" s="47"/>
    </row>
    <row r="603" spans="1:9" x14ac:dyDescent="0.2">
      <c r="A603" s="1"/>
      <c r="B603" s="37"/>
      <c r="C603" s="39"/>
      <c r="D603"/>
      <c r="G603" s="21"/>
      <c r="I603" s="47"/>
    </row>
    <row r="604" spans="1:9" x14ac:dyDescent="0.2">
      <c r="A604" s="1"/>
      <c r="B604" s="37"/>
      <c r="C604" s="39"/>
      <c r="D604"/>
      <c r="E604" s="42"/>
      <c r="G604" s="21"/>
      <c r="I604" s="47"/>
    </row>
    <row r="605" spans="1:9" x14ac:dyDescent="0.2">
      <c r="B605" s="37"/>
      <c r="D605" s="29"/>
      <c r="E605" s="35"/>
      <c r="I605" s="47"/>
    </row>
    <row r="606" spans="1:9" x14ac:dyDescent="0.2">
      <c r="A606" s="1"/>
      <c r="B606" s="1"/>
      <c r="I606" s="47"/>
    </row>
    <row r="607" spans="1:9" x14ac:dyDescent="0.2">
      <c r="A607" s="1"/>
      <c r="B607" s="37"/>
      <c r="C607" s="17"/>
      <c r="D607"/>
      <c r="G607" s="21"/>
      <c r="I607" s="47"/>
    </row>
    <row r="608" spans="1:9" x14ac:dyDescent="0.2">
      <c r="A608" s="1"/>
      <c r="B608" s="37"/>
      <c r="C608" s="17"/>
      <c r="D608"/>
      <c r="G608" s="21"/>
      <c r="I608" s="47"/>
    </row>
    <row r="609" spans="1:9" x14ac:dyDescent="0.2">
      <c r="A609" s="1"/>
      <c r="B609" s="37"/>
      <c r="C609" s="17"/>
      <c r="D609"/>
      <c r="G609" s="21"/>
      <c r="I609" s="47"/>
    </row>
    <row r="610" spans="1:9" x14ac:dyDescent="0.2">
      <c r="A610" s="1"/>
      <c r="B610" s="37"/>
      <c r="C610" s="17"/>
      <c r="D610"/>
      <c r="G610" s="21"/>
      <c r="I610" s="47"/>
    </row>
    <row r="611" spans="1:9" x14ac:dyDescent="0.2">
      <c r="A611" s="1"/>
      <c r="B611" s="37"/>
      <c r="C611" s="17"/>
      <c r="D611"/>
      <c r="G611" s="21"/>
      <c r="I611" s="47"/>
    </row>
    <row r="612" spans="1:9" x14ac:dyDescent="0.2">
      <c r="A612" s="1"/>
      <c r="B612" s="37"/>
      <c r="C612" s="17"/>
      <c r="D612"/>
      <c r="E612" s="42"/>
      <c r="G612" s="21"/>
      <c r="I612" s="47"/>
    </row>
    <row r="613" spans="1:9" x14ac:dyDescent="0.2">
      <c r="A613" s="1"/>
      <c r="B613" s="1"/>
      <c r="D613" s="29"/>
      <c r="I613" s="47"/>
    </row>
    <row r="614" spans="1:9" x14ac:dyDescent="0.2">
      <c r="A614" s="1"/>
      <c r="B614" s="1"/>
      <c r="I614" s="47"/>
    </row>
    <row r="615" spans="1:9" x14ac:dyDescent="0.2">
      <c r="A615" s="1"/>
      <c r="B615" s="37"/>
      <c r="C615" s="17"/>
      <c r="D615"/>
      <c r="G615" s="21"/>
      <c r="I615" s="47"/>
    </row>
    <row r="616" spans="1:9" x14ac:dyDescent="0.2">
      <c r="A616" s="1"/>
      <c r="B616" s="1"/>
      <c r="I616" s="47"/>
    </row>
    <row r="617" spans="1:9" x14ac:dyDescent="0.2">
      <c r="A617" s="1"/>
      <c r="B617" s="37"/>
      <c r="C617" s="39"/>
      <c r="D617"/>
      <c r="G617" s="21"/>
      <c r="I617" s="47"/>
    </row>
    <row r="618" spans="1:9" x14ac:dyDescent="0.2">
      <c r="B618" s="37"/>
      <c r="C618" s="39"/>
      <c r="D618"/>
      <c r="G618" s="21"/>
      <c r="I618" s="47"/>
    </row>
    <row r="619" spans="1:9" x14ac:dyDescent="0.2">
      <c r="A619" s="1"/>
      <c r="B619" s="37"/>
      <c r="C619" s="39"/>
      <c r="D619"/>
      <c r="E619" s="42"/>
      <c r="G619" s="21"/>
      <c r="I619" s="47"/>
    </row>
    <row r="620" spans="1:9" x14ac:dyDescent="0.2">
      <c r="A620" s="1"/>
      <c r="B620" s="1"/>
      <c r="D620" s="29"/>
      <c r="I620" s="47"/>
    </row>
    <row r="621" spans="1:9" x14ac:dyDescent="0.2">
      <c r="A621" s="1"/>
      <c r="B621" s="1"/>
      <c r="I621" s="47"/>
    </row>
    <row r="622" spans="1:9" x14ac:dyDescent="0.2">
      <c r="A622" s="1"/>
      <c r="B622" s="37"/>
      <c r="C622" s="39"/>
      <c r="D622"/>
      <c r="G622" s="21"/>
      <c r="I622" s="47"/>
    </row>
    <row r="623" spans="1:9" x14ac:dyDescent="0.2">
      <c r="A623" s="1"/>
      <c r="B623" s="1"/>
      <c r="I623" s="47"/>
    </row>
    <row r="624" spans="1:9" x14ac:dyDescent="0.2">
      <c r="A624" s="1"/>
      <c r="B624" s="37"/>
      <c r="C624" s="39"/>
      <c r="D624"/>
      <c r="G624" s="21"/>
      <c r="I624" s="47"/>
    </row>
    <row r="625" spans="1:9" x14ac:dyDescent="0.2">
      <c r="A625" s="1"/>
      <c r="B625" s="37"/>
      <c r="C625" s="39"/>
      <c r="D625"/>
      <c r="G625" s="21"/>
      <c r="I625" s="47"/>
    </row>
    <row r="626" spans="1:9" x14ac:dyDescent="0.2">
      <c r="A626"/>
      <c r="B626" s="37"/>
      <c r="C626" s="39"/>
      <c r="D626"/>
      <c r="E626" s="42"/>
      <c r="G626" s="21"/>
      <c r="I626" s="47"/>
    </row>
    <row r="627" spans="1:9" x14ac:dyDescent="0.2">
      <c r="A627" s="1"/>
      <c r="B627" s="1"/>
      <c r="D627" s="29"/>
      <c r="I627" s="47"/>
    </row>
    <row r="628" spans="1:9" x14ac:dyDescent="0.2">
      <c r="B628" s="1"/>
      <c r="I628" s="47"/>
    </row>
    <row r="629" spans="1:9" x14ac:dyDescent="0.2">
      <c r="A629" s="1"/>
      <c r="B629" s="37"/>
      <c r="C629" s="39"/>
      <c r="D629"/>
      <c r="G629" s="21"/>
      <c r="I629" s="47"/>
    </row>
    <row r="630" spans="1:9" x14ac:dyDescent="0.2">
      <c r="A630" s="1"/>
      <c r="B630" s="37"/>
      <c r="C630" s="39"/>
      <c r="D630"/>
      <c r="G630" s="21"/>
      <c r="I630" s="47"/>
    </row>
    <row r="631" spans="1:9" x14ac:dyDescent="0.2">
      <c r="A631" s="1"/>
      <c r="B631" s="37"/>
      <c r="C631" s="39"/>
      <c r="D631"/>
      <c r="G631" s="21"/>
      <c r="I631" s="47"/>
    </row>
    <row r="632" spans="1:9" x14ac:dyDescent="0.2">
      <c r="A632" s="1"/>
      <c r="B632" s="37"/>
      <c r="C632" s="39"/>
      <c r="D632"/>
      <c r="G632" s="21"/>
      <c r="I632" s="47"/>
    </row>
    <row r="633" spans="1:9" x14ac:dyDescent="0.2">
      <c r="B633" s="37"/>
      <c r="C633" s="39"/>
      <c r="D633"/>
      <c r="E633" s="42"/>
      <c r="G633" s="21"/>
      <c r="I633" s="47"/>
    </row>
    <row r="634" spans="1:9" x14ac:dyDescent="0.2">
      <c r="A634" s="1"/>
      <c r="D634" s="29"/>
      <c r="I634" s="47"/>
    </row>
    <row r="635" spans="1:9" x14ac:dyDescent="0.2">
      <c r="I635" s="47"/>
    </row>
    <row r="636" spans="1:9" x14ac:dyDescent="0.2">
      <c r="A636" s="1"/>
      <c r="B636" s="37"/>
      <c r="C636" s="39"/>
      <c r="D636"/>
      <c r="G636" s="21"/>
      <c r="I636" s="47"/>
    </row>
    <row r="637" spans="1:9" x14ac:dyDescent="0.2">
      <c r="A637" s="1"/>
      <c r="B637" s="37"/>
      <c r="C637" s="39"/>
      <c r="D637"/>
      <c r="G637" s="21"/>
      <c r="I637" s="47"/>
    </row>
    <row r="638" spans="1:9" x14ac:dyDescent="0.2">
      <c r="A638" s="1"/>
      <c r="B638" s="37"/>
      <c r="C638" s="39"/>
      <c r="D638"/>
      <c r="G638" s="21"/>
      <c r="I638" s="47"/>
    </row>
    <row r="639" spans="1:9" x14ac:dyDescent="0.2">
      <c r="A639" s="1"/>
      <c r="B639" s="37"/>
      <c r="C639" s="39"/>
      <c r="D639"/>
      <c r="G639" s="21"/>
      <c r="I639" s="47"/>
    </row>
    <row r="640" spans="1:9" x14ac:dyDescent="0.2">
      <c r="B640" s="37"/>
      <c r="C640" s="39"/>
      <c r="D640"/>
      <c r="G640" s="21"/>
      <c r="I640" s="47"/>
    </row>
    <row r="641" spans="2:9" x14ac:dyDescent="0.2">
      <c r="B641" s="37"/>
      <c r="C641" s="39"/>
      <c r="D641"/>
      <c r="G641" s="21"/>
      <c r="I641" s="47"/>
    </row>
    <row r="642" spans="2:9" x14ac:dyDescent="0.2">
      <c r="B642" s="37"/>
      <c r="C642" s="39"/>
      <c r="D642"/>
      <c r="G642" s="21"/>
      <c r="I642" s="47"/>
    </row>
    <row r="643" spans="2:9" x14ac:dyDescent="0.2">
      <c r="B643" s="37"/>
      <c r="C643" s="39"/>
      <c r="D643"/>
      <c r="G643" s="21"/>
      <c r="I643" s="47"/>
    </row>
    <row r="644" spans="2:9" x14ac:dyDescent="0.2">
      <c r="B644" s="37"/>
      <c r="C644" s="39"/>
      <c r="D644"/>
      <c r="G644" s="21"/>
      <c r="I644" s="47"/>
    </row>
    <row r="645" spans="2:9" x14ac:dyDescent="0.2">
      <c r="B645" s="37"/>
      <c r="C645" s="39"/>
      <c r="D645"/>
      <c r="G645" s="21"/>
      <c r="I645" s="47"/>
    </row>
    <row r="646" spans="2:9" x14ac:dyDescent="0.2">
      <c r="B646" s="37"/>
      <c r="C646" s="39"/>
      <c r="D646"/>
      <c r="G646" s="21"/>
      <c r="I646" s="47"/>
    </row>
    <row r="647" spans="2:9" x14ac:dyDescent="0.2">
      <c r="B647" s="37"/>
      <c r="C647" s="39"/>
      <c r="D647"/>
      <c r="E647" s="42"/>
      <c r="G647" s="21"/>
      <c r="I647" s="47"/>
    </row>
    <row r="648" spans="2:9" x14ac:dyDescent="0.2">
      <c r="D648" s="29"/>
      <c r="I648" s="47"/>
    </row>
    <row r="649" spans="2:9" x14ac:dyDescent="0.2">
      <c r="I649" s="47"/>
    </row>
    <row r="650" spans="2:9" x14ac:dyDescent="0.2">
      <c r="B650" s="37"/>
      <c r="C650" s="39"/>
      <c r="D650"/>
      <c r="G650" s="21"/>
      <c r="I650" s="47"/>
    </row>
    <row r="651" spans="2:9" x14ac:dyDescent="0.2">
      <c r="I651" s="47"/>
    </row>
    <row r="652" spans="2:9" x14ac:dyDescent="0.2">
      <c r="B652" s="37"/>
      <c r="C652" s="39"/>
      <c r="D652"/>
      <c r="G652" s="21"/>
      <c r="I652" s="47"/>
    </row>
    <row r="653" spans="2:9" x14ac:dyDescent="0.2">
      <c r="B653" s="37"/>
      <c r="C653" s="39"/>
      <c r="D653"/>
      <c r="G653" s="21"/>
      <c r="I653" s="47"/>
    </row>
    <row r="654" spans="2:9" x14ac:dyDescent="0.2">
      <c r="B654" s="37"/>
      <c r="C654" s="39"/>
      <c r="D654"/>
      <c r="G654" s="21"/>
      <c r="I654" s="47"/>
    </row>
    <row r="655" spans="2:9" x14ac:dyDescent="0.2">
      <c r="B655" s="37"/>
      <c r="C655" s="39"/>
      <c r="D655"/>
      <c r="G655" s="21"/>
      <c r="I655" s="47"/>
    </row>
    <row r="656" spans="2:9" x14ac:dyDescent="0.2">
      <c r="B656" s="37"/>
      <c r="C656" s="39"/>
      <c r="D656"/>
      <c r="G656" s="21"/>
      <c r="I656" s="47"/>
    </row>
    <row r="657" spans="1:9" x14ac:dyDescent="0.2">
      <c r="B657" s="37"/>
      <c r="C657" s="39"/>
      <c r="D657"/>
      <c r="G657" s="21"/>
      <c r="I657" s="47"/>
    </row>
    <row r="658" spans="1:9" x14ac:dyDescent="0.2">
      <c r="B658" s="37"/>
      <c r="C658" s="39"/>
      <c r="D658"/>
      <c r="E658" s="42"/>
      <c r="G658" s="21"/>
      <c r="I658" s="47"/>
    </row>
    <row r="659" spans="1:9" x14ac:dyDescent="0.2">
      <c r="D659" s="29"/>
      <c r="I659" s="47"/>
    </row>
    <row r="660" spans="1:9" x14ac:dyDescent="0.2">
      <c r="I660" s="47"/>
    </row>
    <row r="661" spans="1:9" x14ac:dyDescent="0.2">
      <c r="B661" s="37"/>
      <c r="C661" s="39"/>
      <c r="D661"/>
      <c r="G661" s="21"/>
      <c r="I661" s="47"/>
    </row>
    <row r="662" spans="1:9" x14ac:dyDescent="0.2">
      <c r="B662" s="37"/>
      <c r="C662" s="39"/>
      <c r="D662"/>
      <c r="E662" s="42"/>
      <c r="G662" s="21"/>
      <c r="I662" s="47"/>
    </row>
    <row r="663" spans="1:9" x14ac:dyDescent="0.2">
      <c r="A663"/>
      <c r="D663" s="29"/>
      <c r="I663" s="47"/>
    </row>
    <row r="664" spans="1:9" x14ac:dyDescent="0.2">
      <c r="I664" s="47"/>
    </row>
    <row r="665" spans="1:9" x14ac:dyDescent="0.2">
      <c r="D665" s="29" t="s">
        <v>154</v>
      </c>
      <c r="E665" s="49"/>
      <c r="I665" s="47"/>
    </row>
    <row r="666" spans="1:9" x14ac:dyDescent="0.2">
      <c r="I666" s="47"/>
    </row>
    <row r="667" spans="1:9" ht="13.5" thickBot="1" x14ac:dyDescent="0.25">
      <c r="D667" s="2" t="s">
        <v>155</v>
      </c>
      <c r="E667" s="50">
        <f>E665+E110</f>
        <v>1037428.6899999997</v>
      </c>
    </row>
    <row r="668" spans="1:9" ht="13.5" thickTop="1" x14ac:dyDescent="0.2"/>
    <row r="672" spans="1:9" x14ac:dyDescent="0.2">
      <c r="A672"/>
    </row>
  </sheetData>
  <mergeCells count="3">
    <mergeCell ref="B1:G1"/>
    <mergeCell ref="B2:G2"/>
    <mergeCell ref="B3:G3"/>
  </mergeCells>
  <pageMargins left="0.75" right="0.75" top="1" bottom="1" header="0.5" footer="0.5"/>
  <pageSetup scale="54" orientation="portrait" r:id="rId1"/>
  <headerFooter alignWithMargins="0"/>
  <rowBreaks count="7" manualBreakCount="7">
    <brk id="62" max="6" man="1"/>
    <brk id="122" max="6" man="1"/>
    <brk id="196" max="6" man="1"/>
    <brk id="279" max="6" man="1"/>
    <brk id="353" max="6" man="1"/>
    <brk id="533" max="6" man="1"/>
    <brk id="6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Attachment 3 2016</vt:lpstr>
      <vt:lpstr>Attachment 3 2017</vt:lpstr>
      <vt:lpstr>'Attachment 3 2016'!Print_Area</vt:lpstr>
      <vt:lpstr>'Attachment 3 2017'!Print_Area</vt:lpstr>
      <vt:lpstr>'Attachment 3 2016'!Print_Titles</vt:lpstr>
      <vt:lpstr>'Attachment 3 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Marx, Justin P</dc:creator>
  <cp:lastModifiedBy>Marx, Justin P</cp:lastModifiedBy>
  <cp:lastPrinted>2018-05-15T16:11:31Z</cp:lastPrinted>
  <dcterms:created xsi:type="dcterms:W3CDTF">2017-04-13T17:14:21Z</dcterms:created>
  <dcterms:modified xsi:type="dcterms:W3CDTF">2018-05-15T16:11:57Z</dcterms:modified>
</cp:coreProperties>
</file>