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marzes\Desktop\Postings\21-22 3rd IA\"/>
    </mc:Choice>
  </mc:AlternateContent>
  <bookViews>
    <workbookView xWindow="285" yWindow="420" windowWidth="12240" windowHeight="8940" tabRatio="760" firstSheet="9" activeTab="16"/>
  </bookViews>
  <sheets>
    <sheet name="FZSF-FZCP" sheetId="31" r:id="rId1"/>
    <sheet name="UCAP Oblig.-ZCP" sheetId="9" r:id="rId2"/>
    <sheet name="Summary" sheetId="7" r:id="rId3"/>
    <sheet name="BRA Resource Clearing Results" sheetId="5" r:id="rId4"/>
    <sheet name="BRA Load Pricing Results" sheetId="1" r:id="rId5"/>
    <sheet name="BRA CTRs" sheetId="2" r:id="rId6"/>
    <sheet name="BRA ICTRs" sheetId="3" r:id="rId7"/>
    <sheet name="1stIA Resource Clearing Results" sheetId="13" r:id="rId8"/>
    <sheet name="1st IA Load Pricing Results" sheetId="14" r:id="rId9"/>
    <sheet name="1st IA CTRs" sheetId="15" r:id="rId10"/>
    <sheet name="1st IA ICTRs" sheetId="16" r:id="rId11"/>
    <sheet name="2ndIA Resource Clearing Results" sheetId="19" r:id="rId12"/>
    <sheet name="2nd IA Load Pricing Results" sheetId="20" r:id="rId13"/>
    <sheet name="2nd IA CTRs" sheetId="21" r:id="rId14"/>
    <sheet name="2nd IA ICTRs" sheetId="22" r:id="rId15"/>
    <sheet name="3rdIA Resource Clearing Results" sheetId="25" r:id="rId16"/>
    <sheet name="3rd IA Load Pricing Results" sheetId="26" r:id="rId17"/>
    <sheet name="3rd IA CTRs" sheetId="27" r:id="rId18"/>
    <sheet name="3rd IA ICTRs" sheetId="28" r:id="rId19"/>
  </sheets>
  <definedNames>
    <definedName name="_xlnm.Print_Area" localSheetId="9">'1st IA CTRs'!$A$1:$AG$44</definedName>
    <definedName name="_xlnm.Print_Area" localSheetId="10">'1st IA ICTRs'!$A$1:$M$73</definedName>
    <definedName name="_xlnm.Print_Area" localSheetId="8">'1st IA Load Pricing Results'!$A$1:$M$64</definedName>
    <definedName name="_xlnm.Print_Area" localSheetId="7">'1stIA Resource Clearing Results'!$A$1:$G$76</definedName>
    <definedName name="_xlnm.Print_Area" localSheetId="13">'2nd IA CTRs'!$A$1:$AG$44</definedName>
    <definedName name="_xlnm.Print_Area" localSheetId="14">'2nd IA ICTRs'!$A$1:$M$73</definedName>
    <definedName name="_xlnm.Print_Area" localSheetId="12">'2nd IA Load Pricing Results'!$A$1:$M$64</definedName>
    <definedName name="_xlnm.Print_Area" localSheetId="11">'2ndIA Resource Clearing Results'!$A$1:$G$76</definedName>
    <definedName name="_xlnm.Print_Area" localSheetId="17">'3rd IA CTRs'!$A$1:$AG$44</definedName>
    <definedName name="_xlnm.Print_Area" localSheetId="18">'3rd IA ICTRs'!$A$1:$M$73</definedName>
    <definedName name="_xlnm.Print_Area" localSheetId="16">'3rd IA Load Pricing Results'!$A$1:$M$64</definedName>
    <definedName name="_xlnm.Print_Area" localSheetId="15">'3rdIA Resource Clearing Results'!$A$1:$G$76</definedName>
    <definedName name="_xlnm.Print_Area" localSheetId="5">'BRA CTRs'!$A$1:$AF$48</definedName>
    <definedName name="_xlnm.Print_Area" localSheetId="6">'BRA ICTRs'!$A$1:$AK$114</definedName>
    <definedName name="_xlnm.Print_Area" localSheetId="4">'BRA Load Pricing Results'!$A$1:$M$62</definedName>
    <definedName name="_xlnm.Print_Area" localSheetId="3">'BRA Resource Clearing Results'!$A$1:$G$80</definedName>
    <definedName name="_xlnm.Print_Area" localSheetId="2">Summary!#REF!</definedName>
  </definedNames>
  <calcPr calcId="162913"/>
</workbook>
</file>

<file path=xl/calcChain.xml><?xml version="1.0" encoding="utf-8"?>
<calcChain xmlns="http://schemas.openxmlformats.org/spreadsheetml/2006/main">
  <c r="C103" i="25" l="1"/>
  <c r="G43" i="26" l="1"/>
  <c r="H6" i="27" l="1"/>
  <c r="G6" i="27"/>
  <c r="F42" i="26"/>
  <c r="D45" i="5"/>
  <c r="C45" i="5"/>
  <c r="D43" i="25"/>
  <c r="F26" i="5" l="1"/>
  <c r="F51" i="26" l="1"/>
  <c r="G49" i="26"/>
  <c r="F44" i="26"/>
  <c r="B13" i="20"/>
  <c r="D5" i="25" l="1"/>
  <c r="B80" i="25" l="1"/>
  <c r="B61" i="25"/>
  <c r="E61" i="25" s="1"/>
  <c r="C80" i="25"/>
  <c r="D103" i="25"/>
  <c r="C112" i="25"/>
  <c r="D112" i="25" s="1"/>
  <c r="C111" i="25"/>
  <c r="D111" i="25" s="1"/>
  <c r="C110" i="25"/>
  <c r="D110" i="25" s="1"/>
  <c r="C109" i="25"/>
  <c r="D109" i="25" s="1"/>
  <c r="C108" i="25"/>
  <c r="D108" i="25" s="1"/>
  <c r="C107" i="25"/>
  <c r="D107" i="25" s="1"/>
  <c r="C106" i="25"/>
  <c r="D106" i="25" s="1"/>
  <c r="C105" i="25"/>
  <c r="D105" i="25" s="1"/>
  <c r="C104" i="25"/>
  <c r="D104" i="25" s="1"/>
  <c r="C102" i="25"/>
  <c r="D102" i="25" s="1"/>
  <c r="C101" i="25"/>
  <c r="D101" i="25" s="1"/>
  <c r="E7" i="27" s="1"/>
  <c r="C100" i="25"/>
  <c r="D100" i="25" s="1"/>
  <c r="E6" i="27" s="1"/>
  <c r="C99" i="25"/>
  <c r="D99" i="25" s="1"/>
  <c r="E5" i="27" s="1"/>
  <c r="D89" i="5"/>
  <c r="D88" i="5"/>
  <c r="D87" i="5"/>
  <c r="D86" i="5"/>
  <c r="D85" i="5"/>
  <c r="D84" i="5"/>
  <c r="D7" i="5"/>
  <c r="D113" i="25" l="1"/>
  <c r="D44" i="7"/>
  <c r="D24" i="7"/>
  <c r="D5" i="7"/>
  <c r="G53" i="26" l="1"/>
  <c r="F45" i="26"/>
  <c r="F46" i="26"/>
  <c r="F47" i="26"/>
  <c r="F48" i="26"/>
  <c r="F50" i="26"/>
  <c r="F52" i="26"/>
  <c r="F54" i="26"/>
  <c r="F55" i="26"/>
  <c r="F56" i="26"/>
  <c r="F57" i="26"/>
  <c r="F58" i="26"/>
  <c r="F59" i="26"/>
  <c r="F60" i="26"/>
  <c r="F61" i="26"/>
  <c r="G59" i="26"/>
  <c r="E59" i="26"/>
  <c r="I23" i="27" l="1"/>
  <c r="E25" i="27"/>
  <c r="E24" i="27"/>
  <c r="H16" i="27"/>
  <c r="H13" i="27"/>
  <c r="H12" i="27"/>
  <c r="H10" i="27"/>
  <c r="H9" i="27"/>
  <c r="H7" i="27"/>
  <c r="H5" i="27"/>
  <c r="E35" i="26" l="1"/>
  <c r="E34" i="26"/>
  <c r="E32" i="26"/>
  <c r="E33" i="26" s="1"/>
  <c r="E29" i="26"/>
  <c r="E28" i="26"/>
  <c r="E22" i="26"/>
  <c r="E21" i="26"/>
  <c r="E20" i="26"/>
  <c r="E19" i="26"/>
  <c r="E18" i="26"/>
  <c r="E17" i="26"/>
  <c r="E16" i="26"/>
  <c r="E15" i="26"/>
  <c r="E14" i="26"/>
  <c r="E13" i="26"/>
  <c r="E36" i="26" l="1"/>
  <c r="E30" i="26"/>
  <c r="G24" i="27"/>
  <c r="I24" i="27"/>
  <c r="K24" i="27"/>
  <c r="M24" i="27"/>
  <c r="O24" i="27"/>
  <c r="Q24" i="27"/>
  <c r="S24" i="27"/>
  <c r="U24" i="27"/>
  <c r="W24" i="27"/>
  <c r="Y24" i="27"/>
  <c r="AA24" i="27"/>
  <c r="G25" i="27"/>
  <c r="I25" i="27"/>
  <c r="K25" i="27"/>
  <c r="M25" i="27"/>
  <c r="O25" i="27"/>
  <c r="Q25" i="27"/>
  <c r="S25" i="27"/>
  <c r="U25" i="27"/>
  <c r="W25" i="27"/>
  <c r="Y25" i="27"/>
  <c r="AA25" i="27"/>
  <c r="E26" i="27"/>
  <c r="G26" i="27"/>
  <c r="I26" i="27"/>
  <c r="K26" i="27"/>
  <c r="M26" i="27"/>
  <c r="O26" i="27"/>
  <c r="S26" i="27"/>
  <c r="U26" i="27"/>
  <c r="W26" i="27"/>
  <c r="Y26" i="27"/>
  <c r="AA26" i="27"/>
  <c r="G27" i="27"/>
  <c r="K27" i="27"/>
  <c r="M27" i="27"/>
  <c r="O27" i="27"/>
  <c r="Q27" i="27"/>
  <c r="S27" i="27"/>
  <c r="W27" i="27"/>
  <c r="Y27" i="27"/>
  <c r="AA27" i="27"/>
  <c r="E28" i="27"/>
  <c r="G28" i="27"/>
  <c r="I28" i="27"/>
  <c r="K28" i="27"/>
  <c r="M28" i="27"/>
  <c r="O28" i="27"/>
  <c r="Q28" i="27"/>
  <c r="U28" i="27"/>
  <c r="W28" i="27"/>
  <c r="Y28" i="27"/>
  <c r="AA28" i="27"/>
  <c r="E29" i="27"/>
  <c r="G29" i="27"/>
  <c r="I29" i="27"/>
  <c r="K29" i="27"/>
  <c r="M29" i="27"/>
  <c r="O29" i="27"/>
  <c r="Q29" i="27"/>
  <c r="S29" i="27"/>
  <c r="U29" i="27"/>
  <c r="W29" i="27"/>
  <c r="AA29" i="27"/>
  <c r="E30" i="27"/>
  <c r="G30" i="27"/>
  <c r="I30" i="27"/>
  <c r="K30" i="27"/>
  <c r="M30" i="27"/>
  <c r="O30" i="27"/>
  <c r="Q30" i="27"/>
  <c r="S30" i="27"/>
  <c r="U30" i="27"/>
  <c r="W30" i="27"/>
  <c r="Y30" i="27"/>
  <c r="E31" i="27"/>
  <c r="G31" i="27"/>
  <c r="I31" i="27"/>
  <c r="K31" i="27"/>
  <c r="M31" i="27"/>
  <c r="O31" i="27"/>
  <c r="Q31" i="27"/>
  <c r="S31" i="27"/>
  <c r="U31" i="27"/>
  <c r="W31" i="27"/>
  <c r="Y31" i="27"/>
  <c r="AA31" i="27"/>
  <c r="E32" i="27"/>
  <c r="G32" i="27"/>
  <c r="I32" i="27"/>
  <c r="K32" i="27"/>
  <c r="M32" i="27"/>
  <c r="O32" i="27"/>
  <c r="Q32" i="27"/>
  <c r="S32" i="27"/>
  <c r="U32" i="27"/>
  <c r="W32" i="27"/>
  <c r="Y32" i="27"/>
  <c r="AA32" i="27"/>
  <c r="I33" i="27"/>
  <c r="K33" i="27"/>
  <c r="O33" i="27"/>
  <c r="Q33" i="27"/>
  <c r="S33" i="27"/>
  <c r="U33" i="27"/>
  <c r="W33" i="27"/>
  <c r="Y33" i="27"/>
  <c r="AA33" i="27"/>
  <c r="E34" i="27"/>
  <c r="G34" i="27"/>
  <c r="I34" i="27"/>
  <c r="K34" i="27"/>
  <c r="M34" i="27"/>
  <c r="O34" i="27"/>
  <c r="Q34" i="27"/>
  <c r="S34" i="27"/>
  <c r="U34" i="27"/>
  <c r="W34" i="27"/>
  <c r="Y34" i="27"/>
  <c r="AA34" i="27"/>
  <c r="I35" i="27"/>
  <c r="K35" i="27"/>
  <c r="M35" i="27"/>
  <c r="O35" i="27"/>
  <c r="Q35" i="27"/>
  <c r="S35" i="27"/>
  <c r="U35" i="27"/>
  <c r="W35" i="27"/>
  <c r="Y35" i="27"/>
  <c r="AA35" i="27"/>
  <c r="G36" i="27"/>
  <c r="I36" i="27"/>
  <c r="K36" i="27"/>
  <c r="M36" i="27"/>
  <c r="O36" i="27"/>
  <c r="Q36" i="27"/>
  <c r="S36" i="27"/>
  <c r="U36" i="27"/>
  <c r="W36" i="27"/>
  <c r="Y36" i="27"/>
  <c r="AA36" i="27"/>
  <c r="I37" i="27"/>
  <c r="K37" i="27"/>
  <c r="M37" i="27"/>
  <c r="O37" i="27"/>
  <c r="Q37" i="27"/>
  <c r="S37" i="27"/>
  <c r="U37" i="27"/>
  <c r="W37" i="27"/>
  <c r="Y37" i="27"/>
  <c r="AA37" i="27"/>
  <c r="G38" i="27"/>
  <c r="I38" i="27"/>
  <c r="K38" i="27"/>
  <c r="M38" i="27"/>
  <c r="O38" i="27"/>
  <c r="Q38" i="27"/>
  <c r="S38" i="27"/>
  <c r="U38" i="27"/>
  <c r="W38" i="27"/>
  <c r="Y38" i="27"/>
  <c r="AA38" i="27"/>
  <c r="G39" i="27"/>
  <c r="K39" i="27"/>
  <c r="M39" i="27"/>
  <c r="Q39" i="27"/>
  <c r="S39" i="27"/>
  <c r="U39" i="27"/>
  <c r="W39" i="27"/>
  <c r="Y39" i="27"/>
  <c r="AA39" i="27"/>
  <c r="G40" i="27"/>
  <c r="I40" i="27"/>
  <c r="K40" i="27"/>
  <c r="M40" i="27"/>
  <c r="O40" i="27"/>
  <c r="Q40" i="27"/>
  <c r="S40" i="27"/>
  <c r="U40" i="27"/>
  <c r="Y40" i="27"/>
  <c r="AA40" i="27"/>
  <c r="I41" i="27"/>
  <c r="M41" i="27"/>
  <c r="O41" i="27"/>
  <c r="Q41" i="27"/>
  <c r="S41" i="27"/>
  <c r="U41" i="27"/>
  <c r="W41" i="27"/>
  <c r="Y41" i="27"/>
  <c r="AA41" i="27"/>
  <c r="I42" i="27"/>
  <c r="K42" i="27"/>
  <c r="M42" i="27"/>
  <c r="O42" i="27"/>
  <c r="Q42" i="27"/>
  <c r="S42" i="27"/>
  <c r="U42" i="27"/>
  <c r="W42" i="27"/>
  <c r="Y42" i="27"/>
  <c r="AA42" i="27"/>
  <c r="AA23" i="27"/>
  <c r="Y23" i="27"/>
  <c r="W23" i="27"/>
  <c r="U23" i="27"/>
  <c r="S23" i="27"/>
  <c r="Q23" i="27"/>
  <c r="O23" i="27"/>
  <c r="M23" i="27"/>
  <c r="K23" i="27"/>
  <c r="G16" i="27"/>
  <c r="G13" i="27"/>
  <c r="G10" i="27"/>
  <c r="G9" i="27"/>
  <c r="G7" i="27"/>
  <c r="G5" i="27"/>
  <c r="M32" i="28" l="1"/>
  <c r="L32" i="28"/>
  <c r="K32" i="28"/>
  <c r="J32" i="28"/>
  <c r="I32" i="28"/>
  <c r="H32" i="28"/>
  <c r="G32" i="28"/>
  <c r="F32" i="28"/>
  <c r="E32" i="28"/>
  <c r="D32" i="28"/>
  <c r="C32" i="28"/>
  <c r="B32" i="28"/>
  <c r="N20" i="28"/>
  <c r="M20" i="28"/>
  <c r="L20" i="28"/>
  <c r="K20" i="28"/>
  <c r="K34" i="28" s="1"/>
  <c r="J20" i="28"/>
  <c r="I20" i="28"/>
  <c r="H20" i="28"/>
  <c r="G20" i="28"/>
  <c r="G34" i="28" s="1"/>
  <c r="F20" i="28"/>
  <c r="E20" i="28"/>
  <c r="D20" i="28"/>
  <c r="C20" i="28"/>
  <c r="C34" i="28" s="1"/>
  <c r="B20" i="28"/>
  <c r="N13" i="28"/>
  <c r="M13" i="28"/>
  <c r="M34" i="28" s="1"/>
  <c r="L13" i="28"/>
  <c r="L34" i="28" s="1"/>
  <c r="K13" i="28"/>
  <c r="J13" i="28"/>
  <c r="J34" i="28" s="1"/>
  <c r="I13" i="28"/>
  <c r="I34" i="28" s="1"/>
  <c r="H13" i="28"/>
  <c r="H34" i="28" s="1"/>
  <c r="G13" i="28"/>
  <c r="F13" i="28"/>
  <c r="F34" i="28" s="1"/>
  <c r="E13" i="28"/>
  <c r="E34" i="28" s="1"/>
  <c r="D13" i="28"/>
  <c r="D34" i="28" s="1"/>
  <c r="C13" i="28"/>
  <c r="B13" i="28"/>
  <c r="B34" i="28" s="1"/>
  <c r="J31" i="26"/>
  <c r="I95" i="25"/>
  <c r="H95" i="25"/>
  <c r="F95" i="25"/>
  <c r="E95" i="25"/>
  <c r="D95" i="25"/>
  <c r="B94" i="25"/>
  <c r="B93" i="25"/>
  <c r="B92" i="25"/>
  <c r="B91" i="25"/>
  <c r="B90" i="25"/>
  <c r="B89" i="25"/>
  <c r="B88" i="25"/>
  <c r="B87" i="25"/>
  <c r="B86" i="25"/>
  <c r="B85" i="25"/>
  <c r="B84" i="25"/>
  <c r="B83" i="25"/>
  <c r="B82" i="25"/>
  <c r="B81" i="25"/>
  <c r="C75" i="25"/>
  <c r="B75" i="25"/>
  <c r="C74" i="25"/>
  <c r="B74" i="25"/>
  <c r="C73" i="25"/>
  <c r="B73" i="25"/>
  <c r="C72" i="25"/>
  <c r="B72" i="25"/>
  <c r="C71" i="25"/>
  <c r="B71" i="25"/>
  <c r="C70" i="25"/>
  <c r="B70" i="25"/>
  <c r="C69" i="25"/>
  <c r="B69" i="25"/>
  <c r="C68" i="25"/>
  <c r="B68" i="25"/>
  <c r="C67" i="25"/>
  <c r="B67" i="25"/>
  <c r="C66" i="25"/>
  <c r="B66" i="25"/>
  <c r="C65" i="25"/>
  <c r="B65" i="25"/>
  <c r="C64" i="25"/>
  <c r="B64" i="25"/>
  <c r="C63" i="25"/>
  <c r="B63" i="25"/>
  <c r="C62" i="25"/>
  <c r="B62" i="25"/>
  <c r="C61" i="25"/>
  <c r="F61" i="25" s="1"/>
  <c r="D57" i="25"/>
  <c r="E58" i="7" s="1"/>
  <c r="D56" i="25"/>
  <c r="E57" i="7" s="1"/>
  <c r="D55" i="25"/>
  <c r="E56" i="7" s="1"/>
  <c r="D54" i="25"/>
  <c r="E55" i="7" s="1"/>
  <c r="D53" i="25"/>
  <c r="E54" i="7" s="1"/>
  <c r="D52" i="25"/>
  <c r="E53" i="7" s="1"/>
  <c r="D51" i="25"/>
  <c r="E52" i="7" s="1"/>
  <c r="D50" i="25"/>
  <c r="E51" i="7" s="1"/>
  <c r="D49" i="25"/>
  <c r="E50" i="7" s="1"/>
  <c r="D48" i="25"/>
  <c r="E49" i="7" s="1"/>
  <c r="D47" i="25"/>
  <c r="E48" i="7" s="1"/>
  <c r="D46" i="25"/>
  <c r="E47" i="7" s="1"/>
  <c r="D45" i="25"/>
  <c r="E46" i="7" s="1"/>
  <c r="D44" i="25"/>
  <c r="E45" i="7" s="1"/>
  <c r="E44" i="7"/>
  <c r="D39" i="25"/>
  <c r="D38" i="25"/>
  <c r="D37" i="25"/>
  <c r="D36" i="25"/>
  <c r="D35" i="25"/>
  <c r="D71" i="25" s="1"/>
  <c r="D34" i="25"/>
  <c r="D33" i="25"/>
  <c r="D32" i="25"/>
  <c r="D31" i="25"/>
  <c r="D67" i="25" s="1"/>
  <c r="C32" i="26" s="1"/>
  <c r="C33" i="26" s="1"/>
  <c r="C9" i="27" s="1"/>
  <c r="D30" i="25"/>
  <c r="D29" i="25"/>
  <c r="D28" i="25"/>
  <c r="D27" i="25"/>
  <c r="D26" i="25"/>
  <c r="D25" i="25"/>
  <c r="D19" i="25"/>
  <c r="D18" i="25"/>
  <c r="E18" i="7" s="1"/>
  <c r="D17" i="25"/>
  <c r="D15" i="25"/>
  <c r="D13" i="25"/>
  <c r="D12" i="25"/>
  <c r="E12" i="7" s="1"/>
  <c r="D11" i="25"/>
  <c r="D9" i="25"/>
  <c r="D7" i="25"/>
  <c r="B76" i="25" l="1"/>
  <c r="D16" i="25"/>
  <c r="E16" i="7" s="1"/>
  <c r="D63" i="25"/>
  <c r="E28" i="7"/>
  <c r="D28" i="26"/>
  <c r="D69" i="25"/>
  <c r="C34" i="26" s="1"/>
  <c r="E32" i="7"/>
  <c r="D34" i="26"/>
  <c r="D35" i="26" s="1"/>
  <c r="D73" i="25"/>
  <c r="E36" i="7"/>
  <c r="C14" i="27"/>
  <c r="D62" i="25"/>
  <c r="E25" i="7"/>
  <c r="C5" i="27"/>
  <c r="D66" i="25"/>
  <c r="C29" i="26" s="1"/>
  <c r="E29" i="7"/>
  <c r="D70" i="25"/>
  <c r="C35" i="26" s="1"/>
  <c r="E33" i="7"/>
  <c r="D74" i="25"/>
  <c r="E37" i="7"/>
  <c r="C15" i="27"/>
  <c r="E26" i="7"/>
  <c r="C6" i="27"/>
  <c r="E30" i="7"/>
  <c r="D32" i="26"/>
  <c r="E34" i="7"/>
  <c r="C12" i="27"/>
  <c r="E38" i="7"/>
  <c r="C16" i="27"/>
  <c r="D75" i="25"/>
  <c r="D64" i="25"/>
  <c r="E27" i="7"/>
  <c r="C7" i="27"/>
  <c r="D68" i="25"/>
  <c r="E31" i="7"/>
  <c r="C10" i="27"/>
  <c r="D72" i="25"/>
  <c r="E35" i="7"/>
  <c r="C13" i="27"/>
  <c r="D61" i="25"/>
  <c r="E24" i="7"/>
  <c r="D13" i="26"/>
  <c r="C13" i="26"/>
  <c r="B13" i="26"/>
  <c r="D8" i="25"/>
  <c r="E8" i="7" s="1"/>
  <c r="D6" i="25"/>
  <c r="E62" i="25" s="1"/>
  <c r="D10" i="25"/>
  <c r="E10" i="7" s="1"/>
  <c r="D14" i="25"/>
  <c r="F70" i="25" s="1"/>
  <c r="C93" i="25"/>
  <c r="G93" i="25" s="1"/>
  <c r="E63" i="25"/>
  <c r="E7" i="7"/>
  <c r="E67" i="25"/>
  <c r="E11" i="7"/>
  <c r="E71" i="25"/>
  <c r="E15" i="7"/>
  <c r="E75" i="25"/>
  <c r="E19" i="7"/>
  <c r="E65" i="25"/>
  <c r="E9" i="7"/>
  <c r="E73" i="25"/>
  <c r="E17" i="7"/>
  <c r="G80" i="25"/>
  <c r="E5" i="7"/>
  <c r="E69" i="25"/>
  <c r="E13" i="7"/>
  <c r="F63" i="25"/>
  <c r="F65" i="25"/>
  <c r="F67" i="25"/>
  <c r="F69" i="25"/>
  <c r="F71" i="25"/>
  <c r="F73" i="25"/>
  <c r="F75" i="25"/>
  <c r="C82" i="25"/>
  <c r="G82" i="25" s="1"/>
  <c r="C86" i="25"/>
  <c r="G86" i="25" s="1"/>
  <c r="C90" i="25"/>
  <c r="G90" i="25" s="1"/>
  <c r="C94" i="25"/>
  <c r="G94" i="25" s="1"/>
  <c r="AC25" i="27"/>
  <c r="AF25" i="27" s="1"/>
  <c r="AC24" i="27"/>
  <c r="AF24" i="27" s="1"/>
  <c r="AC31" i="27"/>
  <c r="AF31" i="27" s="1"/>
  <c r="AC34" i="27"/>
  <c r="AF34" i="27" s="1"/>
  <c r="AC32" i="27"/>
  <c r="AF32" i="27" s="1"/>
  <c r="E62" i="26"/>
  <c r="F68" i="25"/>
  <c r="E68" i="25"/>
  <c r="F62" i="25"/>
  <c r="C81" i="25"/>
  <c r="G81" i="25" s="1"/>
  <c r="F74" i="25"/>
  <c r="E74" i="25"/>
  <c r="F72" i="25"/>
  <c r="E72" i="25"/>
  <c r="C87" i="25"/>
  <c r="G87" i="25" s="1"/>
  <c r="B95" i="25"/>
  <c r="D65" i="25"/>
  <c r="C28" i="26" s="1"/>
  <c r="C76" i="25"/>
  <c r="C84" i="25"/>
  <c r="G84" i="25" s="1"/>
  <c r="C88" i="25"/>
  <c r="G88" i="25" s="1"/>
  <c r="C92" i="25"/>
  <c r="G92" i="25" s="1"/>
  <c r="S26" i="21"/>
  <c r="T26" i="21" s="1"/>
  <c r="C91" i="25" l="1"/>
  <c r="G91" i="25" s="1"/>
  <c r="F13" i="26"/>
  <c r="C36" i="26"/>
  <c r="C11" i="27" s="1"/>
  <c r="E64" i="25"/>
  <c r="C83" i="25"/>
  <c r="G83" i="25" s="1"/>
  <c r="F64" i="25"/>
  <c r="E6" i="7"/>
  <c r="E66" i="25"/>
  <c r="E70" i="25"/>
  <c r="C89" i="25"/>
  <c r="G89" i="25" s="1"/>
  <c r="E14" i="7"/>
  <c r="D33" i="26"/>
  <c r="N21" i="27" s="1"/>
  <c r="G40" i="28"/>
  <c r="D29" i="26"/>
  <c r="D30" i="26" s="1"/>
  <c r="E40" i="28"/>
  <c r="D76" i="25"/>
  <c r="C30" i="26"/>
  <c r="C8" i="27" s="1"/>
  <c r="D21" i="26"/>
  <c r="D18" i="26"/>
  <c r="D14" i="26"/>
  <c r="D22" i="26"/>
  <c r="C17" i="26"/>
  <c r="C19" i="26"/>
  <c r="C14" i="26"/>
  <c r="G13" i="26"/>
  <c r="B36" i="26" s="1"/>
  <c r="C18" i="26"/>
  <c r="C15" i="26"/>
  <c r="C16" i="26"/>
  <c r="C22" i="26"/>
  <c r="C20" i="26"/>
  <c r="C21" i="26"/>
  <c r="C85" i="25"/>
  <c r="G85" i="25" s="1"/>
  <c r="F66" i="25"/>
  <c r="G69" i="25"/>
  <c r="G65" i="25"/>
  <c r="G71" i="25"/>
  <c r="G63" i="25"/>
  <c r="G73" i="25"/>
  <c r="G67" i="25"/>
  <c r="G72" i="25"/>
  <c r="G68" i="25"/>
  <c r="G75" i="25"/>
  <c r="G62" i="25"/>
  <c r="G70" i="25"/>
  <c r="G61" i="25"/>
  <c r="G74" i="25"/>
  <c r="H12" i="21"/>
  <c r="N20" i="22"/>
  <c r="N13" i="22"/>
  <c r="G66" i="25" l="1"/>
  <c r="D36" i="26"/>
  <c r="R21" i="27" s="1"/>
  <c r="R36" i="27" s="1"/>
  <c r="E76" i="25"/>
  <c r="G64" i="25"/>
  <c r="G76" i="25" s="1"/>
  <c r="G95" i="25"/>
  <c r="F76" i="25"/>
  <c r="K51" i="26"/>
  <c r="C95" i="25"/>
  <c r="K44" i="26"/>
  <c r="K53" i="26"/>
  <c r="K43" i="26"/>
  <c r="K50" i="26"/>
  <c r="F40" i="28"/>
  <c r="E45" i="28"/>
  <c r="B66" i="28"/>
  <c r="E51" i="28"/>
  <c r="E44" i="28"/>
  <c r="E48" i="28"/>
  <c r="E52" i="28"/>
  <c r="E49" i="28"/>
  <c r="E43" i="28"/>
  <c r="E42" i="28"/>
  <c r="E46" i="28"/>
  <c r="E50" i="28"/>
  <c r="E47" i="28"/>
  <c r="B68" i="28"/>
  <c r="G52" i="28"/>
  <c r="G44" i="28"/>
  <c r="G47" i="28"/>
  <c r="G48" i="28"/>
  <c r="G45" i="28"/>
  <c r="G49" i="28"/>
  <c r="G46" i="28"/>
  <c r="G50" i="28"/>
  <c r="G42" i="28"/>
  <c r="G43" i="28"/>
  <c r="G51" i="28"/>
  <c r="R40" i="27"/>
  <c r="R35" i="27"/>
  <c r="R37" i="27"/>
  <c r="R39" i="27"/>
  <c r="R34" i="27"/>
  <c r="R30" i="27"/>
  <c r="R28" i="27"/>
  <c r="R29" i="27"/>
  <c r="R27" i="27"/>
  <c r="R33" i="27"/>
  <c r="R32" i="27"/>
  <c r="R38" i="27"/>
  <c r="R25" i="27"/>
  <c r="R31" i="27"/>
  <c r="R42" i="27"/>
  <c r="R23" i="27"/>
  <c r="R41" i="27"/>
  <c r="N40" i="27"/>
  <c r="N25" i="27"/>
  <c r="N29" i="27"/>
  <c r="N41" i="27"/>
  <c r="N23" i="27"/>
  <c r="N36" i="27"/>
  <c r="N39" i="27"/>
  <c r="N34" i="27"/>
  <c r="N38" i="27"/>
  <c r="N28" i="27"/>
  <c r="N37" i="27"/>
  <c r="N24" i="27"/>
  <c r="N42" i="27"/>
  <c r="N32" i="27"/>
  <c r="N27" i="27"/>
  <c r="N30" i="27"/>
  <c r="N31" i="27"/>
  <c r="N35" i="27"/>
  <c r="N26" i="27"/>
  <c r="T21" i="27"/>
  <c r="K40" i="28"/>
  <c r="D16" i="26"/>
  <c r="B40" i="28"/>
  <c r="D15" i="26"/>
  <c r="D20" i="26"/>
  <c r="F21" i="27"/>
  <c r="AB21" i="27"/>
  <c r="J40" i="28"/>
  <c r="Z21" i="27"/>
  <c r="R24" i="27" l="1"/>
  <c r="F45" i="28"/>
  <c r="F49" i="28"/>
  <c r="F42" i="28"/>
  <c r="F50" i="28"/>
  <c r="F51" i="28"/>
  <c r="F43" i="28"/>
  <c r="F44" i="28"/>
  <c r="F52" i="28"/>
  <c r="F47" i="28"/>
  <c r="F46" i="28"/>
  <c r="B67" i="28"/>
  <c r="F48" i="28"/>
  <c r="L21" i="27"/>
  <c r="G53" i="28"/>
  <c r="C68" i="28" s="1"/>
  <c r="E53" i="28"/>
  <c r="C66" i="28" s="1"/>
  <c r="J47" i="28"/>
  <c r="J43" i="28"/>
  <c r="J49" i="28"/>
  <c r="B71" i="28"/>
  <c r="J45" i="28"/>
  <c r="J42" i="28"/>
  <c r="J46" i="28"/>
  <c r="J50" i="28"/>
  <c r="J51" i="28"/>
  <c r="J44" i="28"/>
  <c r="J48" i="28"/>
  <c r="J52" i="28"/>
  <c r="X21" i="27"/>
  <c r="D19" i="26"/>
  <c r="D17" i="26"/>
  <c r="J21" i="27"/>
  <c r="D40" i="28"/>
  <c r="T35" i="27"/>
  <c r="T29" i="27"/>
  <c r="T30" i="27"/>
  <c r="T37" i="27"/>
  <c r="T40" i="27"/>
  <c r="T36" i="27"/>
  <c r="T34" i="27"/>
  <c r="T31" i="27"/>
  <c r="T39" i="27"/>
  <c r="T32" i="27"/>
  <c r="T41" i="27"/>
  <c r="T25" i="27"/>
  <c r="T26" i="27"/>
  <c r="T27" i="27"/>
  <c r="T42" i="27"/>
  <c r="T33" i="27"/>
  <c r="T24" i="27"/>
  <c r="T38" i="27"/>
  <c r="T23" i="27"/>
  <c r="AB28" i="27"/>
  <c r="AB42" i="27"/>
  <c r="AB31" i="27"/>
  <c r="AB35" i="27"/>
  <c r="AB33" i="27"/>
  <c r="AB41" i="27"/>
  <c r="AB36" i="27"/>
  <c r="AB29" i="27"/>
  <c r="AB38" i="27"/>
  <c r="AB26" i="27"/>
  <c r="AB40" i="27"/>
  <c r="AB34" i="27"/>
  <c r="AB39" i="27"/>
  <c r="AB24" i="27"/>
  <c r="AB27" i="27"/>
  <c r="AB37" i="27"/>
  <c r="AB25" i="27"/>
  <c r="AB32" i="27"/>
  <c r="AB23" i="27"/>
  <c r="H21" i="27"/>
  <c r="C40" i="28"/>
  <c r="Z35" i="27"/>
  <c r="Z36" i="27"/>
  <c r="Z42" i="27"/>
  <c r="Z37" i="27"/>
  <c r="Z41" i="27"/>
  <c r="Z26" i="27"/>
  <c r="Z33" i="27"/>
  <c r="Z25" i="27"/>
  <c r="Z31" i="27"/>
  <c r="Z38" i="27"/>
  <c r="Z40" i="27"/>
  <c r="Z28" i="27"/>
  <c r="Z39" i="27"/>
  <c r="Z34" i="27"/>
  <c r="Z32" i="27"/>
  <c r="Z27" i="27"/>
  <c r="Z23" i="27"/>
  <c r="Z30" i="27"/>
  <c r="Z24" i="27"/>
  <c r="F26" i="27"/>
  <c r="F31" i="27"/>
  <c r="F34" i="27"/>
  <c r="F32" i="27"/>
  <c r="F25" i="27"/>
  <c r="F30" i="27"/>
  <c r="F24" i="27"/>
  <c r="F28" i="27"/>
  <c r="F29" i="27"/>
  <c r="B63" i="28"/>
  <c r="B42" i="28"/>
  <c r="B49" i="28"/>
  <c r="B51" i="28"/>
  <c r="B45" i="28"/>
  <c r="B44" i="28"/>
  <c r="B43" i="28"/>
  <c r="B52" i="28"/>
  <c r="B50" i="28"/>
  <c r="B48" i="28"/>
  <c r="B47" i="28"/>
  <c r="B46" i="28"/>
  <c r="K52" i="28"/>
  <c r="K45" i="28"/>
  <c r="K44" i="28"/>
  <c r="K50" i="28"/>
  <c r="K49" i="28"/>
  <c r="K46" i="28"/>
  <c r="K43" i="28"/>
  <c r="K51" i="28"/>
  <c r="K42" i="28"/>
  <c r="K48" i="28"/>
  <c r="K47" i="28"/>
  <c r="D16" i="19"/>
  <c r="G8" i="27" l="1"/>
  <c r="F53" i="28"/>
  <c r="C67" i="28" s="1"/>
  <c r="H8" i="27" s="1"/>
  <c r="E8" i="27"/>
  <c r="L38" i="27"/>
  <c r="L26" i="27"/>
  <c r="L29" i="27"/>
  <c r="L25" i="27"/>
  <c r="L30" i="27"/>
  <c r="L28" i="27"/>
  <c r="L35" i="27"/>
  <c r="L42" i="27"/>
  <c r="L34" i="27"/>
  <c r="L24" i="27"/>
  <c r="L36" i="27"/>
  <c r="L40" i="27"/>
  <c r="L31" i="27"/>
  <c r="L33" i="27"/>
  <c r="L39" i="27"/>
  <c r="L37" i="27"/>
  <c r="L32" i="27"/>
  <c r="L27" i="27"/>
  <c r="L23" i="27"/>
  <c r="K53" i="28"/>
  <c r="C72" i="28" s="1"/>
  <c r="C52" i="28"/>
  <c r="C50" i="28"/>
  <c r="C42" i="28"/>
  <c r="C47" i="28"/>
  <c r="C48" i="28"/>
  <c r="B64" i="28"/>
  <c r="C43" i="28"/>
  <c r="C46" i="28"/>
  <c r="C51" i="28"/>
  <c r="C44" i="28"/>
  <c r="C49" i="28"/>
  <c r="C45" i="28"/>
  <c r="D43" i="28"/>
  <c r="D50" i="28"/>
  <c r="D52" i="28"/>
  <c r="B65" i="28"/>
  <c r="D46" i="28"/>
  <c r="D48" i="28"/>
  <c r="D47" i="28"/>
  <c r="D42" i="28"/>
  <c r="D44" i="28"/>
  <c r="D45" i="28"/>
  <c r="D51" i="28"/>
  <c r="D49" i="28"/>
  <c r="H31" i="27"/>
  <c r="H29" i="27"/>
  <c r="H28" i="27"/>
  <c r="H30" i="27"/>
  <c r="H39" i="27"/>
  <c r="H25" i="27"/>
  <c r="H32" i="27"/>
  <c r="H24" i="27"/>
  <c r="H26" i="27"/>
  <c r="H40" i="27"/>
  <c r="H38" i="27"/>
  <c r="H34" i="27"/>
  <c r="H27" i="27"/>
  <c r="H36" i="27"/>
  <c r="J36" i="27"/>
  <c r="J38" i="27"/>
  <c r="J32" i="27"/>
  <c r="J31" i="27"/>
  <c r="J23" i="27"/>
  <c r="J40" i="27"/>
  <c r="J42" i="27"/>
  <c r="J35" i="27"/>
  <c r="J24" i="27"/>
  <c r="J30" i="27"/>
  <c r="J26" i="27"/>
  <c r="J41" i="27"/>
  <c r="J34" i="27"/>
  <c r="J33" i="27"/>
  <c r="J29" i="27"/>
  <c r="J37" i="27"/>
  <c r="J25" i="27"/>
  <c r="J28" i="27"/>
  <c r="X23" i="27"/>
  <c r="X28" i="27"/>
  <c r="X39" i="27"/>
  <c r="X29" i="27"/>
  <c r="X24" i="27"/>
  <c r="X25" i="27"/>
  <c r="X33" i="27"/>
  <c r="X27" i="27"/>
  <c r="X31" i="27"/>
  <c r="X26" i="27"/>
  <c r="X30" i="27"/>
  <c r="X38" i="27"/>
  <c r="X35" i="27"/>
  <c r="X41" i="27"/>
  <c r="X42" i="27"/>
  <c r="X32" i="27"/>
  <c r="X34" i="27"/>
  <c r="X37" i="27"/>
  <c r="X36" i="27"/>
  <c r="B53" i="28"/>
  <c r="C63" i="28" s="1"/>
  <c r="V21" i="27"/>
  <c r="I40" i="28"/>
  <c r="J53" i="28"/>
  <c r="C71" i="28" s="1"/>
  <c r="P21" i="27"/>
  <c r="H40" i="28"/>
  <c r="D56" i="7"/>
  <c r="D53" i="7"/>
  <c r="D50" i="7"/>
  <c r="B72" i="16"/>
  <c r="C72" i="16"/>
  <c r="AA42" i="21"/>
  <c r="AA41" i="21"/>
  <c r="AA40" i="21"/>
  <c r="AA39" i="21"/>
  <c r="AA38" i="21"/>
  <c r="AA37" i="21"/>
  <c r="AA36" i="21"/>
  <c r="AA35" i="21"/>
  <c r="AA34" i="21"/>
  <c r="AA33" i="21"/>
  <c r="AA32" i="21"/>
  <c r="AA31" i="21"/>
  <c r="AA29" i="21"/>
  <c r="AA28" i="21"/>
  <c r="AA27" i="21"/>
  <c r="AA26" i="21"/>
  <c r="AA25" i="21"/>
  <c r="AA24" i="21"/>
  <c r="AA23" i="21"/>
  <c r="Y42" i="21"/>
  <c r="Y41" i="21"/>
  <c r="Y40" i="21"/>
  <c r="Y39" i="21"/>
  <c r="Y38" i="21"/>
  <c r="Y37" i="21"/>
  <c r="Y36" i="21"/>
  <c r="Y35" i="21"/>
  <c r="Y34" i="21"/>
  <c r="Y33" i="21"/>
  <c r="Y32" i="21"/>
  <c r="Y31" i="21"/>
  <c r="Y30" i="21"/>
  <c r="Y28" i="21"/>
  <c r="Y27" i="21"/>
  <c r="Y26" i="21"/>
  <c r="Y25" i="21"/>
  <c r="Y24" i="21"/>
  <c r="Y23" i="21"/>
  <c r="W42" i="21"/>
  <c r="W41" i="21"/>
  <c r="W39" i="21"/>
  <c r="W38" i="21"/>
  <c r="W37" i="21"/>
  <c r="W36" i="21"/>
  <c r="W35" i="21"/>
  <c r="W34" i="21"/>
  <c r="W33" i="21"/>
  <c r="W32" i="21"/>
  <c r="W31" i="21"/>
  <c r="W30" i="21"/>
  <c r="W29" i="21"/>
  <c r="W28" i="21"/>
  <c r="W27" i="21"/>
  <c r="W26" i="21"/>
  <c r="W25" i="21"/>
  <c r="W24" i="21"/>
  <c r="W23" i="21"/>
  <c r="U42" i="21"/>
  <c r="U41" i="21"/>
  <c r="U40" i="21"/>
  <c r="U39" i="21"/>
  <c r="U38" i="21"/>
  <c r="U37" i="21"/>
  <c r="U36" i="21"/>
  <c r="U35" i="21"/>
  <c r="U34" i="21"/>
  <c r="U33" i="21"/>
  <c r="U32" i="21"/>
  <c r="U31" i="21"/>
  <c r="U30" i="21"/>
  <c r="U29" i="21"/>
  <c r="U28" i="21"/>
  <c r="U26" i="21"/>
  <c r="U25" i="21"/>
  <c r="U24" i="21"/>
  <c r="U23" i="21"/>
  <c r="S42" i="21"/>
  <c r="S41" i="21"/>
  <c r="S40" i="21"/>
  <c r="S39" i="21"/>
  <c r="S38" i="21"/>
  <c r="S37" i="21"/>
  <c r="S36" i="21"/>
  <c r="S35" i="21"/>
  <c r="S34" i="21"/>
  <c r="S33" i="21"/>
  <c r="S32" i="21"/>
  <c r="S31" i="21"/>
  <c r="S30" i="21"/>
  <c r="S29" i="21"/>
  <c r="S27" i="21"/>
  <c r="S25" i="21"/>
  <c r="S24" i="21"/>
  <c r="S23" i="21"/>
  <c r="Q42" i="21"/>
  <c r="Q41" i="21"/>
  <c r="Q40" i="21"/>
  <c r="Q39" i="21"/>
  <c r="Q38" i="21"/>
  <c r="Q37" i="21"/>
  <c r="Q36" i="21"/>
  <c r="Q35" i="21"/>
  <c r="Q34" i="21"/>
  <c r="Q33" i="21"/>
  <c r="Q32" i="21"/>
  <c r="Q31" i="21"/>
  <c r="Q30" i="21"/>
  <c r="Q29" i="21"/>
  <c r="Q28" i="21"/>
  <c r="Q27" i="21"/>
  <c r="Q25" i="21"/>
  <c r="Q24" i="21"/>
  <c r="Q23" i="21"/>
  <c r="O42" i="21"/>
  <c r="O41" i="21"/>
  <c r="O40" i="21"/>
  <c r="O38" i="21"/>
  <c r="O37" i="21"/>
  <c r="O36" i="21"/>
  <c r="O35" i="21"/>
  <c r="O34" i="21"/>
  <c r="O33" i="21"/>
  <c r="O32" i="21"/>
  <c r="O31" i="21"/>
  <c r="O30" i="21"/>
  <c r="O29" i="21"/>
  <c r="O28" i="21"/>
  <c r="O27" i="21"/>
  <c r="O26" i="21"/>
  <c r="O25" i="21"/>
  <c r="O24" i="21"/>
  <c r="O23" i="21"/>
  <c r="M42" i="21"/>
  <c r="M41" i="21"/>
  <c r="M40" i="21"/>
  <c r="M39" i="21"/>
  <c r="M38" i="21"/>
  <c r="M37" i="21"/>
  <c r="M36" i="21"/>
  <c r="M35" i="21"/>
  <c r="M34" i="21"/>
  <c r="M32" i="21"/>
  <c r="M31" i="21"/>
  <c r="M30" i="21"/>
  <c r="M29" i="21"/>
  <c r="M28" i="21"/>
  <c r="M27" i="21"/>
  <c r="M26" i="21"/>
  <c r="M25" i="21"/>
  <c r="M24" i="21"/>
  <c r="M23" i="21"/>
  <c r="K42" i="21"/>
  <c r="K40" i="21"/>
  <c r="K39" i="21"/>
  <c r="K38" i="21"/>
  <c r="K37" i="21"/>
  <c r="K36" i="21"/>
  <c r="K35" i="21"/>
  <c r="K34" i="21"/>
  <c r="K33" i="21"/>
  <c r="K32" i="21"/>
  <c r="K31" i="21"/>
  <c r="K30" i="21"/>
  <c r="K29" i="21"/>
  <c r="K28" i="21"/>
  <c r="K27" i="21"/>
  <c r="K26" i="21"/>
  <c r="K25" i="21"/>
  <c r="K24" i="21"/>
  <c r="K23" i="21"/>
  <c r="I42" i="21"/>
  <c r="I41" i="21"/>
  <c r="I40" i="21"/>
  <c r="I38" i="21"/>
  <c r="I37" i="21"/>
  <c r="I36" i="21"/>
  <c r="I35" i="21"/>
  <c r="I34" i="21"/>
  <c r="I33" i="21"/>
  <c r="I32" i="21"/>
  <c r="I31" i="21"/>
  <c r="I30" i="21"/>
  <c r="I29" i="21"/>
  <c r="I28" i="21"/>
  <c r="I26" i="21"/>
  <c r="I25" i="21"/>
  <c r="I24" i="21"/>
  <c r="I23" i="21"/>
  <c r="G40" i="21"/>
  <c r="G39" i="21"/>
  <c r="G38" i="21"/>
  <c r="G36" i="21"/>
  <c r="G34" i="21"/>
  <c r="G32" i="21"/>
  <c r="G31" i="21"/>
  <c r="G30" i="21"/>
  <c r="G29" i="21"/>
  <c r="G28" i="21"/>
  <c r="G27" i="21"/>
  <c r="G26" i="21"/>
  <c r="G25" i="21"/>
  <c r="G24" i="21"/>
  <c r="E34" i="21"/>
  <c r="E32" i="21"/>
  <c r="E31" i="21"/>
  <c r="E30" i="21"/>
  <c r="E29" i="21"/>
  <c r="E28" i="21"/>
  <c r="E26" i="21"/>
  <c r="E25" i="21"/>
  <c r="E24" i="21"/>
  <c r="I51" i="28" l="1"/>
  <c r="I52" i="28"/>
  <c r="B70" i="28"/>
  <c r="I42" i="28"/>
  <c r="I46" i="28"/>
  <c r="I50" i="28"/>
  <c r="I47" i="28"/>
  <c r="I49" i="28"/>
  <c r="I45" i="28"/>
  <c r="I48" i="28"/>
  <c r="I43" i="28"/>
  <c r="I44" i="28"/>
  <c r="C53" i="28"/>
  <c r="C64" i="28" s="1"/>
  <c r="H43" i="28"/>
  <c r="H42" i="28"/>
  <c r="H51" i="28"/>
  <c r="B69" i="28"/>
  <c r="H52" i="28"/>
  <c r="H47" i="28"/>
  <c r="H48" i="28"/>
  <c r="H44" i="28"/>
  <c r="H46" i="28"/>
  <c r="H45" i="28"/>
  <c r="H49" i="28"/>
  <c r="H50" i="28"/>
  <c r="V36" i="27"/>
  <c r="V23" i="27"/>
  <c r="V26" i="27"/>
  <c r="V41" i="27"/>
  <c r="V40" i="27"/>
  <c r="V32" i="27"/>
  <c r="V28" i="27"/>
  <c r="V35" i="27"/>
  <c r="V29" i="27"/>
  <c r="V25" i="27"/>
  <c r="V37" i="27"/>
  <c r="V30" i="27"/>
  <c r="V31" i="27"/>
  <c r="V33" i="27"/>
  <c r="V42" i="27"/>
  <c r="V39" i="27"/>
  <c r="V24" i="27"/>
  <c r="V38" i="27"/>
  <c r="V34" i="27"/>
  <c r="D53" i="28"/>
  <c r="C65" i="28" s="1"/>
  <c r="P23" i="27"/>
  <c r="P27" i="27"/>
  <c r="P30" i="27"/>
  <c r="P37" i="27"/>
  <c r="P24" i="27"/>
  <c r="P40" i="27"/>
  <c r="P42" i="27"/>
  <c r="P28" i="27"/>
  <c r="P34" i="27"/>
  <c r="P41" i="27"/>
  <c r="P36" i="27"/>
  <c r="P33" i="27"/>
  <c r="P29" i="27"/>
  <c r="P35" i="27"/>
  <c r="P25" i="27"/>
  <c r="P26" i="27"/>
  <c r="P38" i="27"/>
  <c r="P31" i="27"/>
  <c r="P32" i="27"/>
  <c r="H16" i="21"/>
  <c r="H13" i="21"/>
  <c r="H10" i="21"/>
  <c r="H9" i="21"/>
  <c r="H7" i="21"/>
  <c r="H6" i="21"/>
  <c r="H5" i="21"/>
  <c r="G16" i="21"/>
  <c r="G13" i="21"/>
  <c r="G10" i="21"/>
  <c r="G9" i="21"/>
  <c r="G7" i="21"/>
  <c r="G6" i="21"/>
  <c r="G5" i="21"/>
  <c r="G53" i="20"/>
  <c r="G49" i="20"/>
  <c r="G43" i="20"/>
  <c r="F42" i="20"/>
  <c r="G59" i="20"/>
  <c r="I53" i="28" l="1"/>
  <c r="AD34" i="27"/>
  <c r="AD24" i="27"/>
  <c r="AD31" i="27"/>
  <c r="AD32" i="27"/>
  <c r="AD25" i="27"/>
  <c r="H53" i="28"/>
  <c r="C69" i="28" s="1"/>
  <c r="C70" i="28"/>
  <c r="C73" i="28" s="1"/>
  <c r="E62" i="20"/>
  <c r="E59" i="20" l="1"/>
  <c r="E36" i="20"/>
  <c r="E35" i="20"/>
  <c r="E34" i="20"/>
  <c r="E33" i="20"/>
  <c r="E32" i="20"/>
  <c r="E29" i="20"/>
  <c r="E28" i="20"/>
  <c r="E22" i="20"/>
  <c r="E21" i="20"/>
  <c r="E20" i="20"/>
  <c r="E19" i="20"/>
  <c r="E18" i="20"/>
  <c r="E17" i="20"/>
  <c r="E16" i="20"/>
  <c r="E15" i="20"/>
  <c r="E14" i="20"/>
  <c r="E13" i="20"/>
  <c r="M32" i="22"/>
  <c r="L32" i="22"/>
  <c r="K32" i="22"/>
  <c r="J32" i="22"/>
  <c r="I32" i="22"/>
  <c r="H32" i="22"/>
  <c r="G32" i="22"/>
  <c r="F32" i="22"/>
  <c r="E32" i="22"/>
  <c r="D32" i="22"/>
  <c r="C32" i="22"/>
  <c r="B32" i="22"/>
  <c r="M20" i="22"/>
  <c r="L20" i="22"/>
  <c r="K20" i="22"/>
  <c r="J20" i="22"/>
  <c r="I20" i="22"/>
  <c r="H20" i="22"/>
  <c r="G20" i="22"/>
  <c r="F20" i="22"/>
  <c r="E20" i="22"/>
  <c r="D20" i="22"/>
  <c r="C20" i="22"/>
  <c r="B20" i="22"/>
  <c r="M13" i="22"/>
  <c r="M34" i="22" s="1"/>
  <c r="L13" i="22"/>
  <c r="L34" i="22" s="1"/>
  <c r="K13" i="22"/>
  <c r="K34" i="22" s="1"/>
  <c r="J13" i="22"/>
  <c r="J34" i="22" s="1"/>
  <c r="I13" i="22"/>
  <c r="I34" i="22" s="1"/>
  <c r="H13" i="22"/>
  <c r="H34" i="22" s="1"/>
  <c r="G13" i="22"/>
  <c r="G34" i="22" s="1"/>
  <c r="F13" i="22"/>
  <c r="F34" i="22" s="1"/>
  <c r="E13" i="22"/>
  <c r="E34" i="22" s="1"/>
  <c r="D13" i="22"/>
  <c r="D34" i="22" s="1"/>
  <c r="C13" i="22"/>
  <c r="C34" i="22" s="1"/>
  <c r="B13" i="22"/>
  <c r="B34" i="22" s="1"/>
  <c r="F61" i="20"/>
  <c r="F60" i="20"/>
  <c r="F59" i="20"/>
  <c r="F58" i="20"/>
  <c r="F57" i="20"/>
  <c r="F56" i="20"/>
  <c r="F55" i="20"/>
  <c r="F54" i="20"/>
  <c r="F52" i="20"/>
  <c r="F51" i="20"/>
  <c r="F50" i="20"/>
  <c r="F48" i="20"/>
  <c r="F47" i="20"/>
  <c r="F46" i="20"/>
  <c r="F45" i="20"/>
  <c r="F44" i="20"/>
  <c r="G62" i="20"/>
  <c r="J31" i="20"/>
  <c r="E30" i="20"/>
  <c r="I95" i="19"/>
  <c r="H95" i="19"/>
  <c r="F95" i="19"/>
  <c r="E95" i="19"/>
  <c r="D95" i="19"/>
  <c r="B94" i="19"/>
  <c r="B93" i="19"/>
  <c r="B92" i="19"/>
  <c r="B91" i="19"/>
  <c r="B90" i="19"/>
  <c r="B89" i="19"/>
  <c r="B88" i="19"/>
  <c r="B87" i="19"/>
  <c r="B86" i="19"/>
  <c r="B85" i="19"/>
  <c r="B84" i="19"/>
  <c r="B83" i="19"/>
  <c r="B82" i="19"/>
  <c r="B81" i="19"/>
  <c r="B80" i="19"/>
  <c r="C75" i="19"/>
  <c r="B75" i="19"/>
  <c r="C74" i="19"/>
  <c r="B74" i="19"/>
  <c r="C73" i="19"/>
  <c r="B73" i="19"/>
  <c r="C72" i="19"/>
  <c r="B72" i="19"/>
  <c r="C71" i="19"/>
  <c r="B71" i="19"/>
  <c r="C70" i="19"/>
  <c r="B70" i="19"/>
  <c r="C69" i="19"/>
  <c r="B69" i="19"/>
  <c r="C68" i="19"/>
  <c r="B68" i="19"/>
  <c r="C67" i="19"/>
  <c r="B67" i="19"/>
  <c r="C66" i="19"/>
  <c r="B66" i="19"/>
  <c r="C65" i="19"/>
  <c r="B65" i="19"/>
  <c r="C64" i="19"/>
  <c r="B64" i="19"/>
  <c r="C63" i="19"/>
  <c r="B63" i="19"/>
  <c r="C62" i="19"/>
  <c r="B62" i="19"/>
  <c r="C61" i="19"/>
  <c r="B61" i="19"/>
  <c r="D57" i="19"/>
  <c r="D58" i="7" s="1"/>
  <c r="D56" i="19"/>
  <c r="D57" i="7" s="1"/>
  <c r="D55" i="19"/>
  <c r="D54" i="19"/>
  <c r="D55" i="7" s="1"/>
  <c r="D53" i="19"/>
  <c r="D54" i="7" s="1"/>
  <c r="D52" i="19"/>
  <c r="D51" i="19"/>
  <c r="D52" i="7" s="1"/>
  <c r="D50" i="19"/>
  <c r="D51" i="7" s="1"/>
  <c r="D49" i="19"/>
  <c r="D48" i="19"/>
  <c r="D49" i="7" s="1"/>
  <c r="D47" i="19"/>
  <c r="D48" i="7" s="1"/>
  <c r="D46" i="19"/>
  <c r="D47" i="7" s="1"/>
  <c r="D45" i="19"/>
  <c r="D46" i="7" s="1"/>
  <c r="D44" i="19"/>
  <c r="D45" i="7" s="1"/>
  <c r="D43" i="19"/>
  <c r="D39" i="19"/>
  <c r="D38" i="19"/>
  <c r="D37" i="19"/>
  <c r="D36" i="19"/>
  <c r="D35" i="19"/>
  <c r="D34" i="19"/>
  <c r="D33" i="19"/>
  <c r="D34" i="20" s="1"/>
  <c r="D32" i="19"/>
  <c r="D31" i="19"/>
  <c r="D30" i="19"/>
  <c r="D29" i="19"/>
  <c r="D28" i="20" s="1"/>
  <c r="E40" i="22" s="1"/>
  <c r="B66" i="22" s="1"/>
  <c r="D28" i="19"/>
  <c r="D27" i="19"/>
  <c r="D26" i="19"/>
  <c r="D25" i="19"/>
  <c r="D13" i="20" s="1"/>
  <c r="B19" i="19"/>
  <c r="D19" i="19" s="1"/>
  <c r="B18" i="19"/>
  <c r="D18" i="19" s="1"/>
  <c r="B17" i="19"/>
  <c r="D17" i="19" s="1"/>
  <c r="B16" i="19"/>
  <c r="B15" i="19"/>
  <c r="D15" i="19" s="1"/>
  <c r="B14" i="19"/>
  <c r="D14" i="19" s="1"/>
  <c r="B13" i="19"/>
  <c r="D13" i="19" s="1"/>
  <c r="B12" i="19"/>
  <c r="D12" i="19" s="1"/>
  <c r="B11" i="19"/>
  <c r="D11" i="19" s="1"/>
  <c r="B10" i="19"/>
  <c r="D10" i="19" s="1"/>
  <c r="B9" i="19"/>
  <c r="D9" i="19" s="1"/>
  <c r="B8" i="19"/>
  <c r="D8" i="19" s="1"/>
  <c r="B7" i="19"/>
  <c r="D7" i="19" s="1"/>
  <c r="B6" i="19"/>
  <c r="D6" i="19" s="1"/>
  <c r="D5" i="19"/>
  <c r="B76" i="19" l="1"/>
  <c r="D75" i="19"/>
  <c r="D38" i="7"/>
  <c r="C16" i="21"/>
  <c r="D74" i="19"/>
  <c r="D37" i="7"/>
  <c r="C15" i="21"/>
  <c r="D73" i="19"/>
  <c r="D36" i="7"/>
  <c r="C14" i="21"/>
  <c r="D72" i="19"/>
  <c r="D35" i="7"/>
  <c r="C13" i="21"/>
  <c r="D71" i="19"/>
  <c r="D34" i="7"/>
  <c r="C12" i="21"/>
  <c r="D70" i="19"/>
  <c r="C35" i="20" s="1"/>
  <c r="D33" i="7"/>
  <c r="D35" i="20"/>
  <c r="D69" i="19"/>
  <c r="C34" i="20" s="1"/>
  <c r="D32" i="7"/>
  <c r="D68" i="19"/>
  <c r="D31" i="7"/>
  <c r="C10" i="21"/>
  <c r="D67" i="19"/>
  <c r="C32" i="20" s="1"/>
  <c r="D30" i="7"/>
  <c r="D32" i="20"/>
  <c r="G40" i="22" s="1"/>
  <c r="G43" i="22" s="1"/>
  <c r="D66" i="19"/>
  <c r="C29" i="20" s="1"/>
  <c r="D29" i="7"/>
  <c r="D65" i="19"/>
  <c r="C28" i="20" s="1"/>
  <c r="D28" i="7"/>
  <c r="D64" i="19"/>
  <c r="D27" i="7"/>
  <c r="C7" i="21"/>
  <c r="D63" i="19"/>
  <c r="D26" i="7"/>
  <c r="C6" i="21"/>
  <c r="D62" i="19"/>
  <c r="D25" i="7"/>
  <c r="C5" i="21"/>
  <c r="D22" i="20"/>
  <c r="D18" i="20"/>
  <c r="D14" i="20"/>
  <c r="D21" i="20"/>
  <c r="C13" i="20"/>
  <c r="C18" i="20" s="1"/>
  <c r="D61" i="19"/>
  <c r="E51" i="22"/>
  <c r="D29" i="20"/>
  <c r="D6" i="7"/>
  <c r="E62" i="19"/>
  <c r="D14" i="7"/>
  <c r="E70" i="19"/>
  <c r="G70" i="19" s="1"/>
  <c r="E63" i="19"/>
  <c r="D7" i="7"/>
  <c r="C94" i="19"/>
  <c r="G94" i="19" s="1"/>
  <c r="D19" i="7"/>
  <c r="D8" i="7"/>
  <c r="E64" i="19"/>
  <c r="D12" i="7"/>
  <c r="E68" i="19"/>
  <c r="D16" i="7"/>
  <c r="E72" i="19"/>
  <c r="D10" i="7"/>
  <c r="E66" i="19"/>
  <c r="E74" i="19"/>
  <c r="D18" i="7"/>
  <c r="C86" i="19"/>
  <c r="G86" i="19" s="1"/>
  <c r="D11" i="7"/>
  <c r="C90" i="19"/>
  <c r="G90" i="19" s="1"/>
  <c r="D15" i="7"/>
  <c r="E65" i="19"/>
  <c r="D9" i="7"/>
  <c r="E69" i="19"/>
  <c r="D13" i="7"/>
  <c r="E73" i="19"/>
  <c r="D17" i="7"/>
  <c r="F64" i="19"/>
  <c r="F72" i="19"/>
  <c r="G72" i="19" s="1"/>
  <c r="F61" i="19"/>
  <c r="F66" i="19"/>
  <c r="F69" i="19"/>
  <c r="F74" i="19"/>
  <c r="C81" i="19"/>
  <c r="G81" i="19" s="1"/>
  <c r="C85" i="19"/>
  <c r="G85" i="19" s="1"/>
  <c r="C89" i="19"/>
  <c r="G89" i="19" s="1"/>
  <c r="C93" i="19"/>
  <c r="G93" i="19" s="1"/>
  <c r="F71" i="19"/>
  <c r="F67" i="19"/>
  <c r="E61" i="19"/>
  <c r="G61" i="19" s="1"/>
  <c r="F63" i="19"/>
  <c r="F68" i="19"/>
  <c r="F62" i="19"/>
  <c r="G62" i="19" s="1"/>
  <c r="F65" i="19"/>
  <c r="F70" i="19"/>
  <c r="F73" i="19"/>
  <c r="F75" i="19"/>
  <c r="C83" i="19"/>
  <c r="G83" i="19" s="1"/>
  <c r="C87" i="19"/>
  <c r="G87" i="19" s="1"/>
  <c r="C91" i="19"/>
  <c r="G91" i="19" s="1"/>
  <c r="AC24" i="21"/>
  <c r="AF24" i="21" s="1"/>
  <c r="AC25" i="21"/>
  <c r="AF25" i="21" s="1"/>
  <c r="E42" i="22"/>
  <c r="E44" i="22"/>
  <c r="E46" i="22"/>
  <c r="E48" i="22"/>
  <c r="E50" i="22"/>
  <c r="E52" i="22"/>
  <c r="E43" i="22"/>
  <c r="E45" i="22"/>
  <c r="E47" i="22"/>
  <c r="E49" i="22"/>
  <c r="AC31" i="21"/>
  <c r="AF31" i="21" s="1"/>
  <c r="AC32" i="21"/>
  <c r="AF32" i="21" s="1"/>
  <c r="AC34" i="21"/>
  <c r="AF34" i="21" s="1"/>
  <c r="C15" i="20"/>
  <c r="C19" i="20"/>
  <c r="G73" i="19"/>
  <c r="C80" i="19"/>
  <c r="C84" i="19"/>
  <c r="G84" i="19" s="1"/>
  <c r="C88" i="19"/>
  <c r="G88" i="19" s="1"/>
  <c r="C92" i="19"/>
  <c r="G92" i="19" s="1"/>
  <c r="B95" i="19"/>
  <c r="E67" i="19"/>
  <c r="E71" i="19"/>
  <c r="G71" i="19" s="1"/>
  <c r="E75" i="19"/>
  <c r="C76" i="19"/>
  <c r="C82" i="19"/>
  <c r="G82" i="19" s="1"/>
  <c r="M32" i="16"/>
  <c r="L32" i="16"/>
  <c r="K32" i="16"/>
  <c r="J32" i="16"/>
  <c r="I32" i="16"/>
  <c r="H32" i="16"/>
  <c r="G32" i="16"/>
  <c r="F32" i="16"/>
  <c r="E32" i="16"/>
  <c r="D32" i="16"/>
  <c r="C32" i="16"/>
  <c r="B32" i="16"/>
  <c r="G12" i="2"/>
  <c r="B113" i="3"/>
  <c r="M32" i="3"/>
  <c r="L32" i="3"/>
  <c r="K32" i="3"/>
  <c r="J32" i="3"/>
  <c r="I32" i="3"/>
  <c r="H32" i="3"/>
  <c r="G32" i="3"/>
  <c r="F32" i="3"/>
  <c r="E32" i="3"/>
  <c r="D32" i="3"/>
  <c r="C32" i="3"/>
  <c r="B32" i="3"/>
  <c r="G64" i="19" l="1"/>
  <c r="G49" i="22"/>
  <c r="G45" i="22"/>
  <c r="G65" i="19"/>
  <c r="G63" i="19"/>
  <c r="G75" i="19"/>
  <c r="C36" i="20"/>
  <c r="C11" i="21" s="1"/>
  <c r="G68" i="19"/>
  <c r="G67" i="19"/>
  <c r="G47" i="22"/>
  <c r="B68" i="22"/>
  <c r="G52" i="22"/>
  <c r="G44" i="22"/>
  <c r="G48" i="22"/>
  <c r="G50" i="22"/>
  <c r="G42" i="22"/>
  <c r="G53" i="22" s="1"/>
  <c r="C68" i="22" s="1"/>
  <c r="G51" i="22"/>
  <c r="G46" i="22"/>
  <c r="C33" i="20"/>
  <c r="C9" i="21" s="1"/>
  <c r="D76" i="19"/>
  <c r="C30" i="20"/>
  <c r="C8" i="21" s="1"/>
  <c r="B8" i="20"/>
  <c r="H58" i="20" s="1"/>
  <c r="I58" i="20" s="1"/>
  <c r="J58" i="20" s="1"/>
  <c r="F13" i="20"/>
  <c r="G13" i="20" s="1"/>
  <c r="B40" i="22"/>
  <c r="F21" i="21"/>
  <c r="D15" i="20"/>
  <c r="D20" i="20"/>
  <c r="D16" i="20"/>
  <c r="C17" i="20"/>
  <c r="K40" i="22"/>
  <c r="T21" i="21"/>
  <c r="J40" i="22"/>
  <c r="AB21" i="21"/>
  <c r="C20" i="20"/>
  <c r="C21" i="20"/>
  <c r="C16" i="20"/>
  <c r="C14" i="20"/>
  <c r="C22" i="20"/>
  <c r="Z21" i="21"/>
  <c r="F40" i="22"/>
  <c r="E76" i="19"/>
  <c r="F76" i="19"/>
  <c r="G66" i="19"/>
  <c r="G69" i="19"/>
  <c r="G74" i="19"/>
  <c r="E53" i="22"/>
  <c r="C66" i="22" s="1"/>
  <c r="C95" i="19"/>
  <c r="G80" i="19"/>
  <c r="G95" i="19" s="1"/>
  <c r="C38" i="7"/>
  <c r="C37" i="7"/>
  <c r="C36" i="7"/>
  <c r="C35" i="7"/>
  <c r="C34" i="7"/>
  <c r="C33" i="7"/>
  <c r="C32" i="7"/>
  <c r="C31" i="7"/>
  <c r="C30" i="7"/>
  <c r="C29" i="7"/>
  <c r="C28" i="7"/>
  <c r="C27" i="7"/>
  <c r="C26" i="7"/>
  <c r="C25" i="7"/>
  <c r="F20" i="16"/>
  <c r="E34" i="16"/>
  <c r="B34" i="16"/>
  <c r="H44" i="20" l="1"/>
  <c r="I44" i="20" s="1"/>
  <c r="J44" i="20" s="1"/>
  <c r="H47" i="20"/>
  <c r="I47" i="20" s="1"/>
  <c r="J47" i="20" s="1"/>
  <c r="H54" i="20"/>
  <c r="I54" i="20" s="1"/>
  <c r="J54" i="20" s="1"/>
  <c r="J77" i="7" s="1"/>
  <c r="J18" i="9" s="1"/>
  <c r="H45" i="20"/>
  <c r="I45" i="20" s="1"/>
  <c r="J45" i="20" s="1"/>
  <c r="B11" i="21" s="1"/>
  <c r="H56" i="20"/>
  <c r="I56" i="20" s="1"/>
  <c r="J56" i="20" s="1"/>
  <c r="H48" i="20"/>
  <c r="I48" i="20" s="1"/>
  <c r="J48" i="20" s="1"/>
  <c r="H61" i="20"/>
  <c r="I61" i="20" s="1"/>
  <c r="J61" i="20" s="1"/>
  <c r="H59" i="20"/>
  <c r="I59" i="20" s="1"/>
  <c r="J59" i="20" s="1"/>
  <c r="J82" i="7" s="1"/>
  <c r="J23" i="9" s="1"/>
  <c r="H46" i="20"/>
  <c r="I46" i="20" s="1"/>
  <c r="J46" i="20" s="1"/>
  <c r="B16" i="20" s="1"/>
  <c r="B7" i="21" s="1"/>
  <c r="D7" i="21" s="1"/>
  <c r="F7" i="21" s="1"/>
  <c r="I7" i="21" s="1"/>
  <c r="D30" i="20"/>
  <c r="H42" i="20"/>
  <c r="I42" i="20" s="1"/>
  <c r="J42" i="20" s="1"/>
  <c r="H52" i="20"/>
  <c r="I52" i="20" s="1"/>
  <c r="J52" i="20" s="1"/>
  <c r="F33" i="20" s="1"/>
  <c r="H51" i="20"/>
  <c r="I51" i="20" s="1"/>
  <c r="J51" i="20" s="1"/>
  <c r="H43" i="20"/>
  <c r="I43" i="20" s="1"/>
  <c r="J43" i="20" s="1"/>
  <c r="H49" i="20"/>
  <c r="I49" i="20" s="1"/>
  <c r="J49" i="20" s="1"/>
  <c r="B22" i="20" s="1"/>
  <c r="B16" i="21" s="1"/>
  <c r="D16" i="21" s="1"/>
  <c r="F16" i="21" s="1"/>
  <c r="I16" i="21" s="1"/>
  <c r="AA30" i="21" s="1"/>
  <c r="H55" i="20"/>
  <c r="I55" i="20" s="1"/>
  <c r="J55" i="20" s="1"/>
  <c r="H53" i="20"/>
  <c r="I53" i="20" s="1"/>
  <c r="J53" i="20" s="1"/>
  <c r="H50" i="20"/>
  <c r="I50" i="20" s="1"/>
  <c r="J50" i="20" s="1"/>
  <c r="J73" i="7" s="1"/>
  <c r="J14" i="9" s="1"/>
  <c r="G76" i="19"/>
  <c r="D36" i="20"/>
  <c r="D33" i="20"/>
  <c r="N21" i="21" s="1"/>
  <c r="K44" i="20"/>
  <c r="B36" i="20"/>
  <c r="K51" i="20"/>
  <c r="K50" i="20"/>
  <c r="K43" i="20"/>
  <c r="K53" i="20"/>
  <c r="J84" i="7"/>
  <c r="J25" i="9" s="1"/>
  <c r="J74" i="7"/>
  <c r="J15" i="9" s="1"/>
  <c r="B18" i="20"/>
  <c r="J70" i="7"/>
  <c r="J11" i="9" s="1"/>
  <c r="Z23" i="21"/>
  <c r="Z41" i="21"/>
  <c r="Z33" i="21"/>
  <c r="Z26" i="21"/>
  <c r="Z24" i="21"/>
  <c r="Z32" i="21"/>
  <c r="Z25" i="21"/>
  <c r="Z37" i="21"/>
  <c r="Z34" i="21"/>
  <c r="Z40" i="21"/>
  <c r="Z28" i="21"/>
  <c r="Z38" i="21"/>
  <c r="Z27" i="21"/>
  <c r="Z30" i="21"/>
  <c r="Z36" i="21"/>
  <c r="Z42" i="21"/>
  <c r="Z31" i="21"/>
  <c r="Z35" i="21"/>
  <c r="Z39" i="21"/>
  <c r="B71" i="22"/>
  <c r="J52" i="22"/>
  <c r="J45" i="22"/>
  <c r="J43" i="22"/>
  <c r="J49" i="22"/>
  <c r="J51" i="22"/>
  <c r="J47" i="22"/>
  <c r="J42" i="22"/>
  <c r="J44" i="22"/>
  <c r="J46" i="22"/>
  <c r="J48" i="22"/>
  <c r="J50" i="22"/>
  <c r="D40" i="22"/>
  <c r="J21" i="21"/>
  <c r="D19" i="20"/>
  <c r="D17" i="20"/>
  <c r="F24" i="21"/>
  <c r="F26" i="21"/>
  <c r="F25" i="21"/>
  <c r="F30" i="21"/>
  <c r="F28" i="21"/>
  <c r="F32" i="21"/>
  <c r="F34" i="21"/>
  <c r="F31" i="21"/>
  <c r="F29" i="21"/>
  <c r="J67" i="7"/>
  <c r="J8" i="9" s="1"/>
  <c r="B21" i="20"/>
  <c r="J71" i="7"/>
  <c r="J12" i="9" s="1"/>
  <c r="T24" i="21"/>
  <c r="T23" i="21"/>
  <c r="T25" i="21"/>
  <c r="T31" i="21"/>
  <c r="T32" i="21"/>
  <c r="T36" i="21"/>
  <c r="T33" i="21"/>
  <c r="T29" i="21"/>
  <c r="T39" i="21"/>
  <c r="T37" i="21"/>
  <c r="T40" i="21"/>
  <c r="T42" i="21"/>
  <c r="T27" i="21"/>
  <c r="T30" i="21"/>
  <c r="T35" i="21"/>
  <c r="T41" i="21"/>
  <c r="T34" i="21"/>
  <c r="T38" i="21"/>
  <c r="X21" i="21"/>
  <c r="B52" i="22"/>
  <c r="B42" i="22"/>
  <c r="B46" i="22"/>
  <c r="B50" i="22"/>
  <c r="B49" i="22"/>
  <c r="B51" i="22"/>
  <c r="B47" i="22"/>
  <c r="B44" i="22"/>
  <c r="B48" i="22"/>
  <c r="B63" i="22"/>
  <c r="B45" i="22"/>
  <c r="B43" i="22"/>
  <c r="J78" i="7"/>
  <c r="J19" i="9" s="1"/>
  <c r="J66" i="7"/>
  <c r="J7" i="9" s="1"/>
  <c r="K52" i="22"/>
  <c r="K48" i="22"/>
  <c r="K44" i="22"/>
  <c r="K50" i="22"/>
  <c r="K46" i="22"/>
  <c r="K42" i="22"/>
  <c r="K51" i="22"/>
  <c r="K45" i="22"/>
  <c r="K47" i="22"/>
  <c r="K49" i="22"/>
  <c r="K43" i="22"/>
  <c r="C40" i="22"/>
  <c r="H21" i="21"/>
  <c r="J68" i="7"/>
  <c r="J9" i="9" s="1"/>
  <c r="J76" i="7"/>
  <c r="J17" i="9" s="1"/>
  <c r="B17" i="20"/>
  <c r="B10" i="21" s="1"/>
  <c r="D10" i="21" s="1"/>
  <c r="F10" i="21" s="1"/>
  <c r="I10" i="21" s="1"/>
  <c r="O39" i="21" s="1"/>
  <c r="J81" i="7"/>
  <c r="J22" i="9" s="1"/>
  <c r="AB23" i="21"/>
  <c r="AB28" i="21"/>
  <c r="AB25" i="21"/>
  <c r="AB24" i="21"/>
  <c r="AB29" i="21"/>
  <c r="AB39" i="21"/>
  <c r="AB32" i="21"/>
  <c r="AB36" i="21"/>
  <c r="AB41" i="21"/>
  <c r="AB42" i="21"/>
  <c r="AB40" i="21"/>
  <c r="AB35" i="21"/>
  <c r="AB33" i="21"/>
  <c r="AB37" i="21"/>
  <c r="AB34" i="21"/>
  <c r="AB38" i="21"/>
  <c r="AB31" i="21"/>
  <c r="AB26" i="21"/>
  <c r="AB27" i="21"/>
  <c r="H60" i="20"/>
  <c r="I60" i="20" s="1"/>
  <c r="J60" i="20" s="1"/>
  <c r="H57" i="20"/>
  <c r="I57" i="20" s="1"/>
  <c r="J57" i="20" s="1"/>
  <c r="B67" i="22"/>
  <c r="F52" i="22"/>
  <c r="F43" i="22"/>
  <c r="F49" i="22"/>
  <c r="F42" i="22"/>
  <c r="F50" i="22"/>
  <c r="F47" i="22"/>
  <c r="F45" i="22"/>
  <c r="F44" i="22"/>
  <c r="F51" i="22"/>
  <c r="F46" i="22"/>
  <c r="F48" i="22"/>
  <c r="L21" i="21"/>
  <c r="F36" i="20" l="1"/>
  <c r="B9" i="21"/>
  <c r="D9" i="21" s="1"/>
  <c r="F9" i="21" s="1"/>
  <c r="I9" i="21" s="1"/>
  <c r="M33" i="21" s="1"/>
  <c r="J65" i="7"/>
  <c r="B19" i="20"/>
  <c r="B13" i="21" s="1"/>
  <c r="D13" i="21" s="1"/>
  <c r="F13" i="21" s="1"/>
  <c r="I13" i="21" s="1"/>
  <c r="U27" i="21" s="1"/>
  <c r="J69" i="7"/>
  <c r="J10" i="9" s="1"/>
  <c r="J75" i="7"/>
  <c r="J16" i="9" s="1"/>
  <c r="J79" i="7"/>
  <c r="J20" i="9" s="1"/>
  <c r="J6" i="9"/>
  <c r="B20" i="20"/>
  <c r="B14" i="21" s="1"/>
  <c r="D14" i="21" s="1"/>
  <c r="F14" i="21" s="1"/>
  <c r="I14" i="21" s="1"/>
  <c r="W40" i="21" s="1"/>
  <c r="W43" i="21" s="1"/>
  <c r="G36" i="20"/>
  <c r="K45" i="20" s="1"/>
  <c r="J62" i="20"/>
  <c r="J72" i="7"/>
  <c r="J13" i="9" s="1"/>
  <c r="B15" i="20"/>
  <c r="B6" i="21" s="1"/>
  <c r="R21" i="21"/>
  <c r="N23" i="21"/>
  <c r="N24" i="21"/>
  <c r="N36" i="21"/>
  <c r="N30" i="21"/>
  <c r="N31" i="21"/>
  <c r="N25" i="21"/>
  <c r="N35" i="21"/>
  <c r="N26" i="21"/>
  <c r="N40" i="21"/>
  <c r="N42" i="21"/>
  <c r="N27" i="21"/>
  <c r="N34" i="21"/>
  <c r="N28" i="21"/>
  <c r="N37" i="21"/>
  <c r="N39" i="21"/>
  <c r="N32" i="21"/>
  <c r="N38" i="21"/>
  <c r="N41" i="21"/>
  <c r="N29" i="21"/>
  <c r="P21" i="21"/>
  <c r="P39" i="21" s="1"/>
  <c r="H40" i="22"/>
  <c r="J53" i="22"/>
  <c r="C71" i="22" s="1"/>
  <c r="X40" i="21"/>
  <c r="J80" i="7"/>
  <c r="J21" i="9" s="1"/>
  <c r="C49" i="22"/>
  <c r="C43" i="22"/>
  <c r="C45" i="22"/>
  <c r="C47" i="22"/>
  <c r="C52" i="22"/>
  <c r="C46" i="22"/>
  <c r="C44" i="22"/>
  <c r="C50" i="22"/>
  <c r="C48" i="22"/>
  <c r="C42" i="22"/>
  <c r="B64" i="22"/>
  <c r="C51" i="22"/>
  <c r="X23" i="21"/>
  <c r="X25" i="21"/>
  <c r="X24" i="21"/>
  <c r="X26" i="21"/>
  <c r="X30" i="21"/>
  <c r="X41" i="21"/>
  <c r="X39" i="21"/>
  <c r="X37" i="21"/>
  <c r="X31" i="21"/>
  <c r="X27" i="21"/>
  <c r="X38" i="21"/>
  <c r="X35" i="21"/>
  <c r="X33" i="21"/>
  <c r="X36" i="21"/>
  <c r="X42" i="21"/>
  <c r="X28" i="21"/>
  <c r="X32" i="21"/>
  <c r="X34" i="21"/>
  <c r="X29" i="21"/>
  <c r="B65" i="22"/>
  <c r="D51" i="22"/>
  <c r="D52" i="22"/>
  <c r="D50" i="22"/>
  <c r="D48" i="22"/>
  <c r="D46" i="22"/>
  <c r="D44" i="22"/>
  <c r="D42" i="22"/>
  <c r="D45" i="22"/>
  <c r="D47" i="22"/>
  <c r="D43" i="22"/>
  <c r="D49" i="22"/>
  <c r="U43" i="21"/>
  <c r="F22" i="20"/>
  <c r="G22" i="20" s="1"/>
  <c r="K49" i="20" s="1"/>
  <c r="K53" i="22"/>
  <c r="C72" i="22" s="1"/>
  <c r="B53" i="22"/>
  <c r="C63" i="22" s="1"/>
  <c r="I40" i="22"/>
  <c r="V21" i="21"/>
  <c r="F18" i="20"/>
  <c r="G18" i="20" s="1"/>
  <c r="K47" i="20" s="1"/>
  <c r="B12" i="21"/>
  <c r="D12" i="21" s="1"/>
  <c r="F12" i="21" s="1"/>
  <c r="AB30" i="21"/>
  <c r="AB43" i="21" s="1"/>
  <c r="AA43" i="21"/>
  <c r="AC30" i="21"/>
  <c r="B14" i="20"/>
  <c r="F30" i="20"/>
  <c r="J83" i="7"/>
  <c r="J24" i="9" s="1"/>
  <c r="B8" i="21"/>
  <c r="I39" i="21"/>
  <c r="J39" i="21" s="1"/>
  <c r="I27" i="21"/>
  <c r="O43" i="21"/>
  <c r="H40" i="21"/>
  <c r="H28" i="21"/>
  <c r="H34" i="21"/>
  <c r="H31" i="21"/>
  <c r="H36" i="21"/>
  <c r="H27" i="21"/>
  <c r="H29" i="21"/>
  <c r="H30" i="21"/>
  <c r="H38" i="21"/>
  <c r="H32" i="21"/>
  <c r="H39" i="21"/>
  <c r="H24" i="21"/>
  <c r="H26" i="21"/>
  <c r="H25" i="21"/>
  <c r="B15" i="21"/>
  <c r="D15" i="21" s="1"/>
  <c r="F15" i="21" s="1"/>
  <c r="I15" i="21" s="1"/>
  <c r="Y29" i="21" s="1"/>
  <c r="F21" i="20"/>
  <c r="G21" i="20" s="1"/>
  <c r="K48" i="20" s="1"/>
  <c r="N33" i="21"/>
  <c r="M43" i="21"/>
  <c r="J23" i="21"/>
  <c r="J42" i="21"/>
  <c r="J25" i="21"/>
  <c r="J26" i="21"/>
  <c r="J24" i="21"/>
  <c r="J33" i="21"/>
  <c r="J36" i="21"/>
  <c r="J29" i="21"/>
  <c r="J35" i="21"/>
  <c r="J31" i="21"/>
  <c r="J37" i="21"/>
  <c r="J38" i="21"/>
  <c r="J30" i="21"/>
  <c r="J32" i="21"/>
  <c r="J41" i="21"/>
  <c r="J40" i="21"/>
  <c r="J34" i="21"/>
  <c r="J28" i="21"/>
  <c r="L23" i="21"/>
  <c r="L37" i="21"/>
  <c r="L25" i="21"/>
  <c r="L26" i="21"/>
  <c r="L24" i="21"/>
  <c r="L28" i="21"/>
  <c r="L29" i="21"/>
  <c r="L30" i="21"/>
  <c r="L39" i="21"/>
  <c r="L40" i="21"/>
  <c r="L27" i="21"/>
  <c r="L34" i="21"/>
  <c r="L31" i="21"/>
  <c r="L42" i="21"/>
  <c r="L33" i="21"/>
  <c r="L32" i="21"/>
  <c r="L35" i="21"/>
  <c r="L36" i="21"/>
  <c r="L38" i="21"/>
  <c r="F53" i="22"/>
  <c r="C67" i="22" s="1"/>
  <c r="G8" i="21"/>
  <c r="F13" i="16"/>
  <c r="N31" i="22" l="1"/>
  <c r="N30" i="22"/>
  <c r="N32" i="22" s="1"/>
  <c r="F6" i="21"/>
  <c r="I6" i="21" s="1"/>
  <c r="G35" i="21" s="1"/>
  <c r="H35" i="21" s="1"/>
  <c r="F11" i="21"/>
  <c r="I11" i="21" s="1"/>
  <c r="Q26" i="21" s="1"/>
  <c r="R26" i="21" s="1"/>
  <c r="R32" i="21"/>
  <c r="R30" i="21"/>
  <c r="R39" i="21"/>
  <c r="R31" i="21"/>
  <c r="R27" i="21"/>
  <c r="R23" i="21"/>
  <c r="R34" i="21"/>
  <c r="R29" i="21"/>
  <c r="R25" i="21"/>
  <c r="R35" i="21"/>
  <c r="R37" i="21"/>
  <c r="R28" i="21"/>
  <c r="R42" i="21"/>
  <c r="R24" i="21"/>
  <c r="R36" i="21"/>
  <c r="R33" i="21"/>
  <c r="R40" i="21"/>
  <c r="R38" i="21"/>
  <c r="R41" i="21"/>
  <c r="N43" i="21"/>
  <c r="J27" i="21"/>
  <c r="J43" i="21" s="1"/>
  <c r="I43" i="21"/>
  <c r="V37" i="21"/>
  <c r="V32" i="21"/>
  <c r="V29" i="21"/>
  <c r="V42" i="21"/>
  <c r="V39" i="21"/>
  <c r="V33" i="21"/>
  <c r="V34" i="21"/>
  <c r="V36" i="21"/>
  <c r="V28" i="21"/>
  <c r="V40" i="21"/>
  <c r="V35" i="21"/>
  <c r="V38" i="21"/>
  <c r="V26" i="21"/>
  <c r="V23" i="21"/>
  <c r="V25" i="21"/>
  <c r="V30" i="21"/>
  <c r="V24" i="21"/>
  <c r="V41" i="21"/>
  <c r="V31" i="21"/>
  <c r="X43" i="21"/>
  <c r="I42" i="22"/>
  <c r="I50" i="22"/>
  <c r="I43" i="22"/>
  <c r="I47" i="22"/>
  <c r="I44" i="22"/>
  <c r="I48" i="22"/>
  <c r="I46" i="22"/>
  <c r="I52" i="22"/>
  <c r="I45" i="22"/>
  <c r="I49" i="22"/>
  <c r="B70" i="22"/>
  <c r="I51" i="22"/>
  <c r="D53" i="22"/>
  <c r="C65" i="22" s="1"/>
  <c r="J85" i="7"/>
  <c r="P23" i="21"/>
  <c r="P24" i="21"/>
  <c r="P26" i="21"/>
  <c r="P25" i="21"/>
  <c r="P29" i="21"/>
  <c r="P36" i="21"/>
  <c r="P28" i="21"/>
  <c r="P40" i="21"/>
  <c r="P37" i="21"/>
  <c r="P30" i="21"/>
  <c r="P35" i="21"/>
  <c r="P32" i="21"/>
  <c r="P38" i="21"/>
  <c r="P33" i="21"/>
  <c r="P42" i="21"/>
  <c r="P34" i="21"/>
  <c r="P31" i="21"/>
  <c r="P27" i="21"/>
  <c r="P41" i="21"/>
  <c r="F14" i="20"/>
  <c r="B5" i="21"/>
  <c r="D5" i="21" s="1"/>
  <c r="F5" i="21" s="1"/>
  <c r="I5" i="21" s="1"/>
  <c r="V27" i="21"/>
  <c r="B69" i="22"/>
  <c r="H51" i="22"/>
  <c r="H52" i="22"/>
  <c r="H50" i="22"/>
  <c r="H48" i="22"/>
  <c r="H44" i="22"/>
  <c r="H42" i="22"/>
  <c r="H46" i="22"/>
  <c r="H43" i="22"/>
  <c r="H45" i="22"/>
  <c r="H47" i="22"/>
  <c r="H49" i="22"/>
  <c r="F8" i="21"/>
  <c r="Z29" i="21"/>
  <c r="Z43" i="21" s="1"/>
  <c r="Y43" i="21"/>
  <c r="AC29" i="21"/>
  <c r="J26" i="9"/>
  <c r="C53" i="22"/>
  <c r="C64" i="22" s="1"/>
  <c r="H8" i="21"/>
  <c r="F40" i="16"/>
  <c r="D9" i="13"/>
  <c r="G12" i="21" l="1"/>
  <c r="I12" i="21" s="1"/>
  <c r="S28" i="21" s="1"/>
  <c r="B72" i="22"/>
  <c r="N34" i="22"/>
  <c r="G33" i="21"/>
  <c r="H33" i="21" s="1"/>
  <c r="G41" i="21"/>
  <c r="H41" i="21" s="1"/>
  <c r="G37" i="21"/>
  <c r="H37" i="21" s="1"/>
  <c r="G23" i="21"/>
  <c r="H23" i="21" s="1"/>
  <c r="G42" i="21"/>
  <c r="H42" i="21" s="1"/>
  <c r="AD26" i="21"/>
  <c r="AE26" i="21" s="1"/>
  <c r="L68" i="7" s="1"/>
  <c r="L9" i="9" s="1"/>
  <c r="AC26" i="21"/>
  <c r="Q43" i="21"/>
  <c r="AD31" i="21"/>
  <c r="AE31" i="21" s="1"/>
  <c r="L73" i="7" s="1"/>
  <c r="L14" i="9" s="1"/>
  <c r="B73" i="22"/>
  <c r="I8" i="21"/>
  <c r="K41" i="21" s="1"/>
  <c r="L41" i="21" s="1"/>
  <c r="R43" i="21"/>
  <c r="AD29" i="21"/>
  <c r="AE29" i="21" s="1"/>
  <c r="L71" i="7" s="1"/>
  <c r="L12" i="9" s="1"/>
  <c r="AD25" i="21"/>
  <c r="AE25" i="21" s="1"/>
  <c r="L67" i="7" s="1"/>
  <c r="L8" i="9" s="1"/>
  <c r="AD34" i="21"/>
  <c r="AE34" i="21" s="1"/>
  <c r="L76" i="7" s="1"/>
  <c r="L17" i="9" s="1"/>
  <c r="AD32" i="21"/>
  <c r="AE32" i="21" s="1"/>
  <c r="L74" i="7" s="1"/>
  <c r="L15" i="9" s="1"/>
  <c r="AD24" i="21"/>
  <c r="AE24" i="21" s="1"/>
  <c r="L66" i="7" s="1"/>
  <c r="L7" i="9" s="1"/>
  <c r="AD30" i="21"/>
  <c r="AE30" i="21" s="1"/>
  <c r="L72" i="7" s="1"/>
  <c r="L13" i="9" s="1"/>
  <c r="P43" i="21"/>
  <c r="F20" i="20"/>
  <c r="G20" i="20" s="1"/>
  <c r="K59" i="20" s="1"/>
  <c r="F15" i="20"/>
  <c r="G15" i="20" s="1"/>
  <c r="F16" i="20"/>
  <c r="G14" i="20"/>
  <c r="E39" i="21"/>
  <c r="E35" i="21"/>
  <c r="E27" i="21"/>
  <c r="E23" i="21"/>
  <c r="E41" i="21"/>
  <c r="F41" i="21" s="1"/>
  <c r="E33" i="21"/>
  <c r="E42" i="21"/>
  <c r="E38" i="21"/>
  <c r="E37" i="21"/>
  <c r="E36" i="21"/>
  <c r="E40" i="21"/>
  <c r="V43" i="21"/>
  <c r="H53" i="22"/>
  <c r="C69" i="22" s="1"/>
  <c r="I53" i="22"/>
  <c r="C70" i="22" s="1"/>
  <c r="F45" i="16"/>
  <c r="B67" i="16"/>
  <c r="F49" i="16"/>
  <c r="C84" i="7"/>
  <c r="C25" i="9" s="1"/>
  <c r="C83" i="7"/>
  <c r="C24" i="9" s="1"/>
  <c r="C82" i="7"/>
  <c r="C23" i="9" s="1"/>
  <c r="C81" i="7"/>
  <c r="C22" i="9" s="1"/>
  <c r="C80" i="7"/>
  <c r="C21" i="9" s="1"/>
  <c r="C79" i="7"/>
  <c r="C20" i="9" s="1"/>
  <c r="C78" i="7"/>
  <c r="C19" i="9" s="1"/>
  <c r="C77" i="7"/>
  <c r="C18" i="9" s="1"/>
  <c r="C76" i="7"/>
  <c r="C17" i="9" s="1"/>
  <c r="C75" i="7"/>
  <c r="C16" i="9" s="1"/>
  <c r="C74" i="7"/>
  <c r="C15" i="9" s="1"/>
  <c r="C73" i="7"/>
  <c r="C14" i="9" s="1"/>
  <c r="C72" i="7"/>
  <c r="C13" i="9" s="1"/>
  <c r="C71" i="7"/>
  <c r="C12" i="9" s="1"/>
  <c r="C70" i="7"/>
  <c r="C11" i="9" s="1"/>
  <c r="C69" i="7"/>
  <c r="C10" i="9" s="1"/>
  <c r="C68" i="7"/>
  <c r="C9" i="9" s="1"/>
  <c r="C67" i="7"/>
  <c r="C8" i="9" s="1"/>
  <c r="C66" i="7"/>
  <c r="C7" i="9" s="1"/>
  <c r="C65" i="7"/>
  <c r="C6" i="9" s="1"/>
  <c r="B84" i="7"/>
  <c r="B25" i="9" s="1"/>
  <c r="B83" i="7"/>
  <c r="B24" i="9" s="1"/>
  <c r="B82" i="7"/>
  <c r="B23" i="9" s="1"/>
  <c r="B81" i="7"/>
  <c r="B22" i="9" s="1"/>
  <c r="B80" i="7"/>
  <c r="B21" i="9" s="1"/>
  <c r="B79" i="7"/>
  <c r="B20" i="9" s="1"/>
  <c r="B78" i="7"/>
  <c r="B19" i="9" s="1"/>
  <c r="B77" i="7"/>
  <c r="B18" i="9" s="1"/>
  <c r="B76" i="7"/>
  <c r="B17" i="9" s="1"/>
  <c r="B75" i="7"/>
  <c r="B16" i="9" s="1"/>
  <c r="B74" i="7"/>
  <c r="B15" i="9" s="1"/>
  <c r="B73" i="7"/>
  <c r="B14" i="9" s="1"/>
  <c r="B72" i="7"/>
  <c r="B13" i="9" s="1"/>
  <c r="B71" i="7"/>
  <c r="B12" i="9" s="1"/>
  <c r="B70" i="7"/>
  <c r="B11" i="9" s="1"/>
  <c r="B69" i="7"/>
  <c r="B10" i="9" s="1"/>
  <c r="B68" i="7"/>
  <c r="B9" i="9" s="1"/>
  <c r="B67" i="7"/>
  <c r="B8" i="9" s="1"/>
  <c r="B66" i="7"/>
  <c r="B7" i="9" s="1"/>
  <c r="B65" i="7"/>
  <c r="B6" i="9" s="1"/>
  <c r="C56" i="7"/>
  <c r="C54" i="7"/>
  <c r="C53" i="7"/>
  <c r="C52" i="7"/>
  <c r="C51" i="7"/>
  <c r="C50" i="7"/>
  <c r="B38" i="7"/>
  <c r="B37" i="7"/>
  <c r="B36" i="7"/>
  <c r="B35" i="7"/>
  <c r="B34" i="7"/>
  <c r="B33" i="7"/>
  <c r="B32" i="7"/>
  <c r="B31" i="7"/>
  <c r="B30" i="7"/>
  <c r="B29" i="7"/>
  <c r="B28" i="7"/>
  <c r="B27" i="7"/>
  <c r="B26" i="7"/>
  <c r="B25" i="7"/>
  <c r="B24" i="7"/>
  <c r="B19" i="7"/>
  <c r="B18" i="7"/>
  <c r="B17" i="7"/>
  <c r="B16" i="7"/>
  <c r="B15" i="7"/>
  <c r="B14" i="7"/>
  <c r="B13" i="7"/>
  <c r="B12" i="7"/>
  <c r="B11" i="7"/>
  <c r="B10" i="7"/>
  <c r="B9" i="7"/>
  <c r="B8" i="7"/>
  <c r="B7" i="7"/>
  <c r="B6" i="7"/>
  <c r="B5" i="7"/>
  <c r="H43" i="21" l="1"/>
  <c r="S43" i="21"/>
  <c r="AC28" i="21"/>
  <c r="T28" i="21"/>
  <c r="AF26" i="21"/>
  <c r="K43" i="21"/>
  <c r="G43" i="21"/>
  <c r="AF29" i="21"/>
  <c r="AF30" i="21"/>
  <c r="AC39" i="21"/>
  <c r="F39" i="21"/>
  <c r="AD39" i="21" s="1"/>
  <c r="AE39" i="21" s="1"/>
  <c r="L81" i="7" s="1"/>
  <c r="L22" i="9" s="1"/>
  <c r="AC38" i="21"/>
  <c r="F38" i="21"/>
  <c r="AD38" i="21" s="1"/>
  <c r="AE38" i="21" s="1"/>
  <c r="L80" i="7" s="1"/>
  <c r="L21" i="9" s="1"/>
  <c r="F23" i="21"/>
  <c r="E43" i="21"/>
  <c r="AC23" i="21"/>
  <c r="K57" i="20"/>
  <c r="K55" i="20"/>
  <c r="AC37" i="21"/>
  <c r="F37" i="21"/>
  <c r="AD37" i="21" s="1"/>
  <c r="AE37" i="21" s="1"/>
  <c r="L79" i="7" s="1"/>
  <c r="L20" i="9" s="1"/>
  <c r="AC41" i="21"/>
  <c r="C73" i="22"/>
  <c r="F40" i="21"/>
  <c r="AD40" i="21" s="1"/>
  <c r="AE40" i="21" s="1"/>
  <c r="L82" i="7" s="1"/>
  <c r="L23" i="9" s="1"/>
  <c r="AC40" i="21"/>
  <c r="F42" i="21"/>
  <c r="AD42" i="21" s="1"/>
  <c r="AE42" i="21" s="1"/>
  <c r="L84" i="7" s="1"/>
  <c r="L25" i="9" s="1"/>
  <c r="AC42" i="21"/>
  <c r="F27" i="21"/>
  <c r="AD27" i="21" s="1"/>
  <c r="AE27" i="21" s="1"/>
  <c r="L69" i="7" s="1"/>
  <c r="L10" i="9" s="1"/>
  <c r="AC27" i="21"/>
  <c r="F17" i="20"/>
  <c r="G17" i="20" s="1"/>
  <c r="K58" i="20" s="1"/>
  <c r="F19" i="20"/>
  <c r="G19" i="20" s="1"/>
  <c r="K46" i="20" s="1"/>
  <c r="G16" i="20"/>
  <c r="AC36" i="21"/>
  <c r="F36" i="21"/>
  <c r="AD36" i="21" s="1"/>
  <c r="AE36" i="21" s="1"/>
  <c r="L78" i="7" s="1"/>
  <c r="L19" i="9" s="1"/>
  <c r="F33" i="21"/>
  <c r="AD33" i="21" s="1"/>
  <c r="AE33" i="21" s="1"/>
  <c r="L75" i="7" s="1"/>
  <c r="L16" i="9" s="1"/>
  <c r="AC33" i="21"/>
  <c r="AC35" i="21"/>
  <c r="F35" i="21"/>
  <c r="AD35" i="21" s="1"/>
  <c r="AE35" i="21" s="1"/>
  <c r="L77" i="7" s="1"/>
  <c r="L18" i="9" s="1"/>
  <c r="K54" i="20"/>
  <c r="K42" i="20"/>
  <c r="B30" i="20"/>
  <c r="G30" i="20" s="1"/>
  <c r="K60" i="20" s="1"/>
  <c r="K56" i="20"/>
  <c r="K61" i="20"/>
  <c r="B33" i="20"/>
  <c r="G33" i="20" s="1"/>
  <c r="K52" i="20" s="1"/>
  <c r="L43" i="21"/>
  <c r="AD41" i="21"/>
  <c r="AF41" i="21" s="1"/>
  <c r="B85" i="7"/>
  <c r="B45" i="5"/>
  <c r="B8" i="1"/>
  <c r="T43" i="21" l="1"/>
  <c r="AD28" i="21"/>
  <c r="AF33" i="21"/>
  <c r="AF35" i="21"/>
  <c r="AF39" i="21"/>
  <c r="AF38" i="21"/>
  <c r="AF36" i="21"/>
  <c r="AF42" i="21"/>
  <c r="AF37" i="21"/>
  <c r="F43" i="21"/>
  <c r="AD23" i="21"/>
  <c r="AE23" i="21" s="1"/>
  <c r="L65" i="7" s="1"/>
  <c r="AF27" i="21"/>
  <c r="AF40" i="21"/>
  <c r="AE41" i="21"/>
  <c r="L83" i="7" s="1"/>
  <c r="L24" i="9" s="1"/>
  <c r="K81" i="7"/>
  <c r="K30" i="20"/>
  <c r="K78" i="7"/>
  <c r="K71" i="7"/>
  <c r="K72" i="7"/>
  <c r="K82" i="7"/>
  <c r="K76" i="7"/>
  <c r="K66" i="7"/>
  <c r="K80" i="7"/>
  <c r="K73" i="7"/>
  <c r="K74" i="7"/>
  <c r="K67" i="7"/>
  <c r="AE28" i="21" l="1"/>
  <c r="L70" i="7" s="1"/>
  <c r="L11" i="9" s="1"/>
  <c r="AF28" i="21"/>
  <c r="L6" i="9"/>
  <c r="AD43" i="21"/>
  <c r="AF23" i="21"/>
  <c r="K83" i="7"/>
  <c r="K70" i="7"/>
  <c r="K22" i="9"/>
  <c r="M81" i="7"/>
  <c r="M22" i="9" s="1"/>
  <c r="K15" i="9"/>
  <c r="M74" i="7"/>
  <c r="M15" i="9" s="1"/>
  <c r="K21" i="9"/>
  <c r="M80" i="7"/>
  <c r="M21" i="9" s="1"/>
  <c r="K17" i="9"/>
  <c r="M76" i="7"/>
  <c r="M17" i="9" s="1"/>
  <c r="K13" i="9"/>
  <c r="M72" i="7"/>
  <c r="M13" i="9" s="1"/>
  <c r="K19" i="9"/>
  <c r="M78" i="7"/>
  <c r="M19" i="9" s="1"/>
  <c r="K68" i="7"/>
  <c r="K65" i="7"/>
  <c r="M65" i="7" s="1"/>
  <c r="K69" i="7"/>
  <c r="K28" i="20"/>
  <c r="K8" i="9"/>
  <c r="M67" i="7"/>
  <c r="M8" i="9" s="1"/>
  <c r="K14" i="9"/>
  <c r="M73" i="7"/>
  <c r="M14" i="9" s="1"/>
  <c r="K7" i="9"/>
  <c r="M66" i="7"/>
  <c r="M7" i="9" s="1"/>
  <c r="K23" i="9"/>
  <c r="M82" i="7"/>
  <c r="M23" i="9" s="1"/>
  <c r="K12" i="9"/>
  <c r="M71" i="7"/>
  <c r="M12" i="9" s="1"/>
  <c r="K10" i="9" l="1"/>
  <c r="M69" i="7"/>
  <c r="M10" i="9" s="1"/>
  <c r="K79" i="7"/>
  <c r="K11" i="9"/>
  <c r="M70" i="7"/>
  <c r="M11" i="9" s="1"/>
  <c r="K77" i="7"/>
  <c r="K75" i="7"/>
  <c r="K29" i="20"/>
  <c r="K31" i="20" s="1"/>
  <c r="K84" i="7"/>
  <c r="K9" i="9"/>
  <c r="M68" i="7"/>
  <c r="M9" i="9" s="1"/>
  <c r="K24" i="9"/>
  <c r="M83" i="7"/>
  <c r="M24" i="9" s="1"/>
  <c r="AA42" i="15"/>
  <c r="AA41" i="15"/>
  <c r="AA40" i="15"/>
  <c r="AA39" i="15"/>
  <c r="AA38" i="15"/>
  <c r="AA37" i="15"/>
  <c r="AA36" i="15"/>
  <c r="AA35" i="15"/>
  <c r="AA34" i="15"/>
  <c r="AA33" i="15"/>
  <c r="AA32" i="15"/>
  <c r="AA31" i="15"/>
  <c r="AA29" i="15"/>
  <c r="AA28" i="15"/>
  <c r="AA27" i="15"/>
  <c r="AA26" i="15"/>
  <c r="AA25" i="15"/>
  <c r="AA24" i="15"/>
  <c r="AA23" i="15"/>
  <c r="Y42" i="15"/>
  <c r="Y41" i="15"/>
  <c r="Y40" i="15"/>
  <c r="Y39" i="15"/>
  <c r="Y38" i="15"/>
  <c r="Y37" i="15"/>
  <c r="Y36" i="15"/>
  <c r="Y35" i="15"/>
  <c r="Y34" i="15"/>
  <c r="Y33" i="15"/>
  <c r="Y32" i="15"/>
  <c r="Y31" i="15"/>
  <c r="Y30" i="15"/>
  <c r="Y28" i="15"/>
  <c r="Y27" i="15"/>
  <c r="Y26" i="15"/>
  <c r="Y25" i="15"/>
  <c r="Y24" i="15"/>
  <c r="Y23" i="15"/>
  <c r="W42" i="15"/>
  <c r="W41" i="15"/>
  <c r="W39" i="15"/>
  <c r="W38" i="15"/>
  <c r="W37" i="15"/>
  <c r="W36" i="15"/>
  <c r="W35" i="15"/>
  <c r="W34" i="15"/>
  <c r="W33" i="15"/>
  <c r="W32" i="15"/>
  <c r="W31" i="15"/>
  <c r="W30" i="15"/>
  <c r="W29" i="15"/>
  <c r="W28" i="15"/>
  <c r="W27" i="15"/>
  <c r="W26" i="15"/>
  <c r="W25" i="15"/>
  <c r="W24" i="15"/>
  <c r="W23" i="15"/>
  <c r="U42" i="15"/>
  <c r="U41" i="15"/>
  <c r="U40" i="15"/>
  <c r="U39" i="15"/>
  <c r="U38" i="15"/>
  <c r="U37" i="15"/>
  <c r="U36" i="15"/>
  <c r="U35" i="15"/>
  <c r="U34" i="15"/>
  <c r="U33" i="15"/>
  <c r="U32" i="15"/>
  <c r="U31" i="15"/>
  <c r="U30" i="15"/>
  <c r="U29" i="15"/>
  <c r="U28" i="15"/>
  <c r="U26" i="15"/>
  <c r="U25" i="15"/>
  <c r="U24" i="15"/>
  <c r="U23" i="15"/>
  <c r="S42" i="15"/>
  <c r="S41" i="15"/>
  <c r="S40" i="15"/>
  <c r="S39" i="15"/>
  <c r="S38" i="15"/>
  <c r="S37" i="15"/>
  <c r="S36" i="15"/>
  <c r="S35" i="15"/>
  <c r="S34" i="15"/>
  <c r="S33" i="15"/>
  <c r="S32" i="15"/>
  <c r="S31" i="15"/>
  <c r="S30" i="15"/>
  <c r="S29" i="15"/>
  <c r="S27" i="15"/>
  <c r="S26" i="15"/>
  <c r="S25" i="15"/>
  <c r="S24" i="15"/>
  <c r="S23" i="15"/>
  <c r="Q42" i="15"/>
  <c r="Q41" i="15"/>
  <c r="Q40" i="15"/>
  <c r="Q39" i="15"/>
  <c r="Q38" i="15"/>
  <c r="Q37" i="15"/>
  <c r="Q36" i="15"/>
  <c r="Q35" i="15"/>
  <c r="Q34" i="15"/>
  <c r="Q33" i="15"/>
  <c r="Q32" i="15"/>
  <c r="Q31" i="15"/>
  <c r="Q30" i="15"/>
  <c r="Q29" i="15"/>
  <c r="Q28" i="15"/>
  <c r="Q27" i="15"/>
  <c r="Q25" i="15"/>
  <c r="Q24" i="15"/>
  <c r="Q23" i="15"/>
  <c r="O42" i="15"/>
  <c r="O41" i="15"/>
  <c r="O40" i="15"/>
  <c r="O38" i="15"/>
  <c r="O37" i="15"/>
  <c r="O36" i="15"/>
  <c r="O35" i="15"/>
  <c r="O34" i="15"/>
  <c r="O33" i="15"/>
  <c r="O32" i="15"/>
  <c r="O31" i="15"/>
  <c r="O30" i="15"/>
  <c r="O29" i="15"/>
  <c r="O28" i="15"/>
  <c r="O27" i="15"/>
  <c r="O26" i="15"/>
  <c r="O25" i="15"/>
  <c r="O24" i="15"/>
  <c r="O23" i="15"/>
  <c r="M42" i="15"/>
  <c r="M41" i="15"/>
  <c r="M40" i="15"/>
  <c r="M39" i="15"/>
  <c r="M38" i="15"/>
  <c r="M37" i="15"/>
  <c r="M36" i="15"/>
  <c r="M35" i="15"/>
  <c r="M34" i="15"/>
  <c r="M32" i="15"/>
  <c r="M31" i="15"/>
  <c r="M30" i="15"/>
  <c r="M29" i="15"/>
  <c r="M28" i="15"/>
  <c r="M27" i="15"/>
  <c r="M26" i="15"/>
  <c r="M25" i="15"/>
  <c r="M24" i="15"/>
  <c r="M23" i="15"/>
  <c r="K42" i="15"/>
  <c r="K40" i="15"/>
  <c r="K39" i="15"/>
  <c r="K38" i="15"/>
  <c r="K37" i="15"/>
  <c r="K36" i="15"/>
  <c r="K35" i="15"/>
  <c r="K34" i="15"/>
  <c r="K33" i="15"/>
  <c r="K32" i="15"/>
  <c r="K31" i="15"/>
  <c r="K30" i="15"/>
  <c r="K29" i="15"/>
  <c r="K28" i="15"/>
  <c r="K27" i="15"/>
  <c r="K26" i="15"/>
  <c r="K25" i="15"/>
  <c r="K24" i="15"/>
  <c r="K23" i="15"/>
  <c r="I42" i="15"/>
  <c r="I41" i="15"/>
  <c r="I40" i="15"/>
  <c r="I38" i="15"/>
  <c r="I37" i="15"/>
  <c r="I36" i="15"/>
  <c r="I35" i="15"/>
  <c r="I34" i="15"/>
  <c r="I33" i="15"/>
  <c r="I32" i="15"/>
  <c r="I31" i="15"/>
  <c r="I30" i="15"/>
  <c r="I29" i="15"/>
  <c r="I28" i="15"/>
  <c r="I26" i="15"/>
  <c r="I25" i="15"/>
  <c r="I24" i="15"/>
  <c r="I23" i="15"/>
  <c r="G40" i="15"/>
  <c r="G39" i="15"/>
  <c r="G38" i="15"/>
  <c r="G36" i="15"/>
  <c r="G34" i="15"/>
  <c r="G32" i="15"/>
  <c r="G31" i="15"/>
  <c r="G30" i="15"/>
  <c r="G29" i="15"/>
  <c r="G28" i="15"/>
  <c r="G27" i="15"/>
  <c r="G26" i="15"/>
  <c r="G25" i="15"/>
  <c r="G24" i="15"/>
  <c r="E34" i="15"/>
  <c r="E32" i="15"/>
  <c r="E31" i="15"/>
  <c r="E30" i="15"/>
  <c r="E29" i="15"/>
  <c r="E28" i="15"/>
  <c r="E26" i="15"/>
  <c r="E25" i="15"/>
  <c r="E24" i="15"/>
  <c r="G53" i="14"/>
  <c r="G49" i="14"/>
  <c r="G43" i="14"/>
  <c r="F42" i="14"/>
  <c r="G59" i="14"/>
  <c r="E59" i="14"/>
  <c r="E36" i="14"/>
  <c r="E35" i="14"/>
  <c r="E34" i="14"/>
  <c r="E33" i="14"/>
  <c r="E32" i="14"/>
  <c r="E29" i="14"/>
  <c r="E28" i="14"/>
  <c r="K6" i="9" l="1"/>
  <c r="M6" i="9"/>
  <c r="K25" i="9"/>
  <c r="M84" i="7"/>
  <c r="M25" i="9" s="1"/>
  <c r="K16" i="9"/>
  <c r="M75" i="7"/>
  <c r="M16" i="9" s="1"/>
  <c r="K18" i="9"/>
  <c r="M77" i="7"/>
  <c r="M18" i="9" s="1"/>
  <c r="K20" i="9"/>
  <c r="M79" i="7"/>
  <c r="M20" i="9" s="1"/>
  <c r="E22" i="14"/>
  <c r="E21" i="14"/>
  <c r="E20" i="14"/>
  <c r="E19" i="14"/>
  <c r="E18" i="14"/>
  <c r="E17" i="14"/>
  <c r="E16" i="14"/>
  <c r="E15" i="14"/>
  <c r="E14" i="14"/>
  <c r="E13" i="14"/>
  <c r="B7" i="1" l="1"/>
  <c r="G12" i="15"/>
  <c r="G16" i="15"/>
  <c r="G10" i="15"/>
  <c r="G9" i="15"/>
  <c r="G7" i="15"/>
  <c r="G6" i="15"/>
  <c r="G5" i="15"/>
  <c r="M20" i="16"/>
  <c r="L20" i="16"/>
  <c r="K20" i="16"/>
  <c r="J20" i="16"/>
  <c r="I20" i="16"/>
  <c r="H20" i="16"/>
  <c r="G20" i="16"/>
  <c r="E20" i="16"/>
  <c r="D20" i="16"/>
  <c r="C20" i="16"/>
  <c r="B20" i="16"/>
  <c r="M13" i="16"/>
  <c r="L13" i="16"/>
  <c r="K13" i="16"/>
  <c r="J13" i="16"/>
  <c r="I13" i="16"/>
  <c r="H13" i="16"/>
  <c r="H34" i="16" s="1"/>
  <c r="G13" i="16"/>
  <c r="G34" i="16" s="1"/>
  <c r="E13" i="16"/>
  <c r="D13" i="16"/>
  <c r="C13" i="16"/>
  <c r="B13" i="16"/>
  <c r="E62" i="14"/>
  <c r="F61" i="14"/>
  <c r="F60" i="14"/>
  <c r="F59" i="14"/>
  <c r="F58" i="14"/>
  <c r="F57" i="14"/>
  <c r="F56" i="14"/>
  <c r="F55" i="14"/>
  <c r="F54" i="14"/>
  <c r="F52" i="14"/>
  <c r="F51" i="14"/>
  <c r="F50" i="14"/>
  <c r="F48" i="14"/>
  <c r="F47" i="14"/>
  <c r="F46" i="14"/>
  <c r="F45" i="14"/>
  <c r="F44" i="14"/>
  <c r="G62" i="14"/>
  <c r="J31" i="14"/>
  <c r="E30" i="14"/>
  <c r="I95" i="13"/>
  <c r="H95" i="13"/>
  <c r="F95" i="13"/>
  <c r="E95" i="13"/>
  <c r="D95" i="13"/>
  <c r="B94" i="13"/>
  <c r="B93" i="13"/>
  <c r="B92" i="13"/>
  <c r="B91" i="13"/>
  <c r="B90" i="13"/>
  <c r="B89" i="13"/>
  <c r="B88" i="13"/>
  <c r="B87" i="13"/>
  <c r="B86" i="13"/>
  <c r="B85" i="13"/>
  <c r="B84" i="13"/>
  <c r="B83" i="13"/>
  <c r="B82" i="13"/>
  <c r="B81" i="13"/>
  <c r="B80" i="13"/>
  <c r="B95" i="13" s="1"/>
  <c r="C75" i="13"/>
  <c r="B75" i="13"/>
  <c r="C74" i="13"/>
  <c r="B74" i="13"/>
  <c r="C73" i="13"/>
  <c r="B73" i="13"/>
  <c r="C72" i="13"/>
  <c r="B72" i="13"/>
  <c r="C71" i="13"/>
  <c r="B71" i="13"/>
  <c r="C70" i="13"/>
  <c r="B70" i="13"/>
  <c r="C69" i="13"/>
  <c r="B69" i="13"/>
  <c r="C68" i="13"/>
  <c r="B68" i="13"/>
  <c r="C67" i="13"/>
  <c r="B67" i="13"/>
  <c r="C66" i="13"/>
  <c r="B66" i="13"/>
  <c r="C65" i="13"/>
  <c r="B65" i="13"/>
  <c r="C64" i="13"/>
  <c r="B64" i="13"/>
  <c r="C63" i="13"/>
  <c r="B63" i="13"/>
  <c r="C62" i="13"/>
  <c r="B62" i="13"/>
  <c r="C61" i="13"/>
  <c r="B61" i="13"/>
  <c r="D57" i="13"/>
  <c r="C58" i="7" s="1"/>
  <c r="D56" i="13"/>
  <c r="C57" i="7" s="1"/>
  <c r="D55" i="13"/>
  <c r="D54" i="13"/>
  <c r="C55" i="7" s="1"/>
  <c r="D53" i="13"/>
  <c r="D52" i="13"/>
  <c r="D51" i="13"/>
  <c r="D50" i="13"/>
  <c r="D49" i="13"/>
  <c r="D48" i="13"/>
  <c r="C49" i="7" s="1"/>
  <c r="D47" i="13"/>
  <c r="C48" i="7" s="1"/>
  <c r="D46" i="13"/>
  <c r="C47" i="7" s="1"/>
  <c r="D45" i="13"/>
  <c r="C46" i="7" s="1"/>
  <c r="D44" i="13"/>
  <c r="C45" i="7" s="1"/>
  <c r="D43" i="13"/>
  <c r="C44" i="7" s="1"/>
  <c r="D39" i="13"/>
  <c r="D38" i="13"/>
  <c r="C15" i="15" s="1"/>
  <c r="D37" i="13"/>
  <c r="D36" i="13"/>
  <c r="C13" i="15" s="1"/>
  <c r="D35" i="13"/>
  <c r="D34" i="13"/>
  <c r="D70" i="13" s="1"/>
  <c r="C35" i="14" s="1"/>
  <c r="D33" i="13"/>
  <c r="D32" i="13"/>
  <c r="C10" i="15" s="1"/>
  <c r="D31" i="13"/>
  <c r="D30" i="13"/>
  <c r="D66" i="13" s="1"/>
  <c r="C29" i="14" s="1"/>
  <c r="D29" i="13"/>
  <c r="D28" i="13"/>
  <c r="C7" i="15" s="1"/>
  <c r="D27" i="13"/>
  <c r="C6" i="15" s="1"/>
  <c r="D26" i="13"/>
  <c r="C5" i="15" s="1"/>
  <c r="D25" i="13"/>
  <c r="C13" i="14" s="1"/>
  <c r="B19" i="13"/>
  <c r="D19" i="13" s="1"/>
  <c r="C19" i="7" s="1"/>
  <c r="B18" i="13"/>
  <c r="D18" i="13" s="1"/>
  <c r="B17" i="13"/>
  <c r="D17" i="13" s="1"/>
  <c r="D16" i="13"/>
  <c r="B16" i="13"/>
  <c r="B15" i="13"/>
  <c r="D15" i="13" s="1"/>
  <c r="C15" i="7" s="1"/>
  <c r="D14" i="13"/>
  <c r="B14" i="13"/>
  <c r="B13" i="13"/>
  <c r="D13" i="13" s="1"/>
  <c r="B12" i="13"/>
  <c r="D12" i="13" s="1"/>
  <c r="B11" i="13"/>
  <c r="D11" i="13" s="1"/>
  <c r="C11" i="7" s="1"/>
  <c r="B10" i="13"/>
  <c r="D10" i="13" s="1"/>
  <c r="B9" i="13"/>
  <c r="D8" i="13"/>
  <c r="B8" i="13"/>
  <c r="B7" i="13"/>
  <c r="D7" i="13" s="1"/>
  <c r="C7" i="7" s="1"/>
  <c r="D6" i="13"/>
  <c r="C6" i="7" s="1"/>
  <c r="B6" i="13"/>
  <c r="D5" i="13"/>
  <c r="C5" i="7" s="1"/>
  <c r="B26" i="9"/>
  <c r="C76" i="13" l="1"/>
  <c r="F61" i="13"/>
  <c r="C16" i="14"/>
  <c r="C19" i="14"/>
  <c r="B13" i="14"/>
  <c r="F13" i="14" s="1"/>
  <c r="D75" i="13"/>
  <c r="C16" i="15"/>
  <c r="D74" i="13"/>
  <c r="D73" i="13"/>
  <c r="C14" i="15"/>
  <c r="D72" i="13"/>
  <c r="D71" i="13"/>
  <c r="C12" i="15"/>
  <c r="D69" i="13"/>
  <c r="C34" i="14" s="1"/>
  <c r="C36" i="14" s="1"/>
  <c r="C11" i="15" s="1"/>
  <c r="D34" i="14"/>
  <c r="D35" i="14" s="1"/>
  <c r="D68" i="13"/>
  <c r="D67" i="13"/>
  <c r="C32" i="14" s="1"/>
  <c r="C33" i="14" s="1"/>
  <c r="C9" i="15" s="1"/>
  <c r="D32" i="14"/>
  <c r="D65" i="13"/>
  <c r="C28" i="14" s="1"/>
  <c r="C30" i="14" s="1"/>
  <c r="C8" i="15" s="1"/>
  <c r="D28" i="14"/>
  <c r="D64" i="13"/>
  <c r="D62" i="13"/>
  <c r="C15" i="14"/>
  <c r="C20" i="14"/>
  <c r="D61" i="13"/>
  <c r="C24" i="7"/>
  <c r="D13" i="14"/>
  <c r="E68" i="13"/>
  <c r="C12" i="7"/>
  <c r="E74" i="13"/>
  <c r="C18" i="7"/>
  <c r="C93" i="13"/>
  <c r="G93" i="13" s="1"/>
  <c r="E66" i="13"/>
  <c r="C10" i="7"/>
  <c r="C85" i="13"/>
  <c r="G85" i="13" s="1"/>
  <c r="E70" i="13"/>
  <c r="C14" i="7"/>
  <c r="F70" i="13"/>
  <c r="F69" i="13"/>
  <c r="C13" i="7"/>
  <c r="E61" i="13"/>
  <c r="F62" i="13"/>
  <c r="F64" i="13"/>
  <c r="F72" i="13"/>
  <c r="C17" i="14"/>
  <c r="C21" i="14"/>
  <c r="F65" i="13"/>
  <c r="C9" i="7"/>
  <c r="F73" i="13"/>
  <c r="C17" i="7"/>
  <c r="F68" i="13"/>
  <c r="C87" i="13"/>
  <c r="G87" i="13" s="1"/>
  <c r="E62" i="13"/>
  <c r="C81" i="13"/>
  <c r="G81" i="13" s="1"/>
  <c r="E64" i="13"/>
  <c r="G64" i="13" s="1"/>
  <c r="C8" i="7"/>
  <c r="C91" i="13"/>
  <c r="G91" i="13" s="1"/>
  <c r="C16" i="7"/>
  <c r="E63" i="13"/>
  <c r="F66" i="13"/>
  <c r="E71" i="13"/>
  <c r="F74" i="13"/>
  <c r="C83" i="13"/>
  <c r="G83" i="13" s="1"/>
  <c r="C89" i="13"/>
  <c r="G89" i="13" s="1"/>
  <c r="C14" i="14"/>
  <c r="C18" i="14"/>
  <c r="C22" i="14"/>
  <c r="G13" i="15"/>
  <c r="D34" i="16"/>
  <c r="H6" i="15"/>
  <c r="L34" i="16"/>
  <c r="H16" i="15"/>
  <c r="H7" i="15"/>
  <c r="I34" i="16"/>
  <c r="H9" i="15"/>
  <c r="M34" i="16"/>
  <c r="H12" i="15"/>
  <c r="C34" i="16"/>
  <c r="H5" i="15"/>
  <c r="K34" i="16"/>
  <c r="H13" i="15"/>
  <c r="F34" i="16"/>
  <c r="J34" i="16"/>
  <c r="H10" i="15"/>
  <c r="B8" i="14"/>
  <c r="H45" i="14" s="1"/>
  <c r="I45" i="14" s="1"/>
  <c r="J45" i="14" s="1"/>
  <c r="AC31" i="15"/>
  <c r="AF31" i="15" s="1"/>
  <c r="AC25" i="15"/>
  <c r="AF25" i="15" s="1"/>
  <c r="AC24" i="15"/>
  <c r="AF24" i="15" s="1"/>
  <c r="AC32" i="15"/>
  <c r="AF32" i="15" s="1"/>
  <c r="AC34" i="15"/>
  <c r="AF34" i="15" s="1"/>
  <c r="H53" i="14"/>
  <c r="I53" i="14" s="1"/>
  <c r="J53" i="14" s="1"/>
  <c r="H51" i="14"/>
  <c r="I51" i="14" s="1"/>
  <c r="J51" i="14" s="1"/>
  <c r="H42" i="14"/>
  <c r="I42" i="14" s="1"/>
  <c r="J42" i="14" s="1"/>
  <c r="H60" i="14"/>
  <c r="I60" i="14" s="1"/>
  <c r="J60" i="14" s="1"/>
  <c r="H50" i="14"/>
  <c r="I50" i="14" s="1"/>
  <c r="J50" i="14" s="1"/>
  <c r="H44" i="14"/>
  <c r="I44" i="14" s="1"/>
  <c r="J44" i="14" s="1"/>
  <c r="C94" i="13"/>
  <c r="G94" i="13" s="1"/>
  <c r="F75" i="13"/>
  <c r="E65" i="13"/>
  <c r="E73" i="13"/>
  <c r="G73" i="13" s="1"/>
  <c r="C84" i="13"/>
  <c r="G84" i="13" s="1"/>
  <c r="C86" i="13"/>
  <c r="G86" i="13" s="1"/>
  <c r="F67" i="13"/>
  <c r="C82" i="13"/>
  <c r="G82" i="13" s="1"/>
  <c r="F63" i="13"/>
  <c r="C90" i="13"/>
  <c r="G90" i="13" s="1"/>
  <c r="F71" i="13"/>
  <c r="E67" i="13"/>
  <c r="E75" i="13"/>
  <c r="C88" i="13"/>
  <c r="G88" i="13" s="1"/>
  <c r="G74" i="13"/>
  <c r="E69" i="13"/>
  <c r="C92" i="13"/>
  <c r="G92" i="13" s="1"/>
  <c r="E72" i="13"/>
  <c r="C80" i="13"/>
  <c r="D63" i="13"/>
  <c r="B76" i="13"/>
  <c r="G75" i="13" l="1"/>
  <c r="G71" i="13"/>
  <c r="G61" i="13"/>
  <c r="G62" i="13"/>
  <c r="H43" i="14"/>
  <c r="I43" i="14" s="1"/>
  <c r="J43" i="14" s="1"/>
  <c r="H59" i="14"/>
  <c r="I59" i="14" s="1"/>
  <c r="J59" i="14" s="1"/>
  <c r="H61" i="14"/>
  <c r="I61" i="14" s="1"/>
  <c r="J61" i="14" s="1"/>
  <c r="D36" i="14"/>
  <c r="D76" i="13"/>
  <c r="D33" i="14"/>
  <c r="N21" i="15" s="1"/>
  <c r="G40" i="16"/>
  <c r="E40" i="16"/>
  <c r="D29" i="14"/>
  <c r="B20" i="14"/>
  <c r="B14" i="15" s="1"/>
  <c r="D14" i="15" s="1"/>
  <c r="F14" i="15" s="1"/>
  <c r="I14" i="15" s="1"/>
  <c r="W40" i="15" s="1"/>
  <c r="F82" i="7"/>
  <c r="F23" i="9" s="1"/>
  <c r="F84" i="7"/>
  <c r="F25" i="9" s="1"/>
  <c r="F36" i="14"/>
  <c r="F68" i="7"/>
  <c r="F9" i="9" s="1"/>
  <c r="B11" i="15"/>
  <c r="D21" i="14"/>
  <c r="Z21" i="15" s="1"/>
  <c r="D18" i="14"/>
  <c r="D22" i="14"/>
  <c r="D14" i="14"/>
  <c r="F67" i="7"/>
  <c r="F8" i="9" s="1"/>
  <c r="F30" i="14"/>
  <c r="F83" i="7"/>
  <c r="F24" i="9" s="1"/>
  <c r="B8" i="15"/>
  <c r="F74" i="7"/>
  <c r="F15" i="9" s="1"/>
  <c r="F66" i="7"/>
  <c r="F7" i="9" s="1"/>
  <c r="F73" i="7"/>
  <c r="F14" i="9" s="1"/>
  <c r="F65" i="7"/>
  <c r="F6" i="9" s="1"/>
  <c r="F76" i="7"/>
  <c r="F17" i="9" s="1"/>
  <c r="H57" i="14"/>
  <c r="I57" i="14" s="1"/>
  <c r="J57" i="14" s="1"/>
  <c r="G13" i="14"/>
  <c r="B36" i="14" s="1"/>
  <c r="G66" i="13"/>
  <c r="G67" i="13"/>
  <c r="F76" i="13"/>
  <c r="G72" i="13"/>
  <c r="G65" i="13"/>
  <c r="G69" i="13"/>
  <c r="G70" i="13"/>
  <c r="G68" i="13"/>
  <c r="H56" i="14"/>
  <c r="I56" i="14" s="1"/>
  <c r="J56" i="14" s="1"/>
  <c r="H48" i="14"/>
  <c r="I48" i="14" s="1"/>
  <c r="J48" i="14" s="1"/>
  <c r="H46" i="14"/>
  <c r="I46" i="14" s="1"/>
  <c r="J46" i="14" s="1"/>
  <c r="H47" i="14"/>
  <c r="I47" i="14" s="1"/>
  <c r="J47" i="14" s="1"/>
  <c r="H55" i="14"/>
  <c r="I55" i="14" s="1"/>
  <c r="J55" i="14" s="1"/>
  <c r="H58" i="14"/>
  <c r="I58" i="14" s="1"/>
  <c r="J58" i="14" s="1"/>
  <c r="H52" i="14"/>
  <c r="I52" i="14" s="1"/>
  <c r="H54" i="14"/>
  <c r="I54" i="14" s="1"/>
  <c r="J54" i="14" s="1"/>
  <c r="H49" i="14"/>
  <c r="I49" i="14" s="1"/>
  <c r="J49" i="14" s="1"/>
  <c r="K53" i="14"/>
  <c r="K51" i="14"/>
  <c r="K43" i="14"/>
  <c r="G36" i="14"/>
  <c r="K45" i="14" s="1"/>
  <c r="K50" i="14"/>
  <c r="K44" i="14"/>
  <c r="C95" i="13"/>
  <c r="G80" i="13"/>
  <c r="G95" i="13" s="1"/>
  <c r="G63" i="13"/>
  <c r="E76" i="13"/>
  <c r="E49" i="16" l="1"/>
  <c r="E45" i="16"/>
  <c r="B66" i="16"/>
  <c r="G8" i="15" s="1"/>
  <c r="E50" i="16"/>
  <c r="R21" i="15"/>
  <c r="B68" i="16"/>
  <c r="G42" i="16"/>
  <c r="G52" i="16"/>
  <c r="G50" i="16"/>
  <c r="G44" i="16"/>
  <c r="G43" i="16"/>
  <c r="G48" i="16"/>
  <c r="G47" i="16"/>
  <c r="G45" i="16"/>
  <c r="G46" i="16"/>
  <c r="G51" i="16"/>
  <c r="G49" i="16"/>
  <c r="N29" i="15"/>
  <c r="N27" i="15"/>
  <c r="N24" i="15"/>
  <c r="N26" i="15"/>
  <c r="N30" i="15"/>
  <c r="N28" i="15"/>
  <c r="N35" i="15"/>
  <c r="N31" i="15"/>
  <c r="N38" i="15"/>
  <c r="N36" i="15"/>
  <c r="N40" i="15"/>
  <c r="N42" i="15"/>
  <c r="N23" i="15"/>
  <c r="N39" i="15"/>
  <c r="N34" i="15"/>
  <c r="N41" i="15"/>
  <c r="N25" i="15"/>
  <c r="N37" i="15"/>
  <c r="N32" i="15"/>
  <c r="D30" i="14"/>
  <c r="L21" i="15" s="1"/>
  <c r="E52" i="16"/>
  <c r="E51" i="16"/>
  <c r="E48" i="16"/>
  <c r="E44" i="16"/>
  <c r="E43" i="16"/>
  <c r="E46" i="16"/>
  <c r="E42" i="16"/>
  <c r="E47" i="16"/>
  <c r="F50" i="16"/>
  <c r="F48" i="16"/>
  <c r="F47" i="16"/>
  <c r="F44" i="16"/>
  <c r="F46" i="16"/>
  <c r="F52" i="16"/>
  <c r="F51" i="16"/>
  <c r="F43" i="16"/>
  <c r="F42" i="16"/>
  <c r="B21" i="14"/>
  <c r="F71" i="7"/>
  <c r="F12" i="9" s="1"/>
  <c r="B22" i="14"/>
  <c r="F72" i="7"/>
  <c r="F13" i="9" s="1"/>
  <c r="F78" i="7"/>
  <c r="F19" i="9" s="1"/>
  <c r="F79" i="7"/>
  <c r="F20" i="9" s="1"/>
  <c r="Z33" i="15"/>
  <c r="Z31" i="15"/>
  <c r="Z27" i="15"/>
  <c r="Z24" i="15"/>
  <c r="Z39" i="15"/>
  <c r="Z35" i="15"/>
  <c r="Z26" i="15"/>
  <c r="Z30" i="15"/>
  <c r="Z25" i="15"/>
  <c r="Z23" i="15"/>
  <c r="Z37" i="15"/>
  <c r="Z28" i="15"/>
  <c r="Z38" i="15"/>
  <c r="Z42" i="15"/>
  <c r="Z40" i="15"/>
  <c r="Z41" i="15"/>
  <c r="Z32" i="15"/>
  <c r="Z36" i="15"/>
  <c r="Z34" i="15"/>
  <c r="B17" i="14"/>
  <c r="B10" i="15" s="1"/>
  <c r="D10" i="15" s="1"/>
  <c r="F10" i="15" s="1"/>
  <c r="I10" i="15" s="1"/>
  <c r="O39" i="15" s="1"/>
  <c r="O43" i="15" s="1"/>
  <c r="F81" i="7"/>
  <c r="F22" i="9" s="1"/>
  <c r="F77" i="7"/>
  <c r="F18" i="9" s="1"/>
  <c r="B18" i="14"/>
  <c r="F70" i="7"/>
  <c r="F11" i="9" s="1"/>
  <c r="F80" i="7"/>
  <c r="F21" i="9" s="1"/>
  <c r="B40" i="16"/>
  <c r="B63" i="16" s="1"/>
  <c r="F21" i="15"/>
  <c r="D20" i="14"/>
  <c r="X21" i="15" s="1"/>
  <c r="X40" i="15" s="1"/>
  <c r="D16" i="14"/>
  <c r="D15" i="14"/>
  <c r="W43" i="15"/>
  <c r="T21" i="15"/>
  <c r="K40" i="16"/>
  <c r="F69" i="7"/>
  <c r="J40" i="16"/>
  <c r="AB21" i="15"/>
  <c r="G76" i="13"/>
  <c r="J52" i="14"/>
  <c r="B14" i="14" s="1"/>
  <c r="B19" i="14"/>
  <c r="B13" i="15" s="1"/>
  <c r="D13" i="15" s="1"/>
  <c r="F13" i="15" s="1"/>
  <c r="I13" i="15" s="1"/>
  <c r="U27" i="15" s="1"/>
  <c r="U43" i="15" s="1"/>
  <c r="B16" i="14"/>
  <c r="B7" i="15" s="1"/>
  <c r="D7" i="15" s="1"/>
  <c r="F7" i="15" s="1"/>
  <c r="I7" i="15" s="1"/>
  <c r="J62" i="14"/>
  <c r="B71" i="16" l="1"/>
  <c r="J42" i="16"/>
  <c r="J43" i="16"/>
  <c r="F11" i="15"/>
  <c r="I11" i="15" s="1"/>
  <c r="Q26" i="15" s="1"/>
  <c r="R38" i="15"/>
  <c r="R33" i="15"/>
  <c r="R28" i="15"/>
  <c r="R23" i="15"/>
  <c r="R30" i="15"/>
  <c r="R41" i="15"/>
  <c r="R29" i="15"/>
  <c r="R37" i="15"/>
  <c r="R31" i="15"/>
  <c r="R27" i="15"/>
  <c r="R35" i="15"/>
  <c r="R25" i="15"/>
  <c r="R34" i="15"/>
  <c r="R24" i="15"/>
  <c r="R32" i="15"/>
  <c r="R40" i="15"/>
  <c r="R36" i="15"/>
  <c r="R39" i="15"/>
  <c r="R42" i="15"/>
  <c r="G53" i="16"/>
  <c r="C68" i="16" s="1"/>
  <c r="E53" i="16"/>
  <c r="C66" i="16" s="1"/>
  <c r="H8" i="15" s="1"/>
  <c r="F8" i="15"/>
  <c r="F53" i="16"/>
  <c r="C67" i="16" s="1"/>
  <c r="L30" i="15"/>
  <c r="L27" i="15"/>
  <c r="L29" i="15"/>
  <c r="L34" i="15"/>
  <c r="L40" i="15"/>
  <c r="L32" i="15"/>
  <c r="L33" i="15"/>
  <c r="L42" i="15"/>
  <c r="L25" i="15"/>
  <c r="L31" i="15"/>
  <c r="L35" i="15"/>
  <c r="L26" i="15"/>
  <c r="L39" i="15"/>
  <c r="L23" i="15"/>
  <c r="L24" i="15"/>
  <c r="L38" i="15"/>
  <c r="L36" i="15"/>
  <c r="L37" i="15"/>
  <c r="L28" i="15"/>
  <c r="F14" i="14"/>
  <c r="B5" i="15"/>
  <c r="D5" i="15" s="1"/>
  <c r="F5" i="15" s="1"/>
  <c r="I5" i="15" s="1"/>
  <c r="J52" i="16"/>
  <c r="J50" i="16"/>
  <c r="J44" i="16"/>
  <c r="J48" i="16"/>
  <c r="J46" i="16"/>
  <c r="J47" i="16"/>
  <c r="J51" i="16"/>
  <c r="J45" i="16"/>
  <c r="J49" i="16"/>
  <c r="F28" i="15"/>
  <c r="F25" i="15"/>
  <c r="F30" i="15"/>
  <c r="F29" i="15"/>
  <c r="F34" i="15"/>
  <c r="F31" i="15"/>
  <c r="F26" i="15"/>
  <c r="F24" i="15"/>
  <c r="F32" i="15"/>
  <c r="I39" i="15"/>
  <c r="I27" i="15"/>
  <c r="B15" i="14"/>
  <c r="B6" i="15" s="1"/>
  <c r="F10" i="9"/>
  <c r="J21" i="15"/>
  <c r="D40" i="16"/>
  <c r="B65" i="16" s="1"/>
  <c r="D17" i="14"/>
  <c r="D19" i="14"/>
  <c r="B47" i="16"/>
  <c r="B44" i="16"/>
  <c r="B52" i="16"/>
  <c r="B46" i="16"/>
  <c r="B45" i="16"/>
  <c r="B42" i="16"/>
  <c r="B43" i="16"/>
  <c r="B50" i="16"/>
  <c r="B51" i="16"/>
  <c r="B49" i="16"/>
  <c r="B48" i="16"/>
  <c r="H21" i="15"/>
  <c r="C40" i="16"/>
  <c r="K52" i="16"/>
  <c r="K47" i="16"/>
  <c r="K45" i="16"/>
  <c r="K48" i="16"/>
  <c r="K51" i="16"/>
  <c r="K49" i="16"/>
  <c r="K42" i="16"/>
  <c r="K46" i="16"/>
  <c r="K50" i="16"/>
  <c r="K43" i="16"/>
  <c r="K44" i="16"/>
  <c r="X36" i="15"/>
  <c r="X28" i="15"/>
  <c r="X24" i="15"/>
  <c r="X26" i="15"/>
  <c r="X37" i="15"/>
  <c r="X39" i="15"/>
  <c r="X34" i="15"/>
  <c r="X23" i="15"/>
  <c r="X29" i="15"/>
  <c r="X41" i="15"/>
  <c r="X30" i="15"/>
  <c r="X27" i="15"/>
  <c r="X33" i="15"/>
  <c r="X25" i="15"/>
  <c r="X31" i="15"/>
  <c r="X38" i="15"/>
  <c r="X42" i="15"/>
  <c r="X35" i="15"/>
  <c r="X32" i="15"/>
  <c r="F18" i="14"/>
  <c r="G18" i="14" s="1"/>
  <c r="K47" i="14" s="1"/>
  <c r="B12" i="15"/>
  <c r="D12" i="15" s="1"/>
  <c r="F12" i="15" s="1"/>
  <c r="I12" i="15" s="1"/>
  <c r="S28" i="15" s="1"/>
  <c r="F22" i="14"/>
  <c r="G22" i="14" s="1"/>
  <c r="K49" i="14" s="1"/>
  <c r="B16" i="15"/>
  <c r="D16" i="15" s="1"/>
  <c r="F16" i="15" s="1"/>
  <c r="I16" i="15" s="1"/>
  <c r="AA30" i="15" s="1"/>
  <c r="F33" i="14"/>
  <c r="F75" i="7"/>
  <c r="F16" i="9" s="1"/>
  <c r="B9" i="15"/>
  <c r="D9" i="15" s="1"/>
  <c r="F9" i="15" s="1"/>
  <c r="I9" i="15" s="1"/>
  <c r="M33" i="15" s="1"/>
  <c r="AB25" i="15"/>
  <c r="AB24" i="15"/>
  <c r="AB42" i="15"/>
  <c r="AB39" i="15"/>
  <c r="AB23" i="15"/>
  <c r="AB36" i="15"/>
  <c r="AB40" i="15"/>
  <c r="AB29" i="15"/>
  <c r="AB37" i="15"/>
  <c r="AB26" i="15"/>
  <c r="AB28" i="15"/>
  <c r="AB33" i="15"/>
  <c r="AB27" i="15"/>
  <c r="AB38" i="15"/>
  <c r="AB34" i="15"/>
  <c r="AB35" i="15"/>
  <c r="AB41" i="15"/>
  <c r="AB31" i="15"/>
  <c r="AB32" i="15"/>
  <c r="T31" i="15"/>
  <c r="T26" i="15"/>
  <c r="T24" i="15"/>
  <c r="T25" i="15"/>
  <c r="T30" i="15"/>
  <c r="T32" i="15"/>
  <c r="T36" i="15"/>
  <c r="T37" i="15"/>
  <c r="T41" i="15"/>
  <c r="T33" i="15"/>
  <c r="T34" i="15"/>
  <c r="T39" i="15"/>
  <c r="T42" i="15"/>
  <c r="T35" i="15"/>
  <c r="T27" i="15"/>
  <c r="T29" i="15"/>
  <c r="T23" i="15"/>
  <c r="T38" i="15"/>
  <c r="T40" i="15"/>
  <c r="F21" i="14"/>
  <c r="G21" i="14" s="1"/>
  <c r="K48" i="14" s="1"/>
  <c r="B15" i="15"/>
  <c r="D15" i="15" s="1"/>
  <c r="F15" i="15" s="1"/>
  <c r="I15" i="15" s="1"/>
  <c r="Y29" i="15" s="1"/>
  <c r="F20" i="14"/>
  <c r="G20" i="14" s="1"/>
  <c r="K59" i="14" s="1"/>
  <c r="F16" i="14"/>
  <c r="F15" i="14"/>
  <c r="G15" i="14" s="1"/>
  <c r="G14" i="14"/>
  <c r="K55" i="14" s="1"/>
  <c r="B64" i="16" l="1"/>
  <c r="C52" i="16"/>
  <c r="C45" i="16"/>
  <c r="K41" i="15"/>
  <c r="K43" i="15" s="1"/>
  <c r="I8" i="15"/>
  <c r="AC26" i="15"/>
  <c r="Q43" i="15"/>
  <c r="R26" i="15"/>
  <c r="R43" i="15" s="1"/>
  <c r="J39" i="15"/>
  <c r="AA43" i="15"/>
  <c r="AB30" i="15"/>
  <c r="AB43" i="15" s="1"/>
  <c r="AC30" i="15"/>
  <c r="C42" i="16"/>
  <c r="C47" i="16"/>
  <c r="C51" i="16"/>
  <c r="C48" i="16"/>
  <c r="C50" i="16"/>
  <c r="C43" i="16"/>
  <c r="C44" i="16"/>
  <c r="C46" i="16"/>
  <c r="C49" i="16"/>
  <c r="Y43" i="15"/>
  <c r="AC29" i="15"/>
  <c r="Z29" i="15"/>
  <c r="H29" i="15"/>
  <c r="H36" i="15"/>
  <c r="H26" i="15"/>
  <c r="H25" i="15"/>
  <c r="H27" i="15"/>
  <c r="H31" i="15"/>
  <c r="H38" i="15"/>
  <c r="H40" i="15"/>
  <c r="H24" i="15"/>
  <c r="H28" i="15"/>
  <c r="H30" i="15"/>
  <c r="H34" i="15"/>
  <c r="H32" i="15"/>
  <c r="H39" i="15"/>
  <c r="B53" i="16"/>
  <c r="C63" i="16" s="1"/>
  <c r="P21" i="15"/>
  <c r="H40" i="16"/>
  <c r="F85" i="7"/>
  <c r="T28" i="15"/>
  <c r="T43" i="15" s="1"/>
  <c r="S43" i="15"/>
  <c r="AC28" i="15"/>
  <c r="F26" i="9"/>
  <c r="M43" i="15"/>
  <c r="N33" i="15"/>
  <c r="N43" i="15" s="1"/>
  <c r="D51" i="16"/>
  <c r="D52" i="16"/>
  <c r="D48" i="16"/>
  <c r="D42" i="16"/>
  <c r="D43" i="16"/>
  <c r="D47" i="16"/>
  <c r="D44" i="16"/>
  <c r="D49" i="16"/>
  <c r="D46" i="16"/>
  <c r="D50" i="16"/>
  <c r="D45" i="16"/>
  <c r="J53" i="16"/>
  <c r="C71" i="16" s="1"/>
  <c r="E27" i="15"/>
  <c r="E41" i="15"/>
  <c r="E36" i="15"/>
  <c r="E23" i="15"/>
  <c r="E37" i="15"/>
  <c r="E38" i="15"/>
  <c r="E39" i="15"/>
  <c r="E42" i="15"/>
  <c r="E33" i="15"/>
  <c r="E35" i="15"/>
  <c r="E40" i="15"/>
  <c r="I40" i="16"/>
  <c r="V21" i="15"/>
  <c r="X43" i="15"/>
  <c r="K53" i="16"/>
  <c r="F6" i="15"/>
  <c r="I6" i="15" s="1"/>
  <c r="J23" i="15"/>
  <c r="J37" i="15"/>
  <c r="J35" i="15"/>
  <c r="J31" i="15"/>
  <c r="J29" i="15"/>
  <c r="J24" i="15"/>
  <c r="J33" i="15"/>
  <c r="J32" i="15"/>
  <c r="J28" i="15"/>
  <c r="J38" i="15"/>
  <c r="J36" i="15"/>
  <c r="J25" i="15"/>
  <c r="J34" i="15"/>
  <c r="J30" i="15"/>
  <c r="J26" i="15"/>
  <c r="J41" i="15"/>
  <c r="J42" i="15"/>
  <c r="J40" i="15"/>
  <c r="J27" i="15"/>
  <c r="I43" i="15"/>
  <c r="K57" i="14"/>
  <c r="F17" i="14"/>
  <c r="G17" i="14" s="1"/>
  <c r="K58" i="14" s="1"/>
  <c r="F19" i="14"/>
  <c r="G19" i="14" s="1"/>
  <c r="K46" i="14" s="1"/>
  <c r="G16" i="14"/>
  <c r="B30" i="14"/>
  <c r="G30" i="14" s="1"/>
  <c r="K60" i="14" s="1"/>
  <c r="B33" i="14"/>
  <c r="G33" i="14" s="1"/>
  <c r="K52" i="14" s="1"/>
  <c r="K61" i="14"/>
  <c r="K54" i="14"/>
  <c r="K56" i="14"/>
  <c r="K42" i="14"/>
  <c r="I51" i="16" l="1"/>
  <c r="I48" i="16"/>
  <c r="B70" i="16"/>
  <c r="L41" i="15"/>
  <c r="L43" i="15" s="1"/>
  <c r="G33" i="15"/>
  <c r="H33" i="15" s="1"/>
  <c r="G42" i="15"/>
  <c r="H42" i="15" s="1"/>
  <c r="G35" i="15"/>
  <c r="H35" i="15" s="1"/>
  <c r="G37" i="15"/>
  <c r="H37" i="15" s="1"/>
  <c r="G41" i="15"/>
  <c r="H41" i="15" s="1"/>
  <c r="G23" i="15"/>
  <c r="AC23" i="15" s="1"/>
  <c r="F42" i="15"/>
  <c r="AC42" i="15"/>
  <c r="V38" i="15"/>
  <c r="V29" i="15"/>
  <c r="V28" i="15"/>
  <c r="V26" i="15"/>
  <c r="V23" i="15"/>
  <c r="V42" i="15"/>
  <c r="V40" i="15"/>
  <c r="V31" i="15"/>
  <c r="V25" i="15"/>
  <c r="V30" i="15"/>
  <c r="V32" i="15"/>
  <c r="V33" i="15"/>
  <c r="V36" i="15"/>
  <c r="V35" i="15"/>
  <c r="V41" i="15"/>
  <c r="V39" i="15"/>
  <c r="V24" i="15"/>
  <c r="V34" i="15"/>
  <c r="V37" i="15"/>
  <c r="V27" i="15"/>
  <c r="F40" i="15"/>
  <c r="AC40" i="15"/>
  <c r="F39" i="15"/>
  <c r="AC39" i="15"/>
  <c r="F36" i="15"/>
  <c r="AC36" i="15"/>
  <c r="D53" i="16"/>
  <c r="C65" i="16" s="1"/>
  <c r="B69" i="16"/>
  <c r="B73" i="16" s="1"/>
  <c r="H52" i="16"/>
  <c r="H42" i="16"/>
  <c r="H46" i="16"/>
  <c r="H50" i="16"/>
  <c r="H45" i="16"/>
  <c r="H51" i="16"/>
  <c r="H48" i="16"/>
  <c r="H43" i="16"/>
  <c r="H47" i="16"/>
  <c r="H49" i="16"/>
  <c r="H44" i="16"/>
  <c r="Z43" i="15"/>
  <c r="F23" i="15"/>
  <c r="E43" i="15"/>
  <c r="I42" i="16"/>
  <c r="I46" i="16"/>
  <c r="I50" i="16"/>
  <c r="I43" i="16"/>
  <c r="I44" i="16"/>
  <c r="I52" i="16"/>
  <c r="I45" i="16"/>
  <c r="I49" i="16"/>
  <c r="I47" i="16"/>
  <c r="F35" i="15"/>
  <c r="AC38" i="15"/>
  <c r="F38" i="15"/>
  <c r="F41" i="15"/>
  <c r="AC41" i="15"/>
  <c r="P30" i="15"/>
  <c r="P29" i="15"/>
  <c r="P25" i="15"/>
  <c r="P24" i="15"/>
  <c r="AD24" i="15" s="1"/>
  <c r="AE24" i="15" s="1"/>
  <c r="H66" i="7" s="1"/>
  <c r="H7" i="9" s="1"/>
  <c r="P28" i="15"/>
  <c r="P32" i="15"/>
  <c r="P33" i="15"/>
  <c r="P41" i="15"/>
  <c r="P35" i="15"/>
  <c r="P38" i="15"/>
  <c r="P31" i="15"/>
  <c r="P23" i="15"/>
  <c r="P37" i="15"/>
  <c r="P26" i="15"/>
  <c r="P36" i="15"/>
  <c r="P42" i="15"/>
  <c r="P27" i="15"/>
  <c r="P34" i="15"/>
  <c r="P40" i="15"/>
  <c r="P39" i="15"/>
  <c r="C53" i="16"/>
  <c r="C64" i="16" s="1"/>
  <c r="J43" i="15"/>
  <c r="F33" i="15"/>
  <c r="AC33" i="15"/>
  <c r="F37" i="15"/>
  <c r="F27" i="15"/>
  <c r="AC27" i="15"/>
  <c r="AD31" i="15" l="1"/>
  <c r="AE31" i="15" s="1"/>
  <c r="H73" i="7" s="1"/>
  <c r="H14" i="9" s="1"/>
  <c r="AD26" i="15"/>
  <c r="AE26" i="15" s="1"/>
  <c r="H68" i="7" s="1"/>
  <c r="H9" i="9" s="1"/>
  <c r="AD25" i="15"/>
  <c r="AE25" i="15" s="1"/>
  <c r="H67" i="7" s="1"/>
  <c r="H8" i="9" s="1"/>
  <c r="AD30" i="15"/>
  <c r="AE30" i="15" s="1"/>
  <c r="H72" i="7" s="1"/>
  <c r="H13" i="9" s="1"/>
  <c r="AD34" i="15"/>
  <c r="AE34" i="15" s="1"/>
  <c r="H76" i="7" s="1"/>
  <c r="H17" i="9" s="1"/>
  <c r="AD29" i="15"/>
  <c r="AF29" i="15" s="1"/>
  <c r="AC35" i="15"/>
  <c r="AD37" i="15"/>
  <c r="AE37" i="15" s="1"/>
  <c r="H79" i="7" s="1"/>
  <c r="H20" i="9" s="1"/>
  <c r="AD32" i="15"/>
  <c r="AE32" i="15" s="1"/>
  <c r="H74" i="7" s="1"/>
  <c r="H15" i="9" s="1"/>
  <c r="AD41" i="15"/>
  <c r="AE41" i="15" s="1"/>
  <c r="H83" i="7" s="1"/>
  <c r="H24" i="9" s="1"/>
  <c r="AD28" i="15"/>
  <c r="AF28" i="15" s="1"/>
  <c r="AD35" i="15"/>
  <c r="AE35" i="15" s="1"/>
  <c r="H77" i="7" s="1"/>
  <c r="H18" i="9" s="1"/>
  <c r="V43" i="15"/>
  <c r="AD27" i="15"/>
  <c r="AE27" i="15" s="1"/>
  <c r="H69" i="7" s="1"/>
  <c r="H10" i="9" s="1"/>
  <c r="AD33" i="15"/>
  <c r="AE33" i="15" s="1"/>
  <c r="H75" i="7" s="1"/>
  <c r="H16" i="9" s="1"/>
  <c r="AD38" i="15"/>
  <c r="AE38" i="15" s="1"/>
  <c r="H80" i="7" s="1"/>
  <c r="H21" i="9" s="1"/>
  <c r="H53" i="16"/>
  <c r="C69" i="16" s="1"/>
  <c r="C73" i="16" s="1"/>
  <c r="AD39" i="15"/>
  <c r="AE39" i="15" s="1"/>
  <c r="H81" i="7" s="1"/>
  <c r="H22" i="9" s="1"/>
  <c r="AD42" i="15"/>
  <c r="AE42" i="15" s="1"/>
  <c r="H84" i="7" s="1"/>
  <c r="H25" i="9" s="1"/>
  <c r="AC37" i="15"/>
  <c r="P43" i="15"/>
  <c r="H23" i="15"/>
  <c r="H43" i="15" s="1"/>
  <c r="G43" i="15"/>
  <c r="I53" i="16"/>
  <c r="C70" i="16" s="1"/>
  <c r="F43" i="15"/>
  <c r="AD36" i="15"/>
  <c r="AE36" i="15" s="1"/>
  <c r="H78" i="7" s="1"/>
  <c r="H19" i="9" s="1"/>
  <c r="AD40" i="15"/>
  <c r="AE40" i="15" s="1"/>
  <c r="H82" i="7" s="1"/>
  <c r="H23" i="9" s="1"/>
  <c r="AE29" i="15" l="1"/>
  <c r="H71" i="7" s="1"/>
  <c r="H12" i="9" s="1"/>
  <c r="AF26" i="15"/>
  <c r="AF30" i="15"/>
  <c r="AF35" i="15"/>
  <c r="AF27" i="15"/>
  <c r="AE28" i="15"/>
  <c r="H70" i="7" s="1"/>
  <c r="H11" i="9" s="1"/>
  <c r="AF37" i="15"/>
  <c r="AF42" i="15"/>
  <c r="AF38" i="15"/>
  <c r="AF39" i="15"/>
  <c r="AF41" i="15"/>
  <c r="AD23" i="15"/>
  <c r="AF23" i="15" s="1"/>
  <c r="AF33" i="15"/>
  <c r="AF36" i="15"/>
  <c r="AF40" i="15"/>
  <c r="G68" i="7" l="1"/>
  <c r="AD43" i="15"/>
  <c r="AE23" i="15"/>
  <c r="H65" i="7" s="1"/>
  <c r="H6" i="9" s="1"/>
  <c r="G83" i="7"/>
  <c r="G24" i="9" s="1"/>
  <c r="G9" i="9"/>
  <c r="I68" i="7"/>
  <c r="I9" i="9" s="1"/>
  <c r="I83" i="7" l="1"/>
  <c r="I24" i="9" s="1"/>
  <c r="G70" i="7"/>
  <c r="G11" i="9" l="1"/>
  <c r="I70" i="7"/>
  <c r="I11" i="9" s="1"/>
  <c r="C93" i="5"/>
  <c r="G51" i="1" l="1"/>
  <c r="G47" i="1"/>
  <c r="G41" i="1"/>
  <c r="AH70" i="3" l="1"/>
  <c r="I26" i="2" l="1"/>
  <c r="I25" i="2"/>
  <c r="I24" i="2"/>
  <c r="I23" i="2"/>
  <c r="G24" i="2"/>
  <c r="F59" i="1"/>
  <c r="F58" i="1"/>
  <c r="F57" i="1"/>
  <c r="F56" i="1"/>
  <c r="F55" i="1"/>
  <c r="F54" i="1"/>
  <c r="F53" i="1"/>
  <c r="F52" i="1"/>
  <c r="F50" i="1"/>
  <c r="F49" i="1"/>
  <c r="F48" i="1"/>
  <c r="F46" i="1"/>
  <c r="F45" i="1"/>
  <c r="F44" i="1"/>
  <c r="F43" i="1"/>
  <c r="F42" i="1"/>
  <c r="F40" i="1"/>
  <c r="E26" i="5" l="1"/>
  <c r="M20" i="3" l="1"/>
  <c r="M13" i="3"/>
  <c r="G6" i="2"/>
  <c r="G5" i="2"/>
  <c r="C113" i="3" l="1"/>
  <c r="H12" i="2"/>
  <c r="M34" i="3"/>
  <c r="I70" i="3" l="1"/>
  <c r="B105" i="3" s="1"/>
  <c r="G79" i="5" l="1"/>
  <c r="G78" i="5"/>
  <c r="I30" i="1" l="1"/>
  <c r="E40" i="5" l="1"/>
  <c r="C59" i="5" s="1"/>
  <c r="E39" i="5"/>
  <c r="E38" i="5"/>
  <c r="E37" i="5"/>
  <c r="F37" i="5" s="1"/>
  <c r="E36" i="5"/>
  <c r="C55" i="5" s="1"/>
  <c r="E35" i="5"/>
  <c r="F35" i="5" s="1"/>
  <c r="E34" i="5"/>
  <c r="C53" i="5" s="1"/>
  <c r="E33" i="5"/>
  <c r="C52" i="5" s="1"/>
  <c r="E32" i="5"/>
  <c r="C51" i="5" s="1"/>
  <c r="E31" i="5"/>
  <c r="C50" i="5" s="1"/>
  <c r="E30" i="5"/>
  <c r="C49" i="5" s="1"/>
  <c r="E29" i="5"/>
  <c r="E28" i="5"/>
  <c r="E27" i="5"/>
  <c r="B46" i="5"/>
  <c r="B47" i="5"/>
  <c r="B48" i="5"/>
  <c r="B49" i="5"/>
  <c r="B50" i="5"/>
  <c r="B51" i="5"/>
  <c r="B52" i="5"/>
  <c r="B53" i="5"/>
  <c r="B54" i="5"/>
  <c r="B55" i="5"/>
  <c r="B56" i="5"/>
  <c r="B57" i="5"/>
  <c r="B58" i="5"/>
  <c r="B59" i="5"/>
  <c r="F39" i="5" l="1"/>
  <c r="C58" i="5"/>
  <c r="C46" i="5"/>
  <c r="D46" i="5" s="1"/>
  <c r="C47" i="5"/>
  <c r="D47" i="5" s="1"/>
  <c r="F28" i="5"/>
  <c r="F38" i="5"/>
  <c r="C57" i="5"/>
  <c r="F36" i="5"/>
  <c r="F34" i="5"/>
  <c r="F30" i="5"/>
  <c r="C48" i="5"/>
  <c r="D48" i="5" s="1"/>
  <c r="F29" i="5"/>
  <c r="F27" i="5"/>
  <c r="D55" i="5"/>
  <c r="F31" i="5"/>
  <c r="D52" i="5"/>
  <c r="D51" i="5"/>
  <c r="D53" i="5"/>
  <c r="D57" i="5"/>
  <c r="F32" i="5"/>
  <c r="C54" i="5"/>
  <c r="D54" i="5" s="1"/>
  <c r="D58" i="5"/>
  <c r="D50" i="5"/>
  <c r="C28" i="1" s="1"/>
  <c r="F33" i="5"/>
  <c r="C56" i="5"/>
  <c r="D56" i="5" s="1"/>
  <c r="F40" i="5"/>
  <c r="D59" i="5"/>
  <c r="D49" i="5"/>
  <c r="D20" i="1"/>
  <c r="D60" i="5" l="1"/>
  <c r="C27" i="1"/>
  <c r="C29" i="1" s="1"/>
  <c r="C60" i="5"/>
  <c r="C33" i="1"/>
  <c r="G95" i="3"/>
  <c r="G94" i="3"/>
  <c r="G93" i="3"/>
  <c r="G92" i="3"/>
  <c r="G91" i="3"/>
  <c r="G90" i="3"/>
  <c r="G89" i="3"/>
  <c r="G88" i="3"/>
  <c r="G87" i="3"/>
  <c r="G86" i="3"/>
  <c r="G85" i="3"/>
  <c r="G84" i="3"/>
  <c r="G83" i="3"/>
  <c r="G82" i="3"/>
  <c r="G81" i="3"/>
  <c r="G80" i="3"/>
  <c r="G79" i="3"/>
  <c r="G78" i="3"/>
  <c r="G77" i="3"/>
  <c r="G76" i="3"/>
  <c r="G75" i="3"/>
  <c r="G74" i="3"/>
  <c r="G73" i="3"/>
  <c r="G72" i="3"/>
  <c r="W95" i="3"/>
  <c r="W94" i="3"/>
  <c r="W93" i="3"/>
  <c r="W92" i="3"/>
  <c r="W91" i="3"/>
  <c r="W90" i="3"/>
  <c r="W89" i="3"/>
  <c r="W88" i="3"/>
  <c r="W87" i="3"/>
  <c r="W86" i="3"/>
  <c r="W85" i="3"/>
  <c r="W84" i="3"/>
  <c r="W83" i="3"/>
  <c r="W82" i="3"/>
  <c r="W81" i="3"/>
  <c r="W80" i="3"/>
  <c r="W79" i="3"/>
  <c r="W78" i="3"/>
  <c r="W77" i="3"/>
  <c r="W76" i="3"/>
  <c r="W75" i="3"/>
  <c r="W74" i="3"/>
  <c r="W73" i="3"/>
  <c r="W72" i="3"/>
  <c r="AF70" i="3"/>
  <c r="B112" i="3" s="1"/>
  <c r="AA42" i="2"/>
  <c r="AA41" i="2"/>
  <c r="AA40" i="2"/>
  <c r="AA39" i="2"/>
  <c r="AA38" i="2"/>
  <c r="AA37" i="2"/>
  <c r="AA36" i="2"/>
  <c r="AA35" i="2"/>
  <c r="AA34" i="2"/>
  <c r="AA33" i="2"/>
  <c r="AA32" i="2"/>
  <c r="AA31" i="2"/>
  <c r="AA29" i="2"/>
  <c r="AA28" i="2"/>
  <c r="AA27" i="2"/>
  <c r="AA26" i="2"/>
  <c r="AA25" i="2"/>
  <c r="AA24" i="2"/>
  <c r="Y42" i="2"/>
  <c r="AA23" i="2"/>
  <c r="Y41" i="2"/>
  <c r="Y40" i="2"/>
  <c r="Y39" i="2"/>
  <c r="Y38" i="2"/>
  <c r="Y37" i="2"/>
  <c r="Y36" i="2"/>
  <c r="Y35" i="2"/>
  <c r="Y34" i="2"/>
  <c r="Y33" i="2"/>
  <c r="Y32" i="2"/>
  <c r="Y31" i="2"/>
  <c r="Y30" i="2"/>
  <c r="Y28" i="2"/>
  <c r="Y27" i="2"/>
  <c r="Y26" i="2"/>
  <c r="Y25" i="2"/>
  <c r="Y24" i="2"/>
  <c r="Y23" i="2"/>
  <c r="W42" i="2"/>
  <c r="W41" i="2"/>
  <c r="W39" i="2"/>
  <c r="W38" i="2"/>
  <c r="W37" i="2"/>
  <c r="W36" i="2"/>
  <c r="W35" i="2"/>
  <c r="W34" i="2"/>
  <c r="W33" i="2"/>
  <c r="W32" i="2"/>
  <c r="W31" i="2"/>
  <c r="W30" i="2"/>
  <c r="W29" i="2"/>
  <c r="W28" i="2"/>
  <c r="W27" i="2"/>
  <c r="W26" i="2"/>
  <c r="W25" i="2"/>
  <c r="W24" i="2"/>
  <c r="W23" i="2"/>
  <c r="AB21" i="2"/>
  <c r="Z21" i="2"/>
  <c r="D20" i="3"/>
  <c r="D13" i="3"/>
  <c r="B20" i="3"/>
  <c r="B13" i="3"/>
  <c r="L20" i="3"/>
  <c r="K20" i="3"/>
  <c r="I20" i="3"/>
  <c r="H20" i="3"/>
  <c r="G20" i="3"/>
  <c r="F20" i="3"/>
  <c r="E20" i="3"/>
  <c r="J20" i="3"/>
  <c r="G64" i="3"/>
  <c r="G96" i="3" l="1"/>
  <c r="W96" i="3"/>
  <c r="Z26" i="2"/>
  <c r="Z42" i="2"/>
  <c r="AB25" i="2"/>
  <c r="AB29" i="2"/>
  <c r="AB34" i="2"/>
  <c r="AB38" i="2"/>
  <c r="AB42" i="2"/>
  <c r="Z30" i="2"/>
  <c r="Z34" i="2"/>
  <c r="Z38" i="2"/>
  <c r="Z41" i="2"/>
  <c r="D34" i="3"/>
  <c r="B34" i="3"/>
  <c r="AB27" i="2"/>
  <c r="AB32" i="2"/>
  <c r="AB36" i="2"/>
  <c r="AB40" i="2"/>
  <c r="AB24" i="2"/>
  <c r="AB28" i="2"/>
  <c r="AB33" i="2"/>
  <c r="AB37" i="2"/>
  <c r="AB41" i="2"/>
  <c r="AB23" i="2"/>
  <c r="AB26" i="2"/>
  <c r="AB31" i="2"/>
  <c r="AB35" i="2"/>
  <c r="AB39" i="2"/>
  <c r="Z23" i="2"/>
  <c r="Z27" i="2"/>
  <c r="Z31" i="2"/>
  <c r="Z35" i="2"/>
  <c r="Z39" i="2"/>
  <c r="Z24" i="2"/>
  <c r="Z28" i="2"/>
  <c r="Z32" i="2"/>
  <c r="Z36" i="2"/>
  <c r="Z40" i="2"/>
  <c r="Z25" i="2"/>
  <c r="Z33" i="2"/>
  <c r="Z37" i="2"/>
  <c r="G16" i="2"/>
  <c r="L13" i="3"/>
  <c r="C112" i="3" s="1"/>
  <c r="E16" i="2"/>
  <c r="E15" i="2"/>
  <c r="E14" i="2"/>
  <c r="E13" i="2"/>
  <c r="C97" i="5"/>
  <c r="L34" i="3" l="1"/>
  <c r="H16" i="2"/>
  <c r="D22" i="1" l="1"/>
  <c r="D21" i="1"/>
  <c r="F80" i="5"/>
  <c r="D97" i="5" l="1"/>
  <c r="C96" i="5"/>
  <c r="D96" i="5" s="1"/>
  <c r="B19" i="5" l="1"/>
  <c r="C22" i="1" s="1"/>
  <c r="B18" i="5"/>
  <c r="Z72" i="3"/>
  <c r="Y72" i="3"/>
  <c r="O72" i="3"/>
  <c r="K72" i="3"/>
  <c r="F72" i="3"/>
  <c r="H72" i="3" s="1"/>
  <c r="I72" i="3" s="1"/>
  <c r="E70" i="3"/>
  <c r="H6" i="2"/>
  <c r="G10" i="2"/>
  <c r="C94" i="5"/>
  <c r="D94" i="5" s="1"/>
  <c r="D93" i="5"/>
  <c r="C85" i="5"/>
  <c r="C89" i="5"/>
  <c r="E9" i="2" s="1"/>
  <c r="C84" i="5"/>
  <c r="Y95" i="3"/>
  <c r="Y94" i="3"/>
  <c r="Y93" i="3"/>
  <c r="Y92" i="3"/>
  <c r="Y91" i="3"/>
  <c r="Y90" i="3"/>
  <c r="Y89" i="3"/>
  <c r="Y88" i="3"/>
  <c r="Y87" i="3"/>
  <c r="Y86" i="3"/>
  <c r="Y85" i="3"/>
  <c r="Y84" i="3"/>
  <c r="Y83" i="3"/>
  <c r="Y82" i="3"/>
  <c r="Y81" i="3"/>
  <c r="Y80" i="3"/>
  <c r="Y79" i="3"/>
  <c r="Y78" i="3"/>
  <c r="Y77" i="3"/>
  <c r="Y76" i="3"/>
  <c r="Y75" i="3"/>
  <c r="Y74" i="3"/>
  <c r="Y73" i="3"/>
  <c r="Z95" i="3"/>
  <c r="Z94" i="3"/>
  <c r="Z93" i="3"/>
  <c r="Z92" i="3"/>
  <c r="Z91" i="3"/>
  <c r="Z90" i="3"/>
  <c r="Z89" i="3"/>
  <c r="Z88" i="3"/>
  <c r="Z87" i="3"/>
  <c r="Z86" i="3"/>
  <c r="Z85" i="3"/>
  <c r="Z84" i="3"/>
  <c r="Z83" i="3"/>
  <c r="Z82" i="3"/>
  <c r="Z81" i="3"/>
  <c r="Z80" i="3"/>
  <c r="Z79" i="3"/>
  <c r="Z78" i="3"/>
  <c r="Z77" i="3"/>
  <c r="Z76" i="3"/>
  <c r="Z75" i="3"/>
  <c r="Z74" i="3"/>
  <c r="Z73" i="3"/>
  <c r="R70" i="3"/>
  <c r="B107" i="3" s="1"/>
  <c r="P72" i="3"/>
  <c r="M70" i="3"/>
  <c r="I41" i="2"/>
  <c r="K23" i="2"/>
  <c r="M23" i="2"/>
  <c r="M35" i="2"/>
  <c r="Q35" i="2"/>
  <c r="D34" i="1"/>
  <c r="D33" i="1"/>
  <c r="D31" i="1"/>
  <c r="D27" i="1"/>
  <c r="B65" i="5"/>
  <c r="E24" i="2"/>
  <c r="X70" i="3"/>
  <c r="E13" i="3"/>
  <c r="J72" i="3" s="1"/>
  <c r="B79" i="5"/>
  <c r="B78" i="5"/>
  <c r="B77" i="5"/>
  <c r="B76" i="5"/>
  <c r="B75" i="5"/>
  <c r="B74" i="5"/>
  <c r="B73" i="5"/>
  <c r="B72" i="5"/>
  <c r="B71" i="5"/>
  <c r="B70" i="5"/>
  <c r="B69" i="5"/>
  <c r="B68" i="5"/>
  <c r="B67" i="5"/>
  <c r="B66" i="5"/>
  <c r="D28" i="1"/>
  <c r="G13" i="3"/>
  <c r="S75" i="3" s="1"/>
  <c r="F13" i="3"/>
  <c r="N72" i="3" s="1"/>
  <c r="I13" i="3"/>
  <c r="H9" i="2" s="1"/>
  <c r="C14" i="2"/>
  <c r="AB70" i="3"/>
  <c r="B111" i="3" s="1"/>
  <c r="F64" i="3"/>
  <c r="K13" i="3"/>
  <c r="H13" i="2" s="1"/>
  <c r="U42" i="2"/>
  <c r="U41" i="2"/>
  <c r="U40" i="2"/>
  <c r="U39" i="2"/>
  <c r="U38" i="2"/>
  <c r="U37" i="2"/>
  <c r="U36" i="2"/>
  <c r="U35" i="2"/>
  <c r="U34" i="2"/>
  <c r="U33" i="2"/>
  <c r="U32" i="2"/>
  <c r="U31" i="2"/>
  <c r="U30" i="2"/>
  <c r="U29" i="2"/>
  <c r="U28" i="2"/>
  <c r="U26" i="2"/>
  <c r="U25" i="2"/>
  <c r="U24" i="2"/>
  <c r="U23" i="2"/>
  <c r="S42" i="2"/>
  <c r="S41" i="2"/>
  <c r="S40" i="2"/>
  <c r="S39" i="2"/>
  <c r="S38" i="2"/>
  <c r="S37" i="2"/>
  <c r="S36" i="2"/>
  <c r="S35" i="2"/>
  <c r="S34" i="2"/>
  <c r="S33" i="2"/>
  <c r="S32" i="2"/>
  <c r="S31" i="2"/>
  <c r="S30" i="2"/>
  <c r="S29" i="2"/>
  <c r="S27" i="2"/>
  <c r="S26" i="2"/>
  <c r="S25" i="2"/>
  <c r="S24" i="2"/>
  <c r="S23" i="2"/>
  <c r="X21" i="2"/>
  <c r="V21" i="2"/>
  <c r="T21" i="2"/>
  <c r="E12" i="2"/>
  <c r="C95" i="5"/>
  <c r="D95" i="5" s="1"/>
  <c r="D18" i="1"/>
  <c r="D13" i="1"/>
  <c r="C13" i="1"/>
  <c r="B17" i="5"/>
  <c r="D17" i="5" s="1"/>
  <c r="E57" i="5" s="1"/>
  <c r="B16" i="5"/>
  <c r="B15" i="5"/>
  <c r="D5" i="5"/>
  <c r="E45" i="5" s="1"/>
  <c r="D19" i="1"/>
  <c r="AD70" i="3"/>
  <c r="J13" i="3"/>
  <c r="H10" i="2" s="1"/>
  <c r="H13" i="3"/>
  <c r="T83" i="3"/>
  <c r="P83" i="3"/>
  <c r="O83" i="3"/>
  <c r="K83" i="3"/>
  <c r="E34" i="2"/>
  <c r="Q34" i="2"/>
  <c r="O34" i="2"/>
  <c r="M34" i="2"/>
  <c r="K34" i="2"/>
  <c r="I34" i="2"/>
  <c r="G34" i="2"/>
  <c r="C92" i="5"/>
  <c r="D92" i="5" s="1"/>
  <c r="B14" i="5"/>
  <c r="D14" i="5" s="1"/>
  <c r="E54" i="5" s="1"/>
  <c r="E10" i="2"/>
  <c r="E7" i="2"/>
  <c r="E6" i="2"/>
  <c r="E5" i="2"/>
  <c r="T95" i="3"/>
  <c r="T94" i="3"/>
  <c r="T93" i="3"/>
  <c r="T91" i="3"/>
  <c r="T90" i="3"/>
  <c r="T89" i="3"/>
  <c r="T88" i="3"/>
  <c r="T87" i="3"/>
  <c r="T86" i="3"/>
  <c r="T85" i="3"/>
  <c r="T84" i="3"/>
  <c r="T82" i="3"/>
  <c r="T81" i="3"/>
  <c r="T80" i="3"/>
  <c r="T79" i="3"/>
  <c r="T78" i="3"/>
  <c r="T92" i="3"/>
  <c r="T77" i="3"/>
  <c r="T76" i="3"/>
  <c r="T75" i="3"/>
  <c r="T74" i="3"/>
  <c r="T73" i="3"/>
  <c r="T72" i="3"/>
  <c r="V70" i="3"/>
  <c r="P95" i="3"/>
  <c r="P94" i="3"/>
  <c r="P93" i="3"/>
  <c r="P91" i="3"/>
  <c r="P90" i="3"/>
  <c r="P89" i="3"/>
  <c r="P88" i="3"/>
  <c r="P87" i="3"/>
  <c r="P86" i="3"/>
  <c r="P85" i="3"/>
  <c r="P84" i="3"/>
  <c r="P82" i="3"/>
  <c r="P81" i="3"/>
  <c r="P80" i="3"/>
  <c r="P79" i="3"/>
  <c r="P78" i="3"/>
  <c r="P92" i="3"/>
  <c r="P77" i="3"/>
  <c r="P76" i="3"/>
  <c r="P75" i="3"/>
  <c r="P74" i="3"/>
  <c r="P73" i="3"/>
  <c r="O95" i="3"/>
  <c r="O94" i="3"/>
  <c r="O93" i="3"/>
  <c r="O91" i="3"/>
  <c r="O90" i="3"/>
  <c r="O89" i="3"/>
  <c r="O88" i="3"/>
  <c r="O87" i="3"/>
  <c r="O86" i="3"/>
  <c r="O85" i="3"/>
  <c r="O84" i="3"/>
  <c r="O82" i="3"/>
  <c r="O81" i="3"/>
  <c r="O80" i="3"/>
  <c r="O79" i="3"/>
  <c r="O78" i="3"/>
  <c r="O92" i="3"/>
  <c r="O77" i="3"/>
  <c r="O76" i="3"/>
  <c r="O75" i="3"/>
  <c r="O74" i="3"/>
  <c r="O73" i="3"/>
  <c r="K95" i="3"/>
  <c r="K94" i="3"/>
  <c r="K93" i="3"/>
  <c r="K91" i="3"/>
  <c r="K90" i="3"/>
  <c r="K89" i="3"/>
  <c r="K88" i="3"/>
  <c r="K87" i="3"/>
  <c r="K86" i="3"/>
  <c r="K85" i="3"/>
  <c r="K84" i="3"/>
  <c r="K82" i="3"/>
  <c r="K81" i="3"/>
  <c r="K80" i="3"/>
  <c r="K79" i="3"/>
  <c r="K78" i="3"/>
  <c r="K92" i="3"/>
  <c r="K77" i="3"/>
  <c r="K76" i="3"/>
  <c r="K75" i="3"/>
  <c r="K74" i="3"/>
  <c r="K73" i="3"/>
  <c r="D64" i="3"/>
  <c r="E64" i="3"/>
  <c r="C64" i="3"/>
  <c r="B64" i="3"/>
  <c r="Q42" i="2"/>
  <c r="Q41" i="2"/>
  <c r="Q40" i="2"/>
  <c r="Q39" i="2"/>
  <c r="Q38" i="2"/>
  <c r="Q37" i="2"/>
  <c r="Q36" i="2"/>
  <c r="Q33" i="2"/>
  <c r="Q32" i="2"/>
  <c r="Q31" i="2"/>
  <c r="Q30" i="2"/>
  <c r="Q29" i="2"/>
  <c r="Q28" i="2"/>
  <c r="Q27" i="2"/>
  <c r="Q25" i="2"/>
  <c r="Q24" i="2"/>
  <c r="Q23" i="2"/>
  <c r="B13" i="5"/>
  <c r="C86" i="5"/>
  <c r="C88" i="5"/>
  <c r="C90" i="5"/>
  <c r="D90" i="5" s="1"/>
  <c r="I28" i="2"/>
  <c r="I29" i="2"/>
  <c r="I30" i="2"/>
  <c r="I31" i="2"/>
  <c r="I32" i="2"/>
  <c r="I33" i="2"/>
  <c r="I35" i="2"/>
  <c r="I36" i="2"/>
  <c r="I37" i="2"/>
  <c r="I38" i="2"/>
  <c r="I40" i="2"/>
  <c r="I42" i="2"/>
  <c r="G25" i="2"/>
  <c r="G26" i="2"/>
  <c r="G27" i="2"/>
  <c r="G28" i="2"/>
  <c r="G29" i="2"/>
  <c r="G30" i="2"/>
  <c r="G31" i="2"/>
  <c r="G32" i="2"/>
  <c r="G36" i="2"/>
  <c r="G38" i="2"/>
  <c r="G39" i="2"/>
  <c r="G40" i="2"/>
  <c r="E25" i="2"/>
  <c r="E26" i="2"/>
  <c r="E28" i="2"/>
  <c r="E29" i="2"/>
  <c r="E30" i="2"/>
  <c r="E31" i="2"/>
  <c r="E32" i="2"/>
  <c r="P21" i="2"/>
  <c r="J21" i="2"/>
  <c r="H21" i="2"/>
  <c r="B12" i="5"/>
  <c r="D12" i="5" s="1"/>
  <c r="B11" i="5"/>
  <c r="B10" i="5"/>
  <c r="B9" i="5"/>
  <c r="B8" i="5"/>
  <c r="B7" i="5"/>
  <c r="B6" i="5"/>
  <c r="D6" i="5" s="1"/>
  <c r="O30" i="2"/>
  <c r="M31" i="2"/>
  <c r="K31" i="2"/>
  <c r="M30" i="2"/>
  <c r="K30" i="2"/>
  <c r="K29" i="2"/>
  <c r="O31" i="2"/>
  <c r="O38" i="2"/>
  <c r="O37" i="2"/>
  <c r="O36" i="2"/>
  <c r="O35" i="2"/>
  <c r="O33" i="2"/>
  <c r="O32" i="2"/>
  <c r="O29" i="2"/>
  <c r="O28" i="2"/>
  <c r="O27" i="2"/>
  <c r="O26" i="2"/>
  <c r="O25" i="2"/>
  <c r="O24" i="2"/>
  <c r="O23" i="2"/>
  <c r="M24" i="2"/>
  <c r="O42" i="2"/>
  <c r="O41" i="2"/>
  <c r="O40" i="2"/>
  <c r="K42" i="2"/>
  <c r="K40" i="2"/>
  <c r="K39" i="2"/>
  <c r="K38" i="2"/>
  <c r="K37" i="2"/>
  <c r="K36" i="2"/>
  <c r="K35" i="2"/>
  <c r="K33" i="2"/>
  <c r="K32" i="2"/>
  <c r="K28" i="2"/>
  <c r="K27" i="2"/>
  <c r="K26" i="2"/>
  <c r="K25" i="2"/>
  <c r="K24" i="2"/>
  <c r="M42" i="2"/>
  <c r="M41" i="2"/>
  <c r="M40" i="2"/>
  <c r="M39" i="2"/>
  <c r="M38" i="2"/>
  <c r="M37" i="2"/>
  <c r="M36" i="2"/>
  <c r="M32" i="2"/>
  <c r="M29" i="2"/>
  <c r="M28" i="2"/>
  <c r="M27" i="2"/>
  <c r="M26" i="2"/>
  <c r="M25" i="2"/>
  <c r="F88" i="3"/>
  <c r="H88" i="3" s="1"/>
  <c r="I88" i="3" s="1"/>
  <c r="E60" i="1"/>
  <c r="F21" i="2"/>
  <c r="D16" i="1"/>
  <c r="C91" i="5"/>
  <c r="D91" i="5" s="1"/>
  <c r="D17" i="1"/>
  <c r="D14" i="1"/>
  <c r="D15" i="1"/>
  <c r="C87" i="5"/>
  <c r="F83" i="3"/>
  <c r="H83" i="3" s="1"/>
  <c r="I83" i="3" s="1"/>
  <c r="F86" i="3"/>
  <c r="H86" i="3" s="1"/>
  <c r="I86" i="3" s="1"/>
  <c r="F91" i="3"/>
  <c r="H91" i="3" s="1"/>
  <c r="I91" i="3" s="1"/>
  <c r="F75" i="3"/>
  <c r="H75" i="3" s="1"/>
  <c r="I75" i="3" s="1"/>
  <c r="F90" i="3"/>
  <c r="H90" i="3" s="1"/>
  <c r="I90" i="3" s="1"/>
  <c r="F77" i="3"/>
  <c r="H77" i="3" s="1"/>
  <c r="I77" i="3" s="1"/>
  <c r="F94" i="3"/>
  <c r="H94" i="3" s="1"/>
  <c r="I94" i="3" s="1"/>
  <c r="F74" i="3"/>
  <c r="H74" i="3" s="1"/>
  <c r="I74" i="3" s="1"/>
  <c r="F93" i="3"/>
  <c r="H93" i="3" s="1"/>
  <c r="I93" i="3" s="1"/>
  <c r="F78" i="3"/>
  <c r="H78" i="3" s="1"/>
  <c r="I78" i="3" s="1"/>
  <c r="F79" i="3"/>
  <c r="H79" i="3" s="1"/>
  <c r="I79" i="3" s="1"/>
  <c r="F87" i="3"/>
  <c r="H87" i="3" s="1"/>
  <c r="I87" i="3" s="1"/>
  <c r="F89" i="3"/>
  <c r="H89" i="3" s="1"/>
  <c r="I89" i="3" s="1"/>
  <c r="F73" i="3"/>
  <c r="H73" i="3" s="1"/>
  <c r="F95" i="3"/>
  <c r="H95" i="3" s="1"/>
  <c r="I95" i="3" s="1"/>
  <c r="F80" i="3"/>
  <c r="H80" i="3" s="1"/>
  <c r="I80" i="3" s="1"/>
  <c r="F84" i="3"/>
  <c r="H84" i="3" s="1"/>
  <c r="I84" i="3" s="1"/>
  <c r="F85" i="3"/>
  <c r="H85" i="3" s="1"/>
  <c r="I85" i="3" s="1"/>
  <c r="F92" i="3"/>
  <c r="H92" i="3" s="1"/>
  <c r="I92" i="3" s="1"/>
  <c r="J94" i="3"/>
  <c r="J78" i="3"/>
  <c r="F76" i="3"/>
  <c r="H76" i="3" s="1"/>
  <c r="I76" i="3" s="1"/>
  <c r="F82" i="3"/>
  <c r="H82" i="3" s="1"/>
  <c r="I82" i="3" s="1"/>
  <c r="F81" i="3"/>
  <c r="H81" i="3" s="1"/>
  <c r="I81" i="3" s="1"/>
  <c r="L94" i="3" l="1"/>
  <c r="D10" i="5"/>
  <c r="E50" i="5" s="1"/>
  <c r="E53" i="5"/>
  <c r="D13" i="5"/>
  <c r="D8" i="5"/>
  <c r="E48" i="5" s="1"/>
  <c r="E49" i="5"/>
  <c r="D9" i="5"/>
  <c r="F24" i="2"/>
  <c r="E47" i="5"/>
  <c r="D11" i="5"/>
  <c r="E51" i="5" s="1"/>
  <c r="X79" i="3"/>
  <c r="X80" i="3"/>
  <c r="X87" i="3"/>
  <c r="X85" i="3"/>
  <c r="X83" i="3"/>
  <c r="X82" i="3"/>
  <c r="X76" i="3"/>
  <c r="X78" i="3"/>
  <c r="X91" i="3"/>
  <c r="X84" i="3"/>
  <c r="X73" i="3"/>
  <c r="X89" i="3"/>
  <c r="X95" i="3"/>
  <c r="X86" i="3"/>
  <c r="X81" i="3"/>
  <c r="X72" i="3"/>
  <c r="X88" i="3"/>
  <c r="X77" i="3"/>
  <c r="X93" i="3"/>
  <c r="X74" i="3"/>
  <c r="X90" i="3"/>
  <c r="X92" i="3"/>
  <c r="X75" i="3"/>
  <c r="X94" i="3"/>
  <c r="S76" i="3"/>
  <c r="L78" i="3"/>
  <c r="M78" i="3" s="1"/>
  <c r="L72" i="3"/>
  <c r="J92" i="3"/>
  <c r="L92" i="3" s="1"/>
  <c r="S86" i="3"/>
  <c r="U86" i="3" s="1"/>
  <c r="J89" i="3"/>
  <c r="I73" i="3"/>
  <c r="H96" i="3"/>
  <c r="S84" i="3"/>
  <c r="U84" i="3" s="1"/>
  <c r="V84" i="3" s="1"/>
  <c r="S89" i="3"/>
  <c r="U89" i="3" s="1"/>
  <c r="V89" i="3" s="1"/>
  <c r="J34" i="3"/>
  <c r="S73" i="3"/>
  <c r="U73" i="3" s="1"/>
  <c r="V73" i="3" s="1"/>
  <c r="S91" i="3"/>
  <c r="U91" i="3" s="1"/>
  <c r="V91" i="3" s="1"/>
  <c r="C109" i="3"/>
  <c r="U75" i="3"/>
  <c r="V75" i="3" s="1"/>
  <c r="S92" i="3"/>
  <c r="U92" i="3" s="1"/>
  <c r="V92" i="3" s="1"/>
  <c r="S77" i="3"/>
  <c r="U77" i="3" s="1"/>
  <c r="V77" i="3" s="1"/>
  <c r="S90" i="3"/>
  <c r="U90" i="3" s="1"/>
  <c r="V90" i="3" s="1"/>
  <c r="S72" i="3"/>
  <c r="U72" i="3" s="1"/>
  <c r="V72" i="3" s="1"/>
  <c r="S85" i="3"/>
  <c r="U85" i="3" s="1"/>
  <c r="V85" i="3" s="1"/>
  <c r="S81" i="3"/>
  <c r="U81" i="3" s="1"/>
  <c r="V81" i="3" s="1"/>
  <c r="N85" i="3"/>
  <c r="N88" i="3"/>
  <c r="Q88" i="3" s="1"/>
  <c r="R88" i="3" s="1"/>
  <c r="S94" i="3"/>
  <c r="U94" i="3" s="1"/>
  <c r="V94" i="3" s="1"/>
  <c r="S87" i="3"/>
  <c r="U87" i="3" s="1"/>
  <c r="V87" i="3" s="1"/>
  <c r="S88" i="3"/>
  <c r="U88" i="3" s="1"/>
  <c r="V88" i="3" s="1"/>
  <c r="S82" i="3"/>
  <c r="U82" i="3" s="1"/>
  <c r="V82" i="3" s="1"/>
  <c r="S93" i="3"/>
  <c r="U93" i="3" s="1"/>
  <c r="S95" i="3"/>
  <c r="U95" i="3" s="1"/>
  <c r="V95" i="3" s="1"/>
  <c r="S80" i="3"/>
  <c r="U80" i="3" s="1"/>
  <c r="V80" i="3" s="1"/>
  <c r="S74" i="3"/>
  <c r="U74" i="3" s="1"/>
  <c r="V74" i="3" s="1"/>
  <c r="S83" i="3"/>
  <c r="U83" i="3" s="1"/>
  <c r="V83" i="3" s="1"/>
  <c r="S79" i="3"/>
  <c r="U79" i="3" s="1"/>
  <c r="V79" i="3" s="1"/>
  <c r="S78" i="3"/>
  <c r="C65" i="5"/>
  <c r="G65" i="5" s="1"/>
  <c r="Q85" i="3"/>
  <c r="R85" i="3" s="1"/>
  <c r="U76" i="3"/>
  <c r="V76" i="3" s="1"/>
  <c r="C20" i="1"/>
  <c r="P36" i="2"/>
  <c r="P42" i="2"/>
  <c r="P25" i="2"/>
  <c r="P29" i="2"/>
  <c r="C110" i="3"/>
  <c r="B110" i="3"/>
  <c r="C107" i="3"/>
  <c r="D18" i="5"/>
  <c r="C21" i="1"/>
  <c r="C108" i="3"/>
  <c r="B108" i="3"/>
  <c r="C111" i="3"/>
  <c r="C31" i="1"/>
  <c r="C32" i="1" s="1"/>
  <c r="C9" i="2" s="1"/>
  <c r="C106" i="3"/>
  <c r="B106" i="3"/>
  <c r="C105" i="3"/>
  <c r="C15" i="1"/>
  <c r="AA89" i="3"/>
  <c r="AB89" i="3" s="1"/>
  <c r="AA72" i="3"/>
  <c r="AB72" i="3" s="1"/>
  <c r="AA91" i="3"/>
  <c r="AB91" i="3" s="1"/>
  <c r="X26" i="2"/>
  <c r="X25" i="2"/>
  <c r="X42" i="2"/>
  <c r="X23" i="2"/>
  <c r="X24" i="2"/>
  <c r="X38" i="2"/>
  <c r="AC25" i="2"/>
  <c r="AF25" i="2" s="1"/>
  <c r="T96" i="3"/>
  <c r="N82" i="3"/>
  <c r="Q82" i="3" s="1"/>
  <c r="R82" i="3" s="1"/>
  <c r="M72" i="3"/>
  <c r="AA75" i="3"/>
  <c r="AB75" i="3" s="1"/>
  <c r="N89" i="3"/>
  <c r="Q89" i="3" s="1"/>
  <c r="R89" i="3" s="1"/>
  <c r="AA93" i="3"/>
  <c r="AB93" i="3" s="1"/>
  <c r="N95" i="3"/>
  <c r="Q95" i="3" s="1"/>
  <c r="R95" i="3" s="1"/>
  <c r="N93" i="3"/>
  <c r="Q93" i="3" s="1"/>
  <c r="R93" i="3" s="1"/>
  <c r="N74" i="3"/>
  <c r="Q74" i="3" s="1"/>
  <c r="R74" i="3" s="1"/>
  <c r="N73" i="3"/>
  <c r="Q73" i="3" s="1"/>
  <c r="R73" i="3" s="1"/>
  <c r="N76" i="3"/>
  <c r="Q76" i="3" s="1"/>
  <c r="J77" i="3"/>
  <c r="J87" i="3"/>
  <c r="N75" i="3"/>
  <c r="Q75" i="3" s="1"/>
  <c r="R75" i="3" s="1"/>
  <c r="N83" i="3"/>
  <c r="Q83" i="3" s="1"/>
  <c r="R83" i="3" s="1"/>
  <c r="J81" i="3"/>
  <c r="J75" i="3"/>
  <c r="K34" i="3"/>
  <c r="G7" i="2"/>
  <c r="N77" i="3"/>
  <c r="Q77" i="3" s="1"/>
  <c r="R77" i="3" s="1"/>
  <c r="N94" i="3"/>
  <c r="Q94" i="3" s="1"/>
  <c r="R94" i="3" s="1"/>
  <c r="J93" i="3"/>
  <c r="J86" i="3"/>
  <c r="J79" i="3"/>
  <c r="J95" i="3"/>
  <c r="J84" i="3"/>
  <c r="N78" i="3"/>
  <c r="Q78" i="3" s="1"/>
  <c r="R78" i="3" s="1"/>
  <c r="N87" i="3"/>
  <c r="Q87" i="3" s="1"/>
  <c r="R87" i="3" s="1"/>
  <c r="N84" i="3"/>
  <c r="Q84" i="3" s="1"/>
  <c r="R84" i="3" s="1"/>
  <c r="N81" i="3"/>
  <c r="Q81" i="3" s="1"/>
  <c r="R81" i="3" s="1"/>
  <c r="N91" i="3"/>
  <c r="Q91" i="3" s="1"/>
  <c r="R91" i="3" s="1"/>
  <c r="F34" i="3"/>
  <c r="AA77" i="3"/>
  <c r="AB77" i="3" s="1"/>
  <c r="AA85" i="3"/>
  <c r="AB85" i="3" s="1"/>
  <c r="G34" i="3"/>
  <c r="Q72" i="3"/>
  <c r="R72" i="3" s="1"/>
  <c r="J82" i="3"/>
  <c r="J91" i="3"/>
  <c r="J80" i="3"/>
  <c r="H7" i="2"/>
  <c r="J73" i="3"/>
  <c r="L73" i="3" s="1"/>
  <c r="J85" i="3"/>
  <c r="J74" i="3"/>
  <c r="J90" i="3"/>
  <c r="J83" i="3"/>
  <c r="J76" i="3"/>
  <c r="J88" i="3"/>
  <c r="N80" i="3"/>
  <c r="Q80" i="3" s="1"/>
  <c r="R80" i="3" s="1"/>
  <c r="N79" i="3"/>
  <c r="Q79" i="3" s="1"/>
  <c r="R79" i="3" s="1"/>
  <c r="N92" i="3"/>
  <c r="Q92" i="3" s="1"/>
  <c r="R92" i="3" s="1"/>
  <c r="N90" i="3"/>
  <c r="Q90" i="3" s="1"/>
  <c r="R90" i="3" s="1"/>
  <c r="N86" i="3"/>
  <c r="Q86" i="3" s="1"/>
  <c r="R86" i="3" s="1"/>
  <c r="H34" i="3"/>
  <c r="AC34" i="2"/>
  <c r="AF34" i="2" s="1"/>
  <c r="AC31" i="2"/>
  <c r="AF31" i="2" s="1"/>
  <c r="AC32" i="2"/>
  <c r="AF32" i="2" s="1"/>
  <c r="AC24" i="2"/>
  <c r="AF24" i="2" s="1"/>
  <c r="AA92" i="3"/>
  <c r="AB92" i="3" s="1"/>
  <c r="AA81" i="3"/>
  <c r="AB81" i="3" s="1"/>
  <c r="F96" i="3"/>
  <c r="K96" i="3"/>
  <c r="M94" i="3"/>
  <c r="AA74" i="3"/>
  <c r="AB74" i="3" s="1"/>
  <c r="P96" i="3"/>
  <c r="AA83" i="3"/>
  <c r="AB83" i="3" s="1"/>
  <c r="AA87" i="3"/>
  <c r="AB87" i="3" s="1"/>
  <c r="AA76" i="3"/>
  <c r="AB76" i="3" s="1"/>
  <c r="AA80" i="3"/>
  <c r="AB80" i="3" s="1"/>
  <c r="E34" i="3"/>
  <c r="AA79" i="3"/>
  <c r="AB79" i="3" s="1"/>
  <c r="AA95" i="3"/>
  <c r="AB95" i="3" s="1"/>
  <c r="AA78" i="3"/>
  <c r="AB78" i="3" s="1"/>
  <c r="AA88" i="3"/>
  <c r="AB88" i="3" s="1"/>
  <c r="AA94" i="3"/>
  <c r="AB94" i="3" s="1"/>
  <c r="AA82" i="3"/>
  <c r="AB82" i="3" s="1"/>
  <c r="M92" i="3"/>
  <c r="Z96" i="3"/>
  <c r="AA86" i="3"/>
  <c r="AB86" i="3" s="1"/>
  <c r="O96" i="3"/>
  <c r="Y96" i="3"/>
  <c r="AA84" i="3"/>
  <c r="AB84" i="3" s="1"/>
  <c r="AA90" i="3"/>
  <c r="AB90" i="3" s="1"/>
  <c r="G13" i="2"/>
  <c r="AA73" i="3"/>
  <c r="AB73" i="3" s="1"/>
  <c r="H38" i="2"/>
  <c r="G60" i="1"/>
  <c r="P41" i="2"/>
  <c r="P24" i="2"/>
  <c r="P28" i="2"/>
  <c r="P35" i="2"/>
  <c r="P31" i="2"/>
  <c r="C16" i="2"/>
  <c r="C15" i="2"/>
  <c r="V41" i="2"/>
  <c r="C14" i="1"/>
  <c r="C18" i="1"/>
  <c r="D15" i="5"/>
  <c r="C75" i="5" s="1"/>
  <c r="G75" i="5" s="1"/>
  <c r="T23" i="2"/>
  <c r="T27" i="2"/>
  <c r="T32" i="2"/>
  <c r="T36" i="2"/>
  <c r="T40" i="2"/>
  <c r="V24" i="2"/>
  <c r="V29" i="2"/>
  <c r="V33" i="2"/>
  <c r="V37" i="2"/>
  <c r="C17" i="1"/>
  <c r="E52" i="5"/>
  <c r="C19" i="1"/>
  <c r="D16" i="5"/>
  <c r="D19" i="5"/>
  <c r="V32" i="2"/>
  <c r="C10" i="2"/>
  <c r="H30" i="2"/>
  <c r="C5" i="2"/>
  <c r="V25" i="2"/>
  <c r="V38" i="2"/>
  <c r="C67" i="5"/>
  <c r="G67" i="5" s="1"/>
  <c r="C13" i="2"/>
  <c r="H39" i="2"/>
  <c r="H31" i="2"/>
  <c r="C12" i="2"/>
  <c r="F26" i="2"/>
  <c r="H24" i="2"/>
  <c r="C7" i="2"/>
  <c r="P26" i="2"/>
  <c r="C16" i="1"/>
  <c r="E11" i="2"/>
  <c r="P40" i="2"/>
  <c r="P27" i="2"/>
  <c r="P33" i="2"/>
  <c r="P38" i="2"/>
  <c r="H27" i="2"/>
  <c r="F31" i="2"/>
  <c r="T31" i="2"/>
  <c r="V23" i="2"/>
  <c r="V28" i="2"/>
  <c r="V36" i="2"/>
  <c r="V40" i="2"/>
  <c r="B80" i="5"/>
  <c r="P32" i="2"/>
  <c r="P37" i="2"/>
  <c r="P30" i="2"/>
  <c r="P34" i="2"/>
  <c r="V26" i="2"/>
  <c r="V31" i="2"/>
  <c r="V35" i="2"/>
  <c r="J23" i="2"/>
  <c r="H32" i="2"/>
  <c r="H28" i="2"/>
  <c r="H29" i="2"/>
  <c r="C74" i="5"/>
  <c r="G74" i="5" s="1"/>
  <c r="C73" i="5"/>
  <c r="G73" i="5" s="1"/>
  <c r="V30" i="2"/>
  <c r="J41" i="2"/>
  <c r="H40" i="2"/>
  <c r="H25" i="2"/>
  <c r="H34" i="2"/>
  <c r="H36" i="2"/>
  <c r="H26" i="2"/>
  <c r="C6" i="2"/>
  <c r="T25" i="2"/>
  <c r="T30" i="2"/>
  <c r="T34" i="2"/>
  <c r="T38" i="2"/>
  <c r="T42" i="2"/>
  <c r="V39" i="2"/>
  <c r="V42" i="2"/>
  <c r="X27" i="2"/>
  <c r="X39" i="2"/>
  <c r="X41" i="2"/>
  <c r="T26" i="2"/>
  <c r="T35" i="2"/>
  <c r="T39" i="2"/>
  <c r="V34" i="2"/>
  <c r="X28" i="2"/>
  <c r="X32" i="2"/>
  <c r="X36" i="2"/>
  <c r="B60" i="5"/>
  <c r="V86" i="3"/>
  <c r="C69" i="5"/>
  <c r="G69" i="5" s="1"/>
  <c r="C77" i="5"/>
  <c r="G77" i="5" s="1"/>
  <c r="P23" i="2"/>
  <c r="C68" i="5"/>
  <c r="G68" i="5" s="1"/>
  <c r="C71" i="5"/>
  <c r="G71" i="5" s="1"/>
  <c r="J42" i="2"/>
  <c r="J36" i="2"/>
  <c r="J31" i="2"/>
  <c r="J26" i="2"/>
  <c r="D98" i="5"/>
  <c r="J38" i="2"/>
  <c r="J33" i="2"/>
  <c r="J29" i="2"/>
  <c r="J24" i="2"/>
  <c r="E8" i="2"/>
  <c r="F34" i="2"/>
  <c r="F25" i="2"/>
  <c r="F28" i="2"/>
  <c r="F30" i="2"/>
  <c r="F32" i="2"/>
  <c r="F29" i="2"/>
  <c r="C70" i="5"/>
  <c r="G70" i="5" s="1"/>
  <c r="J40" i="2"/>
  <c r="J35" i="2"/>
  <c r="J30" i="2"/>
  <c r="J25" i="2"/>
  <c r="J34" i="2"/>
  <c r="X29" i="2"/>
  <c r="X33" i="2"/>
  <c r="X37" i="2"/>
  <c r="J37" i="2"/>
  <c r="J32" i="2"/>
  <c r="J28" i="2"/>
  <c r="T24" i="2"/>
  <c r="T29" i="2"/>
  <c r="T33" i="2"/>
  <c r="T37" i="2"/>
  <c r="T41" i="2"/>
  <c r="X30" i="2"/>
  <c r="X34" i="2"/>
  <c r="X31" i="2"/>
  <c r="X35" i="2"/>
  <c r="H40" i="1" l="1"/>
  <c r="I40" i="1" s="1"/>
  <c r="J40" i="1" s="1"/>
  <c r="E56" i="5"/>
  <c r="L90" i="3"/>
  <c r="M90" i="3" s="1"/>
  <c r="L79" i="3"/>
  <c r="M79" i="3" s="1"/>
  <c r="L81" i="3"/>
  <c r="M81" i="3" s="1"/>
  <c r="L89" i="3"/>
  <c r="M89" i="3" s="1"/>
  <c r="L76" i="3"/>
  <c r="M76" i="3" s="1"/>
  <c r="L85" i="3"/>
  <c r="M85" i="3" s="1"/>
  <c r="L91" i="3"/>
  <c r="M91" i="3" s="1"/>
  <c r="L84" i="3"/>
  <c r="M84" i="3" s="1"/>
  <c r="L93" i="3"/>
  <c r="M93" i="3" s="1"/>
  <c r="L83" i="3"/>
  <c r="M83" i="3" s="1"/>
  <c r="L82" i="3"/>
  <c r="M82" i="3" s="1"/>
  <c r="L95" i="3"/>
  <c r="M95" i="3" s="1"/>
  <c r="L75" i="3"/>
  <c r="M75" i="3" s="1"/>
  <c r="L87" i="3"/>
  <c r="M87" i="3" s="1"/>
  <c r="L77" i="3"/>
  <c r="M77" i="3" s="1"/>
  <c r="L88" i="3"/>
  <c r="M88" i="3" s="1"/>
  <c r="L74" i="3"/>
  <c r="M74" i="3" s="1"/>
  <c r="L80" i="3"/>
  <c r="M80" i="3" s="1"/>
  <c r="L86" i="3"/>
  <c r="M86" i="3" s="1"/>
  <c r="E55" i="5"/>
  <c r="E59" i="5"/>
  <c r="E46" i="5"/>
  <c r="S96" i="3"/>
  <c r="U78" i="3"/>
  <c r="V78" i="3" s="1"/>
  <c r="E58" i="5"/>
  <c r="D32" i="1"/>
  <c r="N21" i="2" s="1"/>
  <c r="N32" i="2" s="1"/>
  <c r="J96" i="3"/>
  <c r="Q96" i="3"/>
  <c r="N96" i="3"/>
  <c r="R76" i="3"/>
  <c r="R96" i="3" s="1"/>
  <c r="V93" i="3"/>
  <c r="M73" i="3"/>
  <c r="AA96" i="3"/>
  <c r="C76" i="5"/>
  <c r="G76" i="5" s="1"/>
  <c r="C66" i="5"/>
  <c r="G66" i="5" s="1"/>
  <c r="G80" i="5" s="1"/>
  <c r="C34" i="1"/>
  <c r="C72" i="5"/>
  <c r="G72" i="5" s="1"/>
  <c r="X96" i="3"/>
  <c r="AB96" i="3"/>
  <c r="I96" i="3"/>
  <c r="H57" i="1" l="1"/>
  <c r="I57" i="1" s="1"/>
  <c r="J57" i="1" s="1"/>
  <c r="B20" i="1" s="1"/>
  <c r="M96" i="3"/>
  <c r="L96" i="3"/>
  <c r="V96" i="3"/>
  <c r="U96" i="3"/>
  <c r="E60" i="5"/>
  <c r="B14" i="2"/>
  <c r="D14" i="2" s="1"/>
  <c r="C35" i="1"/>
  <c r="D35" i="1" s="1"/>
  <c r="C80" i="5"/>
  <c r="N31" i="2"/>
  <c r="N39" i="2"/>
  <c r="N41" i="2"/>
  <c r="N37" i="2"/>
  <c r="N38" i="2"/>
  <c r="N30" i="2"/>
  <c r="N42" i="2"/>
  <c r="N36" i="2"/>
  <c r="N24" i="2"/>
  <c r="N28" i="2"/>
  <c r="N29" i="2"/>
  <c r="N26" i="2"/>
  <c r="N35" i="2"/>
  <c r="N34" i="2"/>
  <c r="N27" i="2"/>
  <c r="N25" i="2"/>
  <c r="N40" i="2"/>
  <c r="N23" i="2"/>
  <c r="C8" i="2"/>
  <c r="H51" i="1"/>
  <c r="I51" i="1" s="1"/>
  <c r="J51" i="1" s="1"/>
  <c r="H56" i="1"/>
  <c r="I56" i="1" s="1"/>
  <c r="H46" i="1"/>
  <c r="I46" i="1" s="1"/>
  <c r="J46" i="1" s="1"/>
  <c r="B21" i="1" s="1"/>
  <c r="H44" i="1"/>
  <c r="I44" i="1" s="1"/>
  <c r="H50" i="1"/>
  <c r="I50" i="1" s="1"/>
  <c r="H43" i="1"/>
  <c r="H55" i="1"/>
  <c r="I55" i="1" s="1"/>
  <c r="J55" i="1" s="1"/>
  <c r="H47" i="1"/>
  <c r="I47" i="1" s="1"/>
  <c r="J47" i="1" s="1"/>
  <c r="B22" i="1" s="1"/>
  <c r="H58" i="1"/>
  <c r="I58" i="1" s="1"/>
  <c r="J58" i="1" s="1"/>
  <c r="H48" i="1"/>
  <c r="I48" i="1" s="1"/>
  <c r="J48" i="1" s="1"/>
  <c r="H54" i="1"/>
  <c r="I54" i="1" s="1"/>
  <c r="J54" i="1" s="1"/>
  <c r="H49" i="1"/>
  <c r="I49" i="1" s="1"/>
  <c r="J49" i="1" s="1"/>
  <c r="H41" i="1"/>
  <c r="I41" i="1" s="1"/>
  <c r="H53" i="1"/>
  <c r="I53" i="1" s="1"/>
  <c r="J53" i="1" s="1"/>
  <c r="H45" i="1"/>
  <c r="I45" i="1" s="1"/>
  <c r="J45" i="1" s="1"/>
  <c r="B18" i="1" s="1"/>
  <c r="H59" i="1"/>
  <c r="H52" i="1"/>
  <c r="I52" i="1" s="1"/>
  <c r="J52" i="1" s="1"/>
  <c r="H42" i="1"/>
  <c r="D80" i="5"/>
  <c r="I59" i="1" l="1"/>
  <c r="J59" i="1" s="1"/>
  <c r="I42" i="1"/>
  <c r="J42" i="1" s="1"/>
  <c r="I43" i="1"/>
  <c r="J43" i="1" s="1"/>
  <c r="J41" i="1"/>
  <c r="E29" i="1"/>
  <c r="J56" i="1"/>
  <c r="B17" i="1" s="1"/>
  <c r="B16" i="2"/>
  <c r="D16" i="2" s="1"/>
  <c r="F16" i="2" s="1"/>
  <c r="I16" i="2" s="1"/>
  <c r="J50" i="1"/>
  <c r="J44" i="1"/>
  <c r="B15" i="2"/>
  <c r="F14" i="2"/>
  <c r="I14" i="2" s="1"/>
  <c r="W40" i="2" s="1"/>
  <c r="W43" i="2" s="1"/>
  <c r="C11" i="2"/>
  <c r="B8" i="2"/>
  <c r="D29" i="1"/>
  <c r="B12" i="2"/>
  <c r="D12" i="2" s="1"/>
  <c r="F12" i="2" s="1"/>
  <c r="I12" i="2" s="1"/>
  <c r="S28" i="2" s="1"/>
  <c r="E80" i="5"/>
  <c r="B19" i="1" l="1"/>
  <c r="B16" i="1"/>
  <c r="B7" i="2" s="1"/>
  <c r="B14" i="1"/>
  <c r="B15" i="1"/>
  <c r="G81" i="7"/>
  <c r="G75" i="7"/>
  <c r="E35" i="1"/>
  <c r="B11" i="2"/>
  <c r="B6" i="2"/>
  <c r="F6" i="2" s="1"/>
  <c r="I6" i="2" s="1"/>
  <c r="E32" i="1"/>
  <c r="AA30" i="2"/>
  <c r="B5" i="2"/>
  <c r="D5" i="2" s="1"/>
  <c r="D15" i="2"/>
  <c r="F15" i="2" s="1"/>
  <c r="I15" i="2" s="1"/>
  <c r="Y29" i="2" s="1"/>
  <c r="B10" i="2"/>
  <c r="D10" i="2" s="1"/>
  <c r="F10" i="2" s="1"/>
  <c r="I10" i="2" s="1"/>
  <c r="B9" i="2"/>
  <c r="D9" i="2" s="1"/>
  <c r="J60" i="1"/>
  <c r="B13" i="2"/>
  <c r="X40" i="2"/>
  <c r="X43" i="2" s="1"/>
  <c r="T28" i="2"/>
  <c r="T43" i="2" s="1"/>
  <c r="AC28" i="2"/>
  <c r="R21" i="2"/>
  <c r="L21" i="2"/>
  <c r="S43" i="2"/>
  <c r="G74" i="7" l="1"/>
  <c r="G16" i="9"/>
  <c r="I75" i="7"/>
  <c r="I16" i="9" s="1"/>
  <c r="G65" i="7"/>
  <c r="I65" i="7" s="1"/>
  <c r="G72" i="7"/>
  <c r="G79" i="7"/>
  <c r="G73" i="7"/>
  <c r="G82" i="7"/>
  <c r="G67" i="7"/>
  <c r="G77" i="7"/>
  <c r="I81" i="7"/>
  <c r="I22" i="9" s="1"/>
  <c r="G22" i="9"/>
  <c r="G66" i="7"/>
  <c r="G71" i="7"/>
  <c r="G84" i="7"/>
  <c r="G80" i="7"/>
  <c r="G78" i="7"/>
  <c r="G76" i="7"/>
  <c r="K30" i="14"/>
  <c r="K29" i="14"/>
  <c r="F11" i="2"/>
  <c r="I11" i="2" s="1"/>
  <c r="Q26" i="2" s="1"/>
  <c r="R26" i="2" s="1"/>
  <c r="B13" i="1"/>
  <c r="E13" i="1" s="1"/>
  <c r="H8" i="2"/>
  <c r="G8" i="2"/>
  <c r="F8" i="2"/>
  <c r="D13" i="2"/>
  <c r="F13" i="2" s="1"/>
  <c r="I13" i="2" s="1"/>
  <c r="U27" i="2" s="1"/>
  <c r="F5" i="2"/>
  <c r="D7" i="2"/>
  <c r="F7" i="2" s="1"/>
  <c r="I7" i="2" s="1"/>
  <c r="AB30" i="2"/>
  <c r="AB43" i="2" s="1"/>
  <c r="AC30" i="2"/>
  <c r="AA43" i="2"/>
  <c r="G23" i="2"/>
  <c r="H23" i="2" s="1"/>
  <c r="G33" i="2"/>
  <c r="H33" i="2" s="1"/>
  <c r="O39" i="2"/>
  <c r="P39" i="2" s="1"/>
  <c r="P43" i="2" s="1"/>
  <c r="AC29" i="2"/>
  <c r="Z29" i="2"/>
  <c r="Z43" i="2" s="1"/>
  <c r="Y43" i="2"/>
  <c r="F9" i="2"/>
  <c r="G9" i="2" s="1"/>
  <c r="C82" i="3"/>
  <c r="R42" i="2"/>
  <c r="R31" i="2"/>
  <c r="R25" i="2"/>
  <c r="R41" i="2"/>
  <c r="R37" i="2"/>
  <c r="R39" i="2"/>
  <c r="R27" i="2"/>
  <c r="R24" i="2"/>
  <c r="R34" i="2"/>
  <c r="R28" i="2"/>
  <c r="R38" i="2"/>
  <c r="R29" i="2"/>
  <c r="R35" i="2"/>
  <c r="R30" i="2"/>
  <c r="R36" i="2"/>
  <c r="R40" i="2"/>
  <c r="R32" i="2"/>
  <c r="R33" i="2"/>
  <c r="R23" i="2"/>
  <c r="L38" i="2"/>
  <c r="L23" i="2"/>
  <c r="L40" i="2"/>
  <c r="L29" i="2"/>
  <c r="L36" i="2"/>
  <c r="L30" i="2"/>
  <c r="L37" i="2"/>
  <c r="L27" i="2"/>
  <c r="L33" i="2"/>
  <c r="L35" i="2"/>
  <c r="L32" i="2"/>
  <c r="L42" i="2"/>
  <c r="L31" i="2"/>
  <c r="L26" i="2"/>
  <c r="L28" i="2"/>
  <c r="L39" i="2"/>
  <c r="L25" i="2"/>
  <c r="L24" i="2"/>
  <c r="L34" i="2"/>
  <c r="AC26" i="2" l="1"/>
  <c r="G21" i="9"/>
  <c r="I80" i="7"/>
  <c r="I21" i="9" s="1"/>
  <c r="I73" i="7"/>
  <c r="I14" i="9" s="1"/>
  <c r="G14" i="9"/>
  <c r="G13" i="9"/>
  <c r="I72" i="7"/>
  <c r="I13" i="9" s="1"/>
  <c r="G19" i="9"/>
  <c r="I78" i="7"/>
  <c r="I19" i="9" s="1"/>
  <c r="I84" i="7"/>
  <c r="I25" i="9" s="1"/>
  <c r="G25" i="9"/>
  <c r="I77" i="7"/>
  <c r="I18" i="9" s="1"/>
  <c r="G18" i="9"/>
  <c r="I82" i="7"/>
  <c r="I23" i="9" s="1"/>
  <c r="G23" i="9"/>
  <c r="I79" i="7"/>
  <c r="I20" i="9" s="1"/>
  <c r="G20" i="9"/>
  <c r="I6" i="9"/>
  <c r="G6" i="9"/>
  <c r="G15" i="9"/>
  <c r="I74" i="7"/>
  <c r="I15" i="9" s="1"/>
  <c r="I76" i="7"/>
  <c r="I17" i="9" s="1"/>
  <c r="G17" i="9"/>
  <c r="G12" i="9"/>
  <c r="I71" i="7"/>
  <c r="I12" i="9" s="1"/>
  <c r="G8" i="9"/>
  <c r="I67" i="7"/>
  <c r="I8" i="9" s="1"/>
  <c r="G7" i="9"/>
  <c r="I66" i="7"/>
  <c r="I7" i="9" s="1"/>
  <c r="Q43" i="2"/>
  <c r="E18" i="1"/>
  <c r="F18" i="1" s="1"/>
  <c r="K45" i="1" s="1"/>
  <c r="E14" i="1"/>
  <c r="E22" i="1"/>
  <c r="E21" i="1"/>
  <c r="V27" i="2"/>
  <c r="V43" i="2" s="1"/>
  <c r="U43" i="2"/>
  <c r="I39" i="2"/>
  <c r="J39" i="2" s="1"/>
  <c r="I27" i="2"/>
  <c r="J27" i="2" s="1"/>
  <c r="O43" i="2"/>
  <c r="G35" i="2"/>
  <c r="G42" i="2"/>
  <c r="H42" i="2" s="1"/>
  <c r="G41" i="2"/>
  <c r="H41" i="2" s="1"/>
  <c r="G37" i="2"/>
  <c r="H37" i="2" s="1"/>
  <c r="F13" i="1"/>
  <c r="B35" i="1" s="1"/>
  <c r="F22" i="1"/>
  <c r="K47" i="1" s="1"/>
  <c r="F21" i="1"/>
  <c r="K46" i="1" s="1"/>
  <c r="I34" i="3"/>
  <c r="C87" i="3"/>
  <c r="I8" i="2"/>
  <c r="C74" i="3"/>
  <c r="AD30" i="2"/>
  <c r="AF30" i="2" s="1"/>
  <c r="AD24" i="2"/>
  <c r="AE24" i="2" s="1"/>
  <c r="D66" i="7" s="1"/>
  <c r="AD26" i="2"/>
  <c r="AE26" i="2" s="1"/>
  <c r="D68" i="7" s="1"/>
  <c r="C75" i="3"/>
  <c r="C86" i="3"/>
  <c r="C88" i="3"/>
  <c r="C90" i="3"/>
  <c r="C20" i="3"/>
  <c r="C84" i="3"/>
  <c r="C79" i="3"/>
  <c r="AD31" i="2"/>
  <c r="AE31" i="2" s="1"/>
  <c r="D73" i="7" s="1"/>
  <c r="C13" i="3"/>
  <c r="B74" i="3" s="1"/>
  <c r="AD28" i="2"/>
  <c r="AF28" i="2" s="1"/>
  <c r="C89" i="3"/>
  <c r="C95" i="3"/>
  <c r="C93" i="3"/>
  <c r="C77" i="3"/>
  <c r="C78" i="3"/>
  <c r="AD29" i="2"/>
  <c r="AF29" i="2" s="1"/>
  <c r="C81" i="3"/>
  <c r="C73" i="3"/>
  <c r="C72" i="3"/>
  <c r="C80" i="3"/>
  <c r="C85" i="3"/>
  <c r="C94" i="3"/>
  <c r="C83" i="3"/>
  <c r="C91" i="3"/>
  <c r="C92" i="3"/>
  <c r="C76" i="3"/>
  <c r="AD32" i="2"/>
  <c r="AE32" i="2" s="1"/>
  <c r="D74" i="7" s="1"/>
  <c r="AD25" i="2"/>
  <c r="AE25" i="2" s="1"/>
  <c r="D67" i="7" s="1"/>
  <c r="AD34" i="2"/>
  <c r="AE34" i="2" s="1"/>
  <c r="D76" i="7" s="1"/>
  <c r="R43" i="2"/>
  <c r="D17" i="9" l="1"/>
  <c r="E76" i="7"/>
  <c r="E17" i="9" s="1"/>
  <c r="E67" i="7"/>
  <c r="E8" i="9" s="1"/>
  <c r="D8" i="9"/>
  <c r="E73" i="7"/>
  <c r="E14" i="9" s="1"/>
  <c r="D14" i="9"/>
  <c r="D9" i="9"/>
  <c r="E68" i="7"/>
  <c r="E9" i="9" s="1"/>
  <c r="D15" i="9"/>
  <c r="E74" i="7"/>
  <c r="E15" i="9" s="1"/>
  <c r="D7" i="9"/>
  <c r="E66" i="7"/>
  <c r="E7" i="9" s="1"/>
  <c r="K28" i="14"/>
  <c r="K31" i="14" s="1"/>
  <c r="G69" i="7"/>
  <c r="E20" i="1"/>
  <c r="F20" i="1" s="1"/>
  <c r="K57" i="1" s="1"/>
  <c r="E16" i="1"/>
  <c r="E15" i="1"/>
  <c r="F15" i="1" s="1"/>
  <c r="J43" i="2"/>
  <c r="K48" i="1"/>
  <c r="I43" i="2"/>
  <c r="K41" i="2"/>
  <c r="L41" i="2" s="1"/>
  <c r="L43" i="2" s="1"/>
  <c r="H35" i="2"/>
  <c r="H43" i="2" s="1"/>
  <c r="G43" i="2"/>
  <c r="K51" i="1"/>
  <c r="K41" i="1"/>
  <c r="K49" i="1"/>
  <c r="F14" i="1"/>
  <c r="K53" i="1" s="1"/>
  <c r="F35" i="1"/>
  <c r="K43" i="1" s="1"/>
  <c r="K42" i="1"/>
  <c r="I9" i="2"/>
  <c r="M33" i="2" s="1"/>
  <c r="B109" i="3"/>
  <c r="D74" i="3"/>
  <c r="E74" i="3" s="1"/>
  <c r="B81" i="3"/>
  <c r="D81" i="3" s="1"/>
  <c r="E81" i="3" s="1"/>
  <c r="AE30" i="2"/>
  <c r="D72" i="7" s="1"/>
  <c r="B84" i="3"/>
  <c r="D84" i="3" s="1"/>
  <c r="E84" i="3" s="1"/>
  <c r="F16" i="1"/>
  <c r="B91" i="3"/>
  <c r="D91" i="3" s="1"/>
  <c r="E91" i="3" s="1"/>
  <c r="B94" i="3"/>
  <c r="D94" i="3" s="1"/>
  <c r="E94" i="3" s="1"/>
  <c r="B85" i="3"/>
  <c r="D85" i="3" s="1"/>
  <c r="E85" i="3" s="1"/>
  <c r="B86" i="3"/>
  <c r="D86" i="3" s="1"/>
  <c r="E86" i="3" s="1"/>
  <c r="B76" i="3"/>
  <c r="D76" i="3" s="1"/>
  <c r="E76" i="3" s="1"/>
  <c r="B104" i="3"/>
  <c r="B95" i="3"/>
  <c r="D95" i="3" s="1"/>
  <c r="E95" i="3" s="1"/>
  <c r="B92" i="3"/>
  <c r="D92" i="3" s="1"/>
  <c r="E92" i="3" s="1"/>
  <c r="B75" i="3"/>
  <c r="D75" i="3" s="1"/>
  <c r="E75" i="3" s="1"/>
  <c r="B90" i="3"/>
  <c r="D90" i="3" s="1"/>
  <c r="E90" i="3" s="1"/>
  <c r="B93" i="3"/>
  <c r="D93" i="3" s="1"/>
  <c r="E93" i="3" s="1"/>
  <c r="H5" i="2"/>
  <c r="I5" i="2" s="1"/>
  <c r="B77" i="3"/>
  <c r="D77" i="3" s="1"/>
  <c r="E77" i="3" s="1"/>
  <c r="B87" i="3"/>
  <c r="D87" i="3" s="1"/>
  <c r="E87" i="3" s="1"/>
  <c r="B80" i="3"/>
  <c r="D80" i="3" s="1"/>
  <c r="E80" i="3" s="1"/>
  <c r="B83" i="3"/>
  <c r="D83" i="3" s="1"/>
  <c r="E83" i="3" s="1"/>
  <c r="C104" i="3"/>
  <c r="B79" i="3"/>
  <c r="D79" i="3" s="1"/>
  <c r="E79" i="3" s="1"/>
  <c r="B82" i="3"/>
  <c r="D82" i="3" s="1"/>
  <c r="E82" i="3" s="1"/>
  <c r="B88" i="3"/>
  <c r="D88" i="3" s="1"/>
  <c r="E88" i="3" s="1"/>
  <c r="B89" i="3"/>
  <c r="D89" i="3" s="1"/>
  <c r="E89" i="3" s="1"/>
  <c r="B73" i="3"/>
  <c r="D73" i="3" s="1"/>
  <c r="E73" i="3" s="1"/>
  <c r="B78" i="3"/>
  <c r="D78" i="3" s="1"/>
  <c r="E78" i="3" s="1"/>
  <c r="B72" i="3"/>
  <c r="D72" i="3" s="1"/>
  <c r="E72" i="3" s="1"/>
  <c r="AE29" i="2"/>
  <c r="D71" i="7" s="1"/>
  <c r="C34" i="3"/>
  <c r="C96" i="3"/>
  <c r="AE28" i="2"/>
  <c r="D70" i="7" s="1"/>
  <c r="AF26" i="2"/>
  <c r="E71" i="7" l="1"/>
  <c r="E12" i="9" s="1"/>
  <c r="D12" i="9"/>
  <c r="D13" i="9"/>
  <c r="E72" i="7"/>
  <c r="E13" i="9" s="1"/>
  <c r="D11" i="9"/>
  <c r="E70" i="7"/>
  <c r="E11" i="9" s="1"/>
  <c r="G10" i="9"/>
  <c r="I69" i="7"/>
  <c r="I10" i="9" s="1"/>
  <c r="E17" i="1"/>
  <c r="F17" i="1" s="1"/>
  <c r="K56" i="1" s="1"/>
  <c r="E19" i="1"/>
  <c r="F19" i="1" s="1"/>
  <c r="K44" i="1" s="1"/>
  <c r="B114" i="3"/>
  <c r="C114" i="3"/>
  <c r="B29" i="1"/>
  <c r="F29" i="1" s="1"/>
  <c r="K58" i="1" s="1"/>
  <c r="B32" i="1"/>
  <c r="F32" i="1" s="1"/>
  <c r="K50" i="1" s="1"/>
  <c r="K59" i="1"/>
  <c r="E39" i="2"/>
  <c r="AC39" i="2" s="1"/>
  <c r="E23" i="2"/>
  <c r="K43" i="2"/>
  <c r="K52" i="1"/>
  <c r="K54" i="1"/>
  <c r="K40" i="1"/>
  <c r="K55" i="1"/>
  <c r="N33" i="2"/>
  <c r="N43" i="2" s="1"/>
  <c r="M43" i="2"/>
  <c r="E27" i="2"/>
  <c r="F27" i="2" s="1"/>
  <c r="E96" i="3"/>
  <c r="B96" i="3"/>
  <c r="D96" i="3"/>
  <c r="E38" i="2"/>
  <c r="AC38" i="2" s="1"/>
  <c r="E41" i="2"/>
  <c r="F41" i="2" s="1"/>
  <c r="E33" i="2"/>
  <c r="F33" i="2" s="1"/>
  <c r="E42" i="2"/>
  <c r="AC42" i="2" s="1"/>
  <c r="E37" i="2"/>
  <c r="F37" i="2" s="1"/>
  <c r="E36" i="2"/>
  <c r="AC36" i="2" s="1"/>
  <c r="E40" i="2"/>
  <c r="AC40" i="2" s="1"/>
  <c r="E35" i="2"/>
  <c r="AC35" i="2" s="1"/>
  <c r="F39" i="2" l="1"/>
  <c r="AD39" i="2" s="1"/>
  <c r="AE39" i="2" s="1"/>
  <c r="D81" i="7" s="1"/>
  <c r="F23" i="2"/>
  <c r="AD23" i="2" s="1"/>
  <c r="E43" i="2"/>
  <c r="AC27" i="2"/>
  <c r="F42" i="2"/>
  <c r="AD42" i="2" s="1"/>
  <c r="AE42" i="2" s="1"/>
  <c r="D84" i="7" s="1"/>
  <c r="F38" i="2"/>
  <c r="AD38" i="2" s="1"/>
  <c r="AE38" i="2" s="1"/>
  <c r="D80" i="7" s="1"/>
  <c r="AC41" i="2"/>
  <c r="F40" i="2"/>
  <c r="AD40" i="2" s="1"/>
  <c r="AE40" i="2" s="1"/>
  <c r="D82" i="7" s="1"/>
  <c r="F36" i="2"/>
  <c r="AD36" i="2" s="1"/>
  <c r="AE36" i="2" s="1"/>
  <c r="D78" i="7" s="1"/>
  <c r="AC33" i="2"/>
  <c r="AC23" i="2"/>
  <c r="F35" i="2"/>
  <c r="AD35" i="2" s="1"/>
  <c r="AF35" i="2" s="1"/>
  <c r="AC37" i="2"/>
  <c r="AD37" i="2"/>
  <c r="AE37" i="2" s="1"/>
  <c r="D79" i="7" s="1"/>
  <c r="AD41" i="2"/>
  <c r="AD33" i="2"/>
  <c r="AE33" i="2" s="1"/>
  <c r="D75" i="7" s="1"/>
  <c r="AD27" i="2"/>
  <c r="AF38" i="2"/>
  <c r="AF36" i="2"/>
  <c r="D19" i="9" l="1"/>
  <c r="E78" i="7"/>
  <c r="E19" i="9" s="1"/>
  <c r="D25" i="9"/>
  <c r="E84" i="7"/>
  <c r="E25" i="9" s="1"/>
  <c r="E81" i="7"/>
  <c r="E22" i="9" s="1"/>
  <c r="D22" i="9"/>
  <c r="E79" i="7"/>
  <c r="E20" i="9" s="1"/>
  <c r="D20" i="9"/>
  <c r="D16" i="9"/>
  <c r="E75" i="7"/>
  <c r="E16" i="9" s="1"/>
  <c r="D23" i="9"/>
  <c r="E82" i="7"/>
  <c r="E23" i="9" s="1"/>
  <c r="D21" i="9"/>
  <c r="E80" i="7"/>
  <c r="E21" i="9" s="1"/>
  <c r="AF39" i="2"/>
  <c r="AD43" i="2"/>
  <c r="F43" i="2"/>
  <c r="AE23" i="2"/>
  <c r="D65" i="7" s="1"/>
  <c r="AF27" i="2"/>
  <c r="AF40" i="2"/>
  <c r="AF41" i="2"/>
  <c r="AF42" i="2"/>
  <c r="AF33" i="2"/>
  <c r="AF37" i="2"/>
  <c r="AE27" i="2"/>
  <c r="D69" i="7" s="1"/>
  <c r="AE35" i="2"/>
  <c r="D77" i="7" s="1"/>
  <c r="AE41" i="2"/>
  <c r="D83" i="7" s="1"/>
  <c r="E65" i="7" l="1"/>
  <c r="E6" i="9" s="1"/>
  <c r="D6" i="9"/>
  <c r="D24" i="9"/>
  <c r="E83" i="7"/>
  <c r="E24" i="9" s="1"/>
  <c r="E77" i="7"/>
  <c r="E18" i="9" s="1"/>
  <c r="D18" i="9"/>
  <c r="D10" i="9"/>
  <c r="E69" i="7"/>
  <c r="E10" i="9" s="1"/>
  <c r="J28" i="1"/>
  <c r="J27" i="1"/>
  <c r="AF23" i="2"/>
  <c r="J29" i="1" l="1"/>
  <c r="J30" i="1" l="1"/>
  <c r="G62" i="26" l="1"/>
  <c r="B8" i="26" l="1"/>
  <c r="H53" i="26" l="1"/>
  <c r="I53" i="26" s="1"/>
  <c r="H58" i="26"/>
  <c r="I58" i="26" s="1"/>
  <c r="H51" i="26"/>
  <c r="I51" i="26" s="1"/>
  <c r="H56" i="26"/>
  <c r="I56" i="26" s="1"/>
  <c r="H46" i="26"/>
  <c r="I46" i="26" s="1"/>
  <c r="H59" i="26"/>
  <c r="I59" i="26" s="1"/>
  <c r="H52" i="26"/>
  <c r="I52" i="26" s="1"/>
  <c r="H49" i="26"/>
  <c r="I49" i="26" s="1"/>
  <c r="H43" i="26"/>
  <c r="I43" i="26" s="1"/>
  <c r="H45" i="26"/>
  <c r="I45" i="26" s="1"/>
  <c r="H60" i="26"/>
  <c r="I60" i="26" s="1"/>
  <c r="H57" i="26"/>
  <c r="I57" i="26" s="1"/>
  <c r="H48" i="26"/>
  <c r="I48" i="26" s="1"/>
  <c r="H61" i="26"/>
  <c r="I61" i="26" s="1"/>
  <c r="H47" i="26"/>
  <c r="I47" i="26" s="1"/>
  <c r="H55" i="26"/>
  <c r="I55" i="26" s="1"/>
  <c r="H44" i="26"/>
  <c r="I44" i="26" s="1"/>
  <c r="H50" i="26"/>
  <c r="I50" i="26" s="1"/>
  <c r="H54" i="26"/>
  <c r="I54" i="26" s="1"/>
  <c r="H42" i="26"/>
  <c r="I42" i="26" s="1"/>
  <c r="B9" i="31" l="1"/>
  <c r="J44" i="26"/>
  <c r="B13" i="31"/>
  <c r="J48" i="26"/>
  <c r="B8" i="31"/>
  <c r="J43" i="26"/>
  <c r="B11" i="31"/>
  <c r="J46" i="26"/>
  <c r="B16" i="31"/>
  <c r="J51" i="26"/>
  <c r="B7" i="31"/>
  <c r="J42" i="26"/>
  <c r="B20" i="31"/>
  <c r="J55" i="26"/>
  <c r="B22" i="31"/>
  <c r="J57" i="26"/>
  <c r="B14" i="31"/>
  <c r="J49" i="26"/>
  <c r="B23" i="31"/>
  <c r="J58" i="26"/>
  <c r="B19" i="31"/>
  <c r="J54" i="26"/>
  <c r="B12" i="31"/>
  <c r="J47" i="26"/>
  <c r="B25" i="31"/>
  <c r="J60" i="26"/>
  <c r="B17" i="31"/>
  <c r="J52" i="26"/>
  <c r="B21" i="31"/>
  <c r="J56" i="26"/>
  <c r="B18" i="31"/>
  <c r="J53" i="26"/>
  <c r="B15" i="31"/>
  <c r="J50" i="26"/>
  <c r="J61" i="26"/>
  <c r="B26" i="31"/>
  <c r="B10" i="31"/>
  <c r="J45" i="26"/>
  <c r="B24" i="31"/>
  <c r="J59" i="26"/>
  <c r="N80" i="7" l="1"/>
  <c r="N21" i="9" s="1"/>
  <c r="N69" i="7"/>
  <c r="N10" i="9" s="1"/>
  <c r="B16" i="26"/>
  <c r="B7" i="27" s="1"/>
  <c r="D7" i="27" s="1"/>
  <c r="F7" i="27" s="1"/>
  <c r="I7" i="27" s="1"/>
  <c r="B19" i="26"/>
  <c r="B13" i="27" s="1"/>
  <c r="D13" i="27" s="1"/>
  <c r="F13" i="27" s="1"/>
  <c r="I13" i="27" s="1"/>
  <c r="U27" i="27" s="1"/>
  <c r="AE31" i="27"/>
  <c r="P73" i="7" s="1"/>
  <c r="P14" i="9" s="1"/>
  <c r="N73" i="7"/>
  <c r="N14" i="9" s="1"/>
  <c r="N75" i="7"/>
  <c r="N16" i="9" s="1"/>
  <c r="F33" i="26"/>
  <c r="B9" i="27"/>
  <c r="D9" i="27" s="1"/>
  <c r="F9" i="27" s="1"/>
  <c r="I9" i="27" s="1"/>
  <c r="M33" i="27" s="1"/>
  <c r="N70" i="7"/>
  <c r="N11" i="9" s="1"/>
  <c r="B18" i="26"/>
  <c r="N84" i="7"/>
  <c r="N25" i="9" s="1"/>
  <c r="B15" i="26"/>
  <c r="B6" i="27" s="1"/>
  <c r="F6" i="27" s="1"/>
  <c r="I6" i="27" s="1"/>
  <c r="G33" i="27" s="1"/>
  <c r="J62" i="26"/>
  <c r="B14" i="26"/>
  <c r="N65" i="7"/>
  <c r="N76" i="7"/>
  <c r="N17" i="9" s="1"/>
  <c r="AE34" i="27"/>
  <c r="P76" i="7" s="1"/>
  <c r="P17" i="9" s="1"/>
  <c r="N78" i="7"/>
  <c r="N19" i="9" s="1"/>
  <c r="AE32" i="27"/>
  <c r="P74" i="7" s="1"/>
  <c r="P15" i="9" s="1"/>
  <c r="N74" i="7"/>
  <c r="N15" i="9" s="1"/>
  <c r="N66" i="7"/>
  <c r="N7" i="9" s="1"/>
  <c r="AE24" i="27"/>
  <c r="P66" i="7" s="1"/>
  <c r="P7" i="9" s="1"/>
  <c r="N67" i="7"/>
  <c r="N8" i="9" s="1"/>
  <c r="AE25" i="27"/>
  <c r="P67" i="7" s="1"/>
  <c r="P8" i="9" s="1"/>
  <c r="N71" i="7"/>
  <c r="N12" i="9" s="1"/>
  <c r="B21" i="26"/>
  <c r="F36" i="26"/>
  <c r="G36" i="26" s="1"/>
  <c r="K45" i="26" s="1"/>
  <c r="N68" i="7"/>
  <c r="N9" i="9" s="1"/>
  <c r="B11" i="27"/>
  <c r="F11" i="27" s="1"/>
  <c r="I11" i="27" s="1"/>
  <c r="Q26" i="27" s="1"/>
  <c r="B22" i="26"/>
  <c r="N72" i="7"/>
  <c r="N13" i="9" s="1"/>
  <c r="B20" i="26"/>
  <c r="B14" i="27" s="1"/>
  <c r="D14" i="27" s="1"/>
  <c r="F14" i="27" s="1"/>
  <c r="I14" i="27" s="1"/>
  <c r="W40" i="27" s="1"/>
  <c r="N82" i="7"/>
  <c r="N23" i="9" s="1"/>
  <c r="N79" i="7"/>
  <c r="N20" i="9" s="1"/>
  <c r="N83" i="7"/>
  <c r="N24" i="9" s="1"/>
  <c r="F30" i="26"/>
  <c r="B8" i="27"/>
  <c r="F8" i="27" s="1"/>
  <c r="I8" i="27" s="1"/>
  <c r="K41" i="27" s="1"/>
  <c r="N77" i="7"/>
  <c r="N18" i="9" s="1"/>
  <c r="N81" i="7"/>
  <c r="N22" i="9" s="1"/>
  <c r="B17" i="26"/>
  <c r="B10" i="27" s="1"/>
  <c r="D10" i="27" s="1"/>
  <c r="F10" i="27" s="1"/>
  <c r="I10" i="27" s="1"/>
  <c r="O39" i="27" s="1"/>
  <c r="Q43" i="27" l="1"/>
  <c r="R26" i="27"/>
  <c r="AC26" i="27"/>
  <c r="C18" i="31"/>
  <c r="N33" i="27"/>
  <c r="N43" i="27" s="1"/>
  <c r="M43" i="27"/>
  <c r="C15" i="31"/>
  <c r="V27" i="27"/>
  <c r="V43" i="27" s="1"/>
  <c r="U43" i="27"/>
  <c r="W43" i="27"/>
  <c r="X40" i="27"/>
  <c r="X43" i="27" s="1"/>
  <c r="E18" i="31"/>
  <c r="C17" i="31"/>
  <c r="C10" i="31"/>
  <c r="C16" i="31"/>
  <c r="P39" i="27"/>
  <c r="P43" i="27" s="1"/>
  <c r="O43" i="27"/>
  <c r="K43" i="27"/>
  <c r="L41" i="27"/>
  <c r="L43" i="27" s="1"/>
  <c r="C24" i="31"/>
  <c r="C13" i="31"/>
  <c r="E9" i="31"/>
  <c r="C20" i="31"/>
  <c r="N85" i="7"/>
  <c r="N6" i="9"/>
  <c r="C26" i="31"/>
  <c r="C12" i="31"/>
  <c r="C23" i="31"/>
  <c r="C19" i="31"/>
  <c r="C21" i="31"/>
  <c r="F22" i="26"/>
  <c r="G22" i="26" s="1"/>
  <c r="K49" i="26" s="1"/>
  <c r="B16" i="27"/>
  <c r="D16" i="27" s="1"/>
  <c r="F16" i="27" s="1"/>
  <c r="I16" i="27" s="1"/>
  <c r="AA30" i="27" s="1"/>
  <c r="F18" i="26"/>
  <c r="G18" i="26" s="1"/>
  <c r="K47" i="26" s="1"/>
  <c r="B12" i="27"/>
  <c r="D12" i="27" s="1"/>
  <c r="F12" i="27" s="1"/>
  <c r="C11" i="31"/>
  <c r="C25" i="31"/>
  <c r="B15" i="27"/>
  <c r="D15" i="27" s="1"/>
  <c r="F15" i="27" s="1"/>
  <c r="I15" i="27" s="1"/>
  <c r="Y29" i="27" s="1"/>
  <c r="F21" i="26"/>
  <c r="G21" i="26" s="1"/>
  <c r="K48" i="26" s="1"/>
  <c r="E8" i="31"/>
  <c r="C14" i="31"/>
  <c r="C9" i="31"/>
  <c r="C8" i="31"/>
  <c r="E16" i="31"/>
  <c r="F14" i="26"/>
  <c r="B5" i="27"/>
  <c r="D5" i="27" s="1"/>
  <c r="F5" i="27" s="1"/>
  <c r="I5" i="27" s="1"/>
  <c r="G42" i="27"/>
  <c r="H42" i="27" s="1"/>
  <c r="H33" i="27"/>
  <c r="G35" i="27"/>
  <c r="H35" i="27" s="1"/>
  <c r="G37" i="27"/>
  <c r="H37" i="27" s="1"/>
  <c r="G41" i="27"/>
  <c r="H41" i="27" s="1"/>
  <c r="G23" i="27"/>
  <c r="E15" i="31"/>
  <c r="I39" i="27"/>
  <c r="J39" i="27" s="1"/>
  <c r="I27" i="27"/>
  <c r="C22" i="31"/>
  <c r="AD26" i="27" l="1"/>
  <c r="AE26" i="27" s="1"/>
  <c r="P68" i="7" s="1"/>
  <c r="P9" i="9" s="1"/>
  <c r="R43" i="27"/>
  <c r="H23" i="27"/>
  <c r="H43" i="27" s="1"/>
  <c r="G43" i="27"/>
  <c r="I43" i="27"/>
  <c r="J27" i="27"/>
  <c r="J43" i="27" s="1"/>
  <c r="Y43" i="27"/>
  <c r="AC29" i="27"/>
  <c r="Z29" i="27"/>
  <c r="N31" i="28"/>
  <c r="N30" i="28"/>
  <c r="AA43" i="27"/>
  <c r="AC30" i="27"/>
  <c r="AB30" i="27"/>
  <c r="G14" i="26"/>
  <c r="F15" i="26"/>
  <c r="G15" i="26" s="1"/>
  <c r="F16" i="26"/>
  <c r="F20" i="26"/>
  <c r="G20" i="26" s="1"/>
  <c r="K59" i="26" s="1"/>
  <c r="E39" i="27"/>
  <c r="E38" i="27"/>
  <c r="E27" i="27"/>
  <c r="E41" i="27"/>
  <c r="E42" i="27"/>
  <c r="E40" i="27"/>
  <c r="E33" i="27"/>
  <c r="E37" i="27"/>
  <c r="E36" i="27"/>
  <c r="E23" i="27"/>
  <c r="AC23" i="27" s="1"/>
  <c r="E35" i="27"/>
  <c r="N26" i="9"/>
  <c r="C7" i="31"/>
  <c r="C27" i="31" s="1"/>
  <c r="AF26" i="27"/>
  <c r="N32" i="28" l="1"/>
  <c r="AC41" i="27"/>
  <c r="F41" i="27"/>
  <c r="AD41" i="27" s="1"/>
  <c r="AE41" i="27" s="1"/>
  <c r="P83" i="7" s="1"/>
  <c r="P24" i="9" s="1"/>
  <c r="G16" i="26"/>
  <c r="F19" i="26"/>
  <c r="G19" i="26" s="1"/>
  <c r="K46" i="26" s="1"/>
  <c r="F17" i="26"/>
  <c r="G17" i="26" s="1"/>
  <c r="K58" i="26" s="1"/>
  <c r="G12" i="27"/>
  <c r="I12" i="27" s="1"/>
  <c r="S28" i="27" s="1"/>
  <c r="N34" i="28"/>
  <c r="B72" i="28"/>
  <c r="B73" i="28" s="1"/>
  <c r="F27" i="27"/>
  <c r="AD27" i="27" s="1"/>
  <c r="AE27" i="27" s="1"/>
  <c r="P69" i="7" s="1"/>
  <c r="P10" i="9" s="1"/>
  <c r="AC27" i="27"/>
  <c r="K61" i="26"/>
  <c r="K42" i="26"/>
  <c r="B30" i="26"/>
  <c r="G30" i="26" s="1"/>
  <c r="K60" i="26" s="1"/>
  <c r="K54" i="26"/>
  <c r="K56" i="26"/>
  <c r="B33" i="26"/>
  <c r="G33" i="26" s="1"/>
  <c r="K52" i="26" s="1"/>
  <c r="AB43" i="27"/>
  <c r="AD30" i="27"/>
  <c r="AE30" i="27" s="1"/>
  <c r="P72" i="7" s="1"/>
  <c r="P13" i="9" s="1"/>
  <c r="E10" i="31"/>
  <c r="AC37" i="27"/>
  <c r="F37" i="27"/>
  <c r="AD37" i="27" s="1"/>
  <c r="AE37" i="27" s="1"/>
  <c r="P79" i="7" s="1"/>
  <c r="P20" i="9" s="1"/>
  <c r="AC35" i="27"/>
  <c r="F35" i="27"/>
  <c r="AD35" i="27" s="1"/>
  <c r="AE35" i="27" s="1"/>
  <c r="P77" i="7" s="1"/>
  <c r="P18" i="9" s="1"/>
  <c r="AC33" i="27"/>
  <c r="F33" i="27"/>
  <c r="AD33" i="27" s="1"/>
  <c r="AE33" i="27" s="1"/>
  <c r="P75" i="7" s="1"/>
  <c r="P16" i="9" s="1"/>
  <c r="E43" i="27"/>
  <c r="F23" i="27"/>
  <c r="AD23" i="27" s="1"/>
  <c r="AE23" i="27" s="1"/>
  <c r="F40" i="27"/>
  <c r="AD40" i="27" s="1"/>
  <c r="AE40" i="27" s="1"/>
  <c r="P82" i="7" s="1"/>
  <c r="P23" i="9" s="1"/>
  <c r="AC40" i="27"/>
  <c r="AC38" i="27"/>
  <c r="F38" i="27"/>
  <c r="AD38" i="27" s="1"/>
  <c r="AE38" i="27" s="1"/>
  <c r="P80" i="7" s="1"/>
  <c r="P21" i="9" s="1"/>
  <c r="K55" i="26"/>
  <c r="K57" i="26"/>
  <c r="F36" i="27"/>
  <c r="AD36" i="27" s="1"/>
  <c r="AE36" i="27" s="1"/>
  <c r="P78" i="7" s="1"/>
  <c r="P19" i="9" s="1"/>
  <c r="AC36" i="27"/>
  <c r="F42" i="27"/>
  <c r="AD42" i="27" s="1"/>
  <c r="AE42" i="27" s="1"/>
  <c r="P84" i="7" s="1"/>
  <c r="P25" i="9" s="1"/>
  <c r="AC42" i="27"/>
  <c r="AC39" i="27"/>
  <c r="F39" i="27"/>
  <c r="AD39" i="27" s="1"/>
  <c r="AE39" i="27" s="1"/>
  <c r="P81" i="7" s="1"/>
  <c r="P22" i="9" s="1"/>
  <c r="Z43" i="27"/>
  <c r="AD29" i="27"/>
  <c r="AE29" i="27" s="1"/>
  <c r="P71" i="7" s="1"/>
  <c r="P12" i="9" s="1"/>
  <c r="AF42" i="27" l="1"/>
  <c r="AF38" i="27"/>
  <c r="AF36" i="27"/>
  <c r="AF40" i="27"/>
  <c r="AF33" i="27"/>
  <c r="AF41" i="27"/>
  <c r="AF39" i="27"/>
  <c r="AF37" i="27"/>
  <c r="E22" i="31"/>
  <c r="F43" i="27"/>
  <c r="E14" i="31"/>
  <c r="AF27" i="27"/>
  <c r="E25" i="31"/>
  <c r="E19" i="31"/>
  <c r="E11" i="31"/>
  <c r="S43" i="27"/>
  <c r="AC28" i="27"/>
  <c r="AF28" i="27" s="1"/>
  <c r="T28" i="27"/>
  <c r="E23" i="31"/>
  <c r="AF35" i="27"/>
  <c r="AF29" i="27"/>
  <c r="E26" i="31"/>
  <c r="E13" i="31"/>
  <c r="E20" i="31"/>
  <c r="E24" i="31"/>
  <c r="E17" i="31"/>
  <c r="AF30" i="27"/>
  <c r="E21" i="31"/>
  <c r="T43" i="27" l="1"/>
  <c r="AD28" i="27"/>
  <c r="AE28" i="27" s="1"/>
  <c r="P70" i="7" s="1"/>
  <c r="P11" i="9" s="1"/>
  <c r="P65" i="7"/>
  <c r="P6" i="9" s="1"/>
  <c r="AF23" i="27"/>
  <c r="AD43" i="27" l="1"/>
  <c r="E7" i="31"/>
  <c r="E12" i="31"/>
  <c r="O71" i="7" l="1"/>
  <c r="O82" i="7"/>
  <c r="O80" i="7"/>
  <c r="O70" i="7"/>
  <c r="O76" i="7"/>
  <c r="O66" i="7"/>
  <c r="O74" i="7"/>
  <c r="O67" i="7"/>
  <c r="K28" i="26"/>
  <c r="O69" i="7"/>
  <c r="O68" i="7"/>
  <c r="K30" i="26"/>
  <c r="O81" i="7"/>
  <c r="O72" i="7"/>
  <c r="O78" i="7"/>
  <c r="O73" i="7"/>
  <c r="O22" i="9" l="1"/>
  <c r="Q81" i="7"/>
  <c r="Q22" i="9" s="1"/>
  <c r="O9" i="9"/>
  <c r="Q68" i="7"/>
  <c r="Q9" i="9" s="1"/>
  <c r="O8" i="9"/>
  <c r="Q67" i="7"/>
  <c r="Q8" i="9" s="1"/>
  <c r="Q66" i="7"/>
  <c r="Q7" i="9" s="1"/>
  <c r="O7" i="9"/>
  <c r="O75" i="7"/>
  <c r="K29" i="26"/>
  <c r="K31" i="26" s="1"/>
  <c r="O17" i="9"/>
  <c r="Q76" i="7"/>
  <c r="Q17" i="9" s="1"/>
  <c r="O10" i="9"/>
  <c r="Q69" i="7"/>
  <c r="Q10" i="9" s="1"/>
  <c r="O65" i="7"/>
  <c r="O21" i="9"/>
  <c r="Q80" i="7"/>
  <c r="Q21" i="9" s="1"/>
  <c r="O19" i="9"/>
  <c r="Q78" i="7"/>
  <c r="Q19" i="9" s="1"/>
  <c r="Q72" i="7"/>
  <c r="Q13" i="9" s="1"/>
  <c r="O13" i="9"/>
  <c r="O15" i="9"/>
  <c r="Q74" i="7"/>
  <c r="Q15" i="9" s="1"/>
  <c r="O77" i="7"/>
  <c r="O11" i="9"/>
  <c r="Q70" i="7"/>
  <c r="Q11" i="9" s="1"/>
  <c r="O23" i="9"/>
  <c r="Q82" i="7"/>
  <c r="Q23" i="9" s="1"/>
  <c r="O83" i="7"/>
  <c r="Q73" i="7"/>
  <c r="Q14" i="9" s="1"/>
  <c r="O14" i="9"/>
  <c r="O79" i="7"/>
  <c r="O84" i="7"/>
  <c r="Q71" i="7"/>
  <c r="Q12" i="9" s="1"/>
  <c r="O12" i="9"/>
  <c r="Q77" i="7" l="1"/>
  <c r="Q18" i="9" s="1"/>
  <c r="O18" i="9"/>
  <c r="D18" i="31"/>
  <c r="D8" i="31"/>
  <c r="F10" i="31"/>
  <c r="F16" i="31"/>
  <c r="D16" i="31"/>
  <c r="F22" i="31"/>
  <c r="F11" i="31"/>
  <c r="F8" i="31"/>
  <c r="D10" i="31"/>
  <c r="F14" i="31"/>
  <c r="D15" i="31"/>
  <c r="D24" i="31"/>
  <c r="O20" i="9"/>
  <c r="Q79" i="7"/>
  <c r="Q20" i="9" s="1"/>
  <c r="F12" i="31"/>
  <c r="D22" i="31"/>
  <c r="O16" i="9"/>
  <c r="Q75" i="7"/>
  <c r="Q16" i="9" s="1"/>
  <c r="F9" i="31"/>
  <c r="F23" i="31"/>
  <c r="O25" i="9"/>
  <c r="Q84" i="7"/>
  <c r="Q25" i="9" s="1"/>
  <c r="F24" i="31"/>
  <c r="F20" i="31"/>
  <c r="D13" i="31"/>
  <c r="F15" i="31"/>
  <c r="D20" i="31"/>
  <c r="D11" i="31"/>
  <c r="F13" i="31"/>
  <c r="O24" i="9"/>
  <c r="Q83" i="7"/>
  <c r="Q24" i="9" s="1"/>
  <c r="D12" i="31"/>
  <c r="D14" i="31"/>
  <c r="O6" i="9"/>
  <c r="Q65" i="7"/>
  <c r="Q6" i="9" s="1"/>
  <c r="F18" i="31"/>
  <c r="D9" i="31"/>
  <c r="D23" i="31"/>
  <c r="F25" i="31" l="1"/>
  <c r="D26" i="31"/>
  <c r="D17" i="31"/>
  <c r="D21" i="31"/>
  <c r="F7" i="31"/>
  <c r="D25" i="31"/>
  <c r="D7" i="31"/>
  <c r="D19" i="31"/>
  <c r="F26" i="31"/>
  <c r="F17" i="31"/>
  <c r="F21" i="31"/>
  <c r="F19" i="31"/>
</calcChain>
</file>

<file path=xl/sharedStrings.xml><?xml version="1.0" encoding="utf-8"?>
<sst xmlns="http://schemas.openxmlformats.org/spreadsheetml/2006/main" count="2944" uniqueCount="369">
  <si>
    <t>RPM Parameters</t>
  </si>
  <si>
    <t>IRM</t>
  </si>
  <si>
    <t>Pool Average EFORd</t>
  </si>
  <si>
    <t>LDA</t>
  </si>
  <si>
    <t>FPR</t>
  </si>
  <si>
    <t>SWMAAC</t>
  </si>
  <si>
    <t>RTO</t>
  </si>
  <si>
    <t>Zone</t>
  </si>
  <si>
    <t>PS</t>
  </si>
  <si>
    <t>PECO</t>
  </si>
  <si>
    <t>PL</t>
  </si>
  <si>
    <t>BGE</t>
  </si>
  <si>
    <t>JCPL</t>
  </si>
  <si>
    <t>METED</t>
  </si>
  <si>
    <t>PENLC</t>
  </si>
  <si>
    <t>PEPCO</t>
  </si>
  <si>
    <t>AE</t>
  </si>
  <si>
    <t>DPL</t>
  </si>
  <si>
    <t>RECO</t>
  </si>
  <si>
    <t>APS</t>
  </si>
  <si>
    <t>COMED</t>
  </si>
  <si>
    <t>DAYTON</t>
  </si>
  <si>
    <t>Zonal Forecast Peak Load Scaling Factor</t>
  </si>
  <si>
    <t>Obligation Peak Load Scaling Factor</t>
  </si>
  <si>
    <t xml:space="preserve"> </t>
  </si>
  <si>
    <t>Base Zonal RPM Scaling Factor</t>
  </si>
  <si>
    <t>LDA2</t>
  </si>
  <si>
    <t>LDA1</t>
  </si>
  <si>
    <t>MAAC</t>
  </si>
  <si>
    <t>AEP</t>
  </si>
  <si>
    <t>DOM</t>
  </si>
  <si>
    <t>LDA3</t>
  </si>
  <si>
    <t>Preliminary Zonal Capacity Price           [$/MW-day]</t>
  </si>
  <si>
    <t>EMAAC</t>
  </si>
  <si>
    <t>PSNORTH</t>
  </si>
  <si>
    <t>DPLSOUTH</t>
  </si>
  <si>
    <t>Rest of DPL</t>
  </si>
  <si>
    <t>Rest of PS</t>
  </si>
  <si>
    <t>DPL Equivalent</t>
  </si>
  <si>
    <t>Preliminary Zonal Results</t>
  </si>
  <si>
    <t>PS Equivalent</t>
  </si>
  <si>
    <t>Locational Price Adder</t>
  </si>
  <si>
    <t>DLCO</t>
  </si>
  <si>
    <t>ATSI</t>
  </si>
  <si>
    <t>Rest of RTO</t>
  </si>
  <si>
    <t>Rest of SWMAAC</t>
  </si>
  <si>
    <t>Rest of EMAAC</t>
  </si>
  <si>
    <t>Rest of MAAC</t>
  </si>
  <si>
    <t>Total</t>
  </si>
  <si>
    <t>Base Zonal CTR Credit Rate [$/MW UCAP Obligation per Day]</t>
  </si>
  <si>
    <t>DEOK</t>
  </si>
  <si>
    <t>Resource Credits</t>
  </si>
  <si>
    <t>Resource Clearing Prices</t>
  </si>
  <si>
    <t>Cleared &amp; Make-Whole MWs</t>
  </si>
  <si>
    <t>Sub-Zone/Zone</t>
  </si>
  <si>
    <t>LDA Base UCAP Obligation [MW]</t>
  </si>
  <si>
    <t>Zone/Responsible Customer</t>
  </si>
  <si>
    <t>Total ICTRs [MW]</t>
  </si>
  <si>
    <t>Incremental Capacity Transfer Rights (ICTRs)</t>
  </si>
  <si>
    <t>ICTR Credits</t>
  </si>
  <si>
    <t>Sink LDA</t>
  </si>
  <si>
    <t>QTU Credits [$/day]</t>
  </si>
  <si>
    <t>LDA CTRs</t>
  </si>
  <si>
    <t>Base UCAP Obligation [MW]</t>
  </si>
  <si>
    <t>Internal  Resources Cleared in LDA</t>
  </si>
  <si>
    <t>QTU Equivalents [MW]</t>
  </si>
  <si>
    <t>Totals</t>
  </si>
  <si>
    <t>Notes:</t>
  </si>
  <si>
    <t>Locational Price Adder is respect to immediate higher level LDA.</t>
  </si>
  <si>
    <t>Economic Value of CTRs = CTRs Allocated * Locational Price Adder</t>
  </si>
  <si>
    <t>CTRs Allocated, Economic Value of CTRs, CTR Credit Rates, and CTR Settlement Rates are not final and may change to due Incremental Auction results.</t>
  </si>
  <si>
    <t>Economic Value of ICTRs [$/day]</t>
  </si>
  <si>
    <t>Economic Value of ICTRs = Total ICTRs * Locational Price Adder.</t>
  </si>
  <si>
    <t>Customer-Funded Upgrades ICTRs [MW]</t>
  </si>
  <si>
    <t>Customer-Funded Upgrades</t>
  </si>
  <si>
    <t>ICTRs allocated and  Economic Value of CTRs are not final and are subject to change due to Incremental Auction results.</t>
  </si>
  <si>
    <t>Customer-Funded ICTR Credits [$/day]</t>
  </si>
  <si>
    <t>Cleared Capacity     [MW]</t>
  </si>
  <si>
    <t>Preliminary CTRs Allocated = Max of the LDA CTRs Allocated to LSEs [MW]</t>
  </si>
  <si>
    <t>ICTRs for Customer-Funded Upgrades [MW]</t>
  </si>
  <si>
    <t>Total ICTRs into Sink LDA [MW]</t>
  </si>
  <si>
    <t>Allocation of LSE CTRs, Economic Value of LSE CTRs, Zonal CTR Credit Rates, &amp; Zonal CTR Settlement Rates</t>
  </si>
  <si>
    <t>LDA Capacity Price [$/MW-day]</t>
  </si>
  <si>
    <t>Total CTRs * [MW]</t>
  </si>
  <si>
    <t>* CTRs are reduced to allow for certain grandfathered congestion credits.</t>
  </si>
  <si>
    <t>b0457: Dooms-Lexington circuit wave traps (effective 2012/2013)</t>
  </si>
  <si>
    <t>b0559: Capacitor at Meadow Brook substation (effective 2012/2013</t>
  </si>
  <si>
    <t>b1398: Build two new parallel underground circuits from Gloucester to Camden (effective 2015/2016)</t>
  </si>
  <si>
    <t>M05:  Replace Wave Traps at Bedington and Black Oak 500 KV (effective 2009/2010)</t>
  </si>
  <si>
    <t>b1507: Rebuild Mt Storm - Doubs 500 kV (effective 2015/2016)</t>
  </si>
  <si>
    <t>b0487, b0489: Build new 500 kV transmission facilities from Susquehanna to Roseland (effective 2015/2016)</t>
  </si>
  <si>
    <t>Incremental Rights-Eligible Required Transmission Enhancements</t>
  </si>
  <si>
    <t>ICTRs [MW] for Lower Voltage Facilities</t>
  </si>
  <si>
    <t>Cost Allocation Percentages for Incremental Rights-Eligible Required Transmission Enhancements</t>
  </si>
  <si>
    <t>Lower Voltage Facility: b0497</t>
  </si>
  <si>
    <t>Lower Voltage Facility: b1304.1 - b1304.4</t>
  </si>
  <si>
    <t>Lower Voltage Facility: b1398</t>
  </si>
  <si>
    <t>ICTRs for Lower Voltage Facility: b0497 [MW]</t>
  </si>
  <si>
    <t>ICTRs for Lower Voltage Facility: b1304.1-b1304.4  [MW]</t>
  </si>
  <si>
    <t>ICTRs for Lower Voltage Facility: b1398 [MW]</t>
  </si>
  <si>
    <t>Incremental Rights-Eligible Required Transmission Enhancements ICTR Credits [$/day]</t>
  </si>
  <si>
    <t>Certified ICTR * [MW]</t>
  </si>
  <si>
    <t>Remaining CTRs for Incremental Rights-Eligible Required Transmission Enhancements, Customer-Funded Upgrades, &amp; LSEs [MW]</t>
  </si>
  <si>
    <t>Incremental Rights-Eligible Required Transmission Enhancements ICTRs [MW]</t>
  </si>
  <si>
    <t>* Certified ICTRs are adjusted if the Remaining CTRs for Incremental Rights-Eligible Required Transmission Enhancements, Customer Funded-Upgrades, and LSEs into LDA are less than the Total Certified ICTRs into the LDA.</t>
  </si>
  <si>
    <t>ConEd</t>
  </si>
  <si>
    <t>Neptune</t>
  </si>
  <si>
    <t>Remaining CTRs for LSEs [MW]</t>
  </si>
  <si>
    <t>Base Residual Auction</t>
  </si>
  <si>
    <t>Zonal UCAP Obligations, Zonal Capacity Prices, &amp; Zonal CTR Credit Rates</t>
  </si>
  <si>
    <t>Base Zonal CTR Credit Rate ($/MW-UCAP Obligation-day)</t>
  </si>
  <si>
    <t>Preliminary Zonal Net Load Price         ($/MW-day)</t>
  </si>
  <si>
    <t>b1304.1, b1304.2, b1304.3, b1304.4: Various upgrades in PS (effective 2015/2016)</t>
  </si>
  <si>
    <t>ATSI-CLEVELAND</t>
  </si>
  <si>
    <t>Rest of ATSI</t>
  </si>
  <si>
    <t>ATSI Equivalent</t>
  </si>
  <si>
    <t>EKPC</t>
  </si>
  <si>
    <t>b1694: Rebuild Loudoun - Brambleton 500 kV (effective 2016/2017)</t>
  </si>
  <si>
    <t>Calculation of Zonal Capacity Prices for PS, DPL, and ATSI</t>
  </si>
  <si>
    <t>Additional Locational Price Adder with respect to Reference LDA [$/MW-day]</t>
  </si>
  <si>
    <t>ADJUSTED</t>
  </si>
  <si>
    <t>Adjusted ICTR * [MW]</t>
  </si>
  <si>
    <t>Certified ICTR [MW]</t>
  </si>
  <si>
    <t>Lower Voltage Facility: b1251, b1251.1</t>
  </si>
  <si>
    <t>ICTRs for Lower Voltage Facility: b1251, b1251.1 [MW]</t>
  </si>
  <si>
    <t>LDA/External Source Zone</t>
  </si>
  <si>
    <t>Make-Whole MW &amp; Credits</t>
  </si>
  <si>
    <t>Qualifying Transmission Upgrade (QTU) MWs &amp; Credits</t>
  </si>
  <si>
    <t>QTU Import Capability Cleared into Sink LDA  [MW]</t>
  </si>
  <si>
    <t>System Marginal Price*
 [$/MW-day]</t>
  </si>
  <si>
    <t>Additional Make-whole Adjustments due to NEPA [$/day)</t>
  </si>
  <si>
    <t>Preliminary Zonal Capacity Price
[$/MW-day]</t>
  </si>
  <si>
    <t>LDA Capacity Price</t>
  </si>
  <si>
    <t>A Weighted Locational Price Adder is used in the case of PS, DPL, or ATSI Equivalent.</t>
  </si>
  <si>
    <t>Additional Adjustment due to Make-whole with respect to Reference LDA
 [$/MW-day]</t>
  </si>
  <si>
    <t>Allocation of Required Transmission Enhancement ICTRs to Zone/Responsible Customer</t>
  </si>
  <si>
    <t>Lower Voltage Facilities</t>
  </si>
  <si>
    <t>System Marginal Price               [$/MW-day]</t>
  </si>
  <si>
    <t>Adjustment due to Make-Whole         [$/MW-day]</t>
  </si>
  <si>
    <t>Regional Facilities (500 kV and above)</t>
  </si>
  <si>
    <t>b2373: Build 2nd Loudoun - Brambleton 500 kV line (effective 2018/2019)</t>
  </si>
  <si>
    <t>Regional Facilities</t>
  </si>
  <si>
    <t>*System Marginal Price is the clearing price for Capacity Performance Resources in unconstrained area of RTO.</t>
  </si>
  <si>
    <t>CTRs Allocated to LSEs                   [MW]</t>
  </si>
  <si>
    <t>Economic Value of LSE CTRs        [$/day]</t>
  </si>
  <si>
    <t>CTRs Allocated to LSEs                           [MW]</t>
  </si>
  <si>
    <t>Economic Value of LSE CTRs         [$/day]</t>
  </si>
  <si>
    <t>Total Preliminary Economic Value of LSE CTRs         [$/day]</t>
  </si>
  <si>
    <t>Preliminary Zonal CTR Settlement Rate                [$/MW CTR per day]</t>
  </si>
  <si>
    <t>b0497: Install Second Conastone-Graceton 230 kV circuit; Replace Conastone 230 kV breaker 2323/2302 (effective 2017/2018)</t>
  </si>
  <si>
    <t>AA2-054 - Pamphrey 230 kV Upgrade (effective 2019/2020)</t>
  </si>
  <si>
    <t>b1251.1, b1251: Re-build the existing and build a second Raphael-Bagley 230 kV (effective 2017/2018)</t>
  </si>
  <si>
    <t>Y1-082:  Uprate bus equipment at Wye Mills 69 kV substation (effective 2016/2017)</t>
  </si>
  <si>
    <t>Z2-017: Bristers Ox 500 kV (effective 2018/2019).</t>
  </si>
  <si>
    <t>** Locational Price Adder is with respect to the immediate higher level LDA.</t>
  </si>
  <si>
    <t>Locational Price Adder **
  [$/MW-day]</t>
  </si>
  <si>
    <t>Annual Resources  [MW]</t>
  </si>
  <si>
    <t>Annual Resources Make-whole [MW]</t>
  </si>
  <si>
    <t>Make-whole Credits for Annual Resources [$/day]</t>
  </si>
  <si>
    <t>Make-whole Credits for Summer Period Resources [$/day]</t>
  </si>
  <si>
    <t>Make-whole Credits for Winter Period Resources [$/day]</t>
  </si>
  <si>
    <t>Annual Resources Make-whole      [MW]</t>
  </si>
  <si>
    <t>Total Annual Equivalent Resources Cleared               [MW]</t>
  </si>
  <si>
    <t>Equivalent Annual Make-Whole Credits  [$/day]</t>
  </si>
  <si>
    <t>Y3-064: Pierce 18 - Beckjord 138 kV circuit '1887' to an SE of 603 MVA (effective 2017/2018)</t>
  </si>
  <si>
    <t>Y3-082:  Upgrade Easton-Trappe Tap 69 kV circuit to 136/174 MVA SN/SE (effective 2017/2018)</t>
  </si>
  <si>
    <t>AB2-020 - 40 MW Uprate to Roseland - Williams</t>
  </si>
  <si>
    <t>b2729: Optimal Capacitors Configuration: New 175 MVAR 230 kV capacitor bank at Brambleton substation, new 175 MVAR 230 kV capacitor bank at Ashburn substation, new 300 MVAR 230 kV capacitor bank at Shelhorn substation, new 150 MVAR 230 kV capacitor bank at Liber (effective 2020/2021)</t>
  </si>
  <si>
    <t>Lower Voltage Facility: b2729</t>
  </si>
  <si>
    <t>ICTRs for Lower Voltage Facility: b2729 [MW]</t>
  </si>
  <si>
    <t>ICTRs for Lower Voltage Facility: b2729                [MW]</t>
  </si>
  <si>
    <t>Resource Clearing Price                 [$/MW-day]</t>
  </si>
  <si>
    <r>
      <t>Summer Period Resources</t>
    </r>
    <r>
      <rPr>
        <b/>
        <sz val="10"/>
        <color rgb="FFFF0000"/>
        <rFont val="Calibri"/>
        <family val="2"/>
        <scheme val="minor"/>
      </rPr>
      <t xml:space="preserve">           </t>
    </r>
    <r>
      <rPr>
        <b/>
        <sz val="10"/>
        <rFont val="Calibri"/>
        <family val="2"/>
        <scheme val="minor"/>
      </rPr>
      <t>[MW]</t>
    </r>
  </si>
  <si>
    <t>Winter Period Resources           [MW]</t>
  </si>
  <si>
    <t>Seasonal Resources Matched to be Annual                 [MW]</t>
  </si>
  <si>
    <t>Resource Credits at Clearing Price [$/day]</t>
  </si>
  <si>
    <t>AB2-021 - 100 MW Uprate to Keeny - Rocksprings 500 kV</t>
  </si>
  <si>
    <t>ComEd</t>
  </si>
  <si>
    <t>Dayton</t>
  </si>
  <si>
    <t>Duke Energy OH/KY</t>
  </si>
  <si>
    <t>Duquesne</t>
  </si>
  <si>
    <t>Delmarva</t>
  </si>
  <si>
    <t>Dominion</t>
  </si>
  <si>
    <t>HTP</t>
  </si>
  <si>
    <t>MetEd</t>
  </si>
  <si>
    <t>Penelec</t>
  </si>
  <si>
    <t>PPL</t>
  </si>
  <si>
    <t>PSEG</t>
  </si>
  <si>
    <t>Rockland</t>
  </si>
  <si>
    <t>East Coast Power</t>
  </si>
  <si>
    <t>RTO Reliability Requirement [MW] *</t>
  </si>
  <si>
    <t>* Including EE Addback and PRD reduction.</t>
  </si>
  <si>
    <t>PRD Credit</t>
  </si>
  <si>
    <t>Nominated PRD Value [MW]</t>
  </si>
  <si>
    <t>PRD Credit           [$/day]</t>
  </si>
  <si>
    <t>RTO Total</t>
  </si>
  <si>
    <t>Locational Price Adder is with respect to immediate higher level parent LDA.</t>
  </si>
  <si>
    <t>Locational Price Adder:</t>
  </si>
  <si>
    <t>ICTRs [MW] for Regional Facilities</t>
  </si>
  <si>
    <t>ICTRs for Regional Facilities[MW]</t>
  </si>
  <si>
    <t>ICTRs for Regional Facilities [MW]</t>
  </si>
  <si>
    <t>No ICTRs for Regional Facilities &amp; Lower Voltage Facilities.</t>
  </si>
  <si>
    <t>Adjusted Preliminary Zonal Capacity Price          ($/MW-day)</t>
  </si>
  <si>
    <t>RTO*</t>
  </si>
  <si>
    <t>* RTO resources include resources from External Source Zones.</t>
  </si>
  <si>
    <t>QTU Clearing Price *      [$/MW-Day]</t>
  </si>
  <si>
    <t>* Locational Price Adder with respect to the immediate higher level LDA.</t>
  </si>
  <si>
    <t>Locational Price Adder *            [$/MW-day]</t>
  </si>
  <si>
    <t>*Locational Price Adder with respect to RTO</t>
  </si>
  <si>
    <t>Reference LDA* Capacity Price           [MW]</t>
  </si>
  <si>
    <t>* Reference LDA is EMAAC LDA for PS and DPL zones and RTO for ATSI zone.</t>
  </si>
  <si>
    <t>AEP *</t>
  </si>
  <si>
    <t>DEOK *</t>
  </si>
  <si>
    <t>EKPC *</t>
  </si>
  <si>
    <t>*Obligation affected by FRR quantities</t>
  </si>
  <si>
    <t>**Adjusted Preliminary Zonal Capacity Price includes adjustment to cover funding of PRD Credits.</t>
  </si>
  <si>
    <t>2021/2022 BRA Resource Clearing Results</t>
  </si>
  <si>
    <t>2021/2022 BRA Load Pricing Results</t>
  </si>
  <si>
    <t>2021/2022 DY BRA CTRs</t>
  </si>
  <si>
    <t xml:space="preserve">2021/2022 BRA ICTRs </t>
  </si>
  <si>
    <t>AC1-223 - Upgrade on E. Frankfort - University Park 345 kV</t>
  </si>
  <si>
    <t>2017 W/N Coincident Peak Load                     [MW]</t>
  </si>
  <si>
    <t>2021/2022 Prelim. Zonal Peak Load Forecast                     [MW]</t>
  </si>
  <si>
    <t>Base Zonal UCAP Obligation               [MW]</t>
  </si>
  <si>
    <t xml:space="preserve">Note:  Cost Allocation Percentages are based on 2018 cost responsibility assignments from the OATT.  The cost allocation percentages may change during actual Delivery Year. </t>
  </si>
  <si>
    <t>Adjusted Preliminary Zonal Capacity Price**          [$/MW-day]</t>
  </si>
  <si>
    <t>1st Incremental Auction</t>
  </si>
  <si>
    <t>Base Zonal UCAP Obligation (MW)</t>
  </si>
  <si>
    <t>Adjusted Preliminary Zonal Capacity Price ($/MW-day)</t>
  </si>
  <si>
    <t>Preliminary Zonal Net Load Price       ($/MW-day)</t>
  </si>
  <si>
    <t>Adjusted Zonal UCAP Obligation      (MW)</t>
  </si>
  <si>
    <t>Adjusted Zonal Capacity Price          ($/MW-day)</t>
  </si>
  <si>
    <t>Updated Zonal CTR Credit Rate ($/MW-UCAP Obligation-day)</t>
  </si>
  <si>
    <t>Adjusted Zonal Net Load Price         ($/MW-day)</t>
  </si>
  <si>
    <t>AEP **</t>
  </si>
  <si>
    <t>DEOK **</t>
  </si>
  <si>
    <t>EKPC **</t>
  </si>
  <si>
    <t>** Obligation affected by FRR quantities.</t>
  </si>
  <si>
    <t>** Locational Price Adder (positive number) is with respect to the immediate higher level LDA.</t>
  </si>
  <si>
    <t>Participant Buy Bids/Sell Offers Cleared &amp; Make-Whole MWs [Equivalent Annual Resources]</t>
  </si>
  <si>
    <t>Buy Bids Cleared                     [MW]</t>
  </si>
  <si>
    <t>Sell Offers Cleared [MW]</t>
  </si>
  <si>
    <t>Net Buy Bid/Sell Offers Cleared [MW]</t>
  </si>
  <si>
    <t>Make-Whole                [MW]</t>
  </si>
  <si>
    <t>PJM Buy Bids/Sell Offers Cleared</t>
  </si>
  <si>
    <t>PJM Buy Bids Cleared [MW]</t>
  </si>
  <si>
    <t>PJM Sell Offers Cleared                [MW]</t>
  </si>
  <si>
    <t>Net PJM Buy Bid/Sell Offers Cleared    [MW]</t>
  </si>
  <si>
    <t>Auction Credits/Charges</t>
  </si>
  <si>
    <t>Sell Offers Cleared                     [MW]</t>
  </si>
  <si>
    <t>Net Buy Bids/Sell Offers Cleared                     [MW]</t>
  </si>
  <si>
    <t>Auction Charge for Participant Buy Bids [$/MW-Day]</t>
  </si>
  <si>
    <t>Auction Credit for Participant Sell Offer [$/MW-Day]</t>
  </si>
  <si>
    <t>Net Auction Charge/Credit for Participant Buy Bid/Sell Offer [$/MW-Day]</t>
  </si>
  <si>
    <t>Make-Whole Credits</t>
  </si>
  <si>
    <t>Make-whole Costs assessed to LSEs through Zonal Capacity Price [$/day]</t>
  </si>
  <si>
    <t>Make-whole Costs to Participant Buy Bids [$/day]</t>
  </si>
  <si>
    <t>2021/2022 DY 1st IA Resource Clearing Results</t>
  </si>
  <si>
    <t>RTO Reliability Requirement [MW]</t>
  </si>
  <si>
    <t>LDA Capacity Price Components</t>
  </si>
  <si>
    <t>Updated LDA UCAP Obligation [MW]</t>
  </si>
  <si>
    <t>Weighted System Marginal Price [$/MW-day]</t>
  </si>
  <si>
    <t>Weighted Locational Price Adder* Applicable to LDA             [$/MW-day]</t>
  </si>
  <si>
    <t>Adjustment due to Make Whole                      ($/day)</t>
  </si>
  <si>
    <t>Adjusted LDA Capacity Price [$/MW-day]</t>
  </si>
  <si>
    <t>Reference LDA* Capacity Price [$/MW-day]</t>
  </si>
  <si>
    <t>BRA &amp; 1st IA Net Participant Buy Bid/Sell Offers Cleared</t>
  </si>
  <si>
    <t>Additional Weighted Locational Price Adder with respect to Reference LDA  [$/MW-day]</t>
  </si>
  <si>
    <t>Additional Make-Whole Costs with respect to  Reference LDA [$/day]</t>
  </si>
  <si>
    <t>Adjusted Zonal Capacity Price [$/MW-day]</t>
  </si>
  <si>
    <t>*Reference LDA is EMAAC for PS and DPL, and RTO for ATSI.</t>
  </si>
  <si>
    <t>Updated Zonal Results</t>
  </si>
  <si>
    <t>Updated Zonal RPM Scaling Factor</t>
  </si>
  <si>
    <t>Updated Zonal UCAP Obligation    [MW]</t>
  </si>
  <si>
    <t>Adjusted Zonal Capacity Price           [$/MW-day]</t>
  </si>
  <si>
    <t>Adjusted Zonal Capacity Price           [$/MW-day] **</t>
  </si>
  <si>
    <t>AEP #</t>
  </si>
  <si>
    <t>DEOK #</t>
  </si>
  <si>
    <t>EKPC#</t>
  </si>
  <si>
    <t># Obligation affected by FRR quantities</t>
  </si>
  <si>
    <t>**Adjusted Zonal Capacity Price includes adjustment to cover funding of PRD Credits.</t>
  </si>
  <si>
    <t>2021/2022 DY 1st IA Load Pricing Results</t>
  </si>
  <si>
    <t>Net Participant Buy Bid/Sell Offers Cleared</t>
  </si>
  <si>
    <t>Total Updated CTRs [MW] *</t>
  </si>
  <si>
    <t>Remaining CTRs for Required Transmission Enhancements, Customer-Funded Upgrades, &amp; LSEs [MW]</t>
  </si>
  <si>
    <t xml:space="preserve"> Required Transmission Enhancements ICTRs  [MW]</t>
  </si>
  <si>
    <t>Remaining CTRs for LSEs                      [MW]</t>
  </si>
  <si>
    <t>* CTR MWs are adjusted slightly to accommodate certain grandfathered arrangements.</t>
  </si>
  <si>
    <t>Weighted Locational Price Adder</t>
  </si>
  <si>
    <t>CTRs Allocated to LSEs                      [MW]</t>
  </si>
  <si>
    <t>Economic Value of LSE CTRs           [$/day]</t>
  </si>
  <si>
    <t>Updated CTRs Allocated = Max of the absolute value of LDA CTRs Allocated to LSEs [MW]</t>
  </si>
  <si>
    <t>Total Updated Economic Value of LSE CTRs [$/day]</t>
  </si>
  <si>
    <t>Updated Zonal CTR Credit Rate [$/MW UCAP Obligation per Day]</t>
  </si>
  <si>
    <t>Updated Zonal CTR Settlement Rate [$/MW CTR per day]</t>
  </si>
  <si>
    <t>Weighted Locational Price Adder is with respect to immediate higher level LDA.</t>
  </si>
  <si>
    <t>Economic Value of LSE CTRs = CTRs Allocated to LSEs * Weighted Locational Price Adder</t>
  </si>
  <si>
    <t>CTRs Allocated, Economic Value of CTRs, CTR Credit Rates, and CTR Settlement Rates are not final and may change due to future Incremental Auction results.</t>
  </si>
  <si>
    <t>2021/2022 1st IA CTRs</t>
  </si>
  <si>
    <t>LDA Economic Value of ICTRs for Required Transmission Enhancements</t>
  </si>
  <si>
    <t>Weighted Locational Price Adder ($/MW-day)</t>
  </si>
  <si>
    <t>UPGRADE</t>
  </si>
  <si>
    <t>Economic Value of ICTRs ($/day)</t>
  </si>
  <si>
    <t>b0457</t>
  </si>
  <si>
    <t>b0559</t>
  </si>
  <si>
    <t>b1507</t>
  </si>
  <si>
    <t>b0487, b0489</t>
  </si>
  <si>
    <t>b1694</t>
  </si>
  <si>
    <t>b2373</t>
  </si>
  <si>
    <t>b0497</t>
  </si>
  <si>
    <t>b1304.1, b1304.2, b1304.3, b1304.4</t>
  </si>
  <si>
    <t>b1398</t>
  </si>
  <si>
    <t>b1251.1, b1251</t>
  </si>
  <si>
    <t>b2729</t>
  </si>
  <si>
    <t>LDA Total [$/day]</t>
  </si>
  <si>
    <t>Weighted Locational Price Adder is with respect to immediate higher level parent LDA.</t>
  </si>
  <si>
    <t>LDA Economic Value of ICTRs for upgrade = LDA ICTRs for upgrade * LDA Weighted Locational Price Adder.</t>
  </si>
  <si>
    <t>LDA Economic Value of ICTRs are not final until after Third Incremental Auction.</t>
  </si>
  <si>
    <t>LDA Economic Value of ICTRs for an upgrade are allocated to Responsible Customers in accordance with cost responsibility assigned to the Responsible Customers for such upgrade as set forth in Schedule
12 of the OATT.</t>
  </si>
  <si>
    <t>2018 W/N Coincident Peak Load                    [MW]</t>
  </si>
  <si>
    <t>1st IA 2021/2022 Zonal Peak Load Forecast            [MW]</t>
  </si>
  <si>
    <t xml:space="preserve">2021/2022 1st IA ICTRs </t>
  </si>
  <si>
    <t>Resource Clearing Prices [$/MW-day]</t>
  </si>
  <si>
    <t>Participant Buy Bids/Sell Offers Cleared [Equivalent Annual Resources in MW]</t>
  </si>
  <si>
    <t>Participant Sell Offers Cleared</t>
  </si>
  <si>
    <t>Net Participant Buy Bids/Sell Offers Cleared *</t>
  </si>
  <si>
    <t>* A positive net particpant buy bid/sell offer cleared represents a net purchase of capacity by participants.</t>
  </si>
  <si>
    <t>* A negative net participant buy bid/sell offer cleared represents a net sale of capacity by participants.</t>
  </si>
  <si>
    <t>Net PJM Buy Bids/Sell Offers Cleared [MW]</t>
  </si>
  <si>
    <t>1st Incremental Auction **</t>
  </si>
  <si>
    <t>**A positive net PJM buy bid/sell offer cleared represents a net purchase of capacity by PJM.</t>
  </si>
  <si>
    <t>** A negative net PJM buy bid/sell offer cleared represents a net release of committed capacity by PJM.</t>
  </si>
  <si>
    <t>AEP ***</t>
  </si>
  <si>
    <t>DEOK ***</t>
  </si>
  <si>
    <t>EKPC ***</t>
  </si>
  <si>
    <t>*** Obligation affected by FRR quantities.</t>
  </si>
  <si>
    <t>W4-005 Radford's Run Wind Farm (effective 2019/2020)</t>
  </si>
  <si>
    <t>2nd Incremental Auction</t>
  </si>
  <si>
    <t>2nd Incremental Auction **</t>
  </si>
  <si>
    <t>2021/2022 DY 2nd IA Resource Clearing Results</t>
  </si>
  <si>
    <t>2021/2022 DY 2nd IA Load Pricing Results</t>
  </si>
  <si>
    <t>BRA &amp; IAs Net Participant Buy Bid/Sell Offers Cleared</t>
  </si>
  <si>
    <t>2019 W/N Coincident Peak Load                    [MW]</t>
  </si>
  <si>
    <t>2nd IA 2021/2022 Zonal Peak Load Forecast            [MW]</t>
  </si>
  <si>
    <t>2021/2022 2nd IA CTRs</t>
  </si>
  <si>
    <t xml:space="preserve">2021/2022 2nd IA ICTRs </t>
  </si>
  <si>
    <t>7/20/2020 Update: The ICTR credits into COMED zone in 2nd IA were adjusted to insufficient total CTRs.</t>
  </si>
  <si>
    <t>2021/2022 DY 3rd IA Resource Clearing Results</t>
  </si>
  <si>
    <t>2021/2022 DY 3rd IA Load Pricing Results</t>
  </si>
  <si>
    <t>2021/2022 3rd IA CTRs</t>
  </si>
  <si>
    <t xml:space="preserve">2021/2022 3rd IA ICTRs </t>
  </si>
  <si>
    <t>2020 W/N Coincident Peak Load                    [MW]</t>
  </si>
  <si>
    <t>3rd IA 2021/2022 Zonal Peak Load Forecast            [MW]</t>
  </si>
  <si>
    <t>3rd Incremental Auction</t>
  </si>
  <si>
    <t>Final Forecast Pool Requirement =</t>
  </si>
  <si>
    <t>Final Zonal RPM Scaling Factor</t>
  </si>
  <si>
    <t>Final Zonal UCAP Obligation,          MW</t>
  </si>
  <si>
    <t>Final Zonal Capacity Price               ($/MW-day)</t>
  </si>
  <si>
    <t>Final Zonal CTR Credit Rate    ($/MW-UCAP Obligation-day)</t>
  </si>
  <si>
    <t>Final Zonal Net Load Price               ($/MW-day)</t>
  </si>
  <si>
    <t xml:space="preserve">2021/2022 Final Zonal Scaling Factors, UCAP Obligations, Zonal Capacity Prices, &amp; Zonal CTR Credit Rates </t>
  </si>
  <si>
    <t>3rd Incremental Auction **</t>
  </si>
  <si>
    <t>Final Zonal UCAP Obligation        (MW)</t>
  </si>
  <si>
    <t>Final Zonal Capacity Price              ($/MW-day)</t>
  </si>
  <si>
    <t>Final Zonal CTR Credit Rate ($/MW-UCAP Obligation-day)</t>
  </si>
  <si>
    <t>Final Zonal Net Load Price         ($/MW-day)</t>
  </si>
  <si>
    <t>2021/2022 BRA and Incremental Auctions:  Zonal UCAP Obligations, Zonal Capacity Prices, Zonal CTR Credit Rate, and Zonal Net Load Prices</t>
  </si>
  <si>
    <t>2021/2022 BRA &amp; Incremental Auctions Summary of Auction Results</t>
  </si>
  <si>
    <t xml:space="preserve">Final Zonal Capacity Prices &amp; Adjusted Zonal CTR Credit Rates are determined based on the results of the Base Residual Auction, 1st, 2nd, and 3rd IncrementalAuctions for the DY.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</si>
</sst>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7" formatCode="&quot;$&quot;#,##0.00_);\(&quot;$&quot;#,##0.00\)"/>
    <numFmt numFmtId="44" formatCode="_(&quot;$&quot;* #,##0.00_);_(&quot;$&quot;* \(#,##0.00\);_(&quot;$&quot;* &quot;-&quot;??_);_(@_)"/>
    <numFmt numFmtId="43" formatCode="_(* #,##0.00_);_(* \(#,##0.00\);_(* &quot;-&quot;??_);_(@_)"/>
    <numFmt numFmtId="164" formatCode="0.0"/>
    <numFmt numFmtId="165" formatCode="&quot;$&quot;#,##0.00"/>
    <numFmt numFmtId="166" formatCode="0.0%"/>
    <numFmt numFmtId="167" formatCode="0.00000"/>
    <numFmt numFmtId="168" formatCode="0.0000"/>
    <numFmt numFmtId="169" formatCode="#,##0.0"/>
    <numFmt numFmtId="170" formatCode="&quot;$&quot;#,##0.00000"/>
    <numFmt numFmtId="171" formatCode="0.000000"/>
    <numFmt numFmtId="172" formatCode="_(* #,##0.0_);_(* \(#,##0.0\);_(* &quot;-&quot;??_);_(@_)"/>
    <numFmt numFmtId="173" formatCode="_(* #,##0.00000_);_(* \(#,##0.00000\);_(* &quot;-&quot;?????_);_(@_)"/>
    <numFmt numFmtId="174" formatCode="&quot;$&quot;#,##0"/>
    <numFmt numFmtId="175" formatCode="&quot;$&quot;#,##0.000000"/>
    <numFmt numFmtId="176" formatCode="&quot;$&quot;#,##0.00000000"/>
    <numFmt numFmtId="177" formatCode="_(* #,##0.0000000_);_(* \(#,##0.0000000\);_(* &quot;-&quot;??_);_(@_)"/>
    <numFmt numFmtId="178" formatCode="&quot;$&quot;#,##0.0000000"/>
    <numFmt numFmtId="179" formatCode="&quot;$&quot;#,##0.0"/>
    <numFmt numFmtId="180" formatCode="_(* #,##0.000000000_);_(* \(#,##0.000000000\);_(* &quot;-&quot;??_);_(@_)"/>
    <numFmt numFmtId="181" formatCode="_(* #,##0.000000_);_(* \(#,##0.000000\);_(* &quot;-&quot;??_);_(@_)"/>
    <numFmt numFmtId="182" formatCode="_(* #,##0.00000000_);_(* \(#,##0.00000000\);_(* &quot;-&quot;??_);_(@_)"/>
    <numFmt numFmtId="183" formatCode="_(* #,##0.0_);_(* \(#,##0.0\);_(* &quot;-&quot;?_);_(@_)"/>
    <numFmt numFmtId="184" formatCode="_(* #,##0.00000000000_);_(* \(#,##0.00000000000\);_(* &quot;-&quot;??_);_(@_)"/>
  </numFmts>
  <fonts count="45" x14ac:knownFonts="1">
    <font>
      <sz val="10"/>
      <name val="Arial"/>
    </font>
    <font>
      <sz val="10"/>
      <name val="Arial"/>
      <family val="2"/>
    </font>
    <font>
      <b/>
      <i/>
      <sz val="14"/>
      <name val="Arial"/>
      <family val="2"/>
    </font>
    <font>
      <sz val="14"/>
      <name val="Arial"/>
      <family val="2"/>
    </font>
    <font>
      <sz val="10"/>
      <name val="Arial"/>
      <family val="2"/>
    </font>
    <font>
      <b/>
      <sz val="10"/>
      <name val="Arial"/>
      <family val="2"/>
    </font>
    <font>
      <b/>
      <sz val="12"/>
      <name val="Arial"/>
      <family val="2"/>
    </font>
    <font>
      <sz val="11"/>
      <name val="Arial"/>
      <family val="2"/>
    </font>
    <font>
      <i/>
      <sz val="10"/>
      <name val="Arial"/>
      <family val="2"/>
    </font>
    <font>
      <sz val="10"/>
      <color rgb="FFFF0000"/>
      <name val="Arial"/>
      <family val="2"/>
    </font>
    <font>
      <b/>
      <sz val="10"/>
      <color rgb="FFFF0000"/>
      <name val="Arial"/>
      <family val="2"/>
    </font>
    <font>
      <b/>
      <sz val="11"/>
      <color rgb="FFFF0000"/>
      <name val="Arial"/>
      <family val="2"/>
    </font>
    <font>
      <b/>
      <sz val="10"/>
      <name val="Calibri"/>
      <family val="2"/>
      <scheme val="minor"/>
    </font>
    <font>
      <sz val="10"/>
      <name val="Calibri"/>
      <family val="2"/>
      <scheme val="minor"/>
    </font>
    <font>
      <b/>
      <i/>
      <sz val="14"/>
      <name val="Calibri"/>
      <family val="2"/>
      <scheme val="minor"/>
    </font>
    <font>
      <b/>
      <sz val="14"/>
      <name val="Calibri"/>
      <family val="2"/>
      <scheme val="minor"/>
    </font>
    <font>
      <b/>
      <sz val="10"/>
      <color rgb="FFFF0000"/>
      <name val="Calibri"/>
      <family val="2"/>
      <scheme val="minor"/>
    </font>
    <font>
      <b/>
      <i/>
      <sz val="12"/>
      <name val="Calibri"/>
      <family val="2"/>
      <scheme val="minor"/>
    </font>
    <font>
      <sz val="10"/>
      <color rgb="FFFF0000"/>
      <name val="Calibri"/>
      <family val="2"/>
      <scheme val="minor"/>
    </font>
    <font>
      <i/>
      <sz val="10"/>
      <name val="Calibri"/>
      <family val="2"/>
      <scheme val="minor"/>
    </font>
    <font>
      <b/>
      <sz val="10"/>
      <color indexed="10"/>
      <name val="Calibri"/>
      <family val="2"/>
      <scheme val="minor"/>
    </font>
    <font>
      <b/>
      <i/>
      <sz val="10"/>
      <name val="Calibri"/>
      <family val="2"/>
      <scheme val="minor"/>
    </font>
    <font>
      <b/>
      <sz val="12"/>
      <name val="Calibri"/>
      <family val="2"/>
      <scheme val="minor"/>
    </font>
    <font>
      <i/>
      <sz val="10"/>
      <color rgb="FFFF0000"/>
      <name val="Calibri"/>
      <family val="2"/>
      <scheme val="minor"/>
    </font>
    <font>
      <i/>
      <sz val="12"/>
      <name val="Calibri"/>
      <family val="2"/>
      <scheme val="minor"/>
    </font>
    <font>
      <b/>
      <i/>
      <sz val="12"/>
      <color rgb="FFFF0000"/>
      <name val="Calibri"/>
      <family val="2"/>
      <scheme val="minor"/>
    </font>
    <font>
      <b/>
      <sz val="12"/>
      <color rgb="FFFF0000"/>
      <name val="Calibri"/>
      <family val="2"/>
      <scheme val="minor"/>
    </font>
    <font>
      <sz val="8"/>
      <name val="Arial"/>
      <family val="2"/>
    </font>
    <font>
      <sz val="8"/>
      <color rgb="FFFF0000"/>
      <name val="Arial"/>
      <family val="2"/>
    </font>
    <font>
      <sz val="11"/>
      <color rgb="FFFF0000"/>
      <name val="Calibri"/>
      <family val="2"/>
      <scheme val="minor"/>
    </font>
    <font>
      <sz val="10"/>
      <color indexed="10"/>
      <name val="Arial"/>
      <family val="2"/>
    </font>
    <font>
      <b/>
      <i/>
      <sz val="12"/>
      <name val="Arial"/>
      <family val="2"/>
    </font>
    <font>
      <b/>
      <sz val="10"/>
      <color indexed="10"/>
      <name val="Arial"/>
      <family val="2"/>
    </font>
    <font>
      <sz val="10"/>
      <color indexed="10"/>
      <name val="Calibri"/>
      <family val="2"/>
      <scheme val="minor"/>
    </font>
    <font>
      <sz val="11"/>
      <color indexed="56"/>
      <name val="Calibri"/>
      <family val="2"/>
    </font>
    <font>
      <b/>
      <i/>
      <sz val="14"/>
      <color indexed="10"/>
      <name val="Arial"/>
      <family val="2"/>
    </font>
    <font>
      <b/>
      <sz val="11"/>
      <name val="Calibri"/>
      <family val="2"/>
      <scheme val="minor"/>
    </font>
    <font>
      <sz val="11"/>
      <name val="Calibri"/>
      <family val="2"/>
      <scheme val="minor"/>
    </font>
    <font>
      <b/>
      <sz val="16"/>
      <name val="Calibri"/>
      <family val="2"/>
      <scheme val="minor"/>
    </font>
    <font>
      <sz val="10"/>
      <color theme="1"/>
      <name val="Calibri"/>
      <family val="2"/>
      <scheme val="minor"/>
    </font>
    <font>
      <sz val="11"/>
      <color rgb="FFFF0000"/>
      <name val="Arial"/>
      <family val="2"/>
    </font>
    <font>
      <sz val="10"/>
      <color rgb="FFFF0000"/>
      <name val="Arial"/>
      <family val="2"/>
    </font>
    <font>
      <b/>
      <sz val="11"/>
      <color rgb="FFFF0000"/>
      <name val="Calibri"/>
      <family val="2"/>
    </font>
    <font>
      <sz val="11"/>
      <color rgb="FFFF0000"/>
      <name val="Calibri"/>
      <family val="2"/>
    </font>
    <font>
      <sz val="12"/>
      <name val="Calibri"/>
      <family val="2"/>
      <scheme val="minor"/>
    </font>
  </fonts>
  <fills count="19">
    <fill>
      <patternFill patternType="none"/>
    </fill>
    <fill>
      <patternFill patternType="gray125"/>
    </fill>
    <fill>
      <patternFill patternType="solid">
        <fgColor theme="9" tint="0.79998168889431442"/>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0" tint="-4.9989318521683403E-2"/>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bottom style="medium">
        <color indexed="64"/>
      </bottom>
      <diagonal/>
    </border>
    <border>
      <left style="thin">
        <color indexed="64"/>
      </left>
      <right/>
      <top/>
      <bottom/>
      <diagonal/>
    </border>
    <border>
      <left style="medium">
        <color indexed="64"/>
      </left>
      <right style="medium">
        <color indexed="64"/>
      </right>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s>
  <cellStyleXfs count="11">
    <xf numFmtId="0" fontId="0" fillId="0" borderId="0"/>
    <xf numFmtId="43" fontId="1"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0" fontId="4" fillId="0" borderId="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783">
    <xf numFmtId="0" fontId="0" fillId="0" borderId="0" xfId="0"/>
    <xf numFmtId="0" fontId="2" fillId="0" borderId="0" xfId="0" applyFont="1"/>
    <xf numFmtId="0" fontId="3" fillId="0" borderId="0" xfId="0" applyFont="1"/>
    <xf numFmtId="0" fontId="2" fillId="0" borderId="0" xfId="0" applyFont="1" applyFill="1" applyBorder="1"/>
    <xf numFmtId="0" fontId="4" fillId="0" borderId="0" xfId="0" applyFont="1"/>
    <xf numFmtId="164" fontId="4" fillId="0" borderId="0" xfId="0" applyNumberFormat="1" applyFont="1"/>
    <xf numFmtId="0" fontId="4" fillId="0" borderId="0" xfId="0" applyFont="1" applyAlignment="1">
      <alignment wrapText="1"/>
    </xf>
    <xf numFmtId="0" fontId="4" fillId="0" borderId="0" xfId="0" applyFont="1" applyBorder="1"/>
    <xf numFmtId="167" fontId="4" fillId="0" borderId="0" xfId="0" applyNumberFormat="1" applyFont="1"/>
    <xf numFmtId="0" fontId="4" fillId="0" borderId="0" xfId="0" applyFont="1" applyFill="1" applyBorder="1"/>
    <xf numFmtId="0" fontId="5" fillId="0" borderId="0" xfId="0" applyNumberFormat="1" applyFont="1" applyFill="1" applyBorder="1" applyAlignment="1">
      <alignment horizontal="center" wrapText="1"/>
    </xf>
    <xf numFmtId="0" fontId="10" fillId="0" borderId="0" xfId="0" applyFont="1"/>
    <xf numFmtId="169" fontId="4" fillId="0" borderId="0" xfId="0" applyNumberFormat="1" applyFont="1"/>
    <xf numFmtId="44" fontId="5" fillId="0" borderId="0" xfId="3" applyFont="1" applyBorder="1" applyAlignment="1">
      <alignment horizontal="center"/>
    </xf>
    <xf numFmtId="43" fontId="4" fillId="0" borderId="0" xfId="0" applyNumberFormat="1" applyFont="1"/>
    <xf numFmtId="0" fontId="0" fillId="0" borderId="0" xfId="0" applyBorder="1"/>
    <xf numFmtId="0" fontId="4" fillId="0" borderId="0" xfId="0" applyFont="1" applyFill="1"/>
    <xf numFmtId="0" fontId="11" fillId="0" borderId="0" xfId="0" applyFont="1" applyFill="1" applyBorder="1" applyAlignment="1">
      <alignment horizontal="left"/>
    </xf>
    <xf numFmtId="0" fontId="9" fillId="0" borderId="0" xfId="0" applyFont="1"/>
    <xf numFmtId="0" fontId="5" fillId="0" borderId="0" xfId="0" applyFont="1" applyBorder="1" applyAlignment="1">
      <alignment horizontal="center"/>
    </xf>
    <xf numFmtId="0" fontId="9" fillId="0" borderId="0" xfId="0" applyFont="1" applyFill="1"/>
    <xf numFmtId="0" fontId="13" fillId="0" borderId="0" xfId="0" applyFont="1"/>
    <xf numFmtId="0" fontId="13" fillId="0" borderId="1" xfId="0" applyFont="1" applyFill="1" applyBorder="1"/>
    <xf numFmtId="0" fontId="13" fillId="0" borderId="0" xfId="0" applyFont="1" applyFill="1" applyBorder="1"/>
    <xf numFmtId="0" fontId="13" fillId="0" borderId="0" xfId="0" applyFont="1" applyAlignment="1">
      <alignment vertical="center"/>
    </xf>
    <xf numFmtId="0" fontId="13" fillId="0" borderId="0" xfId="0" applyFont="1" applyFill="1" applyBorder="1" applyAlignment="1">
      <alignment vertical="center"/>
    </xf>
    <xf numFmtId="0" fontId="12" fillId="0" borderId="1" xfId="0" applyFont="1" applyFill="1" applyBorder="1" applyAlignment="1">
      <alignment horizontal="center" wrapText="1"/>
    </xf>
    <xf numFmtId="0" fontId="13" fillId="0" borderId="0" xfId="0" applyFont="1" applyBorder="1" applyAlignment="1">
      <alignment wrapText="1"/>
    </xf>
    <xf numFmtId="0" fontId="12" fillId="0" borderId="0" xfId="0" applyFont="1" applyBorder="1" applyAlignment="1">
      <alignment horizontal="center" wrapText="1"/>
    </xf>
    <xf numFmtId="0" fontId="13" fillId="0" borderId="0" xfId="0" applyFont="1" applyAlignment="1">
      <alignment wrapText="1"/>
    </xf>
    <xf numFmtId="0" fontId="13" fillId="0" borderId="1" xfId="0" applyFont="1" applyBorder="1"/>
    <xf numFmtId="165" fontId="13" fillId="0" borderId="1" xfId="0" applyNumberFormat="1" applyFont="1" applyBorder="1" applyAlignment="1">
      <alignment horizontal="right"/>
    </xf>
    <xf numFmtId="0" fontId="13" fillId="0" borderId="0" xfId="0" applyFont="1" applyBorder="1"/>
    <xf numFmtId="165" fontId="13" fillId="0" borderId="0" xfId="0" applyNumberFormat="1" applyFont="1" applyFill="1" applyBorder="1" applyAlignment="1">
      <alignment horizontal="right"/>
    </xf>
    <xf numFmtId="165" fontId="13" fillId="0" borderId="0" xfId="0" applyNumberFormat="1" applyFont="1" applyBorder="1" applyAlignment="1">
      <alignment horizontal="right"/>
    </xf>
    <xf numFmtId="165" fontId="13" fillId="0" borderId="1" xfId="0" applyNumberFormat="1" applyFont="1" applyFill="1" applyBorder="1" applyAlignment="1">
      <alignment horizontal="right"/>
    </xf>
    <xf numFmtId="165" fontId="13" fillId="0" borderId="0" xfId="0" applyNumberFormat="1" applyFont="1" applyBorder="1"/>
    <xf numFmtId="165" fontId="16" fillId="0" borderId="0" xfId="0" applyNumberFormat="1" applyFont="1" applyBorder="1" applyAlignment="1">
      <alignment horizontal="left"/>
    </xf>
    <xf numFmtId="0" fontId="13" fillId="0" borderId="0" xfId="0" applyFont="1" applyBorder="1" applyAlignment="1">
      <alignment horizontal="right"/>
    </xf>
    <xf numFmtId="164" fontId="13" fillId="0" borderId="0" xfId="0" applyNumberFormat="1" applyFont="1" applyBorder="1" applyAlignment="1">
      <alignment horizontal="right"/>
    </xf>
    <xf numFmtId="165" fontId="12" fillId="0" borderId="0" xfId="0" applyNumberFormat="1" applyFont="1" applyBorder="1" applyAlignment="1">
      <alignment horizontal="right"/>
    </xf>
    <xf numFmtId="165" fontId="12" fillId="0" borderId="0" xfId="0" applyNumberFormat="1" applyFont="1" applyBorder="1" applyAlignment="1">
      <alignment horizontal="center"/>
    </xf>
    <xf numFmtId="165" fontId="12" fillId="0" borderId="1" xfId="0" applyNumberFormat="1" applyFont="1" applyBorder="1" applyAlignment="1">
      <alignment horizontal="right"/>
    </xf>
    <xf numFmtId="0" fontId="12" fillId="0" borderId="0" xfId="0" applyFont="1" applyFill="1" applyBorder="1" applyAlignment="1">
      <alignment horizontal="center" wrapText="1"/>
    </xf>
    <xf numFmtId="169" fontId="13" fillId="0" borderId="1" xfId="0" applyNumberFormat="1" applyFont="1" applyFill="1" applyBorder="1" applyAlignment="1">
      <alignment horizontal="right"/>
    </xf>
    <xf numFmtId="172" fontId="13" fillId="0" borderId="1" xfId="1" applyNumberFormat="1" applyFont="1" applyFill="1" applyBorder="1" applyAlignment="1">
      <alignment horizontal="right"/>
    </xf>
    <xf numFmtId="172" fontId="13" fillId="0" borderId="0" xfId="0" applyNumberFormat="1" applyFont="1" applyBorder="1"/>
    <xf numFmtId="0" fontId="13" fillId="0" borderId="2" xfId="0" applyFont="1" applyBorder="1"/>
    <xf numFmtId="169" fontId="13" fillId="0" borderId="1" xfId="0" applyNumberFormat="1" applyFont="1" applyBorder="1" applyAlignment="1">
      <alignment horizontal="right"/>
    </xf>
    <xf numFmtId="169" fontId="13" fillId="0" borderId="1" xfId="0" applyNumberFormat="1" applyFont="1" applyBorder="1"/>
    <xf numFmtId="165" fontId="13" fillId="0" borderId="1" xfId="0" applyNumberFormat="1" applyFont="1" applyBorder="1"/>
    <xf numFmtId="165" fontId="13" fillId="0" borderId="3" xfId="0" applyNumberFormat="1" applyFont="1" applyBorder="1"/>
    <xf numFmtId="165" fontId="13" fillId="0" borderId="0" xfId="0" applyNumberFormat="1" applyFont="1"/>
    <xf numFmtId="0" fontId="13" fillId="0" borderId="2" xfId="0" applyFont="1" applyFill="1" applyBorder="1"/>
    <xf numFmtId="169" fontId="12" fillId="0" borderId="1" xfId="0" applyNumberFormat="1" applyFont="1" applyBorder="1" applyAlignment="1">
      <alignment horizontal="right"/>
    </xf>
    <xf numFmtId="169" fontId="13" fillId="0" borderId="0" xfId="0" applyNumberFormat="1" applyFont="1" applyBorder="1" applyAlignment="1">
      <alignment horizontal="right"/>
    </xf>
    <xf numFmtId="169" fontId="13" fillId="0" borderId="0" xfId="0" applyNumberFormat="1" applyFont="1" applyBorder="1" applyAlignment="1">
      <alignment horizontal="left"/>
    </xf>
    <xf numFmtId="169" fontId="13" fillId="0" borderId="0" xfId="0" applyNumberFormat="1" applyFont="1" applyBorder="1"/>
    <xf numFmtId="0" fontId="14" fillId="0" borderId="0" xfId="0" applyFont="1" applyFill="1" applyBorder="1"/>
    <xf numFmtId="0" fontId="12" fillId="2" borderId="1" xfId="0" applyNumberFormat="1" applyFont="1" applyFill="1" applyBorder="1" applyAlignment="1">
      <alignment horizontal="center" vertical="center" wrapText="1"/>
    </xf>
    <xf numFmtId="0" fontId="12" fillId="0" borderId="0" xfId="0" applyFont="1"/>
    <xf numFmtId="0" fontId="15" fillId="0" borderId="0" xfId="0" applyFont="1"/>
    <xf numFmtId="164" fontId="13" fillId="0" borderId="0" xfId="0" applyNumberFormat="1" applyFont="1" applyFill="1" applyBorder="1" applyAlignment="1">
      <alignment horizontal="right"/>
    </xf>
    <xf numFmtId="165" fontId="12" fillId="0" borderId="0" xfId="0" applyNumberFormat="1" applyFont="1" applyFill="1" applyBorder="1" applyAlignment="1">
      <alignment horizontal="right"/>
    </xf>
    <xf numFmtId="0" fontId="13" fillId="0" borderId="0" xfId="0" applyNumberFormat="1" applyFont="1" applyFill="1" applyBorder="1" applyAlignment="1">
      <alignment horizontal="right"/>
    </xf>
    <xf numFmtId="0" fontId="17" fillId="0" borderId="0" xfId="0" applyFont="1" applyFill="1" applyBorder="1" applyAlignment="1">
      <alignment horizontal="left" vertical="center"/>
    </xf>
    <xf numFmtId="165" fontId="13" fillId="0" borderId="0" xfId="0" applyNumberFormat="1" applyFont="1" applyBorder="1" applyAlignment="1">
      <alignment horizontal="center"/>
    </xf>
    <xf numFmtId="0" fontId="12" fillId="0" borderId="1" xfId="0" applyFont="1" applyBorder="1"/>
    <xf numFmtId="165" fontId="12" fillId="0" borderId="1" xfId="0" applyNumberFormat="1" applyFont="1" applyBorder="1"/>
    <xf numFmtId="169" fontId="13" fillId="0" borderId="0" xfId="0" applyNumberFormat="1" applyFont="1" applyBorder="1" applyAlignment="1">
      <alignment horizontal="center"/>
    </xf>
    <xf numFmtId="0" fontId="12" fillId="0" borderId="0" xfId="0" applyFont="1" applyBorder="1"/>
    <xf numFmtId="165" fontId="13" fillId="0" borderId="0" xfId="0" applyNumberFormat="1" applyFont="1" applyBorder="1" applyAlignment="1">
      <alignment horizontal="center" wrapText="1"/>
    </xf>
    <xf numFmtId="164" fontId="18" fillId="0" borderId="0" xfId="0" applyNumberFormat="1" applyFont="1" applyBorder="1" applyAlignment="1">
      <alignment horizontal="center"/>
    </xf>
    <xf numFmtId="165" fontId="13" fillId="0" borderId="0" xfId="1" applyNumberFormat="1" applyFont="1" applyBorder="1" applyAlignment="1">
      <alignment horizontal="center"/>
    </xf>
    <xf numFmtId="172" fontId="13" fillId="0" borderId="0" xfId="1" applyNumberFormat="1" applyFont="1" applyBorder="1" applyAlignment="1">
      <alignment horizontal="center"/>
    </xf>
    <xf numFmtId="172" fontId="16" fillId="0" borderId="0" xfId="1" applyNumberFormat="1" applyFont="1" applyBorder="1" applyAlignment="1">
      <alignment horizontal="left"/>
    </xf>
    <xf numFmtId="164" fontId="13" fillId="0" borderId="0" xfId="0" applyNumberFormat="1" applyFont="1" applyBorder="1" applyAlignment="1">
      <alignment horizontal="center"/>
    </xf>
    <xf numFmtId="165" fontId="13" fillId="0" borderId="0" xfId="3" applyNumberFormat="1" applyFont="1" applyBorder="1" applyAlignment="1">
      <alignment horizontal="center"/>
    </xf>
    <xf numFmtId="164" fontId="13" fillId="0" borderId="0" xfId="0" applyNumberFormat="1" applyFont="1" applyBorder="1"/>
    <xf numFmtId="164" fontId="13" fillId="0" borderId="0" xfId="0" applyNumberFormat="1" applyFont="1"/>
    <xf numFmtId="169" fontId="13" fillId="0" borderId="0" xfId="0" applyNumberFormat="1" applyFont="1"/>
    <xf numFmtId="4" fontId="13" fillId="0" borderId="0" xfId="0" applyNumberFormat="1" applyFont="1" applyBorder="1" applyAlignment="1">
      <alignment horizontal="right"/>
    </xf>
    <xf numFmtId="173" fontId="13" fillId="0" borderId="0" xfId="0" applyNumberFormat="1" applyFont="1"/>
    <xf numFmtId="165" fontId="13" fillId="0" borderId="1" xfId="0" applyNumberFormat="1" applyFont="1" applyBorder="1" applyAlignment="1">
      <alignment horizontal="right" wrapText="1"/>
    </xf>
    <xf numFmtId="0" fontId="13" fillId="0" borderId="0" xfId="0" applyFont="1" applyFill="1" applyBorder="1" applyAlignment="1">
      <alignment horizontal="left" wrapText="1"/>
    </xf>
    <xf numFmtId="171" fontId="19" fillId="0" borderId="0" xfId="0" applyNumberFormat="1" applyFont="1" applyBorder="1"/>
    <xf numFmtId="165" fontId="20" fillId="0" borderId="0" xfId="0" applyNumberFormat="1" applyFont="1" applyBorder="1"/>
    <xf numFmtId="0" fontId="18" fillId="0" borderId="0" xfId="0" applyNumberFormat="1" applyFont="1" applyBorder="1" applyAlignment="1">
      <alignment horizontal="center" wrapText="1"/>
    </xf>
    <xf numFmtId="0" fontId="12" fillId="0" borderId="5" xfId="0" applyNumberFormat="1" applyFont="1" applyFill="1" applyBorder="1" applyAlignment="1">
      <alignment horizontal="center" wrapText="1"/>
    </xf>
    <xf numFmtId="0" fontId="12" fillId="0" borderId="6" xfId="0" applyNumberFormat="1" applyFont="1" applyFill="1" applyBorder="1" applyAlignment="1">
      <alignment horizontal="center" wrapText="1"/>
    </xf>
    <xf numFmtId="0" fontId="12" fillId="0" borderId="7" xfId="0" applyNumberFormat="1" applyFont="1" applyFill="1" applyBorder="1" applyAlignment="1">
      <alignment horizontal="center" wrapText="1"/>
    </xf>
    <xf numFmtId="0" fontId="13" fillId="0" borderId="1" xfId="0" applyFont="1" applyFill="1" applyBorder="1" applyAlignment="1">
      <alignment horizontal="center"/>
    </xf>
    <xf numFmtId="0" fontId="13" fillId="0" borderId="3" xfId="0" applyFont="1" applyFill="1" applyBorder="1" applyAlignment="1">
      <alignment horizontal="center"/>
    </xf>
    <xf numFmtId="167" fontId="13" fillId="0" borderId="1" xfId="0" applyNumberFormat="1" applyFont="1" applyBorder="1"/>
    <xf numFmtId="172" fontId="13" fillId="0" borderId="1" xfId="1" applyNumberFormat="1" applyFont="1" applyFill="1" applyBorder="1"/>
    <xf numFmtId="0" fontId="13" fillId="0" borderId="8" xfId="0" applyFont="1" applyFill="1" applyBorder="1" applyAlignment="1">
      <alignment horizontal="center"/>
    </xf>
    <xf numFmtId="0" fontId="13" fillId="0" borderId="4" xfId="0" applyFont="1" applyFill="1" applyBorder="1" applyAlignment="1">
      <alignment horizontal="center"/>
    </xf>
    <xf numFmtId="0" fontId="19" fillId="0" borderId="0" xfId="0" applyFont="1" applyFill="1" applyBorder="1"/>
    <xf numFmtId="0" fontId="21" fillId="0" borderId="0" xfId="0" applyFont="1"/>
    <xf numFmtId="0" fontId="21" fillId="0" borderId="0" xfId="0" applyFont="1" applyFill="1" applyBorder="1"/>
    <xf numFmtId="0" fontId="13" fillId="0" borderId="0" xfId="0" applyFont="1" applyBorder="1" applyAlignment="1"/>
    <xf numFmtId="0" fontId="15" fillId="0" borderId="0" xfId="0" applyFont="1" applyFill="1" applyBorder="1"/>
    <xf numFmtId="172" fontId="4" fillId="0" borderId="0" xfId="0" applyNumberFormat="1" applyFont="1"/>
    <xf numFmtId="7" fontId="13" fillId="0" borderId="0" xfId="0" applyNumberFormat="1" applyFont="1" applyBorder="1"/>
    <xf numFmtId="7" fontId="13" fillId="0" borderId="0" xfId="0" applyNumberFormat="1" applyFont="1" applyFill="1" applyBorder="1" applyAlignment="1">
      <alignment horizontal="left" wrapText="1"/>
    </xf>
    <xf numFmtId="43" fontId="13" fillId="0" borderId="0" xfId="0" applyNumberFormat="1" applyFont="1" applyBorder="1"/>
    <xf numFmtId="0" fontId="13" fillId="0" borderId="0" xfId="0" applyFont="1" applyFill="1" applyBorder="1" applyAlignment="1"/>
    <xf numFmtId="172" fontId="13" fillId="0" borderId="1" xfId="1" applyNumberFormat="1" applyFont="1" applyBorder="1" applyAlignment="1">
      <alignment horizontal="right"/>
    </xf>
    <xf numFmtId="0" fontId="15" fillId="0" borderId="0" xfId="0" applyFont="1" applyFill="1"/>
    <xf numFmtId="0" fontId="16" fillId="0" borderId="0" xfId="0" applyFont="1"/>
    <xf numFmtId="0" fontId="16" fillId="0" borderId="0" xfId="0" applyFont="1" applyAlignment="1">
      <alignment horizontal="right"/>
    </xf>
    <xf numFmtId="0" fontId="12" fillId="0" borderId="6" xfId="0" applyFont="1" applyBorder="1" applyAlignment="1">
      <alignment horizontal="center" vertical="center" wrapText="1"/>
    </xf>
    <xf numFmtId="0" fontId="13" fillId="0" borderId="2" xfId="0" applyFont="1" applyBorder="1" applyAlignment="1">
      <alignment horizontal="left"/>
    </xf>
    <xf numFmtId="3" fontId="13" fillId="0" borderId="1" xfId="0" applyNumberFormat="1" applyFont="1" applyBorder="1" applyAlignment="1">
      <alignment horizontal="right"/>
    </xf>
    <xf numFmtId="0" fontId="13" fillId="0" borderId="1" xfId="0" applyNumberFormat="1" applyFont="1" applyBorder="1" applyAlignment="1">
      <alignment horizontal="right"/>
    </xf>
    <xf numFmtId="0" fontId="13" fillId="0" borderId="2" xfId="0" applyFont="1" applyFill="1" applyBorder="1" applyAlignment="1">
      <alignment horizontal="left"/>
    </xf>
    <xf numFmtId="164" fontId="13" fillId="0" borderId="1" xfId="1" applyNumberFormat="1" applyFont="1" applyBorder="1"/>
    <xf numFmtId="3" fontId="13" fillId="0" borderId="8" xfId="0" applyNumberFormat="1" applyFont="1" applyBorder="1" applyAlignment="1">
      <alignment horizontal="right"/>
    </xf>
    <xf numFmtId="0" fontId="13" fillId="0" borderId="0" xfId="0" applyFont="1" applyFill="1" applyBorder="1" applyAlignment="1">
      <alignment horizontal="left"/>
    </xf>
    <xf numFmtId="165" fontId="12" fillId="0" borderId="0" xfId="0" applyNumberFormat="1" applyFont="1" applyBorder="1"/>
    <xf numFmtId="0" fontId="18" fillId="0" borderId="0" xfId="0" applyFont="1" applyBorder="1"/>
    <xf numFmtId="164" fontId="13" fillId="0" borderId="0" xfId="0" applyNumberFormat="1" applyFont="1" applyAlignment="1">
      <alignment horizontal="left"/>
    </xf>
    <xf numFmtId="165" fontId="13" fillId="0" borderId="4" xfId="0" applyNumberFormat="1" applyFont="1" applyBorder="1" applyAlignment="1">
      <alignment horizontal="center" vertical="center"/>
    </xf>
    <xf numFmtId="164" fontId="13" fillId="0" borderId="2" xfId="0" applyNumberFormat="1" applyFont="1" applyBorder="1" applyAlignment="1">
      <alignment horizontal="right"/>
    </xf>
    <xf numFmtId="165" fontId="13" fillId="0" borderId="3" xfId="3" applyNumberFormat="1" applyFont="1" applyBorder="1" applyAlignment="1">
      <alignment horizontal="right"/>
    </xf>
    <xf numFmtId="169" fontId="13" fillId="0" borderId="2" xfId="0" applyNumberFormat="1" applyFont="1" applyBorder="1" applyAlignment="1">
      <alignment horizontal="right"/>
    </xf>
    <xf numFmtId="165" fontId="13" fillId="0" borderId="3" xfId="0" applyNumberFormat="1" applyFont="1" applyBorder="1" applyAlignment="1">
      <alignment horizontal="right"/>
    </xf>
    <xf numFmtId="172" fontId="13" fillId="0" borderId="2" xfId="1" applyNumberFormat="1" applyFont="1" applyBorder="1" applyAlignment="1">
      <alignment horizontal="right"/>
    </xf>
    <xf numFmtId="0" fontId="13" fillId="0" borderId="9" xfId="0" applyFont="1" applyFill="1" applyBorder="1"/>
    <xf numFmtId="164" fontId="13" fillId="0" borderId="10" xfId="0" applyNumberFormat="1" applyFont="1" applyBorder="1" applyAlignment="1">
      <alignment horizontal="right"/>
    </xf>
    <xf numFmtId="165" fontId="13" fillId="0" borderId="11" xfId="3" applyNumberFormat="1" applyFont="1" applyBorder="1" applyAlignment="1">
      <alignment horizontal="right"/>
    </xf>
    <xf numFmtId="164" fontId="12" fillId="0" borderId="12" xfId="0" applyNumberFormat="1" applyFont="1" applyBorder="1" applyAlignment="1">
      <alignment horizontal="right"/>
    </xf>
    <xf numFmtId="165" fontId="12" fillId="0" borderId="13" xfId="3" applyNumberFormat="1" applyFont="1" applyBorder="1" applyAlignment="1">
      <alignment horizontal="right"/>
    </xf>
    <xf numFmtId="169" fontId="13" fillId="0" borderId="12" xfId="0" applyNumberFormat="1" applyFont="1" applyBorder="1" applyAlignment="1">
      <alignment horizontal="right"/>
    </xf>
    <xf numFmtId="165" fontId="12" fillId="0" borderId="14" xfId="3" applyNumberFormat="1" applyFont="1" applyBorder="1" applyAlignment="1">
      <alignment horizontal="right"/>
    </xf>
    <xf numFmtId="44" fontId="12" fillId="0" borderId="14" xfId="3" applyFont="1" applyBorder="1" applyAlignment="1">
      <alignment horizontal="right"/>
    </xf>
    <xf numFmtId="44" fontId="12" fillId="0" borderId="13" xfId="3" applyFont="1" applyBorder="1" applyAlignment="1">
      <alignment horizontal="right"/>
    </xf>
    <xf numFmtId="165" fontId="13" fillId="0" borderId="9" xfId="0" applyNumberFormat="1" applyFont="1" applyBorder="1" applyAlignment="1">
      <alignment horizontal="center" wrapText="1"/>
    </xf>
    <xf numFmtId="165" fontId="13" fillId="0" borderId="4" xfId="3" applyNumberFormat="1" applyFont="1" applyBorder="1" applyAlignment="1">
      <alignment horizontal="center" vertical="center"/>
    </xf>
    <xf numFmtId="0" fontId="12" fillId="0" borderId="15" xfId="0" applyFont="1" applyBorder="1" applyAlignment="1">
      <alignment horizontal="center"/>
    </xf>
    <xf numFmtId="10" fontId="13" fillId="0" borderId="1" xfId="6" applyNumberFormat="1" applyFont="1" applyFill="1" applyBorder="1" applyAlignment="1">
      <alignment horizontal="right"/>
    </xf>
    <xf numFmtId="10" fontId="12" fillId="0" borderId="0" xfId="0" applyNumberFormat="1" applyFont="1" applyBorder="1" applyAlignment="1">
      <alignment horizontal="right"/>
    </xf>
    <xf numFmtId="164" fontId="13" fillId="0" borderId="1" xfId="0" applyNumberFormat="1" applyFont="1" applyBorder="1" applyAlignment="1">
      <alignment horizontal="right"/>
    </xf>
    <xf numFmtId="0" fontId="13" fillId="0" borderId="0" xfId="0" applyFont="1" applyBorder="1" applyAlignment="1">
      <alignment horizontal="left"/>
    </xf>
    <xf numFmtId="0" fontId="13" fillId="0" borderId="10" xfId="0" applyFont="1" applyBorder="1"/>
    <xf numFmtId="165" fontId="13" fillId="0" borderId="11" xfId="0" applyNumberFormat="1" applyFont="1" applyBorder="1"/>
    <xf numFmtId="0" fontId="12" fillId="0" borderId="0" xfId="0" applyFont="1" applyFill="1" applyBorder="1" applyAlignment="1">
      <alignment horizontal="center"/>
    </xf>
    <xf numFmtId="164" fontId="12" fillId="0" borderId="0" xfId="0" applyNumberFormat="1" applyFont="1" applyFill="1" applyBorder="1" applyAlignment="1">
      <alignment horizontal="right"/>
    </xf>
    <xf numFmtId="164" fontId="12" fillId="0" borderId="0" xfId="0" applyNumberFormat="1" applyFont="1" applyBorder="1" applyAlignment="1">
      <alignment horizontal="right"/>
    </xf>
    <xf numFmtId="164" fontId="13" fillId="0" borderId="0" xfId="0" applyNumberFormat="1" applyFont="1" applyBorder="1" applyAlignment="1">
      <alignment horizontal="right" wrapText="1"/>
    </xf>
    <xf numFmtId="165" fontId="13" fillId="0" borderId="0" xfId="0" applyNumberFormat="1" applyFont="1" applyBorder="1" applyAlignment="1">
      <alignment horizontal="right" wrapText="1"/>
    </xf>
    <xf numFmtId="0" fontId="12" fillId="0" borderId="0" xfId="0" applyFont="1" applyBorder="1" applyAlignment="1">
      <alignment horizontal="center"/>
    </xf>
    <xf numFmtId="164" fontId="16" fillId="0" borderId="0" xfId="0" applyNumberFormat="1" applyFont="1" applyBorder="1" applyAlignment="1">
      <alignment horizontal="center" vertical="center" wrapText="1"/>
    </xf>
    <xf numFmtId="165" fontId="13" fillId="3" borderId="1" xfId="0" applyNumberFormat="1" applyFont="1" applyFill="1" applyBorder="1"/>
    <xf numFmtId="165" fontId="13" fillId="3" borderId="1" xfId="0" applyNumberFormat="1" applyFont="1" applyFill="1" applyBorder="1" applyAlignment="1">
      <alignment horizontal="right"/>
    </xf>
    <xf numFmtId="165" fontId="12" fillId="3" borderId="1" xfId="0" applyNumberFormat="1" applyFont="1" applyFill="1" applyBorder="1" applyAlignment="1">
      <alignment horizontal="right"/>
    </xf>
    <xf numFmtId="165" fontId="13" fillId="3" borderId="1" xfId="3" applyNumberFormat="1" applyFont="1" applyFill="1" applyBorder="1" applyAlignment="1">
      <alignment horizontal="right"/>
    </xf>
    <xf numFmtId="165" fontId="13" fillId="3" borderId="1" xfId="1" applyNumberFormat="1" applyFont="1" applyFill="1" applyBorder="1" applyAlignment="1">
      <alignment horizontal="right"/>
    </xf>
    <xf numFmtId="165" fontId="12" fillId="3" borderId="1" xfId="3" applyNumberFormat="1" applyFont="1" applyFill="1" applyBorder="1"/>
    <xf numFmtId="0" fontId="17" fillId="4" borderId="15" xfId="0" applyFont="1" applyFill="1" applyBorder="1" applyAlignment="1">
      <alignment horizontal="center"/>
    </xf>
    <xf numFmtId="0" fontId="17" fillId="5" borderId="19" xfId="0" applyFont="1" applyFill="1" applyBorder="1" applyAlignment="1">
      <alignment horizontal="center"/>
    </xf>
    <xf numFmtId="0" fontId="17" fillId="6" borderId="20" xfId="0" applyFont="1" applyFill="1" applyBorder="1" applyAlignment="1">
      <alignment horizontal="center"/>
    </xf>
    <xf numFmtId="0" fontId="12" fillId="0" borderId="1" xfId="0" applyNumberFormat="1" applyFont="1" applyFill="1" applyBorder="1" applyAlignment="1">
      <alignment horizontal="center" wrapText="1"/>
    </xf>
    <xf numFmtId="0" fontId="22" fillId="0" borderId="0" xfId="0" applyFont="1"/>
    <xf numFmtId="0" fontId="12" fillId="0" borderId="1" xfId="0" applyFont="1" applyBorder="1" applyAlignment="1">
      <alignment horizontal="center" vertical="center" wrapText="1"/>
    </xf>
    <xf numFmtId="164" fontId="13" fillId="0" borderId="1" xfId="0" applyNumberFormat="1" applyFont="1" applyBorder="1"/>
    <xf numFmtId="2" fontId="13" fillId="0" borderId="0" xfId="0" applyNumberFormat="1" applyFont="1" applyBorder="1" applyAlignment="1"/>
    <xf numFmtId="0" fontId="13" fillId="0" borderId="1" xfId="0" applyFont="1" applyBorder="1"/>
    <xf numFmtId="0" fontId="12" fillId="0" borderId="1" xfId="0" applyFont="1" applyFill="1" applyBorder="1" applyAlignment="1">
      <alignment horizontal="right"/>
    </xf>
    <xf numFmtId="0" fontId="17" fillId="6" borderId="1" xfId="0" applyFont="1" applyFill="1" applyBorder="1" applyAlignment="1">
      <alignment horizontal="center"/>
    </xf>
    <xf numFmtId="0" fontId="13" fillId="0" borderId="1" xfId="0" applyFont="1" applyBorder="1" applyAlignment="1">
      <alignment wrapText="1"/>
    </xf>
    <xf numFmtId="166" fontId="13" fillId="0" borderId="1" xfId="6" applyNumberFormat="1" applyFont="1" applyFill="1" applyBorder="1" applyAlignment="1">
      <alignment horizontal="right"/>
    </xf>
    <xf numFmtId="168" fontId="13" fillId="0" borderId="1" xfId="6" applyNumberFormat="1" applyFont="1" applyFill="1" applyBorder="1" applyAlignment="1">
      <alignment horizontal="right"/>
    </xf>
    <xf numFmtId="167" fontId="13" fillId="0" borderId="1" xfId="6" applyNumberFormat="1" applyFont="1" applyBorder="1" applyAlignment="1">
      <alignment horizontal="right"/>
    </xf>
    <xf numFmtId="0" fontId="17" fillId="5" borderId="19" xfId="0" applyFont="1" applyFill="1" applyBorder="1" applyAlignment="1">
      <alignment horizontal="center" wrapText="1"/>
    </xf>
    <xf numFmtId="0" fontId="12" fillId="0" borderId="1" xfId="0" applyNumberFormat="1" applyFont="1" applyBorder="1" applyAlignment="1">
      <alignment horizontal="center" wrapText="1"/>
    </xf>
    <xf numFmtId="172" fontId="13" fillId="0" borderId="1" xfId="1" applyNumberFormat="1" applyFont="1" applyFill="1" applyBorder="1" applyAlignment="1"/>
    <xf numFmtId="172" fontId="12" fillId="0" borderId="1" xfId="1" applyNumberFormat="1" applyFont="1" applyFill="1" applyBorder="1" applyAlignment="1"/>
    <xf numFmtId="0" fontId="12" fillId="0" borderId="1" xfId="0" applyFont="1" applyFill="1" applyBorder="1"/>
    <xf numFmtId="172" fontId="12" fillId="0" borderId="1" xfId="1" applyNumberFormat="1" applyFont="1" applyFill="1" applyBorder="1"/>
    <xf numFmtId="172" fontId="12" fillId="0" borderId="1" xfId="1" applyNumberFormat="1" applyFont="1" applyBorder="1" applyAlignment="1">
      <alignment horizontal="left" indent="2"/>
    </xf>
    <xf numFmtId="0" fontId="17" fillId="8" borderId="1" xfId="0" applyFont="1" applyFill="1" applyBorder="1" applyAlignment="1">
      <alignment horizontal="center"/>
    </xf>
    <xf numFmtId="0" fontId="13" fillId="0" borderId="1" xfId="0" applyFont="1" applyBorder="1"/>
    <xf numFmtId="0" fontId="12" fillId="0" borderId="1" xfId="0" applyFont="1" applyFill="1" applyBorder="1" applyAlignment="1">
      <alignment horizontal="center" vertical="center" wrapText="1"/>
    </xf>
    <xf numFmtId="44" fontId="12" fillId="0" borderId="1" xfId="3" applyFont="1" applyBorder="1" applyAlignment="1">
      <alignment horizontal="center" vertical="center" wrapText="1"/>
    </xf>
    <xf numFmtId="44" fontId="12" fillId="0" borderId="1" xfId="3" applyFont="1" applyFill="1" applyBorder="1" applyAlignment="1">
      <alignment horizontal="center" vertical="center" wrapText="1"/>
    </xf>
    <xf numFmtId="0" fontId="12" fillId="0" borderId="1" xfId="0" applyFont="1" applyBorder="1" applyAlignment="1">
      <alignment horizontal="center" vertical="center"/>
    </xf>
    <xf numFmtId="164" fontId="13" fillId="0" borderId="2" xfId="0" applyNumberFormat="1" applyFont="1" applyFill="1" applyBorder="1" applyAlignment="1">
      <alignment horizontal="right" vertical="center"/>
    </xf>
    <xf numFmtId="164" fontId="13" fillId="0" borderId="24" xfId="0" applyNumberFormat="1" applyFont="1" applyFill="1" applyBorder="1" applyAlignment="1">
      <alignment horizontal="right" vertical="center"/>
    </xf>
    <xf numFmtId="164" fontId="13" fillId="0" borderId="18" xfId="0" applyNumberFormat="1" applyFont="1" applyFill="1" applyBorder="1" applyAlignment="1">
      <alignment horizontal="right" vertical="center"/>
    </xf>
    <xf numFmtId="0" fontId="12" fillId="0" borderId="1" xfId="0" applyNumberFormat="1" applyFont="1" applyFill="1" applyBorder="1" applyAlignment="1">
      <alignment horizontal="center" vertical="center" wrapText="1"/>
    </xf>
    <xf numFmtId="164" fontId="13" fillId="0" borderId="27" xfId="0" applyNumberFormat="1" applyFont="1" applyBorder="1" applyAlignment="1">
      <alignment horizontal="right"/>
    </xf>
    <xf numFmtId="0" fontId="12" fillId="0" borderId="1" xfId="0" applyFont="1" applyFill="1" applyBorder="1" applyAlignment="1">
      <alignment horizontal="center" vertical="center"/>
    </xf>
    <xf numFmtId="0" fontId="12" fillId="0" borderId="5" xfId="0" applyFont="1" applyBorder="1" applyAlignment="1">
      <alignment horizontal="center" vertical="center" wrapText="1"/>
    </xf>
    <xf numFmtId="0" fontId="12" fillId="0" borderId="6" xfId="0" applyFont="1" applyFill="1" applyBorder="1" applyAlignment="1">
      <alignment horizontal="center" vertical="center" wrapText="1"/>
    </xf>
    <xf numFmtId="0" fontId="19" fillId="0" borderId="0" xfId="0" applyFont="1" applyFill="1" applyBorder="1" applyAlignment="1">
      <alignment horizontal="left" vertical="center" wrapText="1"/>
    </xf>
    <xf numFmtId="43" fontId="16" fillId="0" borderId="0" xfId="0" applyNumberFormat="1" applyFont="1"/>
    <xf numFmtId="165" fontId="13" fillId="0" borderId="29" xfId="0" applyNumberFormat="1" applyFont="1" applyBorder="1" applyAlignment="1">
      <alignment horizontal="right"/>
    </xf>
    <xf numFmtId="164" fontId="13" fillId="0" borderId="31" xfId="0" applyNumberFormat="1" applyFont="1" applyBorder="1" applyAlignment="1">
      <alignment horizontal="right"/>
    </xf>
    <xf numFmtId="0" fontId="13" fillId="0" borderId="33" xfId="0" applyFont="1" applyBorder="1" applyAlignment="1">
      <alignment horizontal="right" vertical="center"/>
    </xf>
    <xf numFmtId="0" fontId="13" fillId="0" borderId="0" xfId="0" applyNumberFormat="1" applyFont="1" applyFill="1" applyBorder="1" applyAlignment="1">
      <alignment horizontal="left" wrapText="1"/>
    </xf>
    <xf numFmtId="0" fontId="18" fillId="0" borderId="0" xfId="0" applyFont="1" applyFill="1" applyAlignment="1">
      <alignment wrapText="1"/>
    </xf>
    <xf numFmtId="0" fontId="18" fillId="0" borderId="0" xfId="0" applyFont="1" applyFill="1"/>
    <xf numFmtId="0" fontId="13" fillId="0" borderId="0" xfId="0" applyFont="1" applyFill="1"/>
    <xf numFmtId="0" fontId="12" fillId="0" borderId="35"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17" xfId="0" applyFont="1" applyFill="1" applyBorder="1" applyAlignment="1">
      <alignment horizontal="center" vertical="center" wrapText="1"/>
    </xf>
    <xf numFmtId="0" fontId="13" fillId="0" borderId="18" xfId="0" applyFont="1" applyFill="1" applyBorder="1" applyAlignment="1">
      <alignment horizontal="left" vertical="center" wrapText="1"/>
    </xf>
    <xf numFmtId="164" fontId="13" fillId="0" borderId="1" xfId="1" applyNumberFormat="1" applyFont="1" applyBorder="1" applyAlignment="1">
      <alignment horizontal="right"/>
    </xf>
    <xf numFmtId="164" fontId="11" fillId="0" borderId="0" xfId="0" applyNumberFormat="1" applyFont="1" applyBorder="1" applyAlignment="1">
      <alignment horizontal="center" vertical="center" wrapText="1"/>
    </xf>
    <xf numFmtId="165" fontId="7" fillId="0" borderId="0" xfId="0" applyNumberFormat="1" applyFont="1" applyBorder="1" applyAlignment="1">
      <alignment horizontal="center"/>
    </xf>
    <xf numFmtId="0" fontId="4" fillId="0" borderId="0" xfId="0" applyFont="1" applyBorder="1" applyAlignment="1">
      <alignment horizontal="center"/>
    </xf>
    <xf numFmtId="0" fontId="6" fillId="0" borderId="0" xfId="0" applyFont="1" applyFill="1" applyBorder="1" applyAlignment="1">
      <alignment horizontal="center" wrapText="1"/>
    </xf>
    <xf numFmtId="0" fontId="13" fillId="0" borderId="0" xfId="0" applyNumberFormat="1" applyFont="1" applyFill="1" applyBorder="1" applyAlignment="1">
      <alignment horizontal="left"/>
    </xf>
    <xf numFmtId="0" fontId="13" fillId="0" borderId="0" xfId="0" applyNumberFormat="1" applyFont="1" applyFill="1" applyBorder="1" applyAlignment="1">
      <alignment horizontal="left" vertical="center" wrapText="1"/>
    </xf>
    <xf numFmtId="0" fontId="13" fillId="0" borderId="22" xfId="0" applyFont="1" applyFill="1" applyBorder="1" applyAlignment="1">
      <alignment horizontal="left"/>
    </xf>
    <xf numFmtId="164" fontId="13" fillId="0" borderId="1" xfId="1" applyNumberFormat="1" applyFont="1" applyFill="1" applyBorder="1" applyAlignment="1">
      <alignment horizontal="right"/>
    </xf>
    <xf numFmtId="0" fontId="13" fillId="0" borderId="23" xfId="0" applyFont="1" applyFill="1" applyBorder="1"/>
    <xf numFmtId="0" fontId="25" fillId="0" borderId="0" xfId="0" applyFont="1" applyFill="1" applyBorder="1" applyAlignment="1">
      <alignment horizontal="center" vertical="center"/>
    </xf>
    <xf numFmtId="0" fontId="13" fillId="0" borderId="0" xfId="0" applyNumberFormat="1" applyFont="1" applyFill="1" applyBorder="1" applyAlignment="1">
      <alignment horizontal="left" vertical="center"/>
    </xf>
    <xf numFmtId="0" fontId="12" fillId="0" borderId="1" xfId="0" applyFont="1" applyBorder="1" applyAlignment="1">
      <alignment horizontal="right"/>
    </xf>
    <xf numFmtId="164" fontId="26" fillId="0" borderId="0" xfId="0" applyNumberFormat="1" applyFont="1" applyBorder="1" applyAlignment="1">
      <alignment horizontal="center"/>
    </xf>
    <xf numFmtId="0" fontId="12" fillId="0" borderId="0" xfId="0" applyFont="1" applyBorder="1" applyAlignment="1">
      <alignment horizontal="right"/>
    </xf>
    <xf numFmtId="169" fontId="12" fillId="0" borderId="0" xfId="0" applyNumberFormat="1" applyFont="1" applyBorder="1" applyAlignment="1">
      <alignment horizontal="right"/>
    </xf>
    <xf numFmtId="0" fontId="23" fillId="0" borderId="0" xfId="0" applyFont="1" applyFill="1" applyBorder="1" applyAlignment="1">
      <alignment horizontal="left" vertical="center" wrapText="1"/>
    </xf>
    <xf numFmtId="0" fontId="13" fillId="0" borderId="10" xfId="0" applyFont="1" applyFill="1" applyBorder="1" applyAlignment="1">
      <alignment horizontal="left"/>
    </xf>
    <xf numFmtId="164" fontId="13" fillId="0" borderId="19" xfId="1" applyNumberFormat="1" applyFont="1" applyBorder="1"/>
    <xf numFmtId="3" fontId="13" fillId="0" borderId="19" xfId="0" applyNumberFormat="1" applyFont="1" applyBorder="1" applyAlignment="1">
      <alignment horizontal="right"/>
    </xf>
    <xf numFmtId="0" fontId="13" fillId="0" borderId="51" xfId="0" applyFont="1" applyFill="1" applyBorder="1" applyAlignment="1">
      <alignment horizontal="left"/>
    </xf>
    <xf numFmtId="164" fontId="13" fillId="0" borderId="52" xfId="1" applyNumberFormat="1" applyFont="1" applyBorder="1"/>
    <xf numFmtId="169" fontId="13" fillId="0" borderId="52" xfId="0" applyNumberFormat="1" applyFont="1" applyBorder="1" applyAlignment="1">
      <alignment horizontal="right"/>
    </xf>
    <xf numFmtId="165" fontId="4" fillId="0" borderId="0" xfId="0" applyNumberFormat="1" applyFont="1"/>
    <xf numFmtId="10" fontId="13" fillId="0" borderId="1" xfId="8" applyNumberFormat="1" applyFont="1" applyFill="1" applyBorder="1" applyAlignment="1">
      <alignment horizontal="right"/>
    </xf>
    <xf numFmtId="0" fontId="12" fillId="0" borderId="0" xfId="0" applyFont="1" applyFill="1" applyBorder="1" applyAlignment="1">
      <alignment horizontal="center" vertical="center" wrapText="1"/>
    </xf>
    <xf numFmtId="164" fontId="12" fillId="0" borderId="0" xfId="0" applyNumberFormat="1" applyFont="1" applyBorder="1" applyAlignment="1">
      <alignment horizontal="center" vertical="center" wrapText="1"/>
    </xf>
    <xf numFmtId="0" fontId="18" fillId="0" borderId="0" xfId="0" applyFont="1"/>
    <xf numFmtId="0" fontId="18" fillId="0" borderId="0" xfId="0" applyFont="1" applyBorder="1" applyAlignment="1">
      <alignment horizontal="center" vertical="center"/>
    </xf>
    <xf numFmtId="164" fontId="13" fillId="0" borderId="0" xfId="0" applyNumberFormat="1" applyFont="1" applyFill="1" applyBorder="1"/>
    <xf numFmtId="43" fontId="0" fillId="0" borderId="0" xfId="0" applyNumberFormat="1"/>
    <xf numFmtId="164" fontId="26" fillId="0" borderId="0" xfId="0" applyNumberFormat="1" applyFont="1" applyFill="1" applyBorder="1" applyAlignment="1">
      <alignment horizontal="left"/>
    </xf>
    <xf numFmtId="165" fontId="13" fillId="0" borderId="1" xfId="0" applyNumberFormat="1" applyFont="1" applyFill="1" applyBorder="1"/>
    <xf numFmtId="165" fontId="12" fillId="0" borderId="1" xfId="0" applyNumberFormat="1" applyFont="1" applyFill="1" applyBorder="1" applyAlignment="1">
      <alignment horizontal="right"/>
    </xf>
    <xf numFmtId="0" fontId="4" fillId="0" borderId="0" xfId="0" applyFont="1" applyFill="1" applyBorder="1" applyAlignment="1">
      <alignment horizontal="center"/>
    </xf>
    <xf numFmtId="165" fontId="13" fillId="0" borderId="0" xfId="0" applyNumberFormat="1" applyFont="1" applyFill="1" applyBorder="1"/>
    <xf numFmtId="165" fontId="16" fillId="0" borderId="0" xfId="0" applyNumberFormat="1" applyFont="1" applyBorder="1" applyAlignment="1">
      <alignment horizontal="right"/>
    </xf>
    <xf numFmtId="2" fontId="18" fillId="0" borderId="0" xfId="0" applyNumberFormat="1" applyFont="1" applyBorder="1" applyAlignment="1"/>
    <xf numFmtId="0" fontId="10" fillId="0" borderId="0" xfId="0" applyFont="1" applyBorder="1"/>
    <xf numFmtId="0" fontId="4" fillId="0" borderId="0" xfId="0" applyFont="1" applyBorder="1" applyAlignment="1">
      <alignment horizontal="center" vertical="center" wrapText="1"/>
    </xf>
    <xf numFmtId="0" fontId="12" fillId="0" borderId="0" xfId="0" applyFont="1" applyBorder="1" applyAlignment="1">
      <alignment horizontal="center" vertical="center" wrapText="1"/>
    </xf>
    <xf numFmtId="174" fontId="4" fillId="0" borderId="0" xfId="0" applyNumberFormat="1" applyFont="1" applyBorder="1" applyAlignment="1">
      <alignment horizontal="center"/>
    </xf>
    <xf numFmtId="176" fontId="4" fillId="0" borderId="0" xfId="0" applyNumberFormat="1" applyFont="1"/>
    <xf numFmtId="165" fontId="13" fillId="10" borderId="1" xfId="0" applyNumberFormat="1" applyFont="1" applyFill="1" applyBorder="1" applyAlignment="1">
      <alignment horizontal="right"/>
    </xf>
    <xf numFmtId="0" fontId="12" fillId="11" borderId="1" xfId="0" applyNumberFormat="1" applyFont="1" applyFill="1" applyBorder="1" applyAlignment="1">
      <alignment horizontal="center" wrapText="1"/>
    </xf>
    <xf numFmtId="165" fontId="13" fillId="11" borderId="1" xfId="0" applyNumberFormat="1" applyFont="1" applyFill="1" applyBorder="1" applyAlignment="1">
      <alignment horizontal="right"/>
    </xf>
    <xf numFmtId="172" fontId="13" fillId="0" borderId="1" xfId="1" applyNumberFormat="1" applyFont="1" applyBorder="1" applyAlignment="1"/>
    <xf numFmtId="44" fontId="16" fillId="0" borderId="48" xfId="3" applyFont="1" applyFill="1" applyBorder="1" applyAlignment="1">
      <alignment horizontal="center" vertical="center" wrapText="1"/>
    </xf>
    <xf numFmtId="177" fontId="4" fillId="0" borderId="0" xfId="0" applyNumberFormat="1" applyFont="1"/>
    <xf numFmtId="0" fontId="12" fillId="0" borderId="23" xfId="0" applyFont="1" applyBorder="1" applyAlignment="1">
      <alignment horizontal="center" vertical="center" wrapText="1"/>
    </xf>
    <xf numFmtId="169" fontId="13" fillId="0" borderId="23" xfId="0" applyNumberFormat="1" applyFont="1" applyBorder="1" applyAlignment="1">
      <alignment horizontal="right"/>
    </xf>
    <xf numFmtId="169" fontId="12" fillId="0" borderId="23" xfId="0" applyNumberFormat="1" applyFont="1" applyBorder="1" applyAlignment="1">
      <alignment horizontal="right"/>
    </xf>
    <xf numFmtId="10" fontId="28" fillId="0" borderId="0" xfId="0" applyNumberFormat="1" applyFont="1" applyFill="1" applyBorder="1" applyAlignment="1">
      <alignment horizontal="center" vertical="center"/>
    </xf>
    <xf numFmtId="44" fontId="27" fillId="0" borderId="0" xfId="5" applyNumberFormat="1" applyFont="1" applyFill="1" applyBorder="1" applyAlignment="1">
      <alignment horizontal="center"/>
    </xf>
    <xf numFmtId="10" fontId="27" fillId="0" borderId="0" xfId="7" applyNumberFormat="1" applyFont="1" applyFill="1" applyBorder="1" applyAlignment="1">
      <alignment horizontal="center"/>
    </xf>
    <xf numFmtId="10" fontId="28" fillId="0" borderId="0" xfId="7" applyNumberFormat="1" applyFont="1" applyFill="1" applyBorder="1" applyAlignment="1">
      <alignment horizontal="center"/>
    </xf>
    <xf numFmtId="0" fontId="13" fillId="0" borderId="0" xfId="0" applyFont="1" applyFill="1" applyBorder="1" applyAlignment="1">
      <alignment horizontal="center"/>
    </xf>
    <xf numFmtId="178" fontId="4" fillId="0" borderId="0" xfId="0" applyNumberFormat="1" applyFont="1"/>
    <xf numFmtId="165" fontId="13" fillId="0" borderId="0" xfId="3" applyNumberFormat="1" applyFont="1" applyFill="1" applyBorder="1" applyAlignment="1">
      <alignment horizontal="right"/>
    </xf>
    <xf numFmtId="165" fontId="13" fillId="0" borderId="0" xfId="1" applyNumberFormat="1" applyFont="1" applyFill="1" applyBorder="1" applyAlignment="1">
      <alignment horizontal="right"/>
    </xf>
    <xf numFmtId="164" fontId="12" fillId="0" borderId="0" xfId="0" applyNumberFormat="1" applyFont="1" applyBorder="1" applyAlignment="1">
      <alignment horizontal="center"/>
    </xf>
    <xf numFmtId="164" fontId="13" fillId="0" borderId="1" xfId="0" applyNumberFormat="1" applyFont="1" applyFill="1" applyBorder="1"/>
    <xf numFmtId="164" fontId="12" fillId="0" borderId="1" xfId="0" applyNumberFormat="1" applyFont="1" applyFill="1" applyBorder="1"/>
    <xf numFmtId="0" fontId="17" fillId="7" borderId="19" xfId="0" applyFont="1" applyFill="1" applyBorder="1" applyAlignment="1">
      <alignment horizontal="center" vertical="center" wrapText="1"/>
    </xf>
    <xf numFmtId="165" fontId="12" fillId="0" borderId="15" xfId="0" applyNumberFormat="1" applyFont="1" applyBorder="1" applyAlignment="1">
      <alignment horizontal="center" vertical="center"/>
    </xf>
    <xf numFmtId="0" fontId="12" fillId="0" borderId="38" xfId="0" applyFont="1" applyFill="1" applyBorder="1" applyAlignment="1">
      <alignment horizontal="center" vertical="center" wrapText="1"/>
    </xf>
    <xf numFmtId="164" fontId="12" fillId="0" borderId="57" xfId="0" applyNumberFormat="1" applyFont="1" applyBorder="1" applyAlignment="1">
      <alignment horizontal="center" vertical="center" wrapText="1"/>
    </xf>
    <xf numFmtId="165" fontId="12" fillId="0" borderId="57" xfId="0" applyNumberFormat="1" applyFont="1" applyBorder="1" applyAlignment="1">
      <alignment horizontal="center" vertical="center" wrapText="1"/>
    </xf>
    <xf numFmtId="0" fontId="12" fillId="0" borderId="58" xfId="0" applyFont="1" applyBorder="1" applyAlignment="1">
      <alignment horizontal="center" vertical="center" wrapText="1"/>
    </xf>
    <xf numFmtId="164" fontId="12" fillId="0" borderId="51" xfId="0" applyNumberFormat="1" applyFont="1" applyBorder="1" applyAlignment="1">
      <alignment horizontal="right"/>
    </xf>
    <xf numFmtId="164" fontId="12" fillId="0" borderId="52" xfId="0" applyNumberFormat="1" applyFont="1" applyBorder="1" applyAlignment="1">
      <alignment horizontal="right"/>
    </xf>
    <xf numFmtId="165" fontId="12" fillId="0" borderId="53" xfId="0" applyNumberFormat="1" applyFont="1" applyBorder="1" applyAlignment="1">
      <alignment horizontal="right"/>
    </xf>
    <xf numFmtId="164" fontId="13" fillId="0" borderId="5" xfId="0" applyNumberFormat="1" applyFont="1" applyBorder="1" applyAlignment="1">
      <alignment horizontal="right"/>
    </xf>
    <xf numFmtId="164" fontId="13" fillId="0" borderId="6" xfId="0" applyNumberFormat="1" applyFont="1" applyBorder="1" applyAlignment="1">
      <alignment horizontal="right"/>
    </xf>
    <xf numFmtId="165" fontId="13" fillId="0" borderId="7" xfId="0" applyNumberFormat="1" applyFont="1" applyBorder="1"/>
    <xf numFmtId="164" fontId="13" fillId="0" borderId="9" xfId="0" applyNumberFormat="1" applyFont="1" applyBorder="1" applyAlignment="1">
      <alignment horizontal="right"/>
    </xf>
    <xf numFmtId="164" fontId="13" fillId="0" borderId="8" xfId="0" applyNumberFormat="1" applyFont="1" applyBorder="1" applyAlignment="1">
      <alignment horizontal="right"/>
    </xf>
    <xf numFmtId="165" fontId="13" fillId="0" borderId="4" xfId="0" applyNumberFormat="1" applyFont="1" applyBorder="1"/>
    <xf numFmtId="0" fontId="12" fillId="0" borderId="38" xfId="0" applyNumberFormat="1" applyFont="1" applyFill="1" applyBorder="1" applyAlignment="1">
      <alignment horizontal="center" vertical="center" wrapText="1"/>
    </xf>
    <xf numFmtId="0" fontId="13" fillId="0" borderId="36" xfId="5" applyFont="1" applyFill="1" applyBorder="1" applyAlignment="1">
      <alignment horizontal="left"/>
    </xf>
    <xf numFmtId="0" fontId="13" fillId="0" borderId="24" xfId="5" applyFont="1" applyFill="1" applyBorder="1" applyAlignment="1">
      <alignment horizontal="left"/>
    </xf>
    <xf numFmtId="0" fontId="13" fillId="0" borderId="25" xfId="5" applyFont="1" applyFill="1" applyBorder="1" applyAlignment="1">
      <alignment horizontal="left"/>
    </xf>
    <xf numFmtId="164" fontId="12" fillId="0" borderId="21" xfId="0" applyNumberFormat="1" applyFont="1" applyBorder="1" applyAlignment="1">
      <alignment horizontal="center" vertical="center" wrapText="1"/>
    </xf>
    <xf numFmtId="165" fontId="13" fillId="0" borderId="7" xfId="0" applyNumberFormat="1" applyFont="1" applyBorder="1" applyAlignment="1">
      <alignment horizontal="right"/>
    </xf>
    <xf numFmtId="165" fontId="13" fillId="0" borderId="4" xfId="0" applyNumberFormat="1" applyFont="1" applyBorder="1" applyAlignment="1">
      <alignment horizontal="right"/>
    </xf>
    <xf numFmtId="164" fontId="12" fillId="0" borderId="14" xfId="0" applyNumberFormat="1" applyFont="1" applyBorder="1" applyAlignment="1">
      <alignment horizontal="right"/>
    </xf>
    <xf numFmtId="165" fontId="12" fillId="0" borderId="13" xfId="0" applyNumberFormat="1" applyFont="1" applyBorder="1" applyAlignment="1">
      <alignment horizontal="right"/>
    </xf>
    <xf numFmtId="0" fontId="12" fillId="0" borderId="12" xfId="0" applyFont="1" applyFill="1" applyBorder="1" applyAlignment="1">
      <alignment horizontal="center" vertical="center" wrapText="1"/>
    </xf>
    <xf numFmtId="164" fontId="12" fillId="0" borderId="14" xfId="0" applyNumberFormat="1" applyFont="1" applyBorder="1" applyAlignment="1">
      <alignment horizontal="center" vertical="center" wrapText="1"/>
    </xf>
    <xf numFmtId="0" fontId="12" fillId="0" borderId="13" xfId="0" applyFont="1" applyBorder="1" applyAlignment="1">
      <alignment horizontal="center" vertical="center" wrapText="1"/>
    </xf>
    <xf numFmtId="165" fontId="12" fillId="0" borderId="21" xfId="0" applyNumberFormat="1" applyFont="1" applyBorder="1" applyAlignment="1">
      <alignment horizontal="center" vertical="center" wrapText="1"/>
    </xf>
    <xf numFmtId="0" fontId="12" fillId="0" borderId="41" xfId="0" applyFont="1" applyBorder="1" applyAlignment="1">
      <alignment horizontal="center" vertical="center" wrapText="1"/>
    </xf>
    <xf numFmtId="164" fontId="12" fillId="0" borderId="47" xfId="0" applyNumberFormat="1" applyFont="1" applyBorder="1" applyAlignment="1">
      <alignment horizontal="right"/>
    </xf>
    <xf numFmtId="165" fontId="12" fillId="0" borderId="44" xfId="0" applyNumberFormat="1" applyFont="1" applyBorder="1" applyAlignment="1">
      <alignment horizontal="right"/>
    </xf>
    <xf numFmtId="165" fontId="13" fillId="0" borderId="60" xfId="0" applyNumberFormat="1" applyFont="1" applyBorder="1" applyAlignment="1">
      <alignment horizontal="right"/>
    </xf>
    <xf numFmtId="165" fontId="13" fillId="0" borderId="30" xfId="0" applyNumberFormat="1" applyFont="1" applyBorder="1" applyAlignment="1">
      <alignment horizontal="right"/>
    </xf>
    <xf numFmtId="165" fontId="12" fillId="0" borderId="55" xfId="0" applyNumberFormat="1" applyFont="1" applyBorder="1" applyAlignment="1">
      <alignment horizontal="center" vertical="center"/>
    </xf>
    <xf numFmtId="0" fontId="12" fillId="0" borderId="61" xfId="0" applyFont="1" applyFill="1" applyBorder="1" applyAlignment="1">
      <alignment horizontal="center" vertical="center" wrapText="1"/>
    </xf>
    <xf numFmtId="164" fontId="12" fillId="0" borderId="19" xfId="0" applyNumberFormat="1" applyFont="1" applyBorder="1" applyAlignment="1">
      <alignment horizontal="center" vertical="center" wrapText="1"/>
    </xf>
    <xf numFmtId="0" fontId="12" fillId="0" borderId="33" xfId="0" applyFont="1" applyFill="1" applyBorder="1" applyAlignment="1">
      <alignment horizontal="center" vertical="center" wrapText="1"/>
    </xf>
    <xf numFmtId="0" fontId="12" fillId="0" borderId="48" xfId="0" applyFont="1" applyBorder="1" applyAlignment="1">
      <alignment horizontal="center" vertical="center" wrapText="1"/>
    </xf>
    <xf numFmtId="165" fontId="12" fillId="0" borderId="59" xfId="0" applyNumberFormat="1" applyFont="1" applyBorder="1" applyAlignment="1">
      <alignment horizontal="right"/>
    </xf>
    <xf numFmtId="164" fontId="12" fillId="0" borderId="56" xfId="0" applyNumberFormat="1" applyFont="1" applyBorder="1" applyAlignment="1">
      <alignment horizontal="center" vertical="center" wrapText="1"/>
    </xf>
    <xf numFmtId="0" fontId="12" fillId="0" borderId="34" xfId="0" applyFont="1" applyBorder="1" applyAlignment="1">
      <alignment horizontal="center" vertical="center" wrapText="1"/>
    </xf>
    <xf numFmtId="164" fontId="13" fillId="0" borderId="62" xfId="0" applyNumberFormat="1" applyFont="1" applyBorder="1" applyAlignment="1">
      <alignment horizontal="right"/>
    </xf>
    <xf numFmtId="164" fontId="13" fillId="0" borderId="63" xfId="0" applyNumberFormat="1" applyFont="1" applyBorder="1" applyAlignment="1">
      <alignment horizontal="right"/>
    </xf>
    <xf numFmtId="164" fontId="13" fillId="0" borderId="28" xfId="0" applyNumberFormat="1" applyFont="1" applyBorder="1" applyAlignment="1">
      <alignment horizontal="right"/>
    </xf>
    <xf numFmtId="164" fontId="13" fillId="0" borderId="64" xfId="0" applyNumberFormat="1" applyFont="1" applyBorder="1" applyAlignment="1">
      <alignment horizontal="right"/>
    </xf>
    <xf numFmtId="165" fontId="0" fillId="0" borderId="0" xfId="0" applyNumberFormat="1"/>
    <xf numFmtId="178" fontId="0" fillId="0" borderId="0" xfId="0" applyNumberFormat="1"/>
    <xf numFmtId="2" fontId="13" fillId="0" borderId="0" xfId="0" applyNumberFormat="1" applyFont="1" applyBorder="1"/>
    <xf numFmtId="0" fontId="12" fillId="10" borderId="6" xfId="0" applyNumberFormat="1" applyFont="1" applyFill="1" applyBorder="1" applyAlignment="1">
      <alignment horizontal="center" wrapText="1"/>
    </xf>
    <xf numFmtId="0" fontId="12" fillId="10" borderId="7" xfId="0" applyNumberFormat="1" applyFont="1" applyFill="1" applyBorder="1" applyAlignment="1">
      <alignment horizontal="center" wrapText="1"/>
    </xf>
    <xf numFmtId="165" fontId="13" fillId="10" borderId="3" xfId="0" applyNumberFormat="1" applyFont="1" applyFill="1" applyBorder="1" applyAlignment="1">
      <alignment horizontal="right"/>
    </xf>
    <xf numFmtId="165" fontId="13" fillId="10" borderId="19" xfId="0" applyNumberFormat="1" applyFont="1" applyFill="1" applyBorder="1" applyAlignment="1">
      <alignment horizontal="right"/>
    </xf>
    <xf numFmtId="165" fontId="13" fillId="10" borderId="11" xfId="0" applyNumberFormat="1" applyFont="1" applyFill="1" applyBorder="1" applyAlignment="1">
      <alignment horizontal="right"/>
    </xf>
    <xf numFmtId="0" fontId="12" fillId="12" borderId="7" xfId="0" applyFont="1" applyFill="1" applyBorder="1" applyAlignment="1">
      <alignment horizontal="center" vertical="center" wrapText="1"/>
    </xf>
    <xf numFmtId="164" fontId="13" fillId="12" borderId="3" xfId="1" applyNumberFormat="1" applyFont="1" applyFill="1" applyBorder="1" applyAlignment="1">
      <alignment horizontal="right"/>
    </xf>
    <xf numFmtId="164" fontId="13" fillId="12" borderId="11" xfId="1" applyNumberFormat="1" applyFont="1" applyFill="1" applyBorder="1" applyAlignment="1">
      <alignment horizontal="right"/>
    </xf>
    <xf numFmtId="164" fontId="13" fillId="12" borderId="53" xfId="1" applyNumberFormat="1" applyFont="1" applyFill="1" applyBorder="1" applyAlignment="1">
      <alignment horizontal="right"/>
    </xf>
    <xf numFmtId="0" fontId="12" fillId="12" borderId="37" xfId="0" applyFont="1" applyFill="1" applyBorder="1" applyAlignment="1">
      <alignment horizontal="right" vertical="center" wrapText="1"/>
    </xf>
    <xf numFmtId="164" fontId="12" fillId="12" borderId="9" xfId="0" applyNumberFormat="1" applyFont="1" applyFill="1" applyBorder="1" applyAlignment="1">
      <alignment horizontal="right" vertical="center"/>
    </xf>
    <xf numFmtId="164" fontId="12" fillId="12" borderId="25" xfId="0" applyNumberFormat="1" applyFont="1" applyFill="1" applyBorder="1" applyAlignment="1">
      <alignment horizontal="right" vertical="center"/>
    </xf>
    <xf numFmtId="0" fontId="12" fillId="0" borderId="35" xfId="0" applyFont="1" applyBorder="1" applyAlignment="1">
      <alignment horizontal="center" vertical="center"/>
    </xf>
    <xf numFmtId="0" fontId="12" fillId="0" borderId="57" xfId="0" applyFont="1" applyBorder="1" applyAlignment="1">
      <alignment horizontal="center" wrapText="1"/>
    </xf>
    <xf numFmtId="0" fontId="12" fillId="0" borderId="58" xfId="0" applyFont="1" applyBorder="1" applyAlignment="1">
      <alignment horizontal="center" wrapText="1"/>
    </xf>
    <xf numFmtId="0" fontId="13" fillId="0" borderId="51" xfId="0" applyFont="1" applyFill="1" applyBorder="1"/>
    <xf numFmtId="165" fontId="12" fillId="0" borderId="53" xfId="0" applyNumberFormat="1" applyFont="1" applyBorder="1"/>
    <xf numFmtId="0" fontId="13" fillId="0" borderId="5" xfId="0" applyFont="1" applyBorder="1"/>
    <xf numFmtId="0" fontId="13" fillId="0" borderId="9" xfId="0" applyFont="1" applyBorder="1"/>
    <xf numFmtId="0" fontId="13" fillId="0" borderId="5" xfId="5" applyFont="1" applyFill="1" applyBorder="1" applyAlignment="1">
      <alignment horizontal="left"/>
    </xf>
    <xf numFmtId="0" fontId="13" fillId="0" borderId="2" xfId="5" applyFont="1" applyFill="1" applyBorder="1" applyAlignment="1">
      <alignment horizontal="left"/>
    </xf>
    <xf numFmtId="0" fontId="13" fillId="0" borderId="9" xfId="5" applyFont="1" applyFill="1" applyBorder="1" applyAlignment="1">
      <alignment horizontal="left"/>
    </xf>
    <xf numFmtId="0" fontId="12" fillId="0" borderId="12" xfId="0" applyNumberFormat="1" applyFont="1" applyFill="1" applyBorder="1" applyAlignment="1">
      <alignment horizontal="center" vertical="center" wrapText="1"/>
    </xf>
    <xf numFmtId="0" fontId="12" fillId="0" borderId="14" xfId="0" applyFont="1" applyFill="1" applyBorder="1" applyAlignment="1">
      <alignment horizontal="center" vertical="center" wrapText="1"/>
    </xf>
    <xf numFmtId="164" fontId="12" fillId="0" borderId="14" xfId="0" applyNumberFormat="1" applyFont="1" applyFill="1" applyBorder="1" applyAlignment="1">
      <alignment horizontal="center" vertical="center" wrapText="1"/>
    </xf>
    <xf numFmtId="0" fontId="19" fillId="0" borderId="0" xfId="0" applyFont="1" applyFill="1" applyBorder="1" applyAlignment="1">
      <alignment horizontal="left" vertical="center"/>
    </xf>
    <xf numFmtId="10" fontId="12" fillId="0" borderId="12" xfId="0" applyNumberFormat="1" applyFont="1" applyBorder="1" applyAlignment="1">
      <alignment horizontal="right"/>
    </xf>
    <xf numFmtId="10" fontId="12" fillId="0" borderId="14" xfId="0" applyNumberFormat="1" applyFont="1" applyBorder="1" applyAlignment="1">
      <alignment horizontal="right"/>
    </xf>
    <xf numFmtId="0" fontId="19" fillId="0" borderId="48" xfId="0" applyFont="1" applyFill="1" applyBorder="1" applyAlignment="1">
      <alignment horizontal="left" vertical="center"/>
    </xf>
    <xf numFmtId="0" fontId="13" fillId="0" borderId="15" xfId="0" applyFont="1" applyBorder="1" applyAlignment="1">
      <alignment horizontal="center"/>
    </xf>
    <xf numFmtId="0" fontId="12" fillId="0" borderId="35" xfId="0" applyFont="1" applyFill="1" applyBorder="1" applyAlignment="1">
      <alignment horizontal="center" wrapText="1"/>
    </xf>
    <xf numFmtId="0" fontId="12" fillId="0" borderId="20" xfId="0" applyFont="1" applyFill="1" applyBorder="1" applyAlignment="1">
      <alignment horizontal="center" wrapText="1"/>
    </xf>
    <xf numFmtId="164" fontId="13" fillId="0" borderId="66" xfId="0" applyNumberFormat="1" applyFont="1" applyFill="1" applyBorder="1" applyAlignment="1">
      <alignment horizontal="right" vertical="center"/>
    </xf>
    <xf numFmtId="0" fontId="13" fillId="0" borderId="5" xfId="0" applyFont="1" applyBorder="1" applyAlignment="1">
      <alignment vertical="center"/>
    </xf>
    <xf numFmtId="0" fontId="13" fillId="0" borderId="36" xfId="0" applyFont="1" applyBorder="1" applyAlignment="1">
      <alignment vertical="center"/>
    </xf>
    <xf numFmtId="164" fontId="12" fillId="12" borderId="25" xfId="0" applyNumberFormat="1" applyFont="1" applyFill="1" applyBorder="1" applyAlignment="1">
      <alignment vertical="center"/>
    </xf>
    <xf numFmtId="164" fontId="13" fillId="0" borderId="5" xfId="0" applyNumberFormat="1" applyFont="1" applyFill="1" applyBorder="1" applyAlignment="1">
      <alignment horizontal="right" vertical="center"/>
    </xf>
    <xf numFmtId="164" fontId="13" fillId="0" borderId="36" xfId="0" applyNumberFormat="1" applyFont="1" applyFill="1" applyBorder="1" applyAlignment="1">
      <alignment horizontal="right" vertical="center"/>
    </xf>
    <xf numFmtId="0" fontId="13" fillId="0" borderId="33" xfId="0" applyFont="1" applyBorder="1" applyAlignment="1">
      <alignment vertical="top" wrapText="1"/>
    </xf>
    <xf numFmtId="0" fontId="12" fillId="0" borderId="65" xfId="0" applyFont="1" applyBorder="1" applyAlignment="1">
      <alignment horizontal="left" vertical="center" wrapText="1"/>
    </xf>
    <xf numFmtId="0" fontId="13" fillId="0" borderId="67" xfId="0" applyFont="1" applyBorder="1" applyAlignment="1">
      <alignment vertical="center"/>
    </xf>
    <xf numFmtId="164" fontId="12" fillId="0" borderId="5" xfId="0" applyNumberFormat="1" applyFont="1" applyFill="1" applyBorder="1" applyAlignment="1">
      <alignment horizontal="right" vertical="center"/>
    </xf>
    <xf numFmtId="0" fontId="12" fillId="0" borderId="36" xfId="0" applyFont="1" applyFill="1" applyBorder="1" applyAlignment="1">
      <alignment vertical="center"/>
    </xf>
    <xf numFmtId="44" fontId="4" fillId="0" borderId="0" xfId="3" applyFont="1"/>
    <xf numFmtId="44" fontId="4" fillId="0" borderId="0" xfId="0" applyNumberFormat="1" applyFont="1"/>
    <xf numFmtId="43" fontId="13" fillId="0" borderId="0" xfId="1" applyFont="1" applyFill="1" applyBorder="1" applyAlignment="1">
      <alignment horizontal="right"/>
    </xf>
    <xf numFmtId="44" fontId="13" fillId="0" borderId="0" xfId="3" applyFont="1"/>
    <xf numFmtId="44" fontId="13" fillId="0" borderId="0" xfId="0" applyNumberFormat="1" applyFont="1"/>
    <xf numFmtId="175" fontId="13" fillId="3" borderId="1" xfId="0" applyNumberFormat="1" applyFont="1" applyFill="1" applyBorder="1" applyAlignment="1">
      <alignment horizontal="right"/>
    </xf>
    <xf numFmtId="0" fontId="13" fillId="0" borderId="1" xfId="0" applyFont="1" applyBorder="1" applyAlignment="1">
      <alignment horizontal="left"/>
    </xf>
    <xf numFmtId="43" fontId="13" fillId="0" borderId="0" xfId="1" applyFont="1" applyBorder="1"/>
    <xf numFmtId="169" fontId="13" fillId="0" borderId="0" xfId="0" applyNumberFormat="1" applyFont="1" applyFill="1" applyBorder="1"/>
    <xf numFmtId="44" fontId="4" fillId="0" borderId="0" xfId="3" applyFont="1" applyBorder="1"/>
    <xf numFmtId="44" fontId="4" fillId="0" borderId="0" xfId="0" applyNumberFormat="1" applyFont="1" applyBorder="1"/>
    <xf numFmtId="43" fontId="18" fillId="0" borderId="0" xfId="0" applyNumberFormat="1" applyFont="1"/>
    <xf numFmtId="0" fontId="1" fillId="0" borderId="0" xfId="0" applyFont="1"/>
    <xf numFmtId="0" fontId="13" fillId="0" borderId="61" xfId="0" applyFont="1" applyFill="1" applyBorder="1" applyAlignment="1">
      <alignment horizontal="left" vertical="center" wrapText="1"/>
    </xf>
    <xf numFmtId="164" fontId="13" fillId="0" borderId="10" xfId="0" applyNumberFormat="1" applyFont="1" applyFill="1" applyBorder="1" applyAlignment="1">
      <alignment horizontal="right" vertical="center"/>
    </xf>
    <xf numFmtId="164" fontId="13" fillId="0" borderId="61" xfId="0" applyNumberFormat="1" applyFont="1" applyFill="1" applyBorder="1" applyAlignment="1">
      <alignment horizontal="right" vertical="center"/>
    </xf>
    <xf numFmtId="164" fontId="13" fillId="0" borderId="68" xfId="0" applyNumberFormat="1" applyFont="1" applyFill="1" applyBorder="1" applyAlignment="1">
      <alignment horizontal="right" vertical="center"/>
    </xf>
    <xf numFmtId="0" fontId="19" fillId="0" borderId="0" xfId="0" applyFont="1" applyFill="1" applyBorder="1" applyAlignment="1">
      <alignment horizontal="left" vertical="center" wrapText="1"/>
    </xf>
    <xf numFmtId="10" fontId="13" fillId="0" borderId="1" xfId="0" applyNumberFormat="1" applyFont="1" applyFill="1" applyBorder="1" applyAlignment="1">
      <alignment horizontal="right" vertical="center"/>
    </xf>
    <xf numFmtId="10" fontId="13" fillId="0" borderId="1" xfId="7" applyNumberFormat="1" applyFont="1" applyFill="1" applyBorder="1" applyAlignment="1">
      <alignment horizontal="right"/>
    </xf>
    <xf numFmtId="164" fontId="12" fillId="0" borderId="69" xfId="0" applyNumberFormat="1" applyFont="1" applyFill="1" applyBorder="1" applyAlignment="1">
      <alignment horizontal="center" vertical="center" wrapText="1"/>
    </xf>
    <xf numFmtId="10" fontId="13" fillId="0" borderId="54" xfId="6" applyNumberFormat="1" applyFont="1" applyFill="1" applyBorder="1" applyAlignment="1">
      <alignment horizontal="right"/>
    </xf>
    <xf numFmtId="10" fontId="13" fillId="0" borderId="23" xfId="6" applyNumberFormat="1" applyFont="1" applyFill="1" applyBorder="1" applyAlignment="1">
      <alignment horizontal="right"/>
    </xf>
    <xf numFmtId="10" fontId="13" fillId="0" borderId="26" xfId="6" applyNumberFormat="1" applyFont="1" applyFill="1" applyBorder="1" applyAlignment="1">
      <alignment horizontal="right"/>
    </xf>
    <xf numFmtId="10" fontId="12" fillId="0" borderId="69" xfId="0" applyNumberFormat="1" applyFont="1" applyBorder="1" applyAlignment="1">
      <alignment horizontal="right"/>
    </xf>
    <xf numFmtId="10" fontId="13" fillId="0" borderId="0" xfId="0" applyNumberFormat="1" applyFont="1" applyFill="1" applyBorder="1" applyAlignment="1">
      <alignment horizontal="right" vertical="center"/>
    </xf>
    <xf numFmtId="10" fontId="13" fillId="0" borderId="0" xfId="8" applyNumberFormat="1" applyFont="1" applyFill="1" applyBorder="1" applyAlignment="1">
      <alignment horizontal="right"/>
    </xf>
    <xf numFmtId="10" fontId="13" fillId="0" borderId="0" xfId="7" applyNumberFormat="1" applyFont="1" applyFill="1" applyBorder="1" applyAlignment="1">
      <alignment horizontal="right"/>
    </xf>
    <xf numFmtId="0" fontId="12" fillId="0" borderId="48" xfId="0" applyNumberFormat="1" applyFont="1" applyFill="1" applyBorder="1" applyAlignment="1">
      <alignment horizontal="center" vertical="center" wrapText="1"/>
    </xf>
    <xf numFmtId="0" fontId="13" fillId="0" borderId="48" xfId="5" applyFont="1" applyFill="1" applyBorder="1" applyAlignment="1">
      <alignment horizontal="left"/>
    </xf>
    <xf numFmtId="0" fontId="13" fillId="0" borderId="48" xfId="0" applyFont="1" applyBorder="1" applyAlignment="1">
      <alignment horizontal="center"/>
    </xf>
    <xf numFmtId="179" fontId="13" fillId="0" borderId="6" xfId="0" applyNumberFormat="1" applyFont="1" applyBorder="1"/>
    <xf numFmtId="179" fontId="13" fillId="0" borderId="1" xfId="0" applyNumberFormat="1" applyFont="1" applyBorder="1"/>
    <xf numFmtId="179" fontId="13" fillId="0" borderId="19" xfId="0" applyNumberFormat="1" applyFont="1" applyBorder="1"/>
    <xf numFmtId="179" fontId="13" fillId="0" borderId="8" xfId="0" applyNumberFormat="1" applyFont="1" applyBorder="1"/>
    <xf numFmtId="179" fontId="12" fillId="0" borderId="52" xfId="0" applyNumberFormat="1" applyFont="1" applyBorder="1"/>
    <xf numFmtId="43" fontId="13" fillId="0" borderId="0" xfId="1" applyFont="1"/>
    <xf numFmtId="164" fontId="1" fillId="0" borderId="0" xfId="0" applyNumberFormat="1" applyFont="1"/>
    <xf numFmtId="164" fontId="13" fillId="0" borderId="0" xfId="3" applyNumberFormat="1" applyFont="1"/>
    <xf numFmtId="164" fontId="13" fillId="0" borderId="0" xfId="0" applyNumberFormat="1" applyFont="1" applyBorder="1" applyAlignment="1"/>
    <xf numFmtId="165" fontId="13" fillId="11" borderId="1" xfId="1" applyNumberFormat="1" applyFont="1" applyFill="1" applyBorder="1" applyAlignment="1">
      <alignment horizontal="right"/>
    </xf>
    <xf numFmtId="164" fontId="13" fillId="0" borderId="1" xfId="1" applyNumberFormat="1" applyFont="1" applyFill="1" applyBorder="1" applyAlignment="1">
      <alignment vertical="center"/>
    </xf>
    <xf numFmtId="164" fontId="13" fillId="0" borderId="52" xfId="1" applyNumberFormat="1" applyFont="1" applyFill="1" applyBorder="1" applyAlignment="1">
      <alignment vertical="center"/>
    </xf>
    <xf numFmtId="0" fontId="1" fillId="0" borderId="0" xfId="0" applyFont="1" applyFill="1" applyBorder="1" applyAlignment="1">
      <alignment horizontal="center"/>
    </xf>
    <xf numFmtId="170" fontId="13" fillId="0" borderId="0" xfId="0" applyNumberFormat="1" applyFont="1" applyBorder="1" applyAlignment="1">
      <alignment horizontal="center"/>
    </xf>
    <xf numFmtId="165" fontId="13" fillId="0" borderId="22" xfId="1" applyNumberFormat="1" applyFont="1" applyBorder="1" applyAlignment="1">
      <alignment horizontal="left"/>
    </xf>
    <xf numFmtId="165" fontId="13" fillId="0" borderId="0" xfId="1" applyNumberFormat="1" applyFont="1" applyBorder="1" applyAlignment="1">
      <alignment horizontal="left"/>
    </xf>
    <xf numFmtId="165" fontId="12" fillId="0" borderId="16" xfId="0" applyNumberFormat="1" applyFont="1" applyBorder="1" applyAlignment="1">
      <alignment horizontal="center" vertical="center" wrapText="1"/>
    </xf>
    <xf numFmtId="165" fontId="12" fillId="0" borderId="32" xfId="0" applyNumberFormat="1" applyFont="1" applyBorder="1" applyAlignment="1">
      <alignment horizontal="center" vertical="center" wrapText="1"/>
    </xf>
    <xf numFmtId="0" fontId="13" fillId="0" borderId="16" xfId="0" applyFont="1" applyBorder="1" applyAlignment="1">
      <alignment horizontal="right" vertical="center" wrapText="1"/>
    </xf>
    <xf numFmtId="165" fontId="1" fillId="0" borderId="0" xfId="0" applyNumberFormat="1" applyFont="1"/>
    <xf numFmtId="164" fontId="13" fillId="0" borderId="57" xfId="0" applyNumberFormat="1" applyFont="1" applyBorder="1" applyAlignment="1">
      <alignment horizontal="right"/>
    </xf>
    <xf numFmtId="164" fontId="13" fillId="0" borderId="52" xfId="0" applyNumberFormat="1" applyFont="1" applyBorder="1" applyAlignment="1">
      <alignment horizontal="right"/>
    </xf>
    <xf numFmtId="0" fontId="15" fillId="0" borderId="0" xfId="0" applyFont="1"/>
    <xf numFmtId="0" fontId="8" fillId="0" borderId="0" xfId="0" applyFont="1" applyFill="1" applyBorder="1" applyAlignment="1">
      <alignment horizontal="center" vertical="center" wrapText="1"/>
    </xf>
    <xf numFmtId="0" fontId="15" fillId="0" borderId="0" xfId="0" applyFont="1" applyBorder="1" applyAlignment="1">
      <alignment vertical="center"/>
    </xf>
    <xf numFmtId="0" fontId="17" fillId="0" borderId="0" xfId="0" applyFont="1" applyBorder="1" applyAlignment="1">
      <alignment vertical="center"/>
    </xf>
    <xf numFmtId="14" fontId="17" fillId="0" borderId="0" xfId="0" applyNumberFormat="1" applyFont="1" applyBorder="1" applyAlignment="1">
      <alignment vertical="center"/>
    </xf>
    <xf numFmtId="0" fontId="12" fillId="0" borderId="0" xfId="0" applyFont="1" applyBorder="1" applyAlignment="1">
      <alignment horizontal="center" vertical="center"/>
    </xf>
    <xf numFmtId="0" fontId="12" fillId="10" borderId="1" xfId="0" applyFont="1" applyFill="1" applyBorder="1" applyAlignment="1">
      <alignment horizontal="center" vertical="center" wrapText="1"/>
    </xf>
    <xf numFmtId="0" fontId="12" fillId="11" borderId="1" xfId="0" applyFont="1" applyFill="1" applyBorder="1" applyAlignment="1">
      <alignment horizontal="center" vertical="center" wrapText="1"/>
    </xf>
    <xf numFmtId="0" fontId="13" fillId="12" borderId="1" xfId="0" applyFont="1" applyFill="1" applyBorder="1" applyAlignment="1">
      <alignment horizontal="center" vertical="center"/>
    </xf>
    <xf numFmtId="172" fontId="13" fillId="10" borderId="1" xfId="2" applyNumberFormat="1" applyFont="1" applyFill="1" applyBorder="1" applyAlignment="1">
      <alignment vertical="center"/>
    </xf>
    <xf numFmtId="165" fontId="13" fillId="10" borderId="1" xfId="2" applyNumberFormat="1" applyFont="1" applyFill="1" applyBorder="1" applyAlignment="1">
      <alignment vertical="center"/>
    </xf>
    <xf numFmtId="172" fontId="13" fillId="11" borderId="1" xfId="2" applyNumberFormat="1" applyFont="1" applyFill="1" applyBorder="1" applyAlignment="1">
      <alignment vertical="center"/>
    </xf>
    <xf numFmtId="165" fontId="13" fillId="11" borderId="1" xfId="2" applyNumberFormat="1" applyFont="1" applyFill="1" applyBorder="1" applyAlignment="1">
      <alignment vertical="center"/>
    </xf>
    <xf numFmtId="172" fontId="12" fillId="10" borderId="70" xfId="0" applyNumberFormat="1" applyFont="1" applyFill="1" applyBorder="1" applyAlignment="1">
      <alignment vertical="center"/>
    </xf>
    <xf numFmtId="0" fontId="13" fillId="0" borderId="0" xfId="0" applyFont="1" applyBorder="1" applyAlignment="1">
      <alignment vertical="center"/>
    </xf>
    <xf numFmtId="172" fontId="12" fillId="11" borderId="70" xfId="0" applyNumberFormat="1" applyFont="1" applyFill="1" applyBorder="1" applyAlignment="1">
      <alignment vertical="center"/>
    </xf>
    <xf numFmtId="0" fontId="1" fillId="0" borderId="0" xfId="0" applyFont="1" applyBorder="1"/>
    <xf numFmtId="0" fontId="30" fillId="0" borderId="0" xfId="0" applyFont="1" applyFill="1"/>
    <xf numFmtId="165" fontId="30" fillId="0" borderId="0" xfId="0" applyNumberFormat="1" applyFont="1" applyFill="1"/>
    <xf numFmtId="0" fontId="1" fillId="0" borderId="0" xfId="0" applyFont="1" applyFill="1"/>
    <xf numFmtId="0" fontId="31" fillId="0" borderId="0" xfId="0" applyFont="1" applyFill="1" applyBorder="1" applyAlignment="1">
      <alignment horizontal="left" vertical="center"/>
    </xf>
    <xf numFmtId="7" fontId="13" fillId="0" borderId="0" xfId="0" applyNumberFormat="1" applyFont="1" applyFill="1" applyBorder="1" applyAlignment="1">
      <alignment horizontal="right"/>
    </xf>
    <xf numFmtId="164" fontId="1" fillId="0" borderId="0" xfId="0" applyNumberFormat="1" applyFont="1" applyFill="1" applyBorder="1" applyAlignment="1">
      <alignment horizontal="right"/>
    </xf>
    <xf numFmtId="164" fontId="1" fillId="0" borderId="0" xfId="0" applyNumberFormat="1" applyFont="1" applyBorder="1" applyAlignment="1">
      <alignment horizontal="right"/>
    </xf>
    <xf numFmtId="165" fontId="12" fillId="0" borderId="1" xfId="0" applyNumberFormat="1" applyFont="1" applyBorder="1" applyAlignment="1">
      <alignment horizontal="center" vertical="center" wrapText="1"/>
    </xf>
    <xf numFmtId="165" fontId="12" fillId="0" borderId="1" xfId="0" applyNumberFormat="1" applyFont="1" applyBorder="1" applyAlignment="1">
      <alignment horizontal="center" wrapText="1"/>
    </xf>
    <xf numFmtId="165" fontId="12" fillId="0" borderId="0" xfId="0" applyNumberFormat="1" applyFont="1" applyBorder="1" applyAlignment="1">
      <alignment horizontal="left"/>
    </xf>
    <xf numFmtId="169" fontId="13" fillId="0" borderId="1" xfId="2" applyNumberFormat="1" applyFont="1" applyFill="1" applyBorder="1" applyAlignment="1">
      <alignment horizontal="right"/>
    </xf>
    <xf numFmtId="169" fontId="13" fillId="0" borderId="1" xfId="2" applyNumberFormat="1" applyFont="1" applyBorder="1" applyAlignment="1">
      <alignment horizontal="right"/>
    </xf>
    <xf numFmtId="169" fontId="12" fillId="0" borderId="1" xfId="2" applyNumberFormat="1" applyFont="1" applyBorder="1" applyAlignment="1">
      <alignment horizontal="right"/>
    </xf>
    <xf numFmtId="169" fontId="12" fillId="0" borderId="0" xfId="0" applyNumberFormat="1" applyFont="1" applyFill="1" applyBorder="1" applyAlignment="1">
      <alignment horizontal="right"/>
    </xf>
    <xf numFmtId="169" fontId="13" fillId="0" borderId="0" xfId="0" applyNumberFormat="1" applyFont="1" applyFill="1" applyBorder="1" applyAlignment="1">
      <alignment horizontal="right"/>
    </xf>
    <xf numFmtId="0" fontId="1" fillId="0" borderId="0" xfId="0" applyFont="1" applyFill="1" applyBorder="1"/>
    <xf numFmtId="172" fontId="1" fillId="0" borderId="0" xfId="2" applyNumberFormat="1" applyFont="1" applyFill="1" applyBorder="1" applyAlignment="1">
      <alignment horizontal="right"/>
    </xf>
    <xf numFmtId="172" fontId="1" fillId="0" borderId="0" xfId="2" applyNumberFormat="1" applyFont="1" applyBorder="1"/>
    <xf numFmtId="169" fontId="1" fillId="0" borderId="0" xfId="0" applyNumberFormat="1" applyFont="1" applyFill="1" applyBorder="1" applyAlignment="1">
      <alignment horizontal="right"/>
    </xf>
    <xf numFmtId="169" fontId="10" fillId="0" borderId="0" xfId="0" applyNumberFormat="1" applyFont="1" applyFill="1" applyBorder="1" applyAlignment="1">
      <alignment horizontal="right"/>
    </xf>
    <xf numFmtId="165" fontId="12" fillId="0" borderId="0" xfId="0" applyNumberFormat="1" applyFont="1" applyBorder="1" applyAlignment="1">
      <alignment horizontal="center" wrapText="1"/>
    </xf>
    <xf numFmtId="169" fontId="13" fillId="0" borderId="0" xfId="2" applyNumberFormat="1" applyFont="1" applyBorder="1" applyAlignment="1">
      <alignment horizontal="right"/>
    </xf>
    <xf numFmtId="165" fontId="1" fillId="0" borderId="0" xfId="0" applyNumberFormat="1" applyFont="1" applyBorder="1" applyAlignment="1">
      <alignment horizontal="right"/>
    </xf>
    <xf numFmtId="0" fontId="1" fillId="0" borderId="0" xfId="0" applyFont="1" applyBorder="1" applyAlignment="1">
      <alignment horizontal="right"/>
    </xf>
    <xf numFmtId="164" fontId="12" fillId="0" borderId="1" xfId="0" applyNumberFormat="1" applyFont="1" applyBorder="1" applyAlignment="1">
      <alignment horizontal="center" wrapText="1"/>
    </xf>
    <xf numFmtId="164" fontId="12" fillId="0" borderId="23" xfId="0" applyNumberFormat="1" applyFont="1" applyBorder="1" applyAlignment="1">
      <alignment horizontal="center" wrapText="1"/>
    </xf>
    <xf numFmtId="164" fontId="12" fillId="0" borderId="0" xfId="0" applyNumberFormat="1" applyFont="1" applyBorder="1" applyAlignment="1">
      <alignment wrapText="1"/>
    </xf>
    <xf numFmtId="7" fontId="13" fillId="0" borderId="1" xfId="0" applyNumberFormat="1" applyFont="1" applyBorder="1"/>
    <xf numFmtId="7" fontId="12" fillId="0" borderId="0" xfId="0" applyNumberFormat="1" applyFont="1" applyBorder="1"/>
    <xf numFmtId="169" fontId="5" fillId="0" borderId="0" xfId="0" applyNumberFormat="1" applyFont="1" applyBorder="1" applyAlignment="1">
      <alignment horizontal="right"/>
    </xf>
    <xf numFmtId="169" fontId="5" fillId="0" borderId="0" xfId="0" applyNumberFormat="1" applyFont="1" applyBorder="1"/>
    <xf numFmtId="165" fontId="5" fillId="0" borderId="0" xfId="0" applyNumberFormat="1" applyFont="1" applyBorder="1"/>
    <xf numFmtId="169" fontId="1" fillId="0" borderId="0" xfId="0" applyNumberFormat="1" applyFont="1" applyBorder="1" applyAlignment="1">
      <alignment horizontal="right"/>
    </xf>
    <xf numFmtId="169" fontId="1" fillId="0" borderId="0" xfId="0" applyNumberFormat="1" applyFont="1" applyBorder="1"/>
    <xf numFmtId="0" fontId="12" fillId="0" borderId="70" xfId="0" applyFont="1" applyFill="1" applyBorder="1" applyAlignment="1">
      <alignment horizontal="center" vertical="center" wrapText="1"/>
    </xf>
    <xf numFmtId="0" fontId="5" fillId="0" borderId="21" xfId="0" applyFont="1" applyBorder="1" applyAlignment="1">
      <alignment horizontal="center"/>
    </xf>
    <xf numFmtId="0" fontId="17" fillId="6" borderId="1" xfId="0" applyFont="1" applyFill="1" applyBorder="1"/>
    <xf numFmtId="0" fontId="1" fillId="0" borderId="1" xfId="0" applyFont="1" applyBorder="1"/>
    <xf numFmtId="166" fontId="13" fillId="0" borderId="1" xfId="7" applyNumberFormat="1" applyFont="1" applyFill="1" applyBorder="1" applyAlignment="1">
      <alignment horizontal="right"/>
    </xf>
    <xf numFmtId="0" fontId="5" fillId="0" borderId="0" xfId="0" applyFont="1" applyBorder="1"/>
    <xf numFmtId="0" fontId="5" fillId="0" borderId="0" xfId="0" applyFont="1" applyBorder="1" applyAlignment="1">
      <alignment horizontal="center" wrapText="1"/>
    </xf>
    <xf numFmtId="43" fontId="1" fillId="0" borderId="0" xfId="0" applyNumberFormat="1" applyFont="1" applyBorder="1"/>
    <xf numFmtId="169" fontId="1" fillId="0" borderId="0" xfId="0" applyNumberFormat="1" applyFont="1" applyBorder="1" applyAlignment="1">
      <alignment horizontal="center"/>
    </xf>
    <xf numFmtId="165" fontId="1" fillId="0" borderId="0" xfId="0" applyNumberFormat="1" applyFont="1" applyBorder="1" applyAlignment="1">
      <alignment horizontal="center" wrapText="1"/>
    </xf>
    <xf numFmtId="168" fontId="13" fillId="0" borderId="1" xfId="7" applyNumberFormat="1" applyFont="1" applyFill="1" applyBorder="1" applyAlignment="1">
      <alignment horizontal="right"/>
    </xf>
    <xf numFmtId="172" fontId="1" fillId="0" borderId="0" xfId="0" applyNumberFormat="1" applyFont="1" applyBorder="1"/>
    <xf numFmtId="164" fontId="30" fillId="0" borderId="0" xfId="0" applyNumberFormat="1" applyFont="1" applyBorder="1" applyAlignment="1">
      <alignment horizontal="center"/>
    </xf>
    <xf numFmtId="165" fontId="1" fillId="0" borderId="0" xfId="0" applyNumberFormat="1" applyFont="1" applyBorder="1" applyAlignment="1">
      <alignment horizontal="center"/>
    </xf>
    <xf numFmtId="165" fontId="1" fillId="0" borderId="0" xfId="2" applyNumberFormat="1" applyFont="1" applyBorder="1" applyAlignment="1">
      <alignment horizontal="center"/>
    </xf>
    <xf numFmtId="172" fontId="1" fillId="0" borderId="0" xfId="2" applyNumberFormat="1" applyFont="1" applyBorder="1" applyAlignment="1">
      <alignment horizontal="center"/>
    </xf>
    <xf numFmtId="164" fontId="1" fillId="0" borderId="0" xfId="0" applyNumberFormat="1" applyFont="1" applyBorder="1" applyAlignment="1">
      <alignment horizontal="center"/>
    </xf>
    <xf numFmtId="165" fontId="1" fillId="0" borderId="0" xfId="4" applyNumberFormat="1" applyFont="1" applyBorder="1" applyAlignment="1">
      <alignment horizontal="center"/>
    </xf>
    <xf numFmtId="167" fontId="13" fillId="0" borderId="1" xfId="7" applyNumberFormat="1" applyFont="1" applyBorder="1" applyAlignment="1">
      <alignment horizontal="right"/>
    </xf>
    <xf numFmtId="180" fontId="1" fillId="0" borderId="0" xfId="0" applyNumberFormat="1" applyFont="1" applyBorder="1"/>
    <xf numFmtId="181" fontId="1" fillId="0" borderId="0" xfId="0" applyNumberFormat="1" applyFont="1" applyBorder="1"/>
    <xf numFmtId="0" fontId="5" fillId="0" borderId="0" xfId="0" applyFont="1"/>
    <xf numFmtId="169" fontId="1" fillId="0" borderId="0" xfId="0" applyNumberFormat="1" applyFont="1"/>
    <xf numFmtId="172" fontId="1" fillId="0" borderId="0" xfId="2" applyNumberFormat="1" applyFont="1" applyBorder="1" applyAlignment="1">
      <alignment horizontal="right"/>
    </xf>
    <xf numFmtId="164" fontId="30" fillId="0" borderId="0" xfId="0" applyNumberFormat="1" applyFont="1" applyBorder="1" applyAlignment="1">
      <alignment horizontal="right"/>
    </xf>
    <xf numFmtId="165" fontId="10" fillId="0" borderId="0" xfId="0" applyNumberFormat="1" applyFont="1" applyBorder="1" applyAlignment="1">
      <alignment horizontal="left"/>
    </xf>
    <xf numFmtId="165" fontId="5" fillId="0" borderId="0" xfId="0" applyNumberFormat="1" applyFont="1" applyBorder="1" applyAlignment="1">
      <alignment horizontal="right"/>
    </xf>
    <xf numFmtId="165" fontId="5" fillId="0" borderId="0" xfId="0" applyNumberFormat="1" applyFont="1" applyBorder="1" applyAlignment="1">
      <alignment horizontal="center"/>
    </xf>
    <xf numFmtId="0" fontId="17" fillId="5" borderId="19" xfId="0" applyFont="1" applyFill="1" applyBorder="1"/>
    <xf numFmtId="0" fontId="30" fillId="0" borderId="0" xfId="0" applyFont="1" applyFill="1" applyBorder="1" applyAlignment="1">
      <alignment horizontal="left"/>
    </xf>
    <xf numFmtId="0" fontId="1" fillId="0" borderId="0" xfId="0" applyFont="1" applyBorder="1" applyAlignment="1">
      <alignment horizontal="center" wrapText="1"/>
    </xf>
    <xf numFmtId="172" fontId="13" fillId="0" borderId="1" xfId="2" applyNumberFormat="1" applyFont="1" applyFill="1" applyBorder="1" applyAlignment="1">
      <alignment horizontal="right"/>
    </xf>
    <xf numFmtId="7" fontId="13" fillId="3" borderId="1" xfId="0" applyNumberFormat="1" applyFont="1" applyFill="1" applyBorder="1" applyAlignment="1">
      <alignment horizontal="right"/>
    </xf>
    <xf numFmtId="4" fontId="1" fillId="0" borderId="0" xfId="0" applyNumberFormat="1" applyFont="1" applyBorder="1" applyAlignment="1">
      <alignment horizontal="right"/>
    </xf>
    <xf numFmtId="169" fontId="33" fillId="0" borderId="0" xfId="0" applyNumberFormat="1" applyFont="1" applyBorder="1" applyAlignment="1">
      <alignment horizontal="right"/>
    </xf>
    <xf numFmtId="0" fontId="1" fillId="0" borderId="0" xfId="0" applyFont="1" applyFill="1" applyBorder="1" applyAlignment="1">
      <alignment horizontal="left"/>
    </xf>
    <xf numFmtId="0" fontId="17" fillId="5" borderId="19" xfId="0" applyFont="1" applyFill="1" applyBorder="1" applyAlignment="1">
      <alignment wrapText="1"/>
    </xf>
    <xf numFmtId="0" fontId="30" fillId="0" borderId="0" xfId="0" applyFont="1"/>
    <xf numFmtId="0" fontId="32" fillId="0" borderId="0" xfId="0" applyFont="1"/>
    <xf numFmtId="164" fontId="13" fillId="0" borderId="1" xfId="2" applyNumberFormat="1" applyFont="1" applyFill="1" applyBorder="1" applyAlignment="1">
      <alignment horizontal="right"/>
    </xf>
    <xf numFmtId="164" fontId="13" fillId="0" borderId="1" xfId="0" applyNumberFormat="1" applyFont="1" applyFill="1" applyBorder="1" applyAlignment="1">
      <alignment horizontal="right"/>
    </xf>
    <xf numFmtId="165" fontId="13" fillId="3" borderId="1" xfId="4" applyNumberFormat="1" applyFont="1" applyFill="1" applyBorder="1" applyAlignment="1">
      <alignment horizontal="right"/>
    </xf>
    <xf numFmtId="165" fontId="13" fillId="0" borderId="1" xfId="2" applyNumberFormat="1" applyFont="1" applyBorder="1" applyAlignment="1">
      <alignment horizontal="right"/>
    </xf>
    <xf numFmtId="165" fontId="13" fillId="3" borderId="1" xfId="2" applyNumberFormat="1" applyFont="1" applyFill="1" applyBorder="1" applyAlignment="1">
      <alignment horizontal="right"/>
    </xf>
    <xf numFmtId="165" fontId="12" fillId="3" borderId="1" xfId="4" applyNumberFormat="1" applyFont="1" applyFill="1" applyBorder="1"/>
    <xf numFmtId="164" fontId="0" fillId="0" borderId="0" xfId="0" applyNumberFormat="1"/>
    <xf numFmtId="165" fontId="33" fillId="0" borderId="0" xfId="4" applyNumberFormat="1" applyFont="1" applyFill="1" applyBorder="1" applyAlignment="1">
      <alignment horizontal="right"/>
    </xf>
    <xf numFmtId="165" fontId="13" fillId="0" borderId="0" xfId="4" applyNumberFormat="1" applyFont="1" applyFill="1" applyBorder="1" applyAlignment="1">
      <alignment horizontal="right"/>
    </xf>
    <xf numFmtId="165" fontId="13" fillId="0" borderId="0" xfId="2" applyNumberFormat="1" applyFont="1" applyFill="1" applyBorder="1" applyAlignment="1">
      <alignment horizontal="right"/>
    </xf>
    <xf numFmtId="165" fontId="12" fillId="0" borderId="0" xfId="4" applyNumberFormat="1" applyFont="1" applyFill="1" applyBorder="1"/>
    <xf numFmtId="165" fontId="1" fillId="0" borderId="0" xfId="0" applyNumberFormat="1" applyFont="1" applyBorder="1"/>
    <xf numFmtId="171" fontId="8" fillId="0" borderId="0" xfId="0" applyNumberFormat="1" applyFont="1" applyBorder="1"/>
    <xf numFmtId="164" fontId="1" fillId="0" borderId="0" xfId="0" applyNumberFormat="1" applyFont="1" applyBorder="1"/>
    <xf numFmtId="165" fontId="32" fillId="0" borderId="0" xfId="0" applyNumberFormat="1" applyFont="1" applyBorder="1"/>
    <xf numFmtId="0" fontId="17" fillId="8" borderId="1" xfId="0" applyFont="1" applyFill="1" applyBorder="1"/>
    <xf numFmtId="0" fontId="30" fillId="0" borderId="0" xfId="0" applyNumberFormat="1" applyFont="1" applyBorder="1" applyAlignment="1">
      <alignment horizontal="center" wrapText="1"/>
    </xf>
    <xf numFmtId="0" fontId="30" fillId="0" borderId="0" xfId="0" applyNumberFormat="1" applyFont="1" applyFill="1" applyBorder="1" applyAlignment="1">
      <alignment horizontal="center" wrapText="1"/>
    </xf>
    <xf numFmtId="0" fontId="12" fillId="0" borderId="1" xfId="0" applyNumberFormat="1" applyFont="1" applyBorder="1" applyAlignment="1">
      <alignment horizontal="center" vertical="center" wrapText="1"/>
    </xf>
    <xf numFmtId="0" fontId="12" fillId="10" borderId="1" xfId="0" applyNumberFormat="1" applyFont="1" applyFill="1" applyBorder="1" applyAlignment="1">
      <alignment horizontal="center" vertical="center" wrapText="1"/>
    </xf>
    <xf numFmtId="172" fontId="13" fillId="0" borderId="1" xfId="2" applyNumberFormat="1" applyFont="1" applyFill="1" applyBorder="1" applyAlignment="1"/>
    <xf numFmtId="167" fontId="13" fillId="0" borderId="1" xfId="0" applyNumberFormat="1" applyFont="1" applyFill="1" applyBorder="1"/>
    <xf numFmtId="172" fontId="13" fillId="0" borderId="1" xfId="1" applyNumberFormat="1" applyFont="1" applyBorder="1"/>
    <xf numFmtId="172" fontId="13" fillId="2" borderId="1" xfId="2" applyNumberFormat="1" applyFont="1" applyFill="1" applyBorder="1"/>
    <xf numFmtId="0" fontId="13" fillId="0" borderId="1" xfId="0" applyFont="1" applyBorder="1" applyAlignment="1">
      <alignment horizontal="center"/>
    </xf>
    <xf numFmtId="0" fontId="19" fillId="0" borderId="33" xfId="0" applyFont="1" applyFill="1" applyBorder="1"/>
    <xf numFmtId="172" fontId="12" fillId="0" borderId="1" xfId="2" applyNumberFormat="1" applyFont="1" applyFill="1" applyBorder="1" applyAlignment="1">
      <alignment horizontal="center" vertical="center"/>
    </xf>
    <xf numFmtId="0" fontId="12" fillId="0" borderId="0" xfId="0" applyFont="1" applyFill="1" applyAlignment="1">
      <alignment horizontal="center" vertical="center"/>
    </xf>
    <xf numFmtId="0" fontId="12" fillId="0" borderId="0" xfId="0" applyFont="1" applyAlignment="1">
      <alignment horizontal="center" vertical="center"/>
    </xf>
    <xf numFmtId="172" fontId="12" fillId="0" borderId="1" xfId="2" applyNumberFormat="1" applyFont="1" applyBorder="1" applyAlignment="1">
      <alignment horizontal="center" vertical="center"/>
    </xf>
    <xf numFmtId="0" fontId="19" fillId="0" borderId="0" xfId="0" applyFont="1" applyBorder="1" applyAlignment="1">
      <alignment vertical="top" wrapText="1"/>
    </xf>
    <xf numFmtId="172" fontId="12" fillId="0" borderId="0" xfId="2" applyNumberFormat="1" applyFont="1" applyFill="1" applyBorder="1" applyAlignment="1"/>
    <xf numFmtId="0" fontId="12" fillId="0" borderId="0" xfId="0" applyFont="1" applyFill="1"/>
    <xf numFmtId="172" fontId="12" fillId="0" borderId="0" xfId="2" applyNumberFormat="1" applyFont="1" applyFill="1" applyBorder="1"/>
    <xf numFmtId="172" fontId="12" fillId="0" borderId="0" xfId="2" applyNumberFormat="1" applyFont="1" applyBorder="1" applyAlignment="1">
      <alignment horizontal="left" indent="2"/>
    </xf>
    <xf numFmtId="164" fontId="13" fillId="0" borderId="0" xfId="0" applyNumberFormat="1" applyFont="1" applyBorder="1" applyAlignment="1">
      <alignment horizontal="left" vertical="top" wrapText="1"/>
    </xf>
    <xf numFmtId="0" fontId="34" fillId="0" borderId="0" xfId="0" applyFont="1"/>
    <xf numFmtId="43" fontId="1" fillId="0" borderId="0" xfId="0" applyNumberFormat="1" applyFont="1"/>
    <xf numFmtId="172" fontId="30" fillId="0" borderId="0" xfId="0" applyNumberFormat="1" applyFont="1" applyAlignment="1">
      <alignment horizontal="left"/>
    </xf>
    <xf numFmtId="0" fontId="17" fillId="6" borderId="19" xfId="0" applyFont="1" applyFill="1" applyBorder="1"/>
    <xf numFmtId="0" fontId="35" fillId="0" borderId="0" xfId="0" applyFont="1"/>
    <xf numFmtId="0" fontId="12" fillId="14" borderId="1" xfId="0" applyFont="1" applyFill="1" applyBorder="1" applyAlignment="1">
      <alignment horizontal="center" vertical="center" wrapText="1"/>
    </xf>
    <xf numFmtId="172" fontId="13" fillId="0" borderId="1" xfId="2" applyNumberFormat="1" applyFont="1" applyBorder="1"/>
    <xf numFmtId="164" fontId="13" fillId="0" borderId="1" xfId="2" applyNumberFormat="1" applyFont="1" applyFill="1" applyBorder="1"/>
    <xf numFmtId="164" fontId="13" fillId="14" borderId="1" xfId="1" applyNumberFormat="1" applyFont="1" applyFill="1" applyBorder="1" applyAlignment="1">
      <alignment horizontal="right"/>
    </xf>
    <xf numFmtId="179" fontId="1" fillId="0" borderId="0" xfId="0" applyNumberFormat="1" applyFont="1" applyBorder="1" applyAlignment="1"/>
    <xf numFmtId="172" fontId="13" fillId="0" borderId="1" xfId="2" applyNumberFormat="1" applyFont="1" applyBorder="1" applyAlignment="1">
      <alignment horizontal="right"/>
    </xf>
    <xf numFmtId="164" fontId="13" fillId="0" borderId="1" xfId="2" applyNumberFormat="1" applyFont="1" applyBorder="1"/>
    <xf numFmtId="164" fontId="13" fillId="0" borderId="1" xfId="2" applyNumberFormat="1" applyFont="1" applyBorder="1" applyAlignment="1">
      <alignment horizontal="right"/>
    </xf>
    <xf numFmtId="0" fontId="13" fillId="0" borderId="1" xfId="0" applyFont="1" applyFill="1" applyBorder="1" applyAlignment="1">
      <alignment horizontal="left"/>
    </xf>
    <xf numFmtId="172" fontId="13" fillId="0" borderId="0" xfId="2" applyNumberFormat="1" applyFont="1" applyBorder="1" applyAlignment="1">
      <alignment horizontal="center"/>
    </xf>
    <xf numFmtId="169" fontId="1" fillId="0" borderId="0" xfId="0" applyNumberFormat="1" applyFont="1" applyBorder="1" applyAlignment="1">
      <alignment horizontal="left"/>
    </xf>
    <xf numFmtId="164" fontId="1" fillId="0" borderId="0" xfId="0" applyNumberFormat="1" applyFont="1" applyAlignment="1">
      <alignment horizontal="left"/>
    </xf>
    <xf numFmtId="0" fontId="7" fillId="0" borderId="0" xfId="0" applyFont="1"/>
    <xf numFmtId="0" fontId="37" fillId="0" borderId="0" xfId="0" applyFont="1"/>
    <xf numFmtId="165" fontId="37" fillId="0" borderId="19" xfId="0" applyNumberFormat="1" applyFont="1" applyBorder="1" applyAlignment="1">
      <alignment horizontal="center" vertical="center" wrapText="1"/>
    </xf>
    <xf numFmtId="165" fontId="37" fillId="0" borderId="19" xfId="0" applyNumberFormat="1" applyFont="1" applyBorder="1" applyAlignment="1">
      <alignment horizontal="center" vertical="center"/>
    </xf>
    <xf numFmtId="165" fontId="13" fillId="0" borderId="19" xfId="0" applyNumberFormat="1" applyFont="1" applyBorder="1" applyAlignment="1">
      <alignment horizontal="center" vertical="center"/>
    </xf>
    <xf numFmtId="165" fontId="13" fillId="0" borderId="46" xfId="0" applyNumberFormat="1" applyFont="1" applyBorder="1" applyAlignment="1">
      <alignment horizontal="center" vertical="center"/>
    </xf>
    <xf numFmtId="0" fontId="29" fillId="0" borderId="0" xfId="0" applyFont="1" applyAlignment="1">
      <alignment vertical="top"/>
    </xf>
    <xf numFmtId="0" fontId="38" fillId="0" borderId="1" xfId="0" applyNumberFormat="1" applyFont="1" applyFill="1" applyBorder="1" applyAlignment="1">
      <alignment horizontal="center" vertical="center" wrapText="1"/>
    </xf>
    <xf numFmtId="0" fontId="12" fillId="0" borderId="23" xfId="0" applyNumberFormat="1" applyFont="1" applyFill="1" applyBorder="1" applyAlignment="1">
      <alignment horizontal="center" vertical="center" wrapText="1"/>
    </xf>
    <xf numFmtId="0" fontId="12" fillId="3" borderId="1" xfId="0" applyNumberFormat="1" applyFont="1" applyFill="1" applyBorder="1" applyAlignment="1">
      <alignment horizontal="center" vertical="center" wrapText="1"/>
    </xf>
    <xf numFmtId="165" fontId="13" fillId="0" borderId="1" xfId="4" applyNumberFormat="1" applyFont="1" applyBorder="1" applyAlignment="1">
      <alignment horizontal="right"/>
    </xf>
    <xf numFmtId="165" fontId="13" fillId="0" borderId="23" xfId="4" applyNumberFormat="1" applyFont="1" applyBorder="1" applyAlignment="1">
      <alignment horizontal="right"/>
    </xf>
    <xf numFmtId="165" fontId="13" fillId="0" borderId="1" xfId="3" applyNumberFormat="1" applyFont="1" applyBorder="1" applyAlignment="1">
      <alignment horizontal="right"/>
    </xf>
    <xf numFmtId="169" fontId="13" fillId="0" borderId="27" xfId="0" applyNumberFormat="1" applyFont="1" applyBorder="1" applyAlignment="1">
      <alignment horizontal="right"/>
    </xf>
    <xf numFmtId="165" fontId="39" fillId="3" borderId="1" xfId="0" applyNumberFormat="1" applyFont="1" applyFill="1" applyBorder="1" applyAlignment="1">
      <alignment horizontal="right"/>
    </xf>
    <xf numFmtId="164" fontId="12" fillId="0" borderId="1" xfId="0" applyNumberFormat="1" applyFont="1" applyBorder="1" applyAlignment="1">
      <alignment horizontal="right"/>
    </xf>
    <xf numFmtId="165" fontId="12" fillId="0" borderId="1" xfId="4" applyNumberFormat="1" applyFont="1" applyBorder="1" applyAlignment="1">
      <alignment horizontal="right"/>
    </xf>
    <xf numFmtId="165" fontId="12" fillId="0" borderId="23" xfId="4" applyNumberFormat="1" applyFont="1" applyBorder="1" applyAlignment="1">
      <alignment horizontal="right"/>
    </xf>
    <xf numFmtId="165" fontId="12" fillId="0" borderId="1" xfId="3" applyNumberFormat="1" applyFont="1" applyBorder="1" applyAlignment="1">
      <alignment horizontal="right"/>
    </xf>
    <xf numFmtId="44" fontId="12" fillId="0" borderId="1" xfId="4" applyFont="1" applyBorder="1" applyAlignment="1">
      <alignment horizontal="right"/>
    </xf>
    <xf numFmtId="10" fontId="12" fillId="0" borderId="15" xfId="0" applyNumberFormat="1" applyFont="1" applyBorder="1" applyAlignment="1">
      <alignment horizontal="center" vertical="center"/>
    </xf>
    <xf numFmtId="165" fontId="13" fillId="0" borderId="6" xfId="0" applyNumberFormat="1" applyFont="1" applyBorder="1" applyAlignment="1">
      <alignment horizontal="right" vertical="center"/>
    </xf>
    <xf numFmtId="165" fontId="13" fillId="0" borderId="7" xfId="0" applyNumberFormat="1" applyFont="1" applyBorder="1" applyAlignment="1">
      <alignment horizontal="right" vertical="center"/>
    </xf>
    <xf numFmtId="165" fontId="13" fillId="0" borderId="1" xfId="0" applyNumberFormat="1" applyFont="1" applyBorder="1" applyAlignment="1">
      <alignment horizontal="right" vertical="center"/>
    </xf>
    <xf numFmtId="165" fontId="13" fillId="0" borderId="3" xfId="0" applyNumberFormat="1" applyFont="1" applyBorder="1" applyAlignment="1">
      <alignment horizontal="right" vertical="center"/>
    </xf>
    <xf numFmtId="165" fontId="13" fillId="0" borderId="8" xfId="0" applyNumberFormat="1" applyFont="1" applyBorder="1" applyAlignment="1">
      <alignment horizontal="right" vertical="center"/>
    </xf>
    <xf numFmtId="165" fontId="13" fillId="0" borderId="4" xfId="0" applyNumberFormat="1" applyFont="1" applyBorder="1" applyAlignment="1">
      <alignment horizontal="right" vertical="center"/>
    </xf>
    <xf numFmtId="0" fontId="12" fillId="0" borderId="12" xfId="0" applyFont="1" applyFill="1" applyBorder="1" applyAlignment="1">
      <alignment horizontal="right"/>
    </xf>
    <xf numFmtId="165" fontId="13" fillId="0" borderId="14" xfId="0" applyNumberFormat="1" applyFont="1" applyBorder="1" applyAlignment="1">
      <alignment horizontal="right" vertical="center"/>
    </xf>
    <xf numFmtId="165" fontId="13" fillId="0" borderId="13" xfId="0" applyNumberFormat="1" applyFont="1" applyBorder="1" applyAlignment="1">
      <alignment horizontal="right" vertical="center"/>
    </xf>
    <xf numFmtId="165" fontId="12" fillId="0" borderId="0" xfId="0" applyNumberFormat="1" applyFont="1" applyBorder="1" applyAlignment="1">
      <alignment horizontal="center" vertical="center"/>
    </xf>
    <xf numFmtId="165" fontId="13" fillId="0" borderId="6" xfId="0" applyNumberFormat="1" applyFont="1" applyBorder="1"/>
    <xf numFmtId="165" fontId="13" fillId="0" borderId="8" xfId="0" applyNumberFormat="1" applyFont="1" applyBorder="1"/>
    <xf numFmtId="165" fontId="12" fillId="0" borderId="52" xfId="0" applyNumberFormat="1" applyFont="1" applyBorder="1"/>
    <xf numFmtId="164" fontId="1" fillId="0" borderId="0" xfId="0" applyNumberFormat="1" applyFont="1" applyFill="1" applyBorder="1" applyAlignment="1">
      <alignment horizontal="left"/>
    </xf>
    <xf numFmtId="0" fontId="40" fillId="0" borderId="0" xfId="0" applyFont="1"/>
    <xf numFmtId="0" fontId="21" fillId="0" borderId="46" xfId="0" applyFont="1" applyFill="1" applyBorder="1" applyAlignment="1">
      <alignment horizontal="right" vertical="center"/>
    </xf>
    <xf numFmtId="165" fontId="13" fillId="0" borderId="12" xfId="0" applyNumberFormat="1" applyFont="1" applyBorder="1" applyAlignment="1">
      <alignment horizontal="right" vertical="center"/>
    </xf>
    <xf numFmtId="7" fontId="13" fillId="0" borderId="14" xfId="0" applyNumberFormat="1" applyFont="1" applyBorder="1" applyAlignment="1">
      <alignment horizontal="right" vertical="center"/>
    </xf>
    <xf numFmtId="7" fontId="13" fillId="0" borderId="13" xfId="0" applyNumberFormat="1" applyFont="1" applyBorder="1" applyAlignment="1">
      <alignment horizontal="right" vertical="center"/>
    </xf>
    <xf numFmtId="165" fontId="13" fillId="0" borderId="54" xfId="0" applyNumberFormat="1" applyFont="1" applyBorder="1" applyAlignment="1">
      <alignment horizontal="right" vertical="center"/>
    </xf>
    <xf numFmtId="165" fontId="13" fillId="0" borderId="23" xfId="0" applyNumberFormat="1" applyFont="1" applyBorder="1" applyAlignment="1">
      <alignment horizontal="right" vertical="center"/>
    </xf>
    <xf numFmtId="165" fontId="13" fillId="0" borderId="26" xfId="0" applyNumberFormat="1" applyFont="1" applyBorder="1" applyAlignment="1">
      <alignment horizontal="right" vertical="center"/>
    </xf>
    <xf numFmtId="165" fontId="13" fillId="0" borderId="69" xfId="0" applyNumberFormat="1" applyFont="1" applyBorder="1" applyAlignment="1">
      <alignment horizontal="right" vertical="center"/>
    </xf>
    <xf numFmtId="0" fontId="12" fillId="0" borderId="20" xfId="0" applyFont="1" applyFill="1" applyBorder="1" applyAlignment="1">
      <alignment horizontal="left" vertical="center"/>
    </xf>
    <xf numFmtId="165" fontId="13" fillId="0" borderId="62" xfId="0" applyNumberFormat="1" applyFont="1" applyBorder="1" applyAlignment="1">
      <alignment horizontal="right" vertical="center"/>
    </xf>
    <xf numFmtId="165" fontId="13" fillId="0" borderId="27" xfId="0" applyNumberFormat="1" applyFont="1" applyBorder="1" applyAlignment="1">
      <alignment horizontal="right" vertical="center"/>
    </xf>
    <xf numFmtId="165" fontId="13" fillId="0" borderId="28" xfId="0" applyNumberFormat="1" applyFont="1" applyBorder="1" applyAlignment="1">
      <alignment horizontal="right" vertical="center"/>
    </xf>
    <xf numFmtId="0" fontId="13" fillId="0" borderId="36" xfId="0" applyFont="1" applyFill="1" applyBorder="1" applyAlignment="1">
      <alignment horizontal="left" vertical="center" wrapText="1"/>
    </xf>
    <xf numFmtId="0" fontId="13" fillId="0" borderId="24" xfId="0" applyFont="1" applyFill="1" applyBorder="1" applyAlignment="1">
      <alignment horizontal="left" vertical="center" wrapText="1"/>
    </xf>
    <xf numFmtId="0" fontId="13" fillId="0" borderId="25" xfId="0" applyFont="1" applyBorder="1" applyAlignment="1">
      <alignment vertical="top" wrapText="1"/>
    </xf>
    <xf numFmtId="165" fontId="13" fillId="0" borderId="19" xfId="0" applyNumberFormat="1" applyFont="1" applyBorder="1"/>
    <xf numFmtId="171" fontId="13" fillId="0" borderId="0" xfId="0" applyNumberFormat="1" applyFont="1" applyBorder="1"/>
    <xf numFmtId="0" fontId="15" fillId="0" borderId="0" xfId="0" applyFont="1" applyBorder="1"/>
    <xf numFmtId="0" fontId="17" fillId="0" borderId="0" xfId="0" applyFont="1" applyBorder="1" applyAlignment="1">
      <alignment horizontal="left" vertical="center"/>
    </xf>
    <xf numFmtId="0" fontId="12" fillId="12" borderId="19" xfId="0" applyFont="1" applyFill="1" applyBorder="1" applyAlignment="1">
      <alignment horizontal="center" vertical="center" wrapText="1"/>
    </xf>
    <xf numFmtId="0" fontId="12" fillId="10" borderId="23" xfId="0" applyFont="1" applyFill="1" applyBorder="1" applyAlignment="1">
      <alignment horizontal="center" vertical="center" wrapText="1"/>
    </xf>
    <xf numFmtId="0" fontId="13" fillId="12" borderId="1" xfId="0" applyFont="1" applyFill="1" applyBorder="1" applyAlignment="1">
      <alignment horizontal="center"/>
    </xf>
    <xf numFmtId="165" fontId="13" fillId="10" borderId="1" xfId="2" applyNumberFormat="1" applyFont="1" applyFill="1" applyBorder="1"/>
    <xf numFmtId="165" fontId="13" fillId="11" borderId="1" xfId="2" applyNumberFormat="1" applyFont="1" applyFill="1" applyBorder="1"/>
    <xf numFmtId="165" fontId="13" fillId="0" borderId="0" xfId="2" applyNumberFormat="1" applyFont="1" applyFill="1" applyBorder="1"/>
    <xf numFmtId="169" fontId="13" fillId="10" borderId="1" xfId="2" applyNumberFormat="1" applyFont="1" applyFill="1" applyBorder="1"/>
    <xf numFmtId="169" fontId="13" fillId="11" borderId="1" xfId="2" applyNumberFormat="1" applyFont="1" applyFill="1" applyBorder="1"/>
    <xf numFmtId="169" fontId="13" fillId="0" borderId="0" xfId="2" applyNumberFormat="1" applyFont="1" applyFill="1" applyBorder="1"/>
    <xf numFmtId="172" fontId="13" fillId="0" borderId="0" xfId="2" applyNumberFormat="1" applyFont="1" applyFill="1" applyBorder="1"/>
    <xf numFmtId="0" fontId="12" fillId="12" borderId="1" xfId="0" applyFont="1" applyFill="1" applyBorder="1" applyAlignment="1">
      <alignment horizontal="center" vertical="center" wrapText="1"/>
    </xf>
    <xf numFmtId="172" fontId="12" fillId="10" borderId="23" xfId="2" applyNumberFormat="1" applyFont="1" applyFill="1" applyBorder="1" applyAlignment="1">
      <alignment horizontal="center" wrapText="1"/>
    </xf>
    <xf numFmtId="172" fontId="12" fillId="11" borderId="1" xfId="2" applyNumberFormat="1" applyFont="1" applyFill="1" applyBorder="1" applyAlignment="1">
      <alignment horizontal="center" wrapText="1"/>
    </xf>
    <xf numFmtId="0" fontId="13" fillId="12" borderId="23" xfId="0" applyFont="1" applyFill="1" applyBorder="1" applyAlignment="1">
      <alignment horizontal="center"/>
    </xf>
    <xf numFmtId="172" fontId="12" fillId="10" borderId="1" xfId="2" applyNumberFormat="1" applyFont="1" applyFill="1" applyBorder="1" applyAlignment="1">
      <alignment horizontal="center" vertical="center" wrapText="1"/>
    </xf>
    <xf numFmtId="0" fontId="12" fillId="11" borderId="23" xfId="0" applyFont="1" applyFill="1" applyBorder="1" applyAlignment="1">
      <alignment horizontal="center" vertical="center" wrapText="1"/>
    </xf>
    <xf numFmtId="165" fontId="13" fillId="11" borderId="1" xfId="4" applyNumberFormat="1" applyFont="1" applyFill="1" applyBorder="1" applyAlignment="1">
      <alignment vertical="center"/>
    </xf>
    <xf numFmtId="165" fontId="13" fillId="11" borderId="23" xfId="0" applyNumberFormat="1" applyFont="1" applyFill="1" applyBorder="1" applyAlignment="1">
      <alignment vertical="center"/>
    </xf>
    <xf numFmtId="165" fontId="13" fillId="10" borderId="1" xfId="0" applyNumberFormat="1" applyFont="1" applyFill="1" applyBorder="1" applyAlignment="1">
      <alignment vertical="center"/>
    </xf>
    <xf numFmtId="0" fontId="12" fillId="0" borderId="19" xfId="0" applyFont="1" applyBorder="1" applyAlignment="1">
      <alignment horizontal="right" vertical="center"/>
    </xf>
    <xf numFmtId="172" fontId="12" fillId="10" borderId="1" xfId="0" applyNumberFormat="1" applyFont="1" applyFill="1" applyBorder="1" applyAlignment="1">
      <alignment vertical="center"/>
    </xf>
    <xf numFmtId="172" fontId="12" fillId="11" borderId="1" xfId="0" applyNumberFormat="1" applyFont="1" applyFill="1" applyBorder="1" applyAlignment="1">
      <alignment vertical="center"/>
    </xf>
    <xf numFmtId="172" fontId="12" fillId="0" borderId="0" xfId="0" applyNumberFormat="1" applyFont="1" applyFill="1" applyBorder="1" applyAlignment="1">
      <alignment vertical="center"/>
    </xf>
    <xf numFmtId="0" fontId="19" fillId="0" borderId="0" xfId="0" applyFont="1" applyFill="1" applyBorder="1" applyAlignment="1">
      <alignment horizontal="left" vertical="top"/>
    </xf>
    <xf numFmtId="0" fontId="0" fillId="0" borderId="0" xfId="0" applyFill="1" applyBorder="1" applyAlignment="1"/>
    <xf numFmtId="0" fontId="0" fillId="0" borderId="0" xfId="0" applyFill="1" applyBorder="1"/>
    <xf numFmtId="0" fontId="19" fillId="0" borderId="0" xfId="0" applyFont="1" applyFill="1" applyBorder="1" applyAlignment="1">
      <alignment horizontal="left"/>
    </xf>
    <xf numFmtId="182" fontId="32" fillId="0" borderId="0" xfId="2" applyNumberFormat="1" applyFont="1" applyBorder="1" applyAlignment="1">
      <alignment horizontal="left"/>
    </xf>
    <xf numFmtId="0" fontId="18" fillId="0" borderId="61" xfId="0" applyFont="1" applyFill="1" applyBorder="1" applyAlignment="1">
      <alignment horizontal="left" vertical="center" wrapText="1"/>
    </xf>
    <xf numFmtId="164" fontId="18" fillId="0" borderId="10" xfId="0" applyNumberFormat="1" applyFont="1" applyFill="1" applyBorder="1" applyAlignment="1">
      <alignment horizontal="right" vertical="center"/>
    </xf>
    <xf numFmtId="164" fontId="18" fillId="0" borderId="61" xfId="0" applyNumberFormat="1" applyFont="1" applyFill="1" applyBorder="1" applyAlignment="1">
      <alignment horizontal="right" vertical="center"/>
    </xf>
    <xf numFmtId="164" fontId="18" fillId="0" borderId="68" xfId="0" applyNumberFormat="1" applyFont="1" applyFill="1" applyBorder="1" applyAlignment="1">
      <alignment horizontal="right" vertical="center"/>
    </xf>
    <xf numFmtId="0" fontId="8" fillId="0" borderId="0" xfId="0" applyFont="1" applyFill="1" applyBorder="1" applyAlignment="1">
      <alignment horizontal="center" vertical="center" wrapText="1"/>
    </xf>
    <xf numFmtId="0" fontId="12" fillId="15" borderId="1" xfId="0" applyFont="1" applyFill="1" applyBorder="1" applyAlignment="1">
      <alignment horizontal="center" vertical="center" wrapText="1"/>
    </xf>
    <xf numFmtId="165" fontId="13" fillId="15" borderId="1" xfId="2" applyNumberFormat="1" applyFont="1" applyFill="1" applyBorder="1"/>
    <xf numFmtId="0" fontId="12" fillId="15" borderId="23" xfId="0" applyFont="1" applyFill="1" applyBorder="1" applyAlignment="1">
      <alignment horizontal="center" vertical="center" wrapText="1"/>
    </xf>
    <xf numFmtId="172" fontId="13" fillId="15" borderId="1" xfId="2" applyNumberFormat="1" applyFont="1" applyFill="1" applyBorder="1" applyAlignment="1">
      <alignment vertical="center"/>
    </xf>
    <xf numFmtId="165" fontId="13" fillId="15" borderId="1" xfId="2" applyNumberFormat="1" applyFont="1" applyFill="1" applyBorder="1" applyAlignment="1">
      <alignment vertical="center"/>
    </xf>
    <xf numFmtId="165" fontId="13" fillId="15" borderId="1" xfId="4" applyNumberFormat="1" applyFont="1" applyFill="1" applyBorder="1" applyAlignment="1">
      <alignment vertical="center"/>
    </xf>
    <xf numFmtId="165" fontId="13" fillId="15" borderId="23" xfId="0" applyNumberFormat="1" applyFont="1" applyFill="1" applyBorder="1" applyAlignment="1">
      <alignment vertical="center"/>
    </xf>
    <xf numFmtId="172" fontId="12" fillId="15" borderId="1" xfId="0" applyNumberFormat="1" applyFont="1" applyFill="1" applyBorder="1" applyAlignment="1">
      <alignment vertical="center"/>
    </xf>
    <xf numFmtId="172" fontId="12" fillId="15" borderId="1" xfId="2" applyNumberFormat="1" applyFont="1" applyFill="1" applyBorder="1" applyAlignment="1">
      <alignment horizontal="center" wrapText="1"/>
    </xf>
    <xf numFmtId="169" fontId="13" fillId="15" borderId="1" xfId="2" applyNumberFormat="1" applyFont="1" applyFill="1" applyBorder="1"/>
    <xf numFmtId="172" fontId="12" fillId="15" borderId="70" xfId="0" applyNumberFormat="1" applyFont="1" applyFill="1" applyBorder="1" applyAlignment="1">
      <alignment vertical="center"/>
    </xf>
    <xf numFmtId="183" fontId="0" fillId="0" borderId="0" xfId="0" applyNumberFormat="1"/>
    <xf numFmtId="172" fontId="13" fillId="0" borderId="0" xfId="1" applyNumberFormat="1" applyFont="1" applyFill="1" applyBorder="1"/>
    <xf numFmtId="165" fontId="16" fillId="0" borderId="0" xfId="0" applyNumberFormat="1" applyFont="1" applyBorder="1" applyAlignment="1">
      <alignment horizontal="center" vertical="top" wrapText="1"/>
    </xf>
    <xf numFmtId="0" fontId="18" fillId="0" borderId="0" xfId="0" applyFont="1" applyFill="1" applyBorder="1" applyAlignment="1">
      <alignment horizontal="center"/>
    </xf>
    <xf numFmtId="165" fontId="41" fillId="0" borderId="0" xfId="0" applyNumberFormat="1" applyFont="1"/>
    <xf numFmtId="14" fontId="41" fillId="0" borderId="0" xfId="0" applyNumberFormat="1" applyFont="1"/>
    <xf numFmtId="0" fontId="41" fillId="0" borderId="0" xfId="0" applyFont="1"/>
    <xf numFmtId="0" fontId="8" fillId="0" borderId="0" xfId="0" applyFont="1" applyFill="1" applyBorder="1" applyAlignment="1">
      <alignment horizontal="center" vertical="center" wrapText="1"/>
    </xf>
    <xf numFmtId="179" fontId="10" fillId="0" borderId="0" xfId="0" applyNumberFormat="1" applyFont="1" applyBorder="1" applyAlignment="1"/>
    <xf numFmtId="172" fontId="9" fillId="0" borderId="0" xfId="0" applyNumberFormat="1" applyFont="1" applyBorder="1"/>
    <xf numFmtId="0" fontId="12" fillId="2" borderId="1" xfId="0" applyFont="1" applyFill="1" applyBorder="1" applyAlignment="1">
      <alignment horizontal="center" vertical="center" wrapText="1"/>
    </xf>
    <xf numFmtId="165" fontId="13" fillId="2" borderId="1" xfId="2" applyNumberFormat="1" applyFont="1" applyFill="1" applyBorder="1" applyAlignment="1">
      <alignment vertical="center"/>
    </xf>
    <xf numFmtId="14" fontId="15" fillId="0" borderId="0" xfId="0" applyNumberFormat="1" applyFont="1" applyAlignment="1">
      <alignment horizontal="center" vertical="center"/>
    </xf>
    <xf numFmtId="0" fontId="43" fillId="0" borderId="0" xfId="0" applyFont="1" applyAlignment="1">
      <alignment vertical="center"/>
    </xf>
    <xf numFmtId="0" fontId="22" fillId="0" borderId="0" xfId="0" applyFont="1" applyBorder="1" applyAlignment="1">
      <alignment horizontal="left" vertical="center" wrapText="1"/>
    </xf>
    <xf numFmtId="0" fontId="22" fillId="0" borderId="0" xfId="0" applyFont="1" applyBorder="1" applyAlignment="1">
      <alignment horizontal="center" vertical="top" wrapText="1"/>
    </xf>
    <xf numFmtId="0" fontId="31" fillId="0" borderId="0" xfId="0" applyFont="1" applyBorder="1" applyAlignment="1">
      <alignment horizontal="left" vertical="top" wrapText="1"/>
    </xf>
    <xf numFmtId="0" fontId="17" fillId="0" borderId="0" xfId="0" applyFont="1" applyBorder="1" applyAlignment="1">
      <alignment horizontal="center" vertical="center"/>
    </xf>
    <xf numFmtId="14" fontId="17" fillId="0" borderId="0" xfId="0" applyNumberFormat="1" applyFont="1" applyBorder="1" applyAlignment="1">
      <alignment horizontal="center" vertical="center"/>
    </xf>
    <xf numFmtId="0" fontId="22" fillId="0" borderId="1" xfId="0" applyFont="1" applyBorder="1" applyAlignment="1">
      <alignment horizontal="center" vertical="top" wrapText="1"/>
    </xf>
    <xf numFmtId="0" fontId="22" fillId="0" borderId="1" xfId="0" applyFont="1" applyBorder="1" applyAlignment="1">
      <alignment horizontal="left" vertical="center" wrapText="1"/>
    </xf>
    <xf numFmtId="0" fontId="22" fillId="16" borderId="1" xfId="0" applyNumberFormat="1" applyFont="1" applyFill="1" applyBorder="1" applyAlignment="1">
      <alignment horizontal="center" vertical="center" wrapText="1"/>
    </xf>
    <xf numFmtId="0" fontId="22" fillId="17" borderId="1" xfId="0" applyNumberFormat="1" applyFont="1" applyFill="1" applyBorder="1" applyAlignment="1">
      <alignment horizontal="center" vertical="center" wrapText="1"/>
    </xf>
    <xf numFmtId="0" fontId="22" fillId="12" borderId="1" xfId="0" applyFont="1" applyFill="1" applyBorder="1" applyAlignment="1">
      <alignment horizontal="center" vertical="center" wrapText="1"/>
    </xf>
    <xf numFmtId="0" fontId="22" fillId="18" borderId="1" xfId="0" applyFont="1" applyFill="1" applyBorder="1" applyAlignment="1">
      <alignment horizontal="center" vertical="center" wrapText="1"/>
    </xf>
    <xf numFmtId="0" fontId="22" fillId="11" borderId="1" xfId="0" applyFont="1" applyFill="1" applyBorder="1" applyAlignment="1">
      <alignment horizontal="center" vertical="center" wrapText="1"/>
    </xf>
    <xf numFmtId="0" fontId="22" fillId="10" borderId="1" xfId="0" applyFont="1" applyFill="1" applyBorder="1" applyAlignment="1">
      <alignment horizontal="center" vertical="center" wrapText="1"/>
    </xf>
    <xf numFmtId="0" fontId="44" fillId="16" borderId="1" xfId="0" applyFont="1" applyFill="1" applyBorder="1" applyAlignment="1">
      <alignment vertical="center"/>
    </xf>
    <xf numFmtId="167" fontId="44" fillId="17" borderId="1" xfId="0" applyNumberFormat="1" applyFont="1" applyFill="1" applyBorder="1" applyAlignment="1">
      <alignment vertical="center"/>
    </xf>
    <xf numFmtId="172" fontId="44" fillId="12" borderId="1" xfId="9" applyNumberFormat="1" applyFont="1" applyFill="1" applyBorder="1" applyAlignment="1">
      <alignment vertical="center"/>
    </xf>
    <xf numFmtId="165" fontId="44" fillId="15" borderId="1" xfId="10" applyNumberFormat="1" applyFont="1" applyFill="1" applyBorder="1" applyAlignment="1">
      <alignment vertical="center"/>
    </xf>
    <xf numFmtId="165" fontId="44" fillId="11" borderId="1" xfId="10" applyNumberFormat="1" applyFont="1" applyFill="1" applyBorder="1" applyAlignment="1">
      <alignment vertical="center"/>
    </xf>
    <xf numFmtId="165" fontId="44" fillId="10" borderId="1" xfId="10" applyNumberFormat="1" applyFont="1" applyFill="1" applyBorder="1" applyAlignment="1">
      <alignment vertical="center"/>
    </xf>
    <xf numFmtId="0" fontId="44" fillId="0" borderId="0" xfId="0" applyFont="1" applyAlignment="1">
      <alignment vertical="center"/>
    </xf>
    <xf numFmtId="172" fontId="22" fillId="0" borderId="1" xfId="9" applyNumberFormat="1" applyFont="1" applyBorder="1" applyAlignment="1">
      <alignment vertical="center"/>
    </xf>
    <xf numFmtId="184" fontId="44" fillId="0" borderId="0" xfId="0" applyNumberFormat="1" applyFont="1" applyAlignment="1">
      <alignment vertical="center"/>
    </xf>
    <xf numFmtId="0" fontId="12" fillId="0" borderId="1" xfId="0" applyFont="1" applyFill="1" applyBorder="1" applyAlignment="1">
      <alignment horizontal="right"/>
    </xf>
    <xf numFmtId="0" fontId="12" fillId="2" borderId="23" xfId="0" applyFont="1" applyFill="1" applyBorder="1" applyAlignment="1">
      <alignment horizontal="center" vertical="center" wrapText="1"/>
    </xf>
    <xf numFmtId="165" fontId="13" fillId="2" borderId="23" xfId="0" applyNumberFormat="1" applyFont="1" applyFill="1" applyBorder="1" applyAlignment="1">
      <alignment vertical="center"/>
    </xf>
    <xf numFmtId="165" fontId="13" fillId="2" borderId="1" xfId="2" applyNumberFormat="1" applyFont="1" applyFill="1" applyBorder="1"/>
    <xf numFmtId="169" fontId="13" fillId="2" borderId="1" xfId="2" applyNumberFormat="1" applyFont="1" applyFill="1" applyBorder="1"/>
    <xf numFmtId="172" fontId="12" fillId="2" borderId="1" xfId="2" applyNumberFormat="1" applyFont="1" applyFill="1" applyBorder="1" applyAlignment="1">
      <alignment horizontal="center" wrapText="1"/>
    </xf>
    <xf numFmtId="0" fontId="22" fillId="0" borderId="1" xfId="0" applyFont="1" applyFill="1" applyBorder="1" applyAlignment="1">
      <alignment horizontal="center" vertical="top" wrapText="1"/>
    </xf>
    <xf numFmtId="164" fontId="13" fillId="2" borderId="1" xfId="2" applyNumberFormat="1" applyFont="1" applyFill="1" applyBorder="1" applyAlignment="1">
      <alignment vertical="center"/>
    </xf>
    <xf numFmtId="164" fontId="12" fillId="2" borderId="1" xfId="2" applyNumberFormat="1" applyFont="1" applyFill="1" applyBorder="1" applyAlignment="1">
      <alignment vertical="center"/>
    </xf>
    <xf numFmtId="164" fontId="13" fillId="2" borderId="23" xfId="0" applyNumberFormat="1" applyFont="1" applyFill="1" applyBorder="1" applyAlignment="1">
      <alignment vertical="center"/>
    </xf>
    <xf numFmtId="164" fontId="12" fillId="2" borderId="1" xfId="0" applyNumberFormat="1" applyFont="1" applyFill="1" applyBorder="1" applyAlignment="1">
      <alignment vertical="center"/>
    </xf>
    <xf numFmtId="0" fontId="14" fillId="0" borderId="0" xfId="0" applyFont="1" applyBorder="1" applyAlignment="1">
      <alignment horizontal="left" vertical="center" wrapText="1"/>
    </xf>
    <xf numFmtId="0" fontId="42" fillId="0" borderId="0" xfId="0" applyFont="1" applyAlignment="1">
      <alignment vertical="center" wrapText="1"/>
    </xf>
    <xf numFmtId="0" fontId="22" fillId="0" borderId="1" xfId="0" applyFont="1" applyBorder="1" applyAlignment="1">
      <alignment horizontal="left" vertical="center" wrapText="1"/>
    </xf>
    <xf numFmtId="0" fontId="12" fillId="12" borderId="1" xfId="0" applyNumberFormat="1" applyFont="1" applyFill="1" applyBorder="1" applyAlignment="1">
      <alignment horizontal="center" vertical="center" wrapText="1"/>
    </xf>
    <xf numFmtId="0" fontId="12" fillId="10" borderId="23" xfId="0" applyFont="1" applyFill="1" applyBorder="1" applyAlignment="1">
      <alignment horizontal="center" vertical="center"/>
    </xf>
    <xf numFmtId="0" fontId="12" fillId="10" borderId="31" xfId="0" applyFont="1" applyFill="1" applyBorder="1" applyAlignment="1">
      <alignment horizontal="center" vertical="center"/>
    </xf>
    <xf numFmtId="0" fontId="12" fillId="10" borderId="27" xfId="0" applyFont="1" applyFill="1" applyBorder="1" applyAlignment="1">
      <alignment horizontal="center" vertical="center"/>
    </xf>
    <xf numFmtId="0" fontId="12" fillId="11" borderId="23" xfId="0" applyFont="1" applyFill="1" applyBorder="1" applyAlignment="1">
      <alignment horizontal="center" vertical="center"/>
    </xf>
    <xf numFmtId="0" fontId="12" fillId="11" borderId="31" xfId="0" applyFont="1" applyFill="1" applyBorder="1" applyAlignment="1">
      <alignment horizontal="center" vertical="center"/>
    </xf>
    <xf numFmtId="0" fontId="12" fillId="11" borderId="27" xfId="0" applyFont="1" applyFill="1" applyBorder="1" applyAlignment="1">
      <alignment horizontal="center" vertical="center"/>
    </xf>
    <xf numFmtId="0" fontId="12" fillId="15" borderId="23" xfId="0" applyFont="1" applyFill="1" applyBorder="1" applyAlignment="1">
      <alignment horizontal="center" vertical="center"/>
    </xf>
    <xf numFmtId="0" fontId="12" fillId="15" borderId="31" xfId="0" applyFont="1" applyFill="1" applyBorder="1" applyAlignment="1">
      <alignment horizontal="center" vertical="center"/>
    </xf>
    <xf numFmtId="0" fontId="12" fillId="15" borderId="27" xfId="0" applyFont="1" applyFill="1" applyBorder="1" applyAlignment="1">
      <alignment horizontal="center" vertical="center"/>
    </xf>
    <xf numFmtId="0" fontId="12" fillId="2" borderId="23" xfId="0" applyFont="1" applyFill="1" applyBorder="1" applyAlignment="1">
      <alignment horizontal="center" vertical="center"/>
    </xf>
    <xf numFmtId="0" fontId="12" fillId="2" borderId="31" xfId="0" applyFont="1" applyFill="1" applyBorder="1" applyAlignment="1">
      <alignment horizontal="center" vertical="center"/>
    </xf>
    <xf numFmtId="0" fontId="12" fillId="2" borderId="27" xfId="0" applyFont="1" applyFill="1" applyBorder="1" applyAlignment="1">
      <alignment horizontal="center" vertical="center"/>
    </xf>
    <xf numFmtId="0" fontId="12" fillId="12" borderId="1" xfId="0" applyFont="1" applyFill="1" applyBorder="1" applyAlignment="1">
      <alignment horizontal="center" vertical="center" wrapText="1"/>
    </xf>
    <xf numFmtId="172" fontId="12" fillId="10" borderId="21" xfId="2" applyNumberFormat="1" applyFont="1" applyFill="1" applyBorder="1" applyAlignment="1">
      <alignment horizontal="center" vertical="center" wrapText="1"/>
    </xf>
    <xf numFmtId="172" fontId="12" fillId="10" borderId="70" xfId="2" applyNumberFormat="1" applyFont="1" applyFill="1" applyBorder="1" applyAlignment="1">
      <alignment horizontal="center" vertical="center" wrapText="1"/>
    </xf>
    <xf numFmtId="0" fontId="0" fillId="0" borderId="0" xfId="0" applyFill="1" applyBorder="1" applyAlignment="1">
      <alignment horizontal="center"/>
    </xf>
    <xf numFmtId="0" fontId="0" fillId="0" borderId="0" xfId="0" applyBorder="1" applyAlignment="1">
      <alignment horizontal="center"/>
    </xf>
    <xf numFmtId="0" fontId="17" fillId="9" borderId="1" xfId="0" applyFont="1" applyFill="1" applyBorder="1" applyAlignment="1">
      <alignment horizontal="center"/>
    </xf>
    <xf numFmtId="0" fontId="17" fillId="6" borderId="19" xfId="0" applyFont="1" applyFill="1" applyBorder="1" applyAlignment="1">
      <alignment horizontal="center" vertical="center"/>
    </xf>
    <xf numFmtId="0" fontId="17" fillId="5" borderId="1" xfId="0" applyFont="1" applyFill="1" applyBorder="1" applyAlignment="1">
      <alignment horizontal="center"/>
    </xf>
    <xf numFmtId="0" fontId="17" fillId="5" borderId="23" xfId="0" applyFont="1" applyFill="1" applyBorder="1" applyAlignment="1">
      <alignment horizontal="center"/>
    </xf>
    <xf numFmtId="0" fontId="17" fillId="8" borderId="23" xfId="0" applyFont="1" applyFill="1" applyBorder="1" applyAlignment="1">
      <alignment horizontal="center"/>
    </xf>
    <xf numFmtId="0" fontId="17" fillId="8" borderId="31" xfId="0" applyFont="1" applyFill="1" applyBorder="1" applyAlignment="1">
      <alignment horizontal="center"/>
    </xf>
    <xf numFmtId="0" fontId="17" fillId="4" borderId="46" xfId="0" applyFont="1" applyFill="1" applyBorder="1" applyAlignment="1">
      <alignment horizontal="center"/>
    </xf>
    <xf numFmtId="0" fontId="17" fillId="4" borderId="50" xfId="0" applyFont="1" applyFill="1" applyBorder="1" applyAlignment="1">
      <alignment horizontal="center"/>
    </xf>
    <xf numFmtId="0" fontId="17" fillId="5" borderId="38" xfId="0" applyFont="1" applyFill="1" applyBorder="1" applyAlignment="1">
      <alignment horizontal="center" vertical="center" wrapText="1"/>
    </xf>
    <xf numFmtId="0" fontId="17" fillId="5" borderId="39" xfId="0" applyFont="1" applyFill="1" applyBorder="1" applyAlignment="1">
      <alignment horizontal="center" vertical="center" wrapText="1"/>
    </xf>
    <xf numFmtId="0" fontId="17" fillId="5" borderId="40" xfId="0" applyFont="1" applyFill="1" applyBorder="1" applyAlignment="1">
      <alignment horizontal="center" vertical="center" wrapText="1"/>
    </xf>
    <xf numFmtId="0" fontId="17" fillId="5" borderId="33"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41" xfId="0" applyFont="1" applyFill="1" applyBorder="1" applyAlignment="1">
      <alignment horizontal="center" vertical="center" wrapText="1"/>
    </xf>
    <xf numFmtId="0" fontId="17" fillId="5" borderId="42" xfId="0" applyFont="1" applyFill="1" applyBorder="1" applyAlignment="1">
      <alignment horizontal="center" vertical="center" wrapText="1"/>
    </xf>
    <xf numFmtId="0" fontId="17" fillId="5" borderId="43" xfId="0" applyFont="1" applyFill="1" applyBorder="1" applyAlignment="1">
      <alignment horizontal="center" vertical="center" wrapText="1"/>
    </xf>
    <xf numFmtId="0" fontId="17" fillId="5" borderId="44" xfId="0" applyFont="1" applyFill="1" applyBorder="1" applyAlignment="1">
      <alignment horizontal="center" vertical="center" wrapText="1"/>
    </xf>
    <xf numFmtId="0" fontId="12" fillId="0" borderId="16" xfId="0" applyFont="1" applyFill="1" applyBorder="1" applyAlignment="1">
      <alignment horizontal="right"/>
    </xf>
    <xf numFmtId="0" fontId="12" fillId="0" borderId="45" xfId="0" applyFont="1" applyFill="1" applyBorder="1" applyAlignment="1">
      <alignment horizontal="right"/>
    </xf>
    <xf numFmtId="0" fontId="12" fillId="0" borderId="32" xfId="0" applyFont="1" applyFill="1" applyBorder="1" applyAlignment="1">
      <alignment horizontal="right"/>
    </xf>
    <xf numFmtId="0" fontId="12" fillId="0" borderId="5" xfId="0" applyFont="1" applyBorder="1" applyAlignment="1">
      <alignment horizontal="center"/>
    </xf>
    <xf numFmtId="0" fontId="12" fillId="0" borderId="7" xfId="0" applyFont="1" applyBorder="1" applyAlignment="1">
      <alignment horizontal="center"/>
    </xf>
    <xf numFmtId="165" fontId="12" fillId="0" borderId="16" xfId="0" applyNumberFormat="1" applyFont="1" applyBorder="1" applyAlignment="1">
      <alignment horizontal="center" vertical="center" wrapText="1"/>
    </xf>
    <xf numFmtId="165" fontId="12" fillId="0" borderId="45" xfId="0" applyNumberFormat="1" applyFont="1" applyBorder="1" applyAlignment="1">
      <alignment horizontal="center" vertical="center" wrapText="1"/>
    </xf>
    <xf numFmtId="165" fontId="12" fillId="0" borderId="32" xfId="0" applyNumberFormat="1" applyFont="1" applyBorder="1" applyAlignment="1">
      <alignment horizontal="center" vertical="center" wrapText="1"/>
    </xf>
    <xf numFmtId="0" fontId="13" fillId="0" borderId="16" xfId="0" applyFont="1" applyBorder="1" applyAlignment="1">
      <alignment horizontal="right" vertical="center" wrapText="1"/>
    </xf>
    <xf numFmtId="0" fontId="13" fillId="0" borderId="45" xfId="0" applyFont="1" applyBorder="1" applyAlignment="1">
      <alignment horizontal="right" vertical="center" wrapText="1"/>
    </xf>
    <xf numFmtId="0" fontId="13" fillId="0" borderId="32" xfId="0" applyFont="1" applyBorder="1" applyAlignment="1">
      <alignment horizontal="right" vertical="center" wrapText="1"/>
    </xf>
    <xf numFmtId="0" fontId="12" fillId="0" borderId="16"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17" fillId="6" borderId="20" xfId="0" applyFont="1" applyFill="1" applyBorder="1" applyAlignment="1">
      <alignment horizontal="center" vertical="center" wrapText="1"/>
    </xf>
    <xf numFmtId="0" fontId="24" fillId="6" borderId="49" xfId="0" applyFont="1" applyFill="1" applyBorder="1"/>
    <xf numFmtId="0" fontId="13" fillId="0" borderId="16" xfId="0" applyFont="1" applyBorder="1" applyAlignment="1">
      <alignment horizontal="right" vertical="center"/>
    </xf>
    <xf numFmtId="0" fontId="13" fillId="0" borderId="45" xfId="0" applyFont="1" applyBorder="1" applyAlignment="1">
      <alignment horizontal="right" vertical="center"/>
    </xf>
    <xf numFmtId="0" fontId="13" fillId="0" borderId="32" xfId="0" applyFont="1" applyBorder="1" applyAlignment="1">
      <alignment horizontal="right" vertical="center"/>
    </xf>
    <xf numFmtId="0" fontId="17" fillId="8" borderId="20" xfId="0" applyFont="1" applyFill="1" applyBorder="1" applyAlignment="1">
      <alignment horizontal="center" vertical="center" wrapText="1"/>
    </xf>
    <xf numFmtId="0" fontId="17" fillId="8" borderId="33" xfId="0" applyFont="1" applyFill="1" applyBorder="1" applyAlignment="1">
      <alignment horizontal="center" vertical="center" wrapText="1"/>
    </xf>
    <xf numFmtId="0" fontId="17" fillId="8" borderId="4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3" fillId="0" borderId="12" xfId="0" applyFont="1" applyBorder="1" applyAlignment="1">
      <alignment horizontal="right" vertical="center"/>
    </xf>
    <xf numFmtId="0" fontId="13" fillId="0" borderId="14" xfId="0" applyFont="1" applyBorder="1" applyAlignment="1">
      <alignment horizontal="right" vertical="center"/>
    </xf>
    <xf numFmtId="0" fontId="13" fillId="0" borderId="13" xfId="0" applyFont="1" applyBorder="1" applyAlignment="1">
      <alignment horizontal="right" vertical="center"/>
    </xf>
    <xf numFmtId="0" fontId="17" fillId="6" borderId="1" xfId="0" applyFont="1" applyFill="1" applyBorder="1" applyAlignment="1">
      <alignment horizontal="center" vertical="center"/>
    </xf>
    <xf numFmtId="0" fontId="17" fillId="13" borderId="23" xfId="0" applyFont="1" applyFill="1" applyBorder="1" applyAlignment="1">
      <alignment horizontal="left"/>
    </xf>
    <xf numFmtId="0" fontId="17" fillId="13" borderId="31" xfId="0" applyFont="1" applyFill="1" applyBorder="1" applyAlignment="1">
      <alignment horizontal="left"/>
    </xf>
    <xf numFmtId="0" fontId="17" fillId="13" borderId="27" xfId="0" applyFont="1" applyFill="1" applyBorder="1" applyAlignment="1">
      <alignment horizontal="left"/>
    </xf>
    <xf numFmtId="0" fontId="17" fillId="7" borderId="1" xfId="0" applyFont="1" applyFill="1" applyBorder="1" applyAlignment="1">
      <alignment horizontal="left"/>
    </xf>
    <xf numFmtId="0" fontId="17" fillId="4" borderId="19" xfId="0" applyFont="1" applyFill="1" applyBorder="1"/>
    <xf numFmtId="0" fontId="13" fillId="0" borderId="22" xfId="0" applyFont="1" applyFill="1" applyBorder="1" applyAlignment="1">
      <alignment horizontal="left" wrapText="1"/>
    </xf>
    <xf numFmtId="0" fontId="12" fillId="0" borderId="1" xfId="0" applyFont="1" applyBorder="1" applyAlignment="1">
      <alignment horizontal="center"/>
    </xf>
    <xf numFmtId="0" fontId="12" fillId="0" borderId="1" xfId="0" applyFont="1" applyFill="1" applyBorder="1" applyAlignment="1">
      <alignment horizontal="right"/>
    </xf>
    <xf numFmtId="0" fontId="36" fillId="0" borderId="1" xfId="0" applyFont="1" applyBorder="1" applyAlignment="1">
      <alignment horizontal="center" vertical="center"/>
    </xf>
    <xf numFmtId="0" fontId="36" fillId="0" borderId="23" xfId="0" applyFont="1" applyBorder="1" applyAlignment="1">
      <alignment horizontal="center" vertical="center"/>
    </xf>
    <xf numFmtId="0" fontId="17" fillId="5" borderId="1" xfId="0" applyFont="1" applyFill="1" applyBorder="1" applyAlignment="1">
      <alignment vertical="center" wrapText="1"/>
    </xf>
    <xf numFmtId="0" fontId="17" fillId="5" borderId="19" xfId="0" applyFont="1" applyFill="1" applyBorder="1" applyAlignment="1">
      <alignment vertical="center" wrapText="1"/>
    </xf>
    <xf numFmtId="165" fontId="12" fillId="0" borderId="38" xfId="0" applyNumberFormat="1" applyFont="1" applyBorder="1" applyAlignment="1">
      <alignment horizontal="center" vertical="center"/>
    </xf>
    <xf numFmtId="165" fontId="12" fillId="0" borderId="39" xfId="0" applyNumberFormat="1" applyFont="1" applyBorder="1" applyAlignment="1">
      <alignment horizontal="center" vertical="center"/>
    </xf>
    <xf numFmtId="165" fontId="12" fillId="0" borderId="40" xfId="0" applyNumberFormat="1" applyFont="1" applyBorder="1" applyAlignment="1">
      <alignment horizontal="center" vertical="center"/>
    </xf>
  </cellXfs>
  <cellStyles count="11">
    <cellStyle name="Comma" xfId="1" builtinId="3"/>
    <cellStyle name="Comma 2" xfId="2"/>
    <cellStyle name="Comma 2 2" xfId="9"/>
    <cellStyle name="Currency" xfId="3" builtinId="4"/>
    <cellStyle name="Currency 2" xfId="4"/>
    <cellStyle name="Currency 2 2" xfId="10"/>
    <cellStyle name="Normal" xfId="0" builtinId="0"/>
    <cellStyle name="Normal 2" xfId="5"/>
    <cellStyle name="Percent" xfId="6" builtinId="5"/>
    <cellStyle name="Percent 2" xfId="7"/>
    <cellStyle name="Percent 2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workbookViewId="0">
      <selection sqref="A1:F1"/>
    </sheetView>
  </sheetViews>
  <sheetFormatPr defaultRowHeight="12.75" x14ac:dyDescent="0.2"/>
  <cols>
    <col min="1" max="6" width="20.7109375" customWidth="1"/>
    <col min="7" max="7" width="8.7109375" customWidth="1"/>
    <col min="8" max="8" width="18.7109375" customWidth="1"/>
  </cols>
  <sheetData>
    <row r="1" spans="1:8" ht="20.100000000000001" customHeight="1" x14ac:dyDescent="0.2">
      <c r="A1" s="704" t="s">
        <v>360</v>
      </c>
      <c r="B1" s="704"/>
      <c r="C1" s="704"/>
      <c r="D1" s="704"/>
      <c r="E1" s="704"/>
      <c r="F1" s="704"/>
      <c r="H1" s="669">
        <v>44260</v>
      </c>
    </row>
    <row r="2" spans="1:8" ht="15" x14ac:dyDescent="0.2">
      <c r="A2" s="705"/>
      <c r="B2" s="705"/>
      <c r="C2" s="705"/>
      <c r="D2" s="705"/>
      <c r="E2" s="705"/>
      <c r="F2" s="705"/>
      <c r="H2" s="670" t="s">
        <v>24</v>
      </c>
    </row>
    <row r="3" spans="1:8" ht="15.75" x14ac:dyDescent="0.2">
      <c r="A3" s="671"/>
      <c r="B3" s="671"/>
      <c r="C3" s="672"/>
      <c r="D3" s="673"/>
      <c r="E3" s="674"/>
      <c r="F3" s="675"/>
    </row>
    <row r="4" spans="1:8" ht="20.100000000000001" customHeight="1" x14ac:dyDescent="0.2">
      <c r="A4" s="706" t="s">
        <v>354</v>
      </c>
      <c r="B4" s="706"/>
      <c r="C4" s="699">
        <v>1.0871</v>
      </c>
    </row>
    <row r="5" spans="1:8" ht="5.0999999999999996" customHeight="1" x14ac:dyDescent="0.2">
      <c r="A5" s="677"/>
      <c r="B5" s="677"/>
      <c r="C5" s="676"/>
    </row>
    <row r="6" spans="1:8" ht="63" x14ac:dyDescent="0.2">
      <c r="A6" s="678" t="s">
        <v>7</v>
      </c>
      <c r="B6" s="679" t="s">
        <v>355</v>
      </c>
      <c r="C6" s="680" t="s">
        <v>356</v>
      </c>
      <c r="D6" s="681" t="s">
        <v>357</v>
      </c>
      <c r="E6" s="682" t="s">
        <v>358</v>
      </c>
      <c r="F6" s="683" t="s">
        <v>359</v>
      </c>
    </row>
    <row r="7" spans="1:8" ht="20.100000000000001" customHeight="1" x14ac:dyDescent="0.2">
      <c r="A7" s="684" t="s">
        <v>16</v>
      </c>
      <c r="B7" s="685">
        <f>'3rd IA Load Pricing Results'!I42</f>
        <v>1.0773346362068681</v>
      </c>
      <c r="C7" s="686">
        <f>'UCAP Oblig.-ZCP'!N6</f>
        <v>2810.8091592491669</v>
      </c>
      <c r="D7" s="687">
        <f>'UCAP Oblig.-ZCP'!O6</f>
        <v>167.68498893384771</v>
      </c>
      <c r="E7" s="688">
        <f>'UCAP Oblig.-ZCP'!P6</f>
        <v>2.9570410555525819</v>
      </c>
      <c r="F7" s="689">
        <f>'UCAP Oblig.-ZCP'!Q6</f>
        <v>164.72794787829511</v>
      </c>
    </row>
    <row r="8" spans="1:8" ht="20.100000000000001" customHeight="1" x14ac:dyDescent="0.2">
      <c r="A8" s="684" t="s">
        <v>29</v>
      </c>
      <c r="B8" s="685">
        <f>'3rd IA Load Pricing Results'!I43</f>
        <v>1.1116844497964109</v>
      </c>
      <c r="C8" s="686">
        <f>'UCAP Oblig.-ZCP'!N7</f>
        <v>13005.524518885377</v>
      </c>
      <c r="D8" s="687">
        <f>'UCAP Oblig.-ZCP'!O7</f>
        <v>142.16406348311304</v>
      </c>
      <c r="E8" s="688">
        <f>'UCAP Oblig.-ZCP'!P7</f>
        <v>0</v>
      </c>
      <c r="F8" s="689">
        <f>'UCAP Oblig.-ZCP'!Q7</f>
        <v>142.16406348311304</v>
      </c>
    </row>
    <row r="9" spans="1:8" ht="20.100000000000001" customHeight="1" x14ac:dyDescent="0.2">
      <c r="A9" s="684" t="s">
        <v>19</v>
      </c>
      <c r="B9" s="685">
        <f>'3rd IA Load Pricing Results'!I44</f>
        <v>1.0736974074412349</v>
      </c>
      <c r="C9" s="686">
        <f>'UCAP Oblig.-ZCP'!N8</f>
        <v>10061.405813045139</v>
      </c>
      <c r="D9" s="687">
        <f>'UCAP Oblig.-ZCP'!O8</f>
        <v>142.16406348311304</v>
      </c>
      <c r="E9" s="688">
        <f>'UCAP Oblig.-ZCP'!P8</f>
        <v>0</v>
      </c>
      <c r="F9" s="689">
        <f>'UCAP Oblig.-ZCP'!Q8</f>
        <v>142.16406348311304</v>
      </c>
    </row>
    <row r="10" spans="1:8" ht="20.100000000000001" customHeight="1" x14ac:dyDescent="0.2">
      <c r="A10" s="684" t="s">
        <v>43</v>
      </c>
      <c r="B10" s="685">
        <f>'3rd IA Load Pricing Results'!I45</f>
        <v>1.1204557394281516</v>
      </c>
      <c r="C10" s="686">
        <f>'UCAP Oblig.-ZCP'!N9</f>
        <v>13995.365020478628</v>
      </c>
      <c r="D10" s="687">
        <f>'UCAP Oblig.-ZCP'!O9</f>
        <v>167.98847971056921</v>
      </c>
      <c r="E10" s="688">
        <f>'UCAP Oblig.-ZCP'!P9</f>
        <v>7.776613070453398</v>
      </c>
      <c r="F10" s="689">
        <f>'UCAP Oblig.-ZCP'!Q9</f>
        <v>160.2118666401158</v>
      </c>
    </row>
    <row r="11" spans="1:8" ht="20.100000000000001" customHeight="1" x14ac:dyDescent="0.2">
      <c r="A11" s="684" t="s">
        <v>11</v>
      </c>
      <c r="B11" s="685">
        <f>'3rd IA Load Pricing Results'!I46</f>
        <v>1.0886229380575154</v>
      </c>
      <c r="C11" s="686">
        <f>'UCAP Oblig.-ZCP'!N10</f>
        <v>7491.1878344415172</v>
      </c>
      <c r="D11" s="687">
        <f>'UCAP Oblig.-ZCP'!O10</f>
        <v>204.45903433239633</v>
      </c>
      <c r="E11" s="688">
        <f>'UCAP Oblig.-ZCP'!P10</f>
        <v>40.961343365134027</v>
      </c>
      <c r="F11" s="689">
        <f>'UCAP Oblig.-ZCP'!Q10</f>
        <v>163.49769096726232</v>
      </c>
    </row>
    <row r="12" spans="1:8" ht="20.100000000000001" customHeight="1" x14ac:dyDescent="0.2">
      <c r="A12" s="684" t="s">
        <v>20</v>
      </c>
      <c r="B12" s="685">
        <f>'3rd IA Load Pricing Results'!I47</f>
        <v>1.1303808420218324</v>
      </c>
      <c r="C12" s="686">
        <f>'UCAP Oblig.-ZCP'!N11</f>
        <v>22721.196377062159</v>
      </c>
      <c r="D12" s="687">
        <f>'UCAP Oblig.-ZCP'!O11</f>
        <v>198.43038760181514</v>
      </c>
      <c r="E12" s="688">
        <f>'UCAP Oblig.-ZCP'!P11</f>
        <v>0</v>
      </c>
      <c r="F12" s="689">
        <f>'UCAP Oblig.-ZCP'!Q11</f>
        <v>198.43038760181514</v>
      </c>
    </row>
    <row r="13" spans="1:8" ht="20.100000000000001" customHeight="1" x14ac:dyDescent="0.2">
      <c r="A13" s="684" t="s">
        <v>21</v>
      </c>
      <c r="B13" s="685">
        <f>'3rd IA Load Pricing Results'!I48</f>
        <v>1.1425594889208537</v>
      </c>
      <c r="C13" s="686">
        <f>'UCAP Oblig.-ZCP'!N12</f>
        <v>3875.2784316662833</v>
      </c>
      <c r="D13" s="687">
        <f>'UCAP Oblig.-ZCP'!O12</f>
        <v>142.16406348311304</v>
      </c>
      <c r="E13" s="688">
        <f>'UCAP Oblig.-ZCP'!P12</f>
        <v>0</v>
      </c>
      <c r="F13" s="689">
        <f>'UCAP Oblig.-ZCP'!Q12</f>
        <v>142.16406348311304</v>
      </c>
    </row>
    <row r="14" spans="1:8" ht="20.100000000000001" customHeight="1" x14ac:dyDescent="0.2">
      <c r="A14" s="684" t="s">
        <v>50</v>
      </c>
      <c r="B14" s="685">
        <f>'3rd IA Load Pricing Results'!I49</f>
        <v>1.1389063519245426</v>
      </c>
      <c r="C14" s="686">
        <f>'UCAP Oblig.-ZCP'!N13</f>
        <v>5191.1270430588393</v>
      </c>
      <c r="D14" s="687">
        <f>'UCAP Oblig.-ZCP'!O13</f>
        <v>142.16406348311304</v>
      </c>
      <c r="E14" s="688">
        <f>'UCAP Oblig.-ZCP'!P13</f>
        <v>0</v>
      </c>
      <c r="F14" s="689">
        <f>'UCAP Oblig.-ZCP'!Q13</f>
        <v>142.16406348311304</v>
      </c>
    </row>
    <row r="15" spans="1:8" ht="20.100000000000001" customHeight="1" x14ac:dyDescent="0.2">
      <c r="A15" s="684" t="s">
        <v>42</v>
      </c>
      <c r="B15" s="685">
        <f>'3rd IA Load Pricing Results'!I50</f>
        <v>1.1086819253344946</v>
      </c>
      <c r="C15" s="686">
        <f>'UCAP Oblig.-ZCP'!N14</f>
        <v>3085.4351898396899</v>
      </c>
      <c r="D15" s="687">
        <f>'UCAP Oblig.-ZCP'!O14</f>
        <v>142.16406348311304</v>
      </c>
      <c r="E15" s="688">
        <f>'UCAP Oblig.-ZCP'!P14</f>
        <v>0</v>
      </c>
      <c r="F15" s="689">
        <f>'UCAP Oblig.-ZCP'!Q14</f>
        <v>142.16406348311304</v>
      </c>
    </row>
    <row r="16" spans="1:8" ht="20.100000000000001" customHeight="1" x14ac:dyDescent="0.2">
      <c r="A16" s="684" t="s">
        <v>30</v>
      </c>
      <c r="B16" s="685">
        <f>'3rd IA Load Pricing Results'!I51</f>
        <v>1.068965235172332</v>
      </c>
      <c r="C16" s="686">
        <f>'UCAP Oblig.-ZCP'!N15</f>
        <v>22932.447169824103</v>
      </c>
      <c r="D16" s="687">
        <f>'UCAP Oblig.-ZCP'!O15</f>
        <v>142.16406348311304</v>
      </c>
      <c r="E16" s="688">
        <f>'UCAP Oblig.-ZCP'!P15</f>
        <v>0</v>
      </c>
      <c r="F16" s="689">
        <f>'UCAP Oblig.-ZCP'!Q15</f>
        <v>142.16406348311304</v>
      </c>
    </row>
    <row r="17" spans="1:6" ht="20.100000000000001" customHeight="1" x14ac:dyDescent="0.2">
      <c r="A17" s="684" t="s">
        <v>17</v>
      </c>
      <c r="B17" s="685">
        <f>'3rd IA Load Pricing Results'!I52</f>
        <v>1.0661247671636429</v>
      </c>
      <c r="C17" s="686">
        <f>'UCAP Oblig.-ZCP'!N16</f>
        <v>4369.3705636261575</v>
      </c>
      <c r="D17" s="687">
        <f>'UCAP Oblig.-ZCP'!O16</f>
        <v>167.68498893384771</v>
      </c>
      <c r="E17" s="688">
        <f>'UCAP Oblig.-ZCP'!P16</f>
        <v>2.9570410555525819</v>
      </c>
      <c r="F17" s="689">
        <f>'UCAP Oblig.-ZCP'!Q16</f>
        <v>164.72794787829511</v>
      </c>
    </row>
    <row r="18" spans="1:6" ht="20.100000000000001" customHeight="1" x14ac:dyDescent="0.2">
      <c r="A18" s="684" t="s">
        <v>116</v>
      </c>
      <c r="B18" s="685">
        <f>'3rd IA Load Pricing Results'!I53</f>
        <v>1.087483162491214</v>
      </c>
      <c r="C18" s="686">
        <f>'UCAP Oblig.-ZCP'!N17</f>
        <v>2704.5256794365432</v>
      </c>
      <c r="D18" s="687">
        <f>'UCAP Oblig.-ZCP'!O17</f>
        <v>142.16406348311304</v>
      </c>
      <c r="E18" s="688">
        <f>'UCAP Oblig.-ZCP'!P17</f>
        <v>0</v>
      </c>
      <c r="F18" s="689">
        <f>'UCAP Oblig.-ZCP'!Q17</f>
        <v>142.16406348311304</v>
      </c>
    </row>
    <row r="19" spans="1:6" ht="20.100000000000001" customHeight="1" x14ac:dyDescent="0.2">
      <c r="A19" s="684" t="s">
        <v>12</v>
      </c>
      <c r="B19" s="685">
        <f>'3rd IA Load Pricing Results'!I54</f>
        <v>1.0345244805719409</v>
      </c>
      <c r="C19" s="686">
        <f>'UCAP Oblig.-ZCP'!N18</f>
        <v>6601.5872738106727</v>
      </c>
      <c r="D19" s="687">
        <f>'UCAP Oblig.-ZCP'!O18</f>
        <v>167.68498893384771</v>
      </c>
      <c r="E19" s="688">
        <f>'UCAP Oblig.-ZCP'!P18</f>
        <v>2.9570410555525823</v>
      </c>
      <c r="F19" s="689">
        <f>'UCAP Oblig.-ZCP'!Q18</f>
        <v>164.72794787829511</v>
      </c>
    </row>
    <row r="20" spans="1:6" ht="20.100000000000001" customHeight="1" x14ac:dyDescent="0.2">
      <c r="A20" s="684" t="s">
        <v>13</v>
      </c>
      <c r="B20" s="685">
        <f>'3rd IA Load Pricing Results'!I55</f>
        <v>1.0951120287510201</v>
      </c>
      <c r="C20" s="686">
        <f>'UCAP Oblig.-ZCP'!N19</f>
        <v>3476.249156449283</v>
      </c>
      <c r="D20" s="687">
        <f>'UCAP Oblig.-ZCP'!O19</f>
        <v>142.16406348311304</v>
      </c>
      <c r="E20" s="688">
        <f>'UCAP Oblig.-ZCP'!P19</f>
        <v>0</v>
      </c>
      <c r="F20" s="689">
        <f>'UCAP Oblig.-ZCP'!Q19</f>
        <v>142.16406348311304</v>
      </c>
    </row>
    <row r="21" spans="1:6" ht="20.100000000000001" customHeight="1" x14ac:dyDescent="0.2">
      <c r="A21" s="684" t="s">
        <v>9</v>
      </c>
      <c r="B21" s="685">
        <f>'3rd IA Load Pricing Results'!I56</f>
        <v>1.1086284085312221</v>
      </c>
      <c r="C21" s="686">
        <f>'UCAP Oblig.-ZCP'!N20</f>
        <v>9496.8967501646184</v>
      </c>
      <c r="D21" s="687">
        <f>'UCAP Oblig.-ZCP'!O20</f>
        <v>167.68498893384771</v>
      </c>
      <c r="E21" s="688">
        <f>'UCAP Oblig.-ZCP'!P20</f>
        <v>2.9570410555525819</v>
      </c>
      <c r="F21" s="689">
        <f>'UCAP Oblig.-ZCP'!Q20</f>
        <v>164.72794787829511</v>
      </c>
    </row>
    <row r="22" spans="1:6" ht="20.100000000000001" customHeight="1" x14ac:dyDescent="0.2">
      <c r="A22" s="684" t="s">
        <v>14</v>
      </c>
      <c r="B22" s="685">
        <f>'3rd IA Load Pricing Results'!I57</f>
        <v>1.0609571476915058</v>
      </c>
      <c r="C22" s="686">
        <f>'UCAP Oblig.-ZCP'!N21</f>
        <v>3275.5609033254377</v>
      </c>
      <c r="D22" s="687">
        <f>'UCAP Oblig.-ZCP'!O21</f>
        <v>142.16406348311304</v>
      </c>
      <c r="E22" s="688">
        <f>'UCAP Oblig.-ZCP'!P21</f>
        <v>0</v>
      </c>
      <c r="F22" s="689">
        <f>'UCAP Oblig.-ZCP'!Q21</f>
        <v>142.16406348311304</v>
      </c>
    </row>
    <row r="23" spans="1:6" ht="20.100000000000001" customHeight="1" x14ac:dyDescent="0.2">
      <c r="A23" s="684" t="s">
        <v>15</v>
      </c>
      <c r="B23" s="685">
        <f>'3rd IA Load Pricing Results'!I58</f>
        <v>1.0996824030575145</v>
      </c>
      <c r="C23" s="686">
        <f>'UCAP Oblig.-ZCP'!N22</f>
        <v>6742.4211356519672</v>
      </c>
      <c r="D23" s="687">
        <f>'UCAP Oblig.-ZCP'!O22</f>
        <v>142.16406348311304</v>
      </c>
      <c r="E23" s="688">
        <f>'UCAP Oblig.-ZCP'!P22</f>
        <v>0</v>
      </c>
      <c r="F23" s="689">
        <f>'UCAP Oblig.-ZCP'!Q22</f>
        <v>142.16406348311304</v>
      </c>
    </row>
    <row r="24" spans="1:6" ht="20.100000000000001" customHeight="1" x14ac:dyDescent="0.2">
      <c r="A24" s="684" t="s">
        <v>10</v>
      </c>
      <c r="B24" s="685">
        <f>'3rd IA Load Pricing Results'!I59</f>
        <v>1.1078475501374452</v>
      </c>
      <c r="C24" s="686">
        <f>'UCAP Oblig.-ZCP'!N23</f>
        <v>8418.3440915633728</v>
      </c>
      <c r="D24" s="687">
        <f>'UCAP Oblig.-ZCP'!O23</f>
        <v>142.16406348311304</v>
      </c>
      <c r="E24" s="688">
        <f>'UCAP Oblig.-ZCP'!P23</f>
        <v>0</v>
      </c>
      <c r="F24" s="689">
        <f>'UCAP Oblig.-ZCP'!Q23</f>
        <v>142.16406348311304</v>
      </c>
    </row>
    <row r="25" spans="1:6" ht="20.100000000000001" customHeight="1" x14ac:dyDescent="0.2">
      <c r="A25" s="684" t="s">
        <v>8</v>
      </c>
      <c r="B25" s="685">
        <f>'3rd IA Load Pricing Results'!I60</f>
        <v>1.0740768592912917</v>
      </c>
      <c r="C25" s="686">
        <f>'UCAP Oblig.-ZCP'!N24</f>
        <v>10987.388454651649</v>
      </c>
      <c r="D25" s="687">
        <f>'UCAP Oblig.-ZCP'!O24</f>
        <v>209.88699461228009</v>
      </c>
      <c r="E25" s="688">
        <f>'UCAP Oblig.-ZCP'!P24</f>
        <v>21.425842680431096</v>
      </c>
      <c r="F25" s="689">
        <f>'UCAP Oblig.-ZCP'!Q24</f>
        <v>188.461151931849</v>
      </c>
    </row>
    <row r="26" spans="1:6" ht="20.100000000000001" customHeight="1" x14ac:dyDescent="0.2">
      <c r="A26" s="684" t="s">
        <v>18</v>
      </c>
      <c r="B26" s="685">
        <f>'3rd IA Load Pricing Results'!I61</f>
        <v>1.0022802399165727</v>
      </c>
      <c r="C26" s="686">
        <f>'UCAP Oblig.-ZCP'!N25</f>
        <v>441.27943376938896</v>
      </c>
      <c r="D26" s="687">
        <f>'UCAP Oblig.-ZCP'!O25</f>
        <v>167.68498893384771</v>
      </c>
      <c r="E26" s="688">
        <f>'UCAP Oblig.-ZCP'!P25</f>
        <v>2.9570410555525819</v>
      </c>
      <c r="F26" s="689">
        <f>'UCAP Oblig.-ZCP'!Q25</f>
        <v>164.72794787829511</v>
      </c>
    </row>
    <row r="27" spans="1:6" ht="20.100000000000001" customHeight="1" x14ac:dyDescent="0.2">
      <c r="A27" s="418" t="s">
        <v>24</v>
      </c>
      <c r="B27" s="690"/>
      <c r="C27" s="691">
        <f>SUM(C7:C26)</f>
        <v>161683.39999999994</v>
      </c>
      <c r="D27" s="692"/>
      <c r="E27" s="692"/>
      <c r="F27" s="692"/>
    </row>
    <row r="28" spans="1:6" ht="20.100000000000001" customHeight="1" x14ac:dyDescent="0.2"/>
    <row r="29" spans="1:6" ht="20.100000000000001" customHeight="1" x14ac:dyDescent="0.2"/>
    <row r="30" spans="1:6" ht="20.100000000000001" customHeight="1" x14ac:dyDescent="0.2"/>
    <row r="31" spans="1:6" ht="20.100000000000001" customHeight="1" x14ac:dyDescent="0.2"/>
    <row r="32" spans="1:6" ht="20.100000000000001" customHeight="1" x14ac:dyDescent="0.2"/>
    <row r="33" ht="20.100000000000001" customHeight="1" x14ac:dyDescent="0.2"/>
    <row r="34" ht="20.100000000000001" customHeight="1" x14ac:dyDescent="0.2"/>
    <row r="35" ht="20.100000000000001" customHeight="1" x14ac:dyDescent="0.2"/>
    <row r="36" ht="20.100000000000001" customHeight="1" x14ac:dyDescent="0.2"/>
    <row r="37" ht="20.100000000000001" customHeight="1" x14ac:dyDescent="0.2"/>
    <row r="38" ht="20.100000000000001" customHeight="1" x14ac:dyDescent="0.2"/>
    <row r="39" ht="20.100000000000001" customHeight="1" x14ac:dyDescent="0.2"/>
    <row r="40" ht="20.100000000000001" customHeight="1" x14ac:dyDescent="0.2"/>
    <row r="41" ht="20.100000000000001" customHeight="1" x14ac:dyDescent="0.2"/>
  </sheetData>
  <mergeCells count="3">
    <mergeCell ref="A1:F1"/>
    <mergeCell ref="A2:F2"/>
    <mergeCell ref="A4:B4"/>
  </mergeCell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7"/>
  <sheetViews>
    <sheetView zoomScaleNormal="100" workbookViewId="0"/>
  </sheetViews>
  <sheetFormatPr defaultRowHeight="12.75" x14ac:dyDescent="0.2"/>
  <cols>
    <col min="1" max="42" width="16.7109375" customWidth="1"/>
  </cols>
  <sheetData>
    <row r="1" spans="1:29" ht="18.75" x14ac:dyDescent="0.3">
      <c r="A1" s="108" t="s">
        <v>298</v>
      </c>
      <c r="B1" s="374"/>
      <c r="C1" s="374" t="s">
        <v>24</v>
      </c>
      <c r="D1" s="374"/>
      <c r="E1" s="374"/>
      <c r="F1" s="541" t="s">
        <v>24</v>
      </c>
      <c r="G1" s="374"/>
      <c r="H1" s="374"/>
      <c r="I1" s="374"/>
      <c r="J1" s="374"/>
      <c r="K1" s="374"/>
      <c r="L1" s="374"/>
      <c r="M1" s="374"/>
      <c r="N1" s="374"/>
      <c r="O1" s="374"/>
      <c r="P1" s="374"/>
      <c r="Q1" s="374"/>
      <c r="R1" s="374"/>
      <c r="S1" s="374"/>
      <c r="T1" s="374"/>
      <c r="U1" s="374"/>
      <c r="V1" s="374"/>
      <c r="W1" s="374"/>
      <c r="X1" s="374"/>
      <c r="Y1" s="374"/>
      <c r="Z1" s="374"/>
      <c r="AA1" s="374"/>
      <c r="AB1" s="374"/>
      <c r="AC1" s="374"/>
    </row>
    <row r="2" spans="1:29" ht="18.75" x14ac:dyDescent="0.3">
      <c r="A2" s="1" t="s">
        <v>24</v>
      </c>
      <c r="B2" s="374"/>
      <c r="C2" s="374" t="s">
        <v>24</v>
      </c>
      <c r="D2" s="542" t="s">
        <v>24</v>
      </c>
      <c r="E2" s="543" t="s">
        <v>24</v>
      </c>
      <c r="F2" s="374"/>
      <c r="G2" s="374"/>
      <c r="H2" s="374"/>
      <c r="I2" s="374"/>
      <c r="J2" s="374"/>
      <c r="K2" s="374"/>
      <c r="L2" s="374"/>
      <c r="M2" s="374"/>
      <c r="N2" s="374"/>
      <c r="O2" s="374"/>
      <c r="P2" s="374"/>
      <c r="Q2" s="374"/>
      <c r="R2" s="374"/>
      <c r="S2" s="374"/>
      <c r="T2" s="374"/>
      <c r="U2" s="374"/>
      <c r="V2" s="374"/>
      <c r="W2" s="374"/>
      <c r="X2" s="374"/>
      <c r="Y2" s="374"/>
      <c r="Z2" s="374"/>
      <c r="AA2" s="374"/>
      <c r="AB2" s="374"/>
      <c r="AC2" s="374"/>
    </row>
    <row r="3" spans="1:29" ht="18.75" x14ac:dyDescent="0.3">
      <c r="A3" s="544" t="s">
        <v>62</v>
      </c>
      <c r="B3" s="1"/>
      <c r="C3" s="545" t="s">
        <v>24</v>
      </c>
      <c r="D3" s="374"/>
      <c r="F3" s="432"/>
      <c r="G3" s="434"/>
      <c r="H3" s="434"/>
      <c r="I3" s="434" t="s">
        <v>24</v>
      </c>
      <c r="J3" s="374"/>
      <c r="K3" s="504"/>
      <c r="L3" s="504"/>
      <c r="AC3" s="504"/>
    </row>
    <row r="4" spans="1:29" ht="89.25" x14ac:dyDescent="0.2">
      <c r="A4" s="164" t="s">
        <v>3</v>
      </c>
      <c r="B4" s="183" t="s">
        <v>260</v>
      </c>
      <c r="C4" s="183" t="s">
        <v>282</v>
      </c>
      <c r="D4" s="183" t="s">
        <v>283</v>
      </c>
      <c r="E4" s="164" t="s">
        <v>65</v>
      </c>
      <c r="F4" s="164" t="s">
        <v>284</v>
      </c>
      <c r="G4" s="164" t="s">
        <v>73</v>
      </c>
      <c r="H4" s="164" t="s">
        <v>285</v>
      </c>
      <c r="I4" s="546" t="s">
        <v>286</v>
      </c>
      <c r="J4" s="472"/>
      <c r="M4" s="472"/>
      <c r="N4" s="472"/>
      <c r="O4" s="472"/>
      <c r="P4" s="472"/>
      <c r="Q4" s="472"/>
      <c r="R4" s="472"/>
      <c r="S4" s="472"/>
      <c r="T4" s="472"/>
      <c r="U4" s="472"/>
      <c r="V4" s="472"/>
      <c r="W4" s="472"/>
    </row>
    <row r="5" spans="1:29" x14ac:dyDescent="0.2">
      <c r="A5" s="368" t="s">
        <v>28</v>
      </c>
      <c r="B5" s="547">
        <f>'1st IA Load Pricing Results'!B14</f>
        <v>64430.099617227199</v>
      </c>
      <c r="C5" s="548">
        <f>'BRA Resource Clearing Results'!F27-'1stIA Resource Clearing Results'!D26</f>
        <v>67253.799999999988</v>
      </c>
      <c r="D5" s="552">
        <f>B5-C5</f>
        <v>-2823.7003827727895</v>
      </c>
      <c r="E5" s="113">
        <v>0</v>
      </c>
      <c r="F5" s="48">
        <f t="shared" ref="F5:F16" si="0">D5-E5</f>
        <v>-2823.7003827727895</v>
      </c>
      <c r="G5" s="48">
        <f>'1st IA ICTRs'!C32</f>
        <v>0</v>
      </c>
      <c r="H5" s="48">
        <f>'1st IA ICTRs'!C13+'1st IA ICTRs'!C20</f>
        <v>0</v>
      </c>
      <c r="I5" s="549">
        <f t="shared" ref="I5:I16" si="1">F5-G5-H5</f>
        <v>-2823.7003827727895</v>
      </c>
      <c r="J5" s="550" t="s">
        <v>24</v>
      </c>
      <c r="K5" s="511"/>
      <c r="M5" s="516"/>
      <c r="N5" s="516"/>
      <c r="O5" s="516"/>
      <c r="P5" s="516"/>
      <c r="Q5" s="516"/>
      <c r="R5" s="516"/>
      <c r="S5" s="516"/>
      <c r="T5" s="516"/>
      <c r="U5" s="516"/>
      <c r="V5" s="516"/>
      <c r="W5" s="516"/>
    </row>
    <row r="6" spans="1:29" x14ac:dyDescent="0.2">
      <c r="A6" s="368" t="s">
        <v>33</v>
      </c>
      <c r="B6" s="547">
        <f>'1st IA Load Pricing Results'!B15</f>
        <v>34999.8903824851</v>
      </c>
      <c r="C6" s="548">
        <f>'BRA Resource Clearing Results'!F28-'1stIA Resource Clearing Results'!D27</f>
        <v>29373.599999999999</v>
      </c>
      <c r="D6" s="552">
        <v>5591.3971490788936</v>
      </c>
      <c r="E6" s="113">
        <v>0</v>
      </c>
      <c r="F6" s="551">
        <f t="shared" si="0"/>
        <v>5591.3971490788936</v>
      </c>
      <c r="G6" s="48">
        <f>'1st IA ICTRs'!D32</f>
        <v>40</v>
      </c>
      <c r="H6" s="48">
        <f>'1st IA ICTRs'!D13+'1st IA ICTRs'!D20</f>
        <v>948</v>
      </c>
      <c r="I6" s="549">
        <f t="shared" si="1"/>
        <v>4603.3971490788936</v>
      </c>
      <c r="J6" s="550" t="s">
        <v>24</v>
      </c>
      <c r="M6" s="516" t="s">
        <v>24</v>
      </c>
      <c r="N6" s="516"/>
      <c r="O6" s="516"/>
      <c r="P6" s="516"/>
      <c r="Q6" s="516"/>
      <c r="R6" s="516"/>
      <c r="S6" s="516"/>
      <c r="T6" s="516"/>
      <c r="U6" s="516"/>
      <c r="V6" s="516"/>
      <c r="W6" s="516"/>
    </row>
    <row r="7" spans="1:29" x14ac:dyDescent="0.2">
      <c r="A7" s="368" t="s">
        <v>5</v>
      </c>
      <c r="B7" s="547">
        <f>'1st IA Load Pricing Results'!B16</f>
        <v>14576.945614757286</v>
      </c>
      <c r="C7" s="548">
        <f>'BRA Resource Clearing Results'!F29-'1stIA Resource Clearing Results'!D28</f>
        <v>9839.8000000000011</v>
      </c>
      <c r="D7" s="552">
        <f t="shared" ref="D7:D16" si="2">B7-C7</f>
        <v>4737.1456147572844</v>
      </c>
      <c r="E7" s="113">
        <v>0</v>
      </c>
      <c r="F7" s="551">
        <f t="shared" si="0"/>
        <v>4737.1456147572844</v>
      </c>
      <c r="G7" s="48">
        <f>'1st IA ICTRs'!E32</f>
        <v>0</v>
      </c>
      <c r="H7" s="48">
        <f>'1st IA ICTRs'!E13+'1st IA ICTRs'!E20</f>
        <v>493</v>
      </c>
      <c r="I7" s="549">
        <f t="shared" si="1"/>
        <v>4244.1456147572844</v>
      </c>
      <c r="J7" s="550" t="s">
        <v>24</v>
      </c>
      <c r="M7" s="516"/>
      <c r="N7" s="516"/>
      <c r="O7" s="516"/>
      <c r="P7" s="516"/>
      <c r="Q7" s="516"/>
      <c r="R7" s="516"/>
      <c r="S7" s="516"/>
      <c r="T7" s="516"/>
      <c r="U7" s="516"/>
      <c r="V7" s="516"/>
      <c r="W7" s="516"/>
    </row>
    <row r="8" spans="1:29" x14ac:dyDescent="0.2">
      <c r="A8" s="368" t="s">
        <v>40</v>
      </c>
      <c r="B8" s="547">
        <f>'1st IA Load Pricing Results'!J60</f>
        <v>11007.057487898252</v>
      </c>
      <c r="C8" s="548">
        <f>'1st IA Load Pricing Results'!C30</f>
        <v>5446.7000000000007</v>
      </c>
      <c r="D8" s="552">
        <v>5557.9012796504439</v>
      </c>
      <c r="E8" s="113">
        <v>0</v>
      </c>
      <c r="F8" s="551">
        <f t="shared" si="0"/>
        <v>5557.9012796504439</v>
      </c>
      <c r="G8" s="48">
        <f>('1st IA ICTRs'!B66+'1st IA ICTRs'!B67)/L21</f>
        <v>40.666067728517362</v>
      </c>
      <c r="H8" s="44">
        <f>('1st IA ICTRs'!C66+'1st IA ICTRs'!C67)/L21</f>
        <v>531.46305290446071</v>
      </c>
      <c r="I8" s="549">
        <f>F8-G8-H8</f>
        <v>4985.772159017466</v>
      </c>
      <c r="J8" s="550" t="s">
        <v>24</v>
      </c>
      <c r="M8" s="516"/>
      <c r="N8" s="516"/>
      <c r="O8" s="516"/>
      <c r="P8" s="516"/>
      <c r="Q8" s="516"/>
      <c r="R8" s="516"/>
      <c r="S8" s="516"/>
      <c r="T8" s="516"/>
      <c r="U8" s="516"/>
      <c r="V8" s="516"/>
      <c r="W8" s="516"/>
    </row>
    <row r="9" spans="1:29" x14ac:dyDescent="0.2">
      <c r="A9" s="368" t="s">
        <v>38</v>
      </c>
      <c r="B9" s="547">
        <f>'1st IA Load Pricing Results'!J52</f>
        <v>4375.4253624375888</v>
      </c>
      <c r="C9" s="548">
        <f>'1st IA Load Pricing Results'!C33</f>
        <v>5507.6</v>
      </c>
      <c r="D9" s="552">
        <f t="shared" si="2"/>
        <v>-1132.1746375624116</v>
      </c>
      <c r="E9" s="113">
        <v>0</v>
      </c>
      <c r="F9" s="553">
        <f t="shared" si="0"/>
        <v>-1132.1746375624116</v>
      </c>
      <c r="G9" s="48">
        <f>'1st IA ICTRs'!I32</f>
        <v>0</v>
      </c>
      <c r="H9" s="44">
        <f>'1st IA ICTRs'!I13+'1st IA ICTRs'!I20</f>
        <v>0</v>
      </c>
      <c r="I9" s="549">
        <f t="shared" si="1"/>
        <v>-1132.1746375624116</v>
      </c>
      <c r="J9" s="550" t="s">
        <v>24</v>
      </c>
      <c r="M9" s="516"/>
      <c r="N9" s="516"/>
      <c r="O9" s="516"/>
      <c r="P9" s="516"/>
      <c r="Q9" s="516"/>
      <c r="R9" s="516"/>
      <c r="S9" s="516"/>
      <c r="T9" s="516"/>
      <c r="U9" s="516"/>
      <c r="V9" s="516"/>
      <c r="W9" s="516"/>
    </row>
    <row r="10" spans="1:29" x14ac:dyDescent="0.2">
      <c r="A10" s="368" t="s">
        <v>15</v>
      </c>
      <c r="B10" s="547">
        <f>'1st IA Load Pricing Results'!B17</f>
        <v>7164.3638728272945</v>
      </c>
      <c r="C10" s="548">
        <f>'BRA Resource Clearing Results'!F33-'1stIA Resource Clearing Results'!D32</f>
        <v>5652.9000000000005</v>
      </c>
      <c r="D10" s="552">
        <f t="shared" si="2"/>
        <v>1511.4638728272939</v>
      </c>
      <c r="E10" s="113">
        <v>0</v>
      </c>
      <c r="F10" s="48">
        <f t="shared" si="0"/>
        <v>1511.4638728272939</v>
      </c>
      <c r="G10" s="48">
        <f>'1st IA ICTRs'!J32</f>
        <v>0</v>
      </c>
      <c r="H10" s="48">
        <f>'1st IA ICTRs'!J13+'1st IA ICTRs'!J20</f>
        <v>175</v>
      </c>
      <c r="I10" s="549">
        <f t="shared" si="1"/>
        <v>1336.4638728272939</v>
      </c>
      <c r="J10" s="550" t="s">
        <v>24</v>
      </c>
      <c r="M10" s="516"/>
      <c r="N10" s="516"/>
      <c r="O10" s="516"/>
      <c r="P10" s="516"/>
      <c r="Q10" s="516"/>
      <c r="R10" s="516"/>
      <c r="S10" s="516"/>
      <c r="T10" s="516"/>
      <c r="U10" s="516"/>
      <c r="V10" s="516"/>
      <c r="W10" s="516"/>
    </row>
    <row r="11" spans="1:29" x14ac:dyDescent="0.2">
      <c r="A11" s="368" t="s">
        <v>43</v>
      </c>
      <c r="B11" s="547">
        <f>'1st IA Load Pricing Results'!J45</f>
        <v>14427.078222091504</v>
      </c>
      <c r="C11" s="548">
        <f>'1st IA Load Pricing Results'!C36</f>
        <v>8669.7000000000007</v>
      </c>
      <c r="D11" s="552">
        <v>5698.0449187308204</v>
      </c>
      <c r="E11" s="113">
        <v>0</v>
      </c>
      <c r="F11" s="48">
        <f t="shared" si="0"/>
        <v>5698.0449187308204</v>
      </c>
      <c r="G11" s="48">
        <v>0</v>
      </c>
      <c r="H11" s="48">
        <v>0</v>
      </c>
      <c r="I11" s="549">
        <f t="shared" si="1"/>
        <v>5698.0449187308204</v>
      </c>
      <c r="J11" s="550" t="s">
        <v>24</v>
      </c>
      <c r="M11" s="516"/>
      <c r="N11" s="516"/>
      <c r="O11" s="516"/>
      <c r="P11" s="516"/>
      <c r="Q11" s="516"/>
      <c r="R11" s="516"/>
      <c r="S11" s="516"/>
      <c r="T11" s="516"/>
      <c r="U11" s="516"/>
      <c r="V11" s="516"/>
      <c r="W11" s="516"/>
    </row>
    <row r="12" spans="1:29" x14ac:dyDescent="0.2">
      <c r="A12" s="368" t="s">
        <v>20</v>
      </c>
      <c r="B12" s="547">
        <f>'1st IA Load Pricing Results'!B18</f>
        <v>24662.552805562045</v>
      </c>
      <c r="C12" s="548">
        <f>'BRA Resource Clearing Results'!F36-'1stIA Resource Clearing Results'!D35</f>
        <v>22540.5</v>
      </c>
      <c r="D12" s="552">
        <f t="shared" si="2"/>
        <v>2122.0528055620453</v>
      </c>
      <c r="E12" s="113">
        <v>0</v>
      </c>
      <c r="F12" s="48">
        <f t="shared" si="0"/>
        <v>2122.0528055620453</v>
      </c>
      <c r="G12" s="48">
        <f>'1st IA ICTRs'!M32</f>
        <v>1376</v>
      </c>
      <c r="H12" s="48">
        <f>'1st IA ICTRs'!M13+'1st IA ICTRs'!M20</f>
        <v>0</v>
      </c>
      <c r="I12" s="549">
        <f t="shared" si="1"/>
        <v>746.05280556204525</v>
      </c>
      <c r="J12" s="550" t="s">
        <v>24</v>
      </c>
      <c r="M12" s="516"/>
      <c r="N12" s="516"/>
      <c r="O12" s="516"/>
      <c r="P12" s="516"/>
      <c r="Q12" s="516"/>
      <c r="R12" s="516"/>
      <c r="S12" s="516"/>
      <c r="T12" s="516"/>
      <c r="U12" s="516"/>
      <c r="V12" s="516"/>
      <c r="W12" s="516"/>
    </row>
    <row r="13" spans="1:29" x14ac:dyDescent="0.2">
      <c r="A13" s="368" t="s">
        <v>11</v>
      </c>
      <c r="B13" s="547">
        <f>'1st IA Load Pricing Results'!B19</f>
        <v>7412.5817419299901</v>
      </c>
      <c r="C13" s="548">
        <f>'BRA Resource Clearing Results'!F37-'1stIA Resource Clearing Results'!D36</f>
        <v>1966.7</v>
      </c>
      <c r="D13" s="548">
        <f t="shared" si="2"/>
        <v>5445.8817419299903</v>
      </c>
      <c r="E13" s="113">
        <v>0</v>
      </c>
      <c r="F13" s="48">
        <f t="shared" si="0"/>
        <v>5445.8817419299903</v>
      </c>
      <c r="G13" s="48">
        <f>'1st IA ICTRs'!K32</f>
        <v>65.7</v>
      </c>
      <c r="H13" s="48">
        <f>'1st IA ICTRs'!K13+'1st IA ICTRs'!K20</f>
        <v>306</v>
      </c>
      <c r="I13" s="549">
        <f t="shared" si="1"/>
        <v>5074.1817419299905</v>
      </c>
      <c r="J13" s="550" t="s">
        <v>24</v>
      </c>
      <c r="M13" s="516"/>
      <c r="N13" s="516"/>
      <c r="O13" s="516"/>
      <c r="P13" s="516"/>
      <c r="Q13" s="516"/>
      <c r="R13" s="516"/>
      <c r="S13" s="516"/>
      <c r="T13" s="516"/>
      <c r="U13" s="516"/>
      <c r="V13" s="516"/>
      <c r="W13" s="516"/>
    </row>
    <row r="14" spans="1:29" x14ac:dyDescent="0.2">
      <c r="A14" s="368" t="s">
        <v>10</v>
      </c>
      <c r="B14" s="547">
        <f>'1st IA Load Pricing Results'!B20</f>
        <v>8249.7316306489811</v>
      </c>
      <c r="C14" s="548">
        <f>'BRA Resource Clearing Results'!F38-'1stIA Resource Clearing Results'!D37</f>
        <v>11212.800000000001</v>
      </c>
      <c r="D14" s="548">
        <f t="shared" si="2"/>
        <v>-2963.06836935102</v>
      </c>
      <c r="E14" s="113">
        <v>0</v>
      </c>
      <c r="F14" s="48">
        <f t="shared" si="0"/>
        <v>-2963.06836935102</v>
      </c>
      <c r="G14" s="48">
        <v>0</v>
      </c>
      <c r="H14" s="48">
        <v>0</v>
      </c>
      <c r="I14" s="549">
        <f t="shared" si="1"/>
        <v>-2963.06836935102</v>
      </c>
      <c r="J14" s="550" t="s">
        <v>24</v>
      </c>
      <c r="M14" s="516"/>
      <c r="N14" s="516"/>
      <c r="O14" s="516"/>
      <c r="P14" s="516"/>
      <c r="Q14" s="516"/>
      <c r="R14" s="516"/>
      <c r="S14" s="516"/>
      <c r="T14" s="516"/>
      <c r="U14" s="516"/>
      <c r="V14" s="516"/>
      <c r="W14" s="516"/>
    </row>
    <row r="15" spans="1:29" x14ac:dyDescent="0.2">
      <c r="A15" s="115" t="s">
        <v>21</v>
      </c>
      <c r="B15" s="547">
        <f>'1st IA Load Pricing Results'!B21</f>
        <v>3775.9557917744769</v>
      </c>
      <c r="C15" s="548">
        <f>'BRA Resource Clearing Results'!F39-'1stIA Resource Clearing Results'!D38</f>
        <v>1623.7</v>
      </c>
      <c r="D15" s="548">
        <f t="shared" si="2"/>
        <v>2152.2557917744771</v>
      </c>
      <c r="E15" s="113">
        <v>0</v>
      </c>
      <c r="F15" s="48">
        <f t="shared" si="0"/>
        <v>2152.2557917744771</v>
      </c>
      <c r="G15" s="48">
        <v>0</v>
      </c>
      <c r="H15" s="48">
        <v>0</v>
      </c>
      <c r="I15" s="549">
        <f t="shared" si="1"/>
        <v>2152.2557917744771</v>
      </c>
      <c r="J15" s="550"/>
      <c r="M15" s="516"/>
      <c r="N15" s="516"/>
      <c r="O15" s="516"/>
      <c r="P15" s="516"/>
      <c r="Q15" s="516"/>
      <c r="R15" s="516"/>
      <c r="S15" s="516"/>
      <c r="T15" s="516"/>
      <c r="U15" s="516"/>
      <c r="V15" s="516"/>
      <c r="W15" s="516"/>
    </row>
    <row r="16" spans="1:29" x14ac:dyDescent="0.2">
      <c r="A16" s="554" t="s">
        <v>50</v>
      </c>
      <c r="B16" s="547">
        <f>'1st IA Load Pricing Results'!B22</f>
        <v>5167.0319928498348</v>
      </c>
      <c r="C16" s="548">
        <f>'BRA Resource Clearing Results'!F40-'1stIA Resource Clearing Results'!D39</f>
        <v>2803.3</v>
      </c>
      <c r="D16" s="548">
        <f t="shared" si="2"/>
        <v>2363.7319928498346</v>
      </c>
      <c r="E16" s="113">
        <v>0</v>
      </c>
      <c r="F16" s="48">
        <f t="shared" si="0"/>
        <v>2363.7319928498346</v>
      </c>
      <c r="G16" s="48">
        <f>'1st IA ICTRs'!L32</f>
        <v>155</v>
      </c>
      <c r="H16" s="48">
        <f>'1st IA ICTRs'!L13+'1st IA ICTRs'!L20</f>
        <v>0</v>
      </c>
      <c r="I16" s="549">
        <f t="shared" si="1"/>
        <v>2208.7319928498346</v>
      </c>
      <c r="J16" s="550"/>
      <c r="M16" s="516"/>
      <c r="N16" s="516"/>
      <c r="O16" s="516"/>
      <c r="P16" s="516"/>
      <c r="Q16" s="516"/>
      <c r="R16" s="516"/>
      <c r="S16" s="516"/>
      <c r="T16" s="516" t="s">
        <v>24</v>
      </c>
      <c r="U16" s="516"/>
      <c r="V16" s="516"/>
      <c r="W16" s="516"/>
    </row>
    <row r="17" spans="1:33" x14ac:dyDescent="0.2">
      <c r="A17" s="21" t="s">
        <v>287</v>
      </c>
      <c r="B17" s="32"/>
      <c r="C17" s="32"/>
      <c r="D17" s="55"/>
      <c r="E17" s="23"/>
      <c r="F17" s="55"/>
      <c r="G17" s="56"/>
      <c r="H17" s="555"/>
      <c r="I17" s="56"/>
      <c r="J17" s="438"/>
      <c r="K17" s="463"/>
      <c r="N17" s="516"/>
      <c r="O17" s="516"/>
      <c r="P17" s="516"/>
      <c r="Q17" s="516"/>
      <c r="R17" s="516"/>
      <c r="S17" s="516"/>
      <c r="T17" s="516" t="s">
        <v>24</v>
      </c>
      <c r="U17" s="516"/>
      <c r="V17" s="516"/>
      <c r="W17" s="516"/>
      <c r="X17" s="516"/>
      <c r="Y17" s="516"/>
      <c r="Z17" s="516"/>
      <c r="AA17" s="516"/>
      <c r="AB17" s="516"/>
    </row>
    <row r="18" spans="1:33" x14ac:dyDescent="0.2">
      <c r="A18" s="501"/>
      <c r="B18" s="15"/>
      <c r="C18" s="15"/>
      <c r="D18" s="464"/>
      <c r="E18" s="15"/>
      <c r="F18" s="464"/>
      <c r="G18" s="556"/>
      <c r="H18" s="481"/>
      <c r="I18" s="556"/>
      <c r="J18" s="438"/>
      <c r="K18" s="463"/>
      <c r="N18" s="516"/>
      <c r="O18" s="516"/>
      <c r="P18" s="516"/>
      <c r="Q18" s="516"/>
      <c r="R18" s="516"/>
      <c r="S18" s="516"/>
      <c r="T18" s="516"/>
      <c r="U18" s="516"/>
      <c r="V18" s="516"/>
      <c r="W18" s="516"/>
      <c r="X18" s="516"/>
      <c r="Y18" s="516"/>
      <c r="Z18" s="516"/>
      <c r="AA18" s="516"/>
      <c r="AB18" s="516"/>
    </row>
    <row r="19" spans="1:33" ht="14.25" x14ac:dyDescent="0.2">
      <c r="A19" s="778" t="s">
        <v>81</v>
      </c>
      <c r="B19" s="778"/>
      <c r="C19" s="778"/>
      <c r="D19" s="778"/>
      <c r="E19" s="557"/>
      <c r="F19" s="558"/>
      <c r="G19" s="558"/>
      <c r="H19" s="558"/>
      <c r="I19" s="558"/>
      <c r="J19" s="558"/>
      <c r="K19" s="558"/>
      <c r="L19" s="558"/>
      <c r="M19" s="558"/>
      <c r="N19" s="558"/>
      <c r="O19" s="558"/>
      <c r="P19" s="558"/>
      <c r="Q19" s="558"/>
      <c r="R19" s="558"/>
      <c r="S19" s="558"/>
      <c r="T19" s="558"/>
      <c r="U19" s="558"/>
      <c r="V19" s="558"/>
      <c r="W19" s="593" t="s">
        <v>24</v>
      </c>
      <c r="X19" s="558"/>
      <c r="Y19" s="558"/>
      <c r="Z19" s="558"/>
      <c r="AA19" s="558"/>
      <c r="AB19" s="558"/>
      <c r="AC19" s="558"/>
    </row>
    <row r="20" spans="1:33" ht="15" x14ac:dyDescent="0.25">
      <c r="A20" s="778"/>
      <c r="B20" s="778"/>
      <c r="C20" s="778"/>
      <c r="D20" s="778"/>
      <c r="E20" s="776" t="s">
        <v>28</v>
      </c>
      <c r="F20" s="776"/>
      <c r="G20" s="776" t="s">
        <v>33</v>
      </c>
      <c r="H20" s="776"/>
      <c r="I20" s="776" t="s">
        <v>5</v>
      </c>
      <c r="J20" s="776"/>
      <c r="K20" s="776" t="s">
        <v>40</v>
      </c>
      <c r="L20" s="776"/>
      <c r="M20" s="776" t="s">
        <v>38</v>
      </c>
      <c r="N20" s="776"/>
      <c r="O20" s="776" t="s">
        <v>15</v>
      </c>
      <c r="P20" s="776"/>
      <c r="Q20" s="776" t="s">
        <v>115</v>
      </c>
      <c r="R20" s="776"/>
      <c r="S20" s="776" t="s">
        <v>20</v>
      </c>
      <c r="T20" s="776"/>
      <c r="U20" s="776" t="s">
        <v>11</v>
      </c>
      <c r="V20" s="776"/>
      <c r="W20" s="776" t="s">
        <v>10</v>
      </c>
      <c r="X20" s="777"/>
      <c r="Y20" s="774" t="s">
        <v>21</v>
      </c>
      <c r="Z20" s="774"/>
      <c r="AA20" s="774" t="s">
        <v>50</v>
      </c>
      <c r="AB20" s="774"/>
      <c r="AC20" s="559"/>
      <c r="AD20" s="559"/>
      <c r="AE20" s="559"/>
      <c r="AF20" s="21"/>
    </row>
    <row r="21" spans="1:33" ht="45" x14ac:dyDescent="0.25">
      <c r="A21" s="779"/>
      <c r="B21" s="779"/>
      <c r="C21" s="779"/>
      <c r="D21" s="779"/>
      <c r="E21" s="560" t="s">
        <v>288</v>
      </c>
      <c r="F21" s="561">
        <f>'1st IA Load Pricing Results'!D14</f>
        <v>0</v>
      </c>
      <c r="G21" s="560" t="s">
        <v>288</v>
      </c>
      <c r="H21" s="561">
        <f>'1st IA Load Pricing Results'!D15-'1st IA Load Pricing Results'!D14</f>
        <v>25.661250408530108</v>
      </c>
      <c r="I21" s="560" t="s">
        <v>288</v>
      </c>
      <c r="J21" s="561">
        <f>'1st IA Load Pricing Results'!D16-'1st IA Load Pricing Results'!D14</f>
        <v>0</v>
      </c>
      <c r="K21" s="560" t="s">
        <v>288</v>
      </c>
      <c r="L21" s="561">
        <f>'1st IA Load Pricing Results'!D30</f>
        <v>40.817385940110519</v>
      </c>
      <c r="M21" s="560" t="s">
        <v>288</v>
      </c>
      <c r="N21" s="561">
        <f>'1st IA Load Pricing Results'!D33</f>
        <v>0</v>
      </c>
      <c r="O21" s="560" t="s">
        <v>288</v>
      </c>
      <c r="P21" s="561">
        <f>'1st IA Load Pricing Results'!D17-'1st IA Load Pricing Results'!D16</f>
        <v>0</v>
      </c>
      <c r="Q21" s="560" t="s">
        <v>288</v>
      </c>
      <c r="R21" s="562">
        <f>'1st IA Load Pricing Results'!D36</f>
        <v>28.936261808367071</v>
      </c>
      <c r="S21" s="560" t="s">
        <v>288</v>
      </c>
      <c r="T21" s="562">
        <f>'1st IA Load Pricing Results'!D18</f>
        <v>55.100483795834158</v>
      </c>
      <c r="U21" s="560" t="s">
        <v>288</v>
      </c>
      <c r="V21" s="562">
        <f>'1st IA Load Pricing Results'!D19-'1st IA Load Pricing Results'!D16</f>
        <v>59.956429552041492</v>
      </c>
      <c r="W21" s="560" t="s">
        <v>288</v>
      </c>
      <c r="X21" s="563">
        <f>'1st IA Load Pricing Results'!D20-'1st IA Load Pricing Results'!D14</f>
        <v>0</v>
      </c>
      <c r="Y21" s="560" t="s">
        <v>288</v>
      </c>
      <c r="Z21" s="562">
        <f>'1st IA Load Pricing Results'!D21</f>
        <v>0</v>
      </c>
      <c r="AA21" s="560" t="s">
        <v>288</v>
      </c>
      <c r="AB21" s="562">
        <f>'1st IA Load Pricing Results'!D22</f>
        <v>0</v>
      </c>
      <c r="AC21" s="564"/>
      <c r="AD21" s="559"/>
      <c r="AE21" s="559"/>
      <c r="AF21" s="21"/>
    </row>
    <row r="22" spans="1:33" ht="76.5" x14ac:dyDescent="0.2">
      <c r="A22" s="565" t="s">
        <v>7</v>
      </c>
      <c r="B22" s="190" t="s">
        <v>27</v>
      </c>
      <c r="C22" s="190" t="s">
        <v>26</v>
      </c>
      <c r="D22" s="190" t="s">
        <v>31</v>
      </c>
      <c r="E22" s="190" t="s">
        <v>289</v>
      </c>
      <c r="F22" s="190" t="s">
        <v>290</v>
      </c>
      <c r="G22" s="190" t="s">
        <v>289</v>
      </c>
      <c r="H22" s="190" t="s">
        <v>290</v>
      </c>
      <c r="I22" s="190" t="s">
        <v>289</v>
      </c>
      <c r="J22" s="190" t="s">
        <v>290</v>
      </c>
      <c r="K22" s="190" t="s">
        <v>289</v>
      </c>
      <c r="L22" s="190" t="s">
        <v>290</v>
      </c>
      <c r="M22" s="190" t="s">
        <v>289</v>
      </c>
      <c r="N22" s="190" t="s">
        <v>290</v>
      </c>
      <c r="O22" s="190" t="s">
        <v>289</v>
      </c>
      <c r="P22" s="190" t="s">
        <v>290</v>
      </c>
      <c r="Q22" s="190" t="s">
        <v>289</v>
      </c>
      <c r="R22" s="190" t="s">
        <v>290</v>
      </c>
      <c r="S22" s="190" t="s">
        <v>289</v>
      </c>
      <c r="T22" s="190" t="s">
        <v>290</v>
      </c>
      <c r="U22" s="190" t="s">
        <v>289</v>
      </c>
      <c r="V22" s="190" t="s">
        <v>290</v>
      </c>
      <c r="W22" s="190" t="s">
        <v>289</v>
      </c>
      <c r="X22" s="566" t="s">
        <v>290</v>
      </c>
      <c r="Y22" s="190" t="s">
        <v>289</v>
      </c>
      <c r="Z22" s="566" t="s">
        <v>290</v>
      </c>
      <c r="AA22" s="190" t="s">
        <v>289</v>
      </c>
      <c r="AB22" s="566" t="s">
        <v>290</v>
      </c>
      <c r="AC22" s="190" t="s">
        <v>291</v>
      </c>
      <c r="AD22" s="190" t="s">
        <v>292</v>
      </c>
      <c r="AE22" s="567" t="s">
        <v>293</v>
      </c>
      <c r="AF22" s="567" t="s">
        <v>294</v>
      </c>
      <c r="AG22" s="565" t="s">
        <v>7</v>
      </c>
    </row>
    <row r="23" spans="1:33" x14ac:dyDescent="0.2">
      <c r="A23" s="22" t="s">
        <v>16</v>
      </c>
      <c r="B23" s="91" t="s">
        <v>28</v>
      </c>
      <c r="C23" s="91" t="s">
        <v>33</v>
      </c>
      <c r="D23" s="91"/>
      <c r="E23" s="142">
        <f>IF(B23="MAAC",$I$5*'1st IA Load Pricing Results'!J42/'1st IA Load Pricing Results'!$B$14,0)</f>
        <v>-118.63554280417036</v>
      </c>
      <c r="F23" s="568">
        <f>E23*$F$21</f>
        <v>0</v>
      </c>
      <c r="G23" s="142">
        <f>IF(C23="EMAAC",$I$6*'1st IA Load Pricing Results'!J42/'1st IA Load Pricing Results'!$B$15,0)</f>
        <v>356.03834371493002</v>
      </c>
      <c r="H23" s="568">
        <f>G23*$H$21</f>
        <v>9136.389093107131</v>
      </c>
      <c r="I23" s="142">
        <f>IF(C23="SWMAAC",$I$7*'1st IA Load Pricing Results'!J42/'1st IA Load Pricing Results'!$B$16,0)</f>
        <v>0</v>
      </c>
      <c r="J23" s="568">
        <f>I23*$J$21</f>
        <v>0</v>
      </c>
      <c r="K23" s="142">
        <f>IF(D23="PS",$I$8*'1st IA Load Pricing Results'!J42/'1st IA Load Pricing Results'!$J$60,0)</f>
        <v>0</v>
      </c>
      <c r="L23" s="568">
        <f>K23*$L$21</f>
        <v>0</v>
      </c>
      <c r="M23" s="142">
        <f>IF(D23="DPL",$I$9*'1st IA Load Pricing Results'!J42/'1st IA Load Pricing Results'!$J$52,0)</f>
        <v>0</v>
      </c>
      <c r="N23" s="568">
        <f>M23*$N$21</f>
        <v>0</v>
      </c>
      <c r="O23" s="142">
        <f>IF(D23="PEPCO",$I$10*'1st IA Load Pricing Results'!J42/'1st IA Load Pricing Results'!$J$58,0)</f>
        <v>0</v>
      </c>
      <c r="P23" s="568">
        <f>O23*$P$21</f>
        <v>0</v>
      </c>
      <c r="Q23" s="142">
        <f>IF(D23="ATSI",$I$11*'1st IA Load Pricing Results'!J42/'1st IA Load Pricing Results'!$J$45,0)</f>
        <v>0</v>
      </c>
      <c r="R23" s="568">
        <f>Q23*$R$21</f>
        <v>0</v>
      </c>
      <c r="S23" s="142">
        <f>IF(D23="COMED",$I$12*'1st IA Load Pricing Results'!J42/'1st IA Load Pricing Results'!$J$47,0)</f>
        <v>0</v>
      </c>
      <c r="T23" s="568">
        <f>S23*$T$21</f>
        <v>0</v>
      </c>
      <c r="U23" s="142">
        <f>IF(D23="BGE",$I$13*'1st IA Load Pricing Results'!J42/'1st IA Load Pricing Results'!$J$46,0)</f>
        <v>0</v>
      </c>
      <c r="V23" s="568">
        <f>U23*$V$21</f>
        <v>0</v>
      </c>
      <c r="W23" s="142">
        <f>IF(D23="PL",$I$14*'1st IA Load Pricing Results'!J42/'1st IA Load Pricing Results'!$J$59,0)</f>
        <v>0</v>
      </c>
      <c r="X23" s="569">
        <f>W23*$X$21</f>
        <v>0</v>
      </c>
      <c r="Y23" s="142">
        <f>IF(D23="DAYTON",$I$15*'1st IA Load Pricing Results'!J42/'1st IA Load Pricing Results'!$J$48,0)</f>
        <v>0</v>
      </c>
      <c r="Z23" s="570">
        <f>Y23*$Z$21</f>
        <v>0</v>
      </c>
      <c r="AA23" s="142">
        <f>IF(D23="DEOK",$I$16*'1st IA Load Pricing Results'!J42/'1st IA Load Pricing Results'!$J$49,0)</f>
        <v>0</v>
      </c>
      <c r="AB23" s="570">
        <f>AA23*$AB$21</f>
        <v>0</v>
      </c>
      <c r="AC23" s="571">
        <f>MAX(ABS(E23),ABS(G23),ABS(I23),ABS(K23),ABS(M23),ABS(O23),ABS(Q23),ABS(S23),ABS(U23),ABS(W23),ABS(Y23),ABS(AA23))</f>
        <v>356.03834371493002</v>
      </c>
      <c r="AD23" s="31">
        <f>F23+H23+J23+L23+N23+P23+R23+T23+V23+X23+Z23+AB23</f>
        <v>9136.389093107131</v>
      </c>
      <c r="AE23" s="154">
        <f>AD23/'1st IA Load Pricing Results'!J42</f>
        <v>3.3751227698570743</v>
      </c>
      <c r="AF23" s="154">
        <f>IF(AC23=0,0,AD23/AC23)</f>
        <v>25.661250408530108</v>
      </c>
      <c r="AG23" s="91" t="s">
        <v>16</v>
      </c>
    </row>
    <row r="24" spans="1:33" x14ac:dyDescent="0.2">
      <c r="A24" s="22" t="s">
        <v>29</v>
      </c>
      <c r="B24" s="91"/>
      <c r="C24" s="91"/>
      <c r="D24" s="91"/>
      <c r="E24" s="142">
        <f>IF(B24="MAAC",$I$5*'1st IA Load Pricing Results'!J43/'1st IA Load Pricing Results'!$B$14,0)</f>
        <v>0</v>
      </c>
      <c r="F24" s="568">
        <f>E24*$F$21</f>
        <v>0</v>
      </c>
      <c r="G24" s="142">
        <f>IF(C24="EMAAC",$I$6*'1st IA Load Pricing Results'!J43/'1st IA Load Pricing Results'!$B$15,0)</f>
        <v>0</v>
      </c>
      <c r="H24" s="568">
        <f>G24*$H$21</f>
        <v>0</v>
      </c>
      <c r="I24" s="142">
        <f>IF(C24="SWMAAC",$I$7*'1st IA Load Pricing Results'!J43/'1st IA Load Pricing Results'!$B$16,0)</f>
        <v>0</v>
      </c>
      <c r="J24" s="568">
        <f>I24*$J$21</f>
        <v>0</v>
      </c>
      <c r="K24" s="142">
        <f>IF(D24="PS",$I$8*'1st IA Load Pricing Results'!J43/'1st IA Load Pricing Results'!$J$60,0)</f>
        <v>0</v>
      </c>
      <c r="L24" s="568">
        <f>K24*$L$21</f>
        <v>0</v>
      </c>
      <c r="M24" s="142">
        <f>IF(D24="DPL",$I$9*'1st IA Load Pricing Results'!J43/'1st IA Load Pricing Results'!$J$52,0)</f>
        <v>0</v>
      </c>
      <c r="N24" s="568">
        <f t="shared" ref="N24:N42" si="3">M24*$N$21</f>
        <v>0</v>
      </c>
      <c r="O24" s="142">
        <f>IF(D24="PEPCO",$I$10*'1st IA Load Pricing Results'!J43/'1st IA Load Pricing Results'!$J$58,0)</f>
        <v>0</v>
      </c>
      <c r="P24" s="568">
        <f>O24*$P$21</f>
        <v>0</v>
      </c>
      <c r="Q24" s="142">
        <f>IF(D24="ATSI",$I$11*'1st IA Load Pricing Results'!J43/'1st IA Load Pricing Results'!$J$45,0)</f>
        <v>0</v>
      </c>
      <c r="R24" s="568">
        <f>Q24*$R$21</f>
        <v>0</v>
      </c>
      <c r="S24" s="142">
        <f>IF(D24="COMED",$I$12*'1st IA Load Pricing Results'!J43/'1st IA Load Pricing Results'!$J$47,0)</f>
        <v>0</v>
      </c>
      <c r="T24" s="568">
        <f t="shared" ref="T24:T42" si="4">S24*$T$21</f>
        <v>0</v>
      </c>
      <c r="U24" s="142">
        <f>IF(D24="BGE",$I$13*'1st IA Load Pricing Results'!J43/'1st IA Load Pricing Results'!$J$46,0)</f>
        <v>0</v>
      </c>
      <c r="V24" s="568">
        <f t="shared" ref="V24:V42" si="5">U24*$V$21</f>
        <v>0</v>
      </c>
      <c r="W24" s="142">
        <f>IF(D24="PL",$I$14*'1st IA Load Pricing Results'!J43/'1st IA Load Pricing Results'!$J$59,0)</f>
        <v>0</v>
      </c>
      <c r="X24" s="569">
        <f t="shared" ref="X24:X42" si="6">W24*$X$21</f>
        <v>0</v>
      </c>
      <c r="Y24" s="142">
        <f>IF(D24="DAYTON",$I$15*'1st IA Load Pricing Results'!J43/'1st IA Load Pricing Results'!$J$48,0)</f>
        <v>0</v>
      </c>
      <c r="Z24" s="570">
        <f t="shared" ref="Z24:Z41" si="7">Y24*$Z$21</f>
        <v>0</v>
      </c>
      <c r="AA24" s="142">
        <f>IF(D24="DEOK",$I$16*'1st IA Load Pricing Results'!J43/'1st IA Load Pricing Results'!$J$49,0)</f>
        <v>0</v>
      </c>
      <c r="AB24" s="570">
        <f t="shared" ref="AB24:AB42" si="8">AA24*$AB$21</f>
        <v>0</v>
      </c>
      <c r="AC24" s="571">
        <f t="shared" ref="AC24:AC42" si="9">MAX(ABS(E24),ABS(G24),ABS(I24),ABS(K24),ABS(M24),ABS(O24),ABS(Q24),ABS(S24),ABS(U24),ABS(W24),ABS(Y24),ABS(AA24))</f>
        <v>0</v>
      </c>
      <c r="AD24" s="31">
        <f t="shared" ref="AD24:AD42" si="10">F24+H24+J24+L24+N24+P24+R24+T24+V24+X24+Z24+AB24</f>
        <v>0</v>
      </c>
      <c r="AE24" s="154">
        <f>AD24/'1st IA Load Pricing Results'!J43</f>
        <v>0</v>
      </c>
      <c r="AF24" s="154">
        <f>IF(AC24=0,0,AD24/AC24)</f>
        <v>0</v>
      </c>
      <c r="AG24" s="91" t="s">
        <v>29</v>
      </c>
    </row>
    <row r="25" spans="1:33" x14ac:dyDescent="0.2">
      <c r="A25" s="22" t="s">
        <v>19</v>
      </c>
      <c r="B25" s="91" t="s">
        <v>24</v>
      </c>
      <c r="C25" s="91"/>
      <c r="D25" s="91"/>
      <c r="E25" s="142">
        <f>IF(B25="MAAC",$I$5*'1st IA Load Pricing Results'!J44/'1st IA Load Pricing Results'!$B$14,0)</f>
        <v>0</v>
      </c>
      <c r="F25" s="568">
        <f>E25*$F$21</f>
        <v>0</v>
      </c>
      <c r="G25" s="142">
        <f>IF(C25="EMAAC",$I$6*'1st IA Load Pricing Results'!J44/'1st IA Load Pricing Results'!$B$15,0)</f>
        <v>0</v>
      </c>
      <c r="H25" s="568">
        <f>G25*$H$21</f>
        <v>0</v>
      </c>
      <c r="I25" s="142">
        <f>IF(C25="SWMAAC",$I$7*'1st IA Load Pricing Results'!J44/'1st IA Load Pricing Results'!$B$16,0)</f>
        <v>0</v>
      </c>
      <c r="J25" s="568">
        <f>I25*$J$21</f>
        <v>0</v>
      </c>
      <c r="K25" s="142">
        <f>IF(D25="PS",$I$8*'1st IA Load Pricing Results'!J44/'1st IA Load Pricing Results'!$J$60,0)</f>
        <v>0</v>
      </c>
      <c r="L25" s="568">
        <f>K25*$L$21</f>
        <v>0</v>
      </c>
      <c r="M25" s="142">
        <f>IF(D25="DPL",$I$9*'1st IA Load Pricing Results'!J44/'1st IA Load Pricing Results'!$J$52,0)</f>
        <v>0</v>
      </c>
      <c r="N25" s="568">
        <f t="shared" si="3"/>
        <v>0</v>
      </c>
      <c r="O25" s="142">
        <f>IF(D25="PEPCO",$I$10*'1st IA Load Pricing Results'!J44/'1st IA Load Pricing Results'!$J$58,0)</f>
        <v>0</v>
      </c>
      <c r="P25" s="568">
        <f t="shared" ref="P25:P38" si="11">O25*$P$21</f>
        <v>0</v>
      </c>
      <c r="Q25" s="142">
        <f>IF(D25="ATSI",$I$11*'1st IA Load Pricing Results'!J44/'1st IA Load Pricing Results'!$J$45,0)</f>
        <v>0</v>
      </c>
      <c r="R25" s="568">
        <f t="shared" ref="R25:R41" si="12">Q25*$R$21</f>
        <v>0</v>
      </c>
      <c r="S25" s="142">
        <f>IF(D25="COMED",$I$12*'1st IA Load Pricing Results'!J44/'1st IA Load Pricing Results'!$J$47,0)</f>
        <v>0</v>
      </c>
      <c r="T25" s="568">
        <f t="shared" si="4"/>
        <v>0</v>
      </c>
      <c r="U25" s="142">
        <f>IF(D25="BGE",$I$13*'1st IA Load Pricing Results'!J44/'1st IA Load Pricing Results'!$J$46,0)</f>
        <v>0</v>
      </c>
      <c r="V25" s="568">
        <f t="shared" si="5"/>
        <v>0</v>
      </c>
      <c r="W25" s="142">
        <f>IF(D25="PL",$I$14*'1st IA Load Pricing Results'!J44/'1st IA Load Pricing Results'!$J$59,0)</f>
        <v>0</v>
      </c>
      <c r="X25" s="569">
        <f t="shared" si="6"/>
        <v>0</v>
      </c>
      <c r="Y25" s="142">
        <f>IF(D25="DAYTON",$I$15*'1st IA Load Pricing Results'!J44/'1st IA Load Pricing Results'!$J$48,0)</f>
        <v>0</v>
      </c>
      <c r="Z25" s="570">
        <f t="shared" si="7"/>
        <v>0</v>
      </c>
      <c r="AA25" s="142">
        <f>IF(D25="DEOK",$I$16*'1st IA Load Pricing Results'!J44/'1st IA Load Pricing Results'!$J$49,0)</f>
        <v>0</v>
      </c>
      <c r="AB25" s="570">
        <f t="shared" si="8"/>
        <v>0</v>
      </c>
      <c r="AC25" s="571">
        <f t="shared" si="9"/>
        <v>0</v>
      </c>
      <c r="AD25" s="31">
        <f t="shared" si="10"/>
        <v>0</v>
      </c>
      <c r="AE25" s="154">
        <f>AD25/'1st IA Load Pricing Results'!J44</f>
        <v>0</v>
      </c>
      <c r="AF25" s="154">
        <f t="shared" ref="AF25:AF40" si="13">IF(AC25=0,0,AD25/AC25)</f>
        <v>0</v>
      </c>
      <c r="AG25" s="91" t="s">
        <v>19</v>
      </c>
    </row>
    <row r="26" spans="1:33" x14ac:dyDescent="0.2">
      <c r="A26" s="22" t="s">
        <v>43</v>
      </c>
      <c r="B26" s="91"/>
      <c r="C26" s="91"/>
      <c r="D26" s="91" t="s">
        <v>43</v>
      </c>
      <c r="E26" s="142">
        <f>IF(B26="MAAC",$I$5*'1st IA Load Pricing Results'!J45/'1st IA Load Pricing Results'!$B$14,0)</f>
        <v>0</v>
      </c>
      <c r="F26" s="568">
        <f>E26*$F$21</f>
        <v>0</v>
      </c>
      <c r="G26" s="142">
        <f>IF(C26="EMAAC",$I$6*'1st IA Load Pricing Results'!J45/'1st IA Load Pricing Results'!$B$15,0)</f>
        <v>0</v>
      </c>
      <c r="H26" s="568">
        <f t="shared" ref="H26:H40" si="14">G26*$H$21</f>
        <v>0</v>
      </c>
      <c r="I26" s="142">
        <f>IF(C26="SWMAAC",$I$7*'1st IA Load Pricing Results'!J45/'1st IA Load Pricing Results'!$B$16,0)</f>
        <v>0</v>
      </c>
      <c r="J26" s="568">
        <f>I26*$J$21</f>
        <v>0</v>
      </c>
      <c r="K26" s="142">
        <f>IF(D26="PS",$I$8*'1st IA Load Pricing Results'!J45/'1st IA Load Pricing Results'!$J$60,0)</f>
        <v>0</v>
      </c>
      <c r="L26" s="568">
        <f t="shared" ref="L26:L40" si="15">K26*$L$21</f>
        <v>0</v>
      </c>
      <c r="M26" s="142">
        <f>IF(D26="DPL",$I$9*'1st IA Load Pricing Results'!J45/'1st IA Load Pricing Results'!$J$52,0)</f>
        <v>0</v>
      </c>
      <c r="N26" s="568">
        <f t="shared" si="3"/>
        <v>0</v>
      </c>
      <c r="O26" s="142">
        <f>IF(D26="PEPCO",$I$10*'1st IA Load Pricing Results'!J45/'1st IA Load Pricing Results'!$J$58,0)</f>
        <v>0</v>
      </c>
      <c r="P26" s="568">
        <f t="shared" si="11"/>
        <v>0</v>
      </c>
      <c r="Q26" s="142">
        <f>IF(D26="ATSI",$I$11*'1st IA Load Pricing Results'!J45/'1st IA Load Pricing Results'!$J$45,0)</f>
        <v>5698.0449187308213</v>
      </c>
      <c r="R26" s="568">
        <f>Q26*$R$21</f>
        <v>164880.11956423073</v>
      </c>
      <c r="S26" s="142">
        <f>IF(D26="COMED",$I$12*'1st IA Load Pricing Results'!J45/'1st IA Load Pricing Results'!$J$47,0)</f>
        <v>0</v>
      </c>
      <c r="T26" s="568">
        <f t="shared" si="4"/>
        <v>0</v>
      </c>
      <c r="U26" s="142">
        <f>IF(D26="BGE",$I$13*'1st IA Load Pricing Results'!J45/'1st IA Load Pricing Results'!$J$46,0)</f>
        <v>0</v>
      </c>
      <c r="V26" s="568">
        <f t="shared" si="5"/>
        <v>0</v>
      </c>
      <c r="W26" s="142">
        <f>IF(D26="PL",$I$14*'1st IA Load Pricing Results'!J45/'1st IA Load Pricing Results'!$J$59,0)</f>
        <v>0</v>
      </c>
      <c r="X26" s="569">
        <f t="shared" si="6"/>
        <v>0</v>
      </c>
      <c r="Y26" s="142">
        <f>IF(D26="DAYTON",$I$15*'1st IA Load Pricing Results'!J45/'1st IA Load Pricing Results'!$J$48,0)</f>
        <v>0</v>
      </c>
      <c r="Z26" s="570">
        <f t="shared" si="7"/>
        <v>0</v>
      </c>
      <c r="AA26" s="142">
        <f>IF(D26="DEOK",$I$16*'1st IA Load Pricing Results'!J45/'1st IA Load Pricing Results'!$J$49,0)</f>
        <v>0</v>
      </c>
      <c r="AB26" s="570">
        <f t="shared" si="8"/>
        <v>0</v>
      </c>
      <c r="AC26" s="571">
        <f t="shared" si="9"/>
        <v>5698.0449187308213</v>
      </c>
      <c r="AD26" s="31">
        <f t="shared" si="10"/>
        <v>164880.11956423073</v>
      </c>
      <c r="AE26" s="154">
        <f>AD26/'1st IA Load Pricing Results'!J45</f>
        <v>11.42851775155399</v>
      </c>
      <c r="AF26" s="154">
        <f>IF(AC26=0,0,AD26/AC26)</f>
        <v>28.936261808367075</v>
      </c>
      <c r="AG26" s="91" t="s">
        <v>43</v>
      </c>
    </row>
    <row r="27" spans="1:33" x14ac:dyDescent="0.2">
      <c r="A27" s="22" t="s">
        <v>11</v>
      </c>
      <c r="B27" s="91" t="s">
        <v>28</v>
      </c>
      <c r="C27" s="91" t="s">
        <v>5</v>
      </c>
      <c r="D27" s="91" t="s">
        <v>11</v>
      </c>
      <c r="E27" s="142">
        <f>IF(B27="MAAC",$I$5*'1st IA Load Pricing Results'!J46/'1st IA Load Pricing Results'!$B$14,0)</f>
        <v>-324.86229303339201</v>
      </c>
      <c r="F27" s="568">
        <f t="shared" ref="F27:F41" si="16">E27*$F$21</f>
        <v>0</v>
      </c>
      <c r="G27" s="142">
        <f>IF(C27="EMAAC",$I$6*'1st IA Load Pricing Results'!J46/'1st IA Load Pricing Results'!$B$15,0)</f>
        <v>0</v>
      </c>
      <c r="H27" s="568">
        <f t="shared" si="14"/>
        <v>0</v>
      </c>
      <c r="I27" s="142">
        <f>IF(C27="SWMAAC",$I$7*'1st IA Load Pricing Results'!J46/'1st IA Load Pricing Results'!$B$16,0)</f>
        <v>2158.2077017693468</v>
      </c>
      <c r="J27" s="568">
        <f>I27*$J$21</f>
        <v>0</v>
      </c>
      <c r="K27" s="142">
        <f>IF(D27="PS",$I$8*'1st IA Load Pricing Results'!J46/'1st IA Load Pricing Results'!$J$60,0)</f>
        <v>0</v>
      </c>
      <c r="L27" s="568">
        <f t="shared" si="15"/>
        <v>0</v>
      </c>
      <c r="M27" s="142">
        <f>IF(D27="DPL",$I$9*'1st IA Load Pricing Results'!J46/'1st IA Load Pricing Results'!$J$52,0)</f>
        <v>0</v>
      </c>
      <c r="N27" s="568">
        <f t="shared" si="3"/>
        <v>0</v>
      </c>
      <c r="O27" s="142">
        <f>IF(D27="PEPCO",$I$10*'1st IA Load Pricing Results'!J46/'1st IA Load Pricing Results'!$J$58,0)</f>
        <v>0</v>
      </c>
      <c r="P27" s="568">
        <f>O27*$P$21</f>
        <v>0</v>
      </c>
      <c r="Q27" s="142">
        <f>IF(D27="ATSI",$I$11*'1st IA Load Pricing Results'!J46/'1st IA Load Pricing Results'!$J$45,0)</f>
        <v>0</v>
      </c>
      <c r="R27" s="568">
        <f t="shared" si="12"/>
        <v>0</v>
      </c>
      <c r="S27" s="142">
        <f>IF(D27="COMED",$I$12*'1st IA Load Pricing Results'!J46/'1st IA Load Pricing Results'!$J$47,0)</f>
        <v>0</v>
      </c>
      <c r="T27" s="568">
        <f t="shared" si="4"/>
        <v>0</v>
      </c>
      <c r="U27" s="142">
        <f>IF(D27="BGE",$I$13*'1st IA Load Pricing Results'!J46/'1st IA Load Pricing Results'!$J$46,0)</f>
        <v>5074.1817419299905</v>
      </c>
      <c r="V27" s="568">
        <f>U27*$V$21</f>
        <v>304229.82014428067</v>
      </c>
      <c r="W27" s="142">
        <f>IF(D27="PL",$I$14*'1st IA Load Pricing Results'!J46/'1st IA Load Pricing Results'!$J$59,0)</f>
        <v>0</v>
      </c>
      <c r="X27" s="569">
        <f t="shared" si="6"/>
        <v>0</v>
      </c>
      <c r="Y27" s="142">
        <f>IF(D27="DAYTON",$I$15*'1st IA Load Pricing Results'!J46/'1st IA Load Pricing Results'!$J$48,0)</f>
        <v>0</v>
      </c>
      <c r="Z27" s="570">
        <f t="shared" si="7"/>
        <v>0</v>
      </c>
      <c r="AA27" s="142">
        <f>IF(D27="DEOK",$I$16*'1st IA Load Pricing Results'!J46/'1st IA Load Pricing Results'!$J$49,0)</f>
        <v>0</v>
      </c>
      <c r="AB27" s="570">
        <f t="shared" si="8"/>
        <v>0</v>
      </c>
      <c r="AC27" s="571">
        <f t="shared" si="9"/>
        <v>5074.1817419299905</v>
      </c>
      <c r="AD27" s="31">
        <f t="shared" si="10"/>
        <v>304229.82014428067</v>
      </c>
      <c r="AE27" s="154">
        <f>AD27/'1st IA Load Pricing Results'!J46</f>
        <v>41.042356190606988</v>
      </c>
      <c r="AF27" s="154">
        <f>IF(AC27=0,0,AD27/AC27)</f>
        <v>59.956429552041499</v>
      </c>
      <c r="AG27" s="91" t="s">
        <v>11</v>
      </c>
    </row>
    <row r="28" spans="1:33" x14ac:dyDescent="0.2">
      <c r="A28" s="22" t="s">
        <v>20</v>
      </c>
      <c r="B28" s="91"/>
      <c r="C28" s="91"/>
      <c r="D28" s="91" t="s">
        <v>20</v>
      </c>
      <c r="E28" s="142">
        <f>IF(B28="MAAC",$I$5*'1st IA Load Pricing Results'!J47/'1st IA Load Pricing Results'!$B$14,0)</f>
        <v>0</v>
      </c>
      <c r="F28" s="568">
        <f t="shared" si="16"/>
        <v>0</v>
      </c>
      <c r="G28" s="142">
        <f>IF(C28="EMAAC",$I$6*'1st IA Load Pricing Results'!J47/'1st IA Load Pricing Results'!$B$15,0)</f>
        <v>0</v>
      </c>
      <c r="H28" s="568">
        <f t="shared" si="14"/>
        <v>0</v>
      </c>
      <c r="I28" s="142">
        <f>IF(C28="SWMAAC",$I$7*'1st IA Load Pricing Results'!J47/'1st IA Load Pricing Results'!$B$16,0)</f>
        <v>0</v>
      </c>
      <c r="J28" s="568">
        <f t="shared" ref="J28:J40" si="17">I28*$J$21</f>
        <v>0</v>
      </c>
      <c r="K28" s="142">
        <f>IF(D28="PS",$I$8*'1st IA Load Pricing Results'!J47/'1st IA Load Pricing Results'!$J$60,0)</f>
        <v>0</v>
      </c>
      <c r="L28" s="568">
        <f t="shared" si="15"/>
        <v>0</v>
      </c>
      <c r="M28" s="142">
        <f>IF(D28="DPL",$I$9*'1st IA Load Pricing Results'!J47/'1st IA Load Pricing Results'!$J$52,0)</f>
        <v>0</v>
      </c>
      <c r="N28" s="568">
        <f t="shared" si="3"/>
        <v>0</v>
      </c>
      <c r="O28" s="142">
        <f>IF(D28="PEPCO",$I$10*'1st IA Load Pricing Results'!J47/'1st IA Load Pricing Results'!$J$58,0)</f>
        <v>0</v>
      </c>
      <c r="P28" s="568">
        <f t="shared" si="11"/>
        <v>0</v>
      </c>
      <c r="Q28" s="142">
        <f>IF(D28="ATSI",$I$11*'1st IA Load Pricing Results'!J47/'1st IA Load Pricing Results'!$J$45,0)</f>
        <v>0</v>
      </c>
      <c r="R28" s="568">
        <f t="shared" si="12"/>
        <v>0</v>
      </c>
      <c r="S28" s="142">
        <f>IF(D28="COMED",$I$12*'1st IA Load Pricing Results'!J47/'1st IA Load Pricing Results'!$J$47,0)</f>
        <v>746.05280556204525</v>
      </c>
      <c r="T28" s="568">
        <f>S28*$T$21</f>
        <v>41107.870523708087</v>
      </c>
      <c r="U28" s="142">
        <f>IF(D28="BGE",$I$13*'1st IA Load Pricing Results'!J47/'1st IA Load Pricing Results'!$J$46,0)</f>
        <v>0</v>
      </c>
      <c r="V28" s="568">
        <f t="shared" si="5"/>
        <v>0</v>
      </c>
      <c r="W28" s="142">
        <f>IF(D28="PL",$I$14*'1st IA Load Pricing Results'!J47/'1st IA Load Pricing Results'!$J$59,0)</f>
        <v>0</v>
      </c>
      <c r="X28" s="569">
        <f t="shared" si="6"/>
        <v>0</v>
      </c>
      <c r="Y28" s="142">
        <f>IF(D28="DAYTON",$I$15*'1st IA Load Pricing Results'!J47/'1st IA Load Pricing Results'!$J$48,0)</f>
        <v>0</v>
      </c>
      <c r="Z28" s="570">
        <f t="shared" si="7"/>
        <v>0</v>
      </c>
      <c r="AA28" s="142">
        <f>IF(D28="DEOK",$I$16*'1st IA Load Pricing Results'!J47/'1st IA Load Pricing Results'!$J$49,0)</f>
        <v>0</v>
      </c>
      <c r="AB28" s="570">
        <f t="shared" si="8"/>
        <v>0</v>
      </c>
      <c r="AC28" s="571">
        <f t="shared" si="9"/>
        <v>746.05280556204525</v>
      </c>
      <c r="AD28" s="31">
        <f t="shared" si="10"/>
        <v>41107.870523708087</v>
      </c>
      <c r="AE28" s="154">
        <f>AD28/'1st IA Load Pricing Results'!J47</f>
        <v>1.6668132795416537</v>
      </c>
      <c r="AF28" s="154">
        <f t="shared" si="13"/>
        <v>55.100483795834158</v>
      </c>
      <c r="AG28" s="91" t="s">
        <v>20</v>
      </c>
    </row>
    <row r="29" spans="1:33" x14ac:dyDescent="0.2">
      <c r="A29" s="22" t="s">
        <v>21</v>
      </c>
      <c r="B29" s="91"/>
      <c r="C29" s="91"/>
      <c r="D29" s="91" t="s">
        <v>21</v>
      </c>
      <c r="E29" s="142">
        <f>IF(B29="MAAC",$I$5*'1st IA Load Pricing Results'!J48/'1st IA Load Pricing Results'!$B$14,0)</f>
        <v>0</v>
      </c>
      <c r="F29" s="568">
        <f t="shared" si="16"/>
        <v>0</v>
      </c>
      <c r="G29" s="142">
        <f>IF(C29="EMAAC",$I$6*'1st IA Load Pricing Results'!J48/'1st IA Load Pricing Results'!$B$15,0)</f>
        <v>0</v>
      </c>
      <c r="H29" s="568">
        <f t="shared" si="14"/>
        <v>0</v>
      </c>
      <c r="I29" s="142">
        <f>IF(C29="SWMAAC",$I$7*'1st IA Load Pricing Results'!J48/'1st IA Load Pricing Results'!$B$16,0)</f>
        <v>0</v>
      </c>
      <c r="J29" s="568">
        <f>I29*$J$21</f>
        <v>0</v>
      </c>
      <c r="K29" s="142">
        <f>IF(D29="PS",$I$8*'1st IA Load Pricing Results'!J48/'1st IA Load Pricing Results'!$J$60,0)</f>
        <v>0</v>
      </c>
      <c r="L29" s="568">
        <f t="shared" si="15"/>
        <v>0</v>
      </c>
      <c r="M29" s="142">
        <f>IF(D29="DPL",$I$9*'1st IA Load Pricing Results'!J48/'1st IA Load Pricing Results'!$J$52,0)</f>
        <v>0</v>
      </c>
      <c r="N29" s="568">
        <f t="shared" si="3"/>
        <v>0</v>
      </c>
      <c r="O29" s="142">
        <f>IF(D29="PEPCO",$I$10*'1st IA Load Pricing Results'!J48/'1st IA Load Pricing Results'!$J$58,0)</f>
        <v>0</v>
      </c>
      <c r="P29" s="568">
        <f t="shared" si="11"/>
        <v>0</v>
      </c>
      <c r="Q29" s="142">
        <f>IF(D29="ATSI",$I$11*'1st IA Load Pricing Results'!J48/'1st IA Load Pricing Results'!$J$45,0)</f>
        <v>0</v>
      </c>
      <c r="R29" s="568">
        <f t="shared" si="12"/>
        <v>0</v>
      </c>
      <c r="S29" s="142">
        <f>IF(D29="COMED",$I$12*'1st IA Load Pricing Results'!J48/'1st IA Load Pricing Results'!$J$47,0)</f>
        <v>0</v>
      </c>
      <c r="T29" s="568">
        <f t="shared" si="4"/>
        <v>0</v>
      </c>
      <c r="U29" s="142">
        <f>IF(D29="BGE",$I$13*'1st IA Load Pricing Results'!J48/'1st IA Load Pricing Results'!$J$46,0)</f>
        <v>0</v>
      </c>
      <c r="V29" s="568">
        <f t="shared" si="5"/>
        <v>0</v>
      </c>
      <c r="W29" s="142">
        <f>IF(D29="PL",$I$14*'1st IA Load Pricing Results'!J48/'1st IA Load Pricing Results'!$J$59,0)</f>
        <v>0</v>
      </c>
      <c r="X29" s="569">
        <f t="shared" si="6"/>
        <v>0</v>
      </c>
      <c r="Y29" s="142">
        <f>IF(D29="DAYTON",$I$15*'1st IA Load Pricing Results'!J48/'1st IA Load Pricing Results'!$J$48,0)</f>
        <v>2152.2557917744771</v>
      </c>
      <c r="Z29" s="570">
        <f t="shared" si="7"/>
        <v>0</v>
      </c>
      <c r="AA29" s="142">
        <f>IF(D29="DEOK",$I$16*'1st IA Load Pricing Results'!J48/'1st IA Load Pricing Results'!$J$49,0)</f>
        <v>0</v>
      </c>
      <c r="AB29" s="570">
        <f t="shared" si="8"/>
        <v>0</v>
      </c>
      <c r="AC29" s="571">
        <f t="shared" si="9"/>
        <v>2152.2557917744771</v>
      </c>
      <c r="AD29" s="31">
        <f t="shared" si="10"/>
        <v>0</v>
      </c>
      <c r="AE29" s="154">
        <f>AD29/'1st IA Load Pricing Results'!J48</f>
        <v>0</v>
      </c>
      <c r="AF29" s="154">
        <f t="shared" si="13"/>
        <v>0</v>
      </c>
      <c r="AG29" s="91" t="s">
        <v>21</v>
      </c>
    </row>
    <row r="30" spans="1:33" x14ac:dyDescent="0.2">
      <c r="A30" s="22" t="s">
        <v>50</v>
      </c>
      <c r="B30" s="91"/>
      <c r="C30" s="91"/>
      <c r="D30" s="91" t="s">
        <v>50</v>
      </c>
      <c r="E30" s="142">
        <f>IF(B30="MAAC",$I$5*'1st IA Load Pricing Results'!J49/'1st IA Load Pricing Results'!$B$14,0)</f>
        <v>0</v>
      </c>
      <c r="F30" s="568">
        <f>E30*$F$21</f>
        <v>0</v>
      </c>
      <c r="G30" s="142">
        <f>IF(C30="EMAAC",$I$6*'1st IA Load Pricing Results'!J49/'1st IA Load Pricing Results'!$B$15,0)</f>
        <v>0</v>
      </c>
      <c r="H30" s="568">
        <f t="shared" si="14"/>
        <v>0</v>
      </c>
      <c r="I30" s="142">
        <f>IF(C30="SWMAAC",$I$7*'1st IA Load Pricing Results'!J49/'1st IA Load Pricing Results'!$B$16,0)</f>
        <v>0</v>
      </c>
      <c r="J30" s="568">
        <f>I30*$J$21</f>
        <v>0</v>
      </c>
      <c r="K30" s="142">
        <f>IF(D30="PS",$I$8*'1st IA Load Pricing Results'!J49/'1st IA Load Pricing Results'!$J$60,0)</f>
        <v>0</v>
      </c>
      <c r="L30" s="568">
        <f t="shared" si="15"/>
        <v>0</v>
      </c>
      <c r="M30" s="142">
        <f>IF(D30="DPL",$I$9*'1st IA Load Pricing Results'!J49/'1st IA Load Pricing Results'!$J$52,0)</f>
        <v>0</v>
      </c>
      <c r="N30" s="568">
        <f t="shared" si="3"/>
        <v>0</v>
      </c>
      <c r="O30" s="142">
        <f>IF(D30="PEPCO",$I$10*'1st IA Load Pricing Results'!J49/'1st IA Load Pricing Results'!$J$58,0)</f>
        <v>0</v>
      </c>
      <c r="P30" s="568">
        <f t="shared" si="11"/>
        <v>0</v>
      </c>
      <c r="Q30" s="142">
        <f>IF(D30="ATSI",$I$11*'1st IA Load Pricing Results'!J49/'1st IA Load Pricing Results'!$J$45,0)</f>
        <v>0</v>
      </c>
      <c r="R30" s="568">
        <f t="shared" si="12"/>
        <v>0</v>
      </c>
      <c r="S30" s="142">
        <f>IF(D30="COMED",$I$12*'1st IA Load Pricing Results'!J49/'1st IA Load Pricing Results'!$J$47,0)</f>
        <v>0</v>
      </c>
      <c r="T30" s="568">
        <f t="shared" si="4"/>
        <v>0</v>
      </c>
      <c r="U30" s="142">
        <f>IF(D30="BGE",$I$13*'1st IA Load Pricing Results'!J49/'1st IA Load Pricing Results'!$J$46,0)</f>
        <v>0</v>
      </c>
      <c r="V30" s="568">
        <f t="shared" si="5"/>
        <v>0</v>
      </c>
      <c r="W30" s="142">
        <f>IF(D30="PL",$I$14*'1st IA Load Pricing Results'!J49/'1st IA Load Pricing Results'!$J$59,0)</f>
        <v>0</v>
      </c>
      <c r="X30" s="569">
        <f t="shared" si="6"/>
        <v>0</v>
      </c>
      <c r="Y30" s="142">
        <f>IF(D30="DAYTON",$I$15*'1st IA Load Pricing Results'!J49/'1st IA Load Pricing Results'!$J$48,0)</f>
        <v>0</v>
      </c>
      <c r="Z30" s="570">
        <f t="shared" si="7"/>
        <v>0</v>
      </c>
      <c r="AA30" s="142">
        <f>IF(D30="DEOK",$I$16*'1st IA Load Pricing Results'!J49/'1st IA Load Pricing Results'!$J$49,0)</f>
        <v>2208.7319928498346</v>
      </c>
      <c r="AB30" s="570">
        <f t="shared" si="8"/>
        <v>0</v>
      </c>
      <c r="AC30" s="571">
        <f t="shared" si="9"/>
        <v>2208.7319928498346</v>
      </c>
      <c r="AD30" s="31">
        <f t="shared" si="10"/>
        <v>0</v>
      </c>
      <c r="AE30" s="154">
        <f>AD30/'1st IA Load Pricing Results'!J49</f>
        <v>0</v>
      </c>
      <c r="AF30" s="154">
        <f>IF(AC30=0,0,AD30/AC30)</f>
        <v>0</v>
      </c>
      <c r="AG30" s="91" t="s">
        <v>50</v>
      </c>
    </row>
    <row r="31" spans="1:33" x14ac:dyDescent="0.2">
      <c r="A31" s="22" t="s">
        <v>42</v>
      </c>
      <c r="B31" s="91"/>
      <c r="C31" s="91"/>
      <c r="D31" s="91"/>
      <c r="E31" s="142">
        <f>IF(B31="MAAC",$I$5*'1st IA Load Pricing Results'!J50/'1st IA Load Pricing Results'!$B$14,0)</f>
        <v>0</v>
      </c>
      <c r="F31" s="568">
        <f>E31*$F$21</f>
        <v>0</v>
      </c>
      <c r="G31" s="142">
        <f>IF(C31="EMAAC",$I$6*'1st IA Load Pricing Results'!J50/'1st IA Load Pricing Results'!$B$15,0)</f>
        <v>0</v>
      </c>
      <c r="H31" s="568">
        <f t="shared" si="14"/>
        <v>0</v>
      </c>
      <c r="I31" s="142">
        <f>IF(C31="SWMAAC",$I$7*'1st IA Load Pricing Results'!J50/'1st IA Load Pricing Results'!$B$16,0)</f>
        <v>0</v>
      </c>
      <c r="J31" s="568">
        <f>I31*$J$21</f>
        <v>0</v>
      </c>
      <c r="K31" s="142">
        <f>IF(D31="PS",$I$8*'1st IA Load Pricing Results'!J50/'1st IA Load Pricing Results'!$J$60,0)</f>
        <v>0</v>
      </c>
      <c r="L31" s="568">
        <f t="shared" si="15"/>
        <v>0</v>
      </c>
      <c r="M31" s="142">
        <f>IF(D31="DPL",$I$9*'1st IA Load Pricing Results'!J50/'1st IA Load Pricing Results'!$J$52,0)</f>
        <v>0</v>
      </c>
      <c r="N31" s="568">
        <f t="shared" si="3"/>
        <v>0</v>
      </c>
      <c r="O31" s="142">
        <f>IF(D31="PEPCO",$I$10*'1st IA Load Pricing Results'!J50/'1st IA Load Pricing Results'!$J$58,0)</f>
        <v>0</v>
      </c>
      <c r="P31" s="568">
        <f t="shared" si="11"/>
        <v>0</v>
      </c>
      <c r="Q31" s="142">
        <f>IF(D31="ATSI",$I$11*'1st IA Load Pricing Results'!J50/'1st IA Load Pricing Results'!$J$45,0)</f>
        <v>0</v>
      </c>
      <c r="R31" s="568">
        <f t="shared" si="12"/>
        <v>0</v>
      </c>
      <c r="S31" s="142">
        <f>IF(D31="COMED",$I$12*'1st IA Load Pricing Results'!J50/'1st IA Load Pricing Results'!$J$47,0)</f>
        <v>0</v>
      </c>
      <c r="T31" s="568">
        <f t="shared" si="4"/>
        <v>0</v>
      </c>
      <c r="U31" s="142">
        <f>IF(D31="BGE",$I$13*'1st IA Load Pricing Results'!J50/'1st IA Load Pricing Results'!$J$46,0)</f>
        <v>0</v>
      </c>
      <c r="V31" s="568">
        <f t="shared" si="5"/>
        <v>0</v>
      </c>
      <c r="W31" s="142">
        <f>IF(D31="PL",$I$14*'1st IA Load Pricing Results'!J50/'1st IA Load Pricing Results'!$J$59,0)</f>
        <v>0</v>
      </c>
      <c r="X31" s="569">
        <f t="shared" si="6"/>
        <v>0</v>
      </c>
      <c r="Y31" s="142">
        <f>IF(D31="DAYTON",$I$15*'1st IA Load Pricing Results'!J50/'1st IA Load Pricing Results'!$J$48,0)</f>
        <v>0</v>
      </c>
      <c r="Z31" s="570">
        <f t="shared" si="7"/>
        <v>0</v>
      </c>
      <c r="AA31" s="142">
        <f>IF(D31="DEOK",$I$16*'1st IA Load Pricing Results'!J50/'1st IA Load Pricing Results'!$J$49,0)</f>
        <v>0</v>
      </c>
      <c r="AB31" s="570">
        <f t="shared" si="8"/>
        <v>0</v>
      </c>
      <c r="AC31" s="571">
        <f t="shared" si="9"/>
        <v>0</v>
      </c>
      <c r="AD31" s="31">
        <f t="shared" si="10"/>
        <v>0</v>
      </c>
      <c r="AE31" s="154">
        <f>AD31/'1st IA Load Pricing Results'!J50</f>
        <v>0</v>
      </c>
      <c r="AF31" s="154">
        <f t="shared" si="13"/>
        <v>0</v>
      </c>
      <c r="AG31" s="91" t="s">
        <v>42</v>
      </c>
    </row>
    <row r="32" spans="1:33" x14ac:dyDescent="0.2">
      <c r="A32" s="22" t="s">
        <v>30</v>
      </c>
      <c r="B32" s="91"/>
      <c r="C32" s="91"/>
      <c r="D32" s="91"/>
      <c r="E32" s="142">
        <f>IF(B32="MAAC",$I$5*'1st IA Load Pricing Results'!J51/'1st IA Load Pricing Results'!$B$14,0)</f>
        <v>0</v>
      </c>
      <c r="F32" s="568">
        <f t="shared" si="16"/>
        <v>0</v>
      </c>
      <c r="G32" s="142">
        <f>IF(C32="EMAAC",$I$6*'1st IA Load Pricing Results'!J51/'1st IA Load Pricing Results'!$B$15,0)</f>
        <v>0</v>
      </c>
      <c r="H32" s="568">
        <f t="shared" si="14"/>
        <v>0</v>
      </c>
      <c r="I32" s="142">
        <f>IF(C32="SWMAAC",$I$7*'1st IA Load Pricing Results'!J51/'1st IA Load Pricing Results'!$B$16,0)</f>
        <v>0</v>
      </c>
      <c r="J32" s="568">
        <f>I32*$J$21</f>
        <v>0</v>
      </c>
      <c r="K32" s="142">
        <f>IF(D32="PS",$I$8*'1st IA Load Pricing Results'!J51/'1st IA Load Pricing Results'!$J$60,0)</f>
        <v>0</v>
      </c>
      <c r="L32" s="568">
        <f t="shared" si="15"/>
        <v>0</v>
      </c>
      <c r="M32" s="142">
        <f>IF(D32="DPL",$I$9*'1st IA Load Pricing Results'!J51/'1st IA Load Pricing Results'!$J$52,0)</f>
        <v>0</v>
      </c>
      <c r="N32" s="568">
        <f t="shared" si="3"/>
        <v>0</v>
      </c>
      <c r="O32" s="142">
        <f>IF(D32="PEPCO",$I$10*'1st IA Load Pricing Results'!J51/'1st IA Load Pricing Results'!$J$58,0)</f>
        <v>0</v>
      </c>
      <c r="P32" s="568">
        <f t="shared" si="11"/>
        <v>0</v>
      </c>
      <c r="Q32" s="142">
        <f>IF(D32="ATSI",$I$11*'1st IA Load Pricing Results'!J51/'1st IA Load Pricing Results'!$J$45,0)</f>
        <v>0</v>
      </c>
      <c r="R32" s="568">
        <f t="shared" si="12"/>
        <v>0</v>
      </c>
      <c r="S32" s="142">
        <f>IF(D32="COMED",$I$12*'1st IA Load Pricing Results'!J51/'1st IA Load Pricing Results'!$J$47,0)</f>
        <v>0</v>
      </c>
      <c r="T32" s="568">
        <f t="shared" si="4"/>
        <v>0</v>
      </c>
      <c r="U32" s="142">
        <f>IF(D32="BGE",$I$13*'1st IA Load Pricing Results'!J51/'1st IA Load Pricing Results'!$J$46,0)</f>
        <v>0</v>
      </c>
      <c r="V32" s="568">
        <f t="shared" si="5"/>
        <v>0</v>
      </c>
      <c r="W32" s="142">
        <f>IF(D32="PL",$I$14*'1st IA Load Pricing Results'!J51/'1st IA Load Pricing Results'!$J$59,0)</f>
        <v>0</v>
      </c>
      <c r="X32" s="569">
        <f t="shared" si="6"/>
        <v>0</v>
      </c>
      <c r="Y32" s="142">
        <f>IF(D32="DAYTON",$I$15*'1st IA Load Pricing Results'!J51/'1st IA Load Pricing Results'!$J$48,0)</f>
        <v>0</v>
      </c>
      <c r="Z32" s="570">
        <f t="shared" si="7"/>
        <v>0</v>
      </c>
      <c r="AA32" s="142">
        <f>IF(D32="DEOK",$I$16*'1st IA Load Pricing Results'!J51/'1st IA Load Pricing Results'!$J$49,0)</f>
        <v>0</v>
      </c>
      <c r="AB32" s="570">
        <f t="shared" si="8"/>
        <v>0</v>
      </c>
      <c r="AC32" s="571">
        <f t="shared" si="9"/>
        <v>0</v>
      </c>
      <c r="AD32" s="31">
        <f t="shared" si="10"/>
        <v>0</v>
      </c>
      <c r="AE32" s="154">
        <f>AD32/'1st IA Load Pricing Results'!J51</f>
        <v>0</v>
      </c>
      <c r="AF32" s="154">
        <f t="shared" si="13"/>
        <v>0</v>
      </c>
      <c r="AG32" s="91" t="s">
        <v>30</v>
      </c>
    </row>
    <row r="33" spans="1:33" x14ac:dyDescent="0.2">
      <c r="A33" s="22" t="s">
        <v>17</v>
      </c>
      <c r="B33" s="91" t="s">
        <v>28</v>
      </c>
      <c r="C33" s="91" t="s">
        <v>33</v>
      </c>
      <c r="D33" s="91" t="s">
        <v>17</v>
      </c>
      <c r="E33" s="142">
        <f>IF(B33="MAAC",$I$5*'1st IA Load Pricing Results'!J52/'1st IA Load Pricing Results'!$B$14,0)</f>
        <v>-191.75649803597949</v>
      </c>
      <c r="F33" s="568">
        <f t="shared" si="16"/>
        <v>0</v>
      </c>
      <c r="G33" s="142">
        <f>IF(C33="EMAAC",$I$6*'1st IA Load Pricing Results'!J52/'1st IA Load Pricing Results'!$B$15,0)</f>
        <v>575.48239206863911</v>
      </c>
      <c r="H33" s="568">
        <f>G33*$H$21</f>
        <v>14767.597768573249</v>
      </c>
      <c r="I33" s="142">
        <f>IF(C33="SWMAAC",$I$7*'1st IA Load Pricing Results'!J52/'1st IA Load Pricing Results'!$B$16,0)</f>
        <v>0</v>
      </c>
      <c r="J33" s="568">
        <f t="shared" si="17"/>
        <v>0</v>
      </c>
      <c r="K33" s="142">
        <f>IF(D33="PS",$I$8*'1st IA Load Pricing Results'!J52/'1st IA Load Pricing Results'!$J$60,0)</f>
        <v>0</v>
      </c>
      <c r="L33" s="568">
        <f t="shared" si="15"/>
        <v>0</v>
      </c>
      <c r="M33" s="142">
        <f>IF(D33="DPL",$I$9*'1st IA Load Pricing Results'!J52/'1st IA Load Pricing Results'!$J$52,0)</f>
        <v>-1132.1746375624116</v>
      </c>
      <c r="N33" s="568">
        <f t="shared" si="3"/>
        <v>0</v>
      </c>
      <c r="O33" s="142">
        <f>IF(D33="PEPCO",$I$10*'1st IA Load Pricing Results'!J52/'1st IA Load Pricing Results'!$J$58,0)</f>
        <v>0</v>
      </c>
      <c r="P33" s="568">
        <f t="shared" si="11"/>
        <v>0</v>
      </c>
      <c r="Q33" s="142">
        <f>IF(D33="ATSI",$I$11*'1st IA Load Pricing Results'!J52/'1st IA Load Pricing Results'!$J$45,0)</f>
        <v>0</v>
      </c>
      <c r="R33" s="568">
        <f t="shared" si="12"/>
        <v>0</v>
      </c>
      <c r="S33" s="142">
        <f>IF(D33="COMED",$I$12*'1st IA Load Pricing Results'!J52/'1st IA Load Pricing Results'!$J$47,0)</f>
        <v>0</v>
      </c>
      <c r="T33" s="568">
        <f t="shared" si="4"/>
        <v>0</v>
      </c>
      <c r="U33" s="142">
        <f>IF(D33="BGE",$I$13*'1st IA Load Pricing Results'!J52/'1st IA Load Pricing Results'!$J$46,0)</f>
        <v>0</v>
      </c>
      <c r="V33" s="568">
        <f t="shared" si="5"/>
        <v>0</v>
      </c>
      <c r="W33" s="142">
        <f>IF(D33="PL",$I$14*'1st IA Load Pricing Results'!J52/'1st IA Load Pricing Results'!$J$59,0)</f>
        <v>0</v>
      </c>
      <c r="X33" s="569">
        <f t="shared" si="6"/>
        <v>0</v>
      </c>
      <c r="Y33" s="142">
        <f>IF(D33="DAYTON",$I$15*'1st IA Load Pricing Results'!J52/'1st IA Load Pricing Results'!$J$48,0)</f>
        <v>0</v>
      </c>
      <c r="Z33" s="570">
        <f t="shared" si="7"/>
        <v>0</v>
      </c>
      <c r="AA33" s="142">
        <f>IF(D33="DEOK",$I$16*'1st IA Load Pricing Results'!J52/'1st IA Load Pricing Results'!$J$49,0)</f>
        <v>0</v>
      </c>
      <c r="AB33" s="570">
        <f t="shared" si="8"/>
        <v>0</v>
      </c>
      <c r="AC33" s="571">
        <f t="shared" si="9"/>
        <v>1132.1746375624116</v>
      </c>
      <c r="AD33" s="31">
        <f t="shared" si="10"/>
        <v>14767.597768573249</v>
      </c>
      <c r="AE33" s="154">
        <f>AD33/'1st IA Load Pricing Results'!J52</f>
        <v>3.3751227698570747</v>
      </c>
      <c r="AF33" s="154">
        <f t="shared" si="13"/>
        <v>13.043568791090481</v>
      </c>
      <c r="AG33" s="91" t="s">
        <v>17</v>
      </c>
    </row>
    <row r="34" spans="1:33" x14ac:dyDescent="0.2">
      <c r="A34" s="22" t="s">
        <v>116</v>
      </c>
      <c r="B34" s="91"/>
      <c r="C34" s="91"/>
      <c r="D34" s="91"/>
      <c r="E34" s="142">
        <f>IF(B34="MAAC",$I$5*'1st IA Load Pricing Results'!J53/'1st IA Load Pricing Results'!$B$14,0)</f>
        <v>0</v>
      </c>
      <c r="F34" s="568">
        <f>E34*$F$21</f>
        <v>0</v>
      </c>
      <c r="G34" s="142">
        <f>IF(C34="EMAAC",$I$6*'1st IA Load Pricing Results'!J53/'1st IA Load Pricing Results'!$B$15,0)</f>
        <v>0</v>
      </c>
      <c r="H34" s="568">
        <f t="shared" si="14"/>
        <v>0</v>
      </c>
      <c r="I34" s="142">
        <f>IF(C34="SWMAAC",$I$7*'1st IA Load Pricing Results'!J53/'1st IA Load Pricing Results'!$B$16,0)</f>
        <v>0</v>
      </c>
      <c r="J34" s="568">
        <f>I34*$J$21</f>
        <v>0</v>
      </c>
      <c r="K34" s="142">
        <f>IF(D34="PS",$I$8*'1st IA Load Pricing Results'!J53/'1st IA Load Pricing Results'!$J$60,0)</f>
        <v>0</v>
      </c>
      <c r="L34" s="568">
        <f>K34*$L$21</f>
        <v>0</v>
      </c>
      <c r="M34" s="142">
        <f>IF(D34="DPL",$I$9*'1st IA Load Pricing Results'!J53/'1st IA Load Pricing Results'!$J$52,0)</f>
        <v>0</v>
      </c>
      <c r="N34" s="568">
        <f t="shared" si="3"/>
        <v>0</v>
      </c>
      <c r="O34" s="142">
        <f>IF(D34="PEPCO",$I$10*'1st IA Load Pricing Results'!J53/'1st IA Load Pricing Results'!$J$58,0)</f>
        <v>0</v>
      </c>
      <c r="P34" s="568">
        <f>O34*$P$21</f>
        <v>0</v>
      </c>
      <c r="Q34" s="142">
        <f>IF(D34="ATSI",$I$11*'1st IA Load Pricing Results'!J53/'1st IA Load Pricing Results'!$J$45,0)</f>
        <v>0</v>
      </c>
      <c r="R34" s="568">
        <f>Q34*$R$21</f>
        <v>0</v>
      </c>
      <c r="S34" s="142">
        <f>IF(D34="COMED",$I$12*'1st IA Load Pricing Results'!J53/'1st IA Load Pricing Results'!$J$47,0)</f>
        <v>0</v>
      </c>
      <c r="T34" s="568">
        <f t="shared" si="4"/>
        <v>0</v>
      </c>
      <c r="U34" s="142">
        <f>IF(D34="BGE",$I$13*'1st IA Load Pricing Results'!J53/'1st IA Load Pricing Results'!$J$46,0)</f>
        <v>0</v>
      </c>
      <c r="V34" s="568">
        <f t="shared" si="5"/>
        <v>0</v>
      </c>
      <c r="W34" s="142">
        <f>IF(D34="PL",$I$14*'1st IA Load Pricing Results'!J53/'1st IA Load Pricing Results'!$J$59,0)</f>
        <v>0</v>
      </c>
      <c r="X34" s="569">
        <f t="shared" si="6"/>
        <v>0</v>
      </c>
      <c r="Y34" s="142">
        <f>IF(D34="DAYTON",$I$15*'1st IA Load Pricing Results'!J53/'1st IA Load Pricing Results'!$J$48,0)</f>
        <v>0</v>
      </c>
      <c r="Z34" s="570">
        <f t="shared" si="7"/>
        <v>0</v>
      </c>
      <c r="AA34" s="142">
        <f>IF(D34="DEOK",$I$16*'1st IA Load Pricing Results'!J53/'1st IA Load Pricing Results'!$J$49,0)</f>
        <v>0</v>
      </c>
      <c r="AB34" s="570">
        <f t="shared" si="8"/>
        <v>0</v>
      </c>
      <c r="AC34" s="571">
        <f t="shared" si="9"/>
        <v>0</v>
      </c>
      <c r="AD34" s="31">
        <f t="shared" si="10"/>
        <v>0</v>
      </c>
      <c r="AE34" s="154">
        <f>AD34/'1st IA Load Pricing Results'!J53</f>
        <v>0</v>
      </c>
      <c r="AF34" s="154">
        <f>IF(AC34=0,0,AD34/AC34)</f>
        <v>0</v>
      </c>
      <c r="AG34" s="91" t="s">
        <v>116</v>
      </c>
    </row>
    <row r="35" spans="1:33" x14ac:dyDescent="0.2">
      <c r="A35" s="22" t="s">
        <v>12</v>
      </c>
      <c r="B35" s="91" t="s">
        <v>28</v>
      </c>
      <c r="C35" s="91" t="s">
        <v>33</v>
      </c>
      <c r="D35" s="91"/>
      <c r="E35" s="142">
        <f>IF(B35="MAAC",$I$5*'1st IA Load Pricing Results'!J54/'1st IA Load Pricing Results'!$B$14,0)</f>
        <v>-289.50766976692432</v>
      </c>
      <c r="F35" s="568">
        <f t="shared" si="16"/>
        <v>0</v>
      </c>
      <c r="G35" s="142">
        <f>IF(C35="EMAAC",$I$6*'1st IA Load Pricing Results'!J54/'1st IA Load Pricing Results'!$B$15,0)</f>
        <v>868.84443565728156</v>
      </c>
      <c r="H35" s="568">
        <f>G35*$H$21</f>
        <v>22295.634629459528</v>
      </c>
      <c r="I35" s="142">
        <f>IF(C35="SWMAAC",$I$7*'1st IA Load Pricing Results'!J54/'1st IA Load Pricing Results'!$B$16,0)</f>
        <v>0</v>
      </c>
      <c r="J35" s="568">
        <f t="shared" si="17"/>
        <v>0</v>
      </c>
      <c r="K35" s="142">
        <f>IF(D35="PS",$I$8*'1st IA Load Pricing Results'!J54/'1st IA Load Pricing Results'!$J$60,0)</f>
        <v>0</v>
      </c>
      <c r="L35" s="568">
        <f t="shared" si="15"/>
        <v>0</v>
      </c>
      <c r="M35" s="142">
        <f>IF(D35="DPL",$I$9*'1st IA Load Pricing Results'!J54/'1st IA Load Pricing Results'!$J$52,0)</f>
        <v>0</v>
      </c>
      <c r="N35" s="568">
        <f t="shared" si="3"/>
        <v>0</v>
      </c>
      <c r="O35" s="142">
        <f>IF(D35="PEPCO",$I$10*'1st IA Load Pricing Results'!J54/'1st IA Load Pricing Results'!$J$58,0)</f>
        <v>0</v>
      </c>
      <c r="P35" s="568">
        <f t="shared" si="11"/>
        <v>0</v>
      </c>
      <c r="Q35" s="142">
        <f>IF(D35="ATSI",$I$11*'1st IA Load Pricing Results'!J54/'1st IA Load Pricing Results'!$J$45,0)</f>
        <v>0</v>
      </c>
      <c r="R35" s="568">
        <f t="shared" si="12"/>
        <v>0</v>
      </c>
      <c r="S35" s="142">
        <f>IF(D35="COMED",$I$12*'1st IA Load Pricing Results'!J54/'1st IA Load Pricing Results'!$J$47,0)</f>
        <v>0</v>
      </c>
      <c r="T35" s="568">
        <f t="shared" si="4"/>
        <v>0</v>
      </c>
      <c r="U35" s="142">
        <f>IF(D35="BGE",$I$13*'1st IA Load Pricing Results'!J54/'1st IA Load Pricing Results'!$J$46,0)</f>
        <v>0</v>
      </c>
      <c r="V35" s="568">
        <f t="shared" si="5"/>
        <v>0</v>
      </c>
      <c r="W35" s="142">
        <f>IF(D35="PL",$I$14*'1st IA Load Pricing Results'!J54/'1st IA Load Pricing Results'!$J$59,0)</f>
        <v>0</v>
      </c>
      <c r="X35" s="569">
        <f>W35*$X$21</f>
        <v>0</v>
      </c>
      <c r="Y35" s="142">
        <f>IF(D35="DAYTON",$I$15*'1st IA Load Pricing Results'!J54/'1st IA Load Pricing Results'!$J$48,0)</f>
        <v>0</v>
      </c>
      <c r="Z35" s="570">
        <f t="shared" si="7"/>
        <v>0</v>
      </c>
      <c r="AA35" s="142">
        <f>IF(D35="DEOK",$I$16*'1st IA Load Pricing Results'!J54/'1st IA Load Pricing Results'!$J$49,0)</f>
        <v>0</v>
      </c>
      <c r="AB35" s="570">
        <f t="shared" si="8"/>
        <v>0</v>
      </c>
      <c r="AC35" s="571">
        <f t="shared" si="9"/>
        <v>868.84443565728156</v>
      </c>
      <c r="AD35" s="31">
        <f t="shared" si="10"/>
        <v>22295.634629459528</v>
      </c>
      <c r="AE35" s="154">
        <f>AD35/'1st IA Load Pricing Results'!J54</f>
        <v>3.3751227698570747</v>
      </c>
      <c r="AF35" s="154">
        <f t="shared" si="13"/>
        <v>25.661250408530108</v>
      </c>
      <c r="AG35" s="91" t="s">
        <v>12</v>
      </c>
    </row>
    <row r="36" spans="1:33" x14ac:dyDescent="0.2">
      <c r="A36" s="22" t="s">
        <v>13</v>
      </c>
      <c r="B36" s="91" t="s">
        <v>28</v>
      </c>
      <c r="C36" s="91"/>
      <c r="D36" s="91"/>
      <c r="E36" s="142">
        <f>IF(B36="MAAC",$I$5*'1st IA Load Pricing Results'!J55/'1st IA Load Pricing Results'!$B$14,0)</f>
        <v>-148.03786375001357</v>
      </c>
      <c r="F36" s="568">
        <f t="shared" si="16"/>
        <v>0</v>
      </c>
      <c r="G36" s="142">
        <f>IF(C36="EMAAC",$I$6*'1st IA Load Pricing Results'!J55/'1st IA Load Pricing Results'!$B$15,0)</f>
        <v>0</v>
      </c>
      <c r="H36" s="568">
        <f>G36*$H$21</f>
        <v>0</v>
      </c>
      <c r="I36" s="142">
        <f>IF(C36="SWMAAC",$I$7*'1st IA Load Pricing Results'!J55/'1st IA Load Pricing Results'!$B$16,0)</f>
        <v>0</v>
      </c>
      <c r="J36" s="568">
        <f t="shared" si="17"/>
        <v>0</v>
      </c>
      <c r="K36" s="142">
        <f>IF(D36="PS",$I$8*'1st IA Load Pricing Results'!J55/'1st IA Load Pricing Results'!$J$60,0)</f>
        <v>0</v>
      </c>
      <c r="L36" s="568">
        <f t="shared" si="15"/>
        <v>0</v>
      </c>
      <c r="M36" s="142">
        <f>IF(D36="DPL",$I$9*'1st IA Load Pricing Results'!J55/'1st IA Load Pricing Results'!$J$52,0)</f>
        <v>0</v>
      </c>
      <c r="N36" s="568">
        <f t="shared" si="3"/>
        <v>0</v>
      </c>
      <c r="O36" s="142">
        <f>IF(D36="PEPCO",$I$10*'1st IA Load Pricing Results'!J55/'1st IA Load Pricing Results'!$J$58,0)</f>
        <v>0</v>
      </c>
      <c r="P36" s="568">
        <f t="shared" si="11"/>
        <v>0</v>
      </c>
      <c r="Q36" s="142">
        <f>IF(D36="ATSI",$I$11*'1st IA Load Pricing Results'!J55/'1st IA Load Pricing Results'!$J$45,0)</f>
        <v>0</v>
      </c>
      <c r="R36" s="568">
        <f t="shared" si="12"/>
        <v>0</v>
      </c>
      <c r="S36" s="142">
        <f>IF(D36="COMED",$I$12*'1st IA Load Pricing Results'!J55/'1st IA Load Pricing Results'!$J$47,0)</f>
        <v>0</v>
      </c>
      <c r="T36" s="568">
        <f t="shared" si="4"/>
        <v>0</v>
      </c>
      <c r="U36" s="142">
        <f>IF(D36="BGE",$I$13*'1st IA Load Pricing Results'!J55/'1st IA Load Pricing Results'!$J$46,0)</f>
        <v>0</v>
      </c>
      <c r="V36" s="568">
        <f t="shared" si="5"/>
        <v>0</v>
      </c>
      <c r="W36" s="142">
        <f>IF(D36="PL",$I$14*'1st IA Load Pricing Results'!J55/'1st IA Load Pricing Results'!$J$59,0)</f>
        <v>0</v>
      </c>
      <c r="X36" s="569">
        <f>W36*$X$21</f>
        <v>0</v>
      </c>
      <c r="Y36" s="142">
        <f>IF(D36="DAYTON",$I$15*'1st IA Load Pricing Results'!J55/'1st IA Load Pricing Results'!$J$48,0)</f>
        <v>0</v>
      </c>
      <c r="Z36" s="570">
        <f t="shared" si="7"/>
        <v>0</v>
      </c>
      <c r="AA36" s="142">
        <f>IF(D36="DEOK",$I$16*'1st IA Load Pricing Results'!J55/'1st IA Load Pricing Results'!$J$49,0)</f>
        <v>0</v>
      </c>
      <c r="AB36" s="570">
        <f t="shared" si="8"/>
        <v>0</v>
      </c>
      <c r="AC36" s="571">
        <f t="shared" si="9"/>
        <v>148.03786375001357</v>
      </c>
      <c r="AD36" s="31">
        <f t="shared" si="10"/>
        <v>0</v>
      </c>
      <c r="AE36" s="154">
        <f>AD36/'1st IA Load Pricing Results'!J55</f>
        <v>0</v>
      </c>
      <c r="AF36" s="572">
        <f t="shared" si="13"/>
        <v>0</v>
      </c>
      <c r="AG36" s="91" t="s">
        <v>13</v>
      </c>
    </row>
    <row r="37" spans="1:33" x14ac:dyDescent="0.2">
      <c r="A37" s="22" t="s">
        <v>9</v>
      </c>
      <c r="B37" s="91" t="s">
        <v>28</v>
      </c>
      <c r="C37" s="91" t="s">
        <v>33</v>
      </c>
      <c r="D37" s="91"/>
      <c r="E37" s="142">
        <f>IF(B37="MAAC",$I$5*'1st IA Load Pricing Results'!J56/'1st IA Load Pricing Results'!$B$14,0)</f>
        <v>-431.90110890255266</v>
      </c>
      <c r="F37" s="568">
        <f t="shared" si="16"/>
        <v>0</v>
      </c>
      <c r="G37" s="142">
        <f>IF(C37="EMAAC",$I$6*'1st IA Load Pricing Results'!J56/'1st IA Load Pricing Results'!$B$15,0)</f>
        <v>1296.1828456092412</v>
      </c>
      <c r="H37" s="568">
        <f>G37*$H$21</f>
        <v>33261.672576419856</v>
      </c>
      <c r="I37" s="142">
        <f>IF(C37="SWMAAC",$I$7*'1st IA Load Pricing Results'!J56/'1st IA Load Pricing Results'!$B$16,0)</f>
        <v>0</v>
      </c>
      <c r="J37" s="568">
        <f t="shared" si="17"/>
        <v>0</v>
      </c>
      <c r="K37" s="142">
        <f>IF(D37="PS",$I$8*'1st IA Load Pricing Results'!J56/'1st IA Load Pricing Results'!$J$60,0)</f>
        <v>0</v>
      </c>
      <c r="L37" s="568">
        <f t="shared" si="15"/>
        <v>0</v>
      </c>
      <c r="M37" s="142">
        <f>IF(D37="DPL",$I$9*'1st IA Load Pricing Results'!J56/'1st IA Load Pricing Results'!$J$52,0)</f>
        <v>0</v>
      </c>
      <c r="N37" s="568">
        <f t="shared" si="3"/>
        <v>0</v>
      </c>
      <c r="O37" s="142">
        <f>IF(D37="PEPCO",$I$10*'1st IA Load Pricing Results'!J56/'1st IA Load Pricing Results'!$J$58,0)</f>
        <v>0</v>
      </c>
      <c r="P37" s="568">
        <f t="shared" si="11"/>
        <v>0</v>
      </c>
      <c r="Q37" s="142">
        <f>IF(D37="ATSI",$I$11*'1st IA Load Pricing Results'!J56/'1st IA Load Pricing Results'!$J$45,0)</f>
        <v>0</v>
      </c>
      <c r="R37" s="568">
        <f t="shared" si="12"/>
        <v>0</v>
      </c>
      <c r="S37" s="142">
        <f>IF(D37="COMED",$I$12*'1st IA Load Pricing Results'!J56/'1st IA Load Pricing Results'!$J$47,0)</f>
        <v>0</v>
      </c>
      <c r="T37" s="568">
        <f t="shared" si="4"/>
        <v>0</v>
      </c>
      <c r="U37" s="142">
        <f>IF(D37="BGE",$I$13*'1st IA Load Pricing Results'!J56/'1st IA Load Pricing Results'!$J$46,0)</f>
        <v>0</v>
      </c>
      <c r="V37" s="568">
        <f t="shared" si="5"/>
        <v>0</v>
      </c>
      <c r="W37" s="142">
        <f>IF(D37="PL",$I$14*'1st IA Load Pricing Results'!J56/'1st IA Load Pricing Results'!$J$59,0)</f>
        <v>0</v>
      </c>
      <c r="X37" s="569">
        <f t="shared" si="6"/>
        <v>0</v>
      </c>
      <c r="Y37" s="142">
        <f>IF(D37="DAYTON",$I$15*'1st IA Load Pricing Results'!J56/'1st IA Load Pricing Results'!$J$48,0)</f>
        <v>0</v>
      </c>
      <c r="Z37" s="570">
        <f t="shared" si="7"/>
        <v>0</v>
      </c>
      <c r="AA37" s="142">
        <f>IF(D37="DEOK",$I$16*'1st IA Load Pricing Results'!J56/'1st IA Load Pricing Results'!$J$49,0)</f>
        <v>0</v>
      </c>
      <c r="AB37" s="570">
        <f t="shared" si="8"/>
        <v>0</v>
      </c>
      <c r="AC37" s="571">
        <f t="shared" si="9"/>
        <v>1296.1828456092412</v>
      </c>
      <c r="AD37" s="31">
        <f>F37+H37+J37+L37+N37+P37+R37+T37+V37+X37+Z37+AB37</f>
        <v>33261.672576419856</v>
      </c>
      <c r="AE37" s="154">
        <f>AD37/'1st IA Load Pricing Results'!J56</f>
        <v>3.3751227698570738</v>
      </c>
      <c r="AF37" s="154">
        <f t="shared" si="13"/>
        <v>25.661250408530105</v>
      </c>
      <c r="AG37" s="91" t="s">
        <v>9</v>
      </c>
    </row>
    <row r="38" spans="1:33" x14ac:dyDescent="0.2">
      <c r="A38" s="22" t="s">
        <v>14</v>
      </c>
      <c r="B38" s="91" t="s">
        <v>28</v>
      </c>
      <c r="C38" s="91"/>
      <c r="D38" s="91"/>
      <c r="E38" s="142">
        <f>IF(B38="MAAC",$I$5*'1st IA Load Pricing Results'!J57/'1st IA Load Pricing Results'!$B$14,0)</f>
        <v>-141.367180114831</v>
      </c>
      <c r="F38" s="568">
        <f t="shared" si="16"/>
        <v>0</v>
      </c>
      <c r="G38" s="142">
        <f>IF(C38="EMAAC",$I$6*'1st IA Load Pricing Results'!J57/'1st IA Load Pricing Results'!$B$15,0)</f>
        <v>0</v>
      </c>
      <c r="H38" s="568">
        <f t="shared" si="14"/>
        <v>0</v>
      </c>
      <c r="I38" s="142">
        <f>IF(C38="SWMAAC",$I$7*'1st IA Load Pricing Results'!J57/'1st IA Load Pricing Results'!$B$16,0)</f>
        <v>0</v>
      </c>
      <c r="J38" s="568">
        <f t="shared" si="17"/>
        <v>0</v>
      </c>
      <c r="K38" s="142">
        <f>IF(D38="PS",$I$8*'1st IA Load Pricing Results'!J57/'1st IA Load Pricing Results'!$J$60,0)</f>
        <v>0</v>
      </c>
      <c r="L38" s="568">
        <f t="shared" si="15"/>
        <v>0</v>
      </c>
      <c r="M38" s="142">
        <f>IF(D38="DPL",$I$9*'1st IA Load Pricing Results'!J57/'1st IA Load Pricing Results'!$J$52,0)</f>
        <v>0</v>
      </c>
      <c r="N38" s="568">
        <f t="shared" si="3"/>
        <v>0</v>
      </c>
      <c r="O38" s="142">
        <f>IF(D38="PEPCO",$I$10*'1st IA Load Pricing Results'!J57/'1st IA Load Pricing Results'!$J$58,0)</f>
        <v>0</v>
      </c>
      <c r="P38" s="568">
        <f t="shared" si="11"/>
        <v>0</v>
      </c>
      <c r="Q38" s="142">
        <f>IF(D38="ATSI",$I$11*'1st IA Load Pricing Results'!J57/'1st IA Load Pricing Results'!$J$45,0)</f>
        <v>0</v>
      </c>
      <c r="R38" s="568">
        <f t="shared" si="12"/>
        <v>0</v>
      </c>
      <c r="S38" s="142">
        <f>IF(D38="COMED",$I$12*'1st IA Load Pricing Results'!J57/'1st IA Load Pricing Results'!$J$47,0)</f>
        <v>0</v>
      </c>
      <c r="T38" s="568">
        <f t="shared" si="4"/>
        <v>0</v>
      </c>
      <c r="U38" s="142">
        <f>IF(D38="BGE",$I$13*'1st IA Load Pricing Results'!J57/'1st IA Load Pricing Results'!$J$46,0)</f>
        <v>0</v>
      </c>
      <c r="V38" s="568">
        <f t="shared" si="5"/>
        <v>0</v>
      </c>
      <c r="W38" s="142">
        <f>IF(D38="PL",$I$14*'1st IA Load Pricing Results'!J57/'1st IA Load Pricing Results'!$J$59,0)</f>
        <v>0</v>
      </c>
      <c r="X38" s="569">
        <f t="shared" si="6"/>
        <v>0</v>
      </c>
      <c r="Y38" s="142">
        <f>IF(D38="DAYTON",$I$15*'1st IA Load Pricing Results'!J57/'1st IA Load Pricing Results'!$J$48,0)</f>
        <v>0</v>
      </c>
      <c r="Z38" s="570">
        <f t="shared" si="7"/>
        <v>0</v>
      </c>
      <c r="AA38" s="142">
        <f>IF(D38="DEOK",$I$16*'1st IA Load Pricing Results'!J57/'1st IA Load Pricing Results'!$J$49,0)</f>
        <v>0</v>
      </c>
      <c r="AB38" s="570">
        <f t="shared" si="8"/>
        <v>0</v>
      </c>
      <c r="AC38" s="571">
        <f t="shared" si="9"/>
        <v>141.367180114831</v>
      </c>
      <c r="AD38" s="31">
        <f t="shared" si="10"/>
        <v>0</v>
      </c>
      <c r="AE38" s="154">
        <f>AD38/'1st IA Load Pricing Results'!J57</f>
        <v>0</v>
      </c>
      <c r="AF38" s="572">
        <f t="shared" si="13"/>
        <v>0</v>
      </c>
      <c r="AG38" s="91" t="s">
        <v>14</v>
      </c>
    </row>
    <row r="39" spans="1:33" x14ac:dyDescent="0.2">
      <c r="A39" s="22" t="s">
        <v>15</v>
      </c>
      <c r="B39" s="91" t="s">
        <v>28</v>
      </c>
      <c r="C39" s="91" t="s">
        <v>5</v>
      </c>
      <c r="D39" s="91" t="s">
        <v>15</v>
      </c>
      <c r="E39" s="142">
        <f>IF(B39="MAAC",$I$5*'1st IA Load Pricing Results'!J58/'1st IA Load Pricing Results'!$B$14,0)</f>
        <v>-313.98394741294038</v>
      </c>
      <c r="F39" s="568">
        <f t="shared" si="16"/>
        <v>0</v>
      </c>
      <c r="G39" s="142">
        <f>IF(C39="EMAAC",$I$6*'1st IA Load Pricing Results'!J58/'1st IA Load Pricing Results'!$B$15,0)</f>
        <v>0</v>
      </c>
      <c r="H39" s="568">
        <f t="shared" si="14"/>
        <v>0</v>
      </c>
      <c r="I39" s="142">
        <f>IF(C39="SWMAAC",$I$7*'1st IA Load Pricing Results'!J58/'1st IA Load Pricing Results'!$B$16,0)</f>
        <v>2085.9379129879376</v>
      </c>
      <c r="J39" s="568">
        <f t="shared" si="17"/>
        <v>0</v>
      </c>
      <c r="K39" s="142">
        <f>IF(D39="PS",$I$8*'1st IA Load Pricing Results'!J58/'1st IA Load Pricing Results'!$J$60,0)</f>
        <v>0</v>
      </c>
      <c r="L39" s="568">
        <f t="shared" si="15"/>
        <v>0</v>
      </c>
      <c r="M39" s="142">
        <f>IF(D39="DPL",$I$9*'1st IA Load Pricing Results'!J58/'1st IA Load Pricing Results'!$J$52,0)</f>
        <v>0</v>
      </c>
      <c r="N39" s="568">
        <f>M39*$N$21</f>
        <v>0</v>
      </c>
      <c r="O39" s="142">
        <f>IF(D39="PEPCO",$I$10*'1st IA Load Pricing Results'!J58/'1st IA Load Pricing Results'!$J$58,0)</f>
        <v>1336.4638728272939</v>
      </c>
      <c r="P39" s="568">
        <f>O39*$P$21</f>
        <v>0</v>
      </c>
      <c r="Q39" s="142">
        <f>IF(D39="ATSI",$I$11*'1st IA Load Pricing Results'!J58/'1st IA Load Pricing Results'!$J$45,0)</f>
        <v>0</v>
      </c>
      <c r="R39" s="568">
        <f>Q39*$R$21</f>
        <v>0</v>
      </c>
      <c r="S39" s="142">
        <f>IF(D39="COMED",$I$12*'1st IA Load Pricing Results'!J58/'1st IA Load Pricing Results'!$J$47,0)</f>
        <v>0</v>
      </c>
      <c r="T39" s="568">
        <f t="shared" si="4"/>
        <v>0</v>
      </c>
      <c r="U39" s="142">
        <f>IF(D39="BGE",$I$13*'1st IA Load Pricing Results'!J58/'1st IA Load Pricing Results'!$J$46,0)</f>
        <v>0</v>
      </c>
      <c r="V39" s="568">
        <f t="shared" si="5"/>
        <v>0</v>
      </c>
      <c r="W39" s="142">
        <f>IF(D39="PL",$I$14*'1st IA Load Pricing Results'!J58/'1st IA Load Pricing Results'!$J$59,0)</f>
        <v>0</v>
      </c>
      <c r="X39" s="569">
        <f>W39*$X$21</f>
        <v>0</v>
      </c>
      <c r="Y39" s="142">
        <f>IF(D39="DAYTON",$I$15*'1st IA Load Pricing Results'!J58/'1st IA Load Pricing Results'!$J$48,0)</f>
        <v>0</v>
      </c>
      <c r="Z39" s="570">
        <f t="shared" si="7"/>
        <v>0</v>
      </c>
      <c r="AA39" s="142">
        <f>IF(D39="DEOK",$I$16*'1st IA Load Pricing Results'!J58/'1st IA Load Pricing Results'!$J$49,0)</f>
        <v>0</v>
      </c>
      <c r="AB39" s="570">
        <f t="shared" si="8"/>
        <v>0</v>
      </c>
      <c r="AC39" s="571">
        <f t="shared" si="9"/>
        <v>2085.9379129879376</v>
      </c>
      <c r="AD39" s="31">
        <f t="shared" si="10"/>
        <v>0</v>
      </c>
      <c r="AE39" s="154">
        <f>AD39/'1st IA Load Pricing Results'!J58</f>
        <v>0</v>
      </c>
      <c r="AF39" s="154">
        <f t="shared" si="13"/>
        <v>0</v>
      </c>
      <c r="AG39" s="91" t="s">
        <v>15</v>
      </c>
    </row>
    <row r="40" spans="1:33" x14ac:dyDescent="0.2">
      <c r="A40" s="22" t="s">
        <v>10</v>
      </c>
      <c r="B40" s="91" t="s">
        <v>28</v>
      </c>
      <c r="C40" s="91"/>
      <c r="D40" s="91" t="s">
        <v>10</v>
      </c>
      <c r="E40" s="142">
        <f>IF(B40="MAAC",$I$5*'1st IA Load Pricing Results'!J59/'1st IA Load Pricing Results'!$B$14,0)</f>
        <v>-361.55105302689623</v>
      </c>
      <c r="F40" s="568">
        <f t="shared" si="16"/>
        <v>0</v>
      </c>
      <c r="G40" s="142">
        <f>IF(C40="EMAAC",$I$6*'1st IA Load Pricing Results'!J59/'1st IA Load Pricing Results'!$B$15,0)</f>
        <v>0</v>
      </c>
      <c r="H40" s="568">
        <f t="shared" si="14"/>
        <v>0</v>
      </c>
      <c r="I40" s="142">
        <f>IF(C40="SWMAAC",$I$7*'1st IA Load Pricing Results'!J59/'1st IA Load Pricing Results'!$B$16,0)</f>
        <v>0</v>
      </c>
      <c r="J40" s="568">
        <f t="shared" si="17"/>
        <v>0</v>
      </c>
      <c r="K40" s="142">
        <f>IF(D40="PS",$I$8*'1st IA Load Pricing Results'!J59/'1st IA Load Pricing Results'!$J$60,0)</f>
        <v>0</v>
      </c>
      <c r="L40" s="568">
        <f t="shared" si="15"/>
        <v>0</v>
      </c>
      <c r="M40" s="142">
        <f>IF(D40="DPL",$I$9*'1st IA Load Pricing Results'!J59/'1st IA Load Pricing Results'!$J$52,0)</f>
        <v>0</v>
      </c>
      <c r="N40" s="568">
        <f t="shared" si="3"/>
        <v>0</v>
      </c>
      <c r="O40" s="142">
        <f>IF(D40="PEPCO",$I$10*'1st IA Load Pricing Results'!J59/'1st IA Load Pricing Results'!$J$58,0)</f>
        <v>0</v>
      </c>
      <c r="P40" s="568">
        <f>O40*$P$21</f>
        <v>0</v>
      </c>
      <c r="Q40" s="142">
        <f>IF(D40="ATSI",$I$11*'1st IA Load Pricing Results'!J59/'1st IA Load Pricing Results'!$J$45,0)</f>
        <v>0</v>
      </c>
      <c r="R40" s="568">
        <f t="shared" si="12"/>
        <v>0</v>
      </c>
      <c r="S40" s="142">
        <f>IF(D40="COMED",$I$12*'1st IA Load Pricing Results'!J59/'1st IA Load Pricing Results'!$J$47,0)</f>
        <v>0</v>
      </c>
      <c r="T40" s="568">
        <f t="shared" si="4"/>
        <v>0</v>
      </c>
      <c r="U40" s="142">
        <f>IF(D40="BGE",$I$13*'1st IA Load Pricing Results'!J59/'1st IA Load Pricing Results'!$J$46,0)</f>
        <v>0</v>
      </c>
      <c r="V40" s="568">
        <f t="shared" si="5"/>
        <v>0</v>
      </c>
      <c r="W40" s="142">
        <f>IF(D40="PL",$I$14*'1st IA Load Pricing Results'!J59/'1st IA Load Pricing Results'!$J$59,0)</f>
        <v>-2963.06836935102</v>
      </c>
      <c r="X40" s="569">
        <f t="shared" si="6"/>
        <v>0</v>
      </c>
      <c r="Y40" s="142">
        <f>IF(D40="DAYTON",$I$15*'1st IA Load Pricing Results'!J59/'1st IA Load Pricing Results'!$J$48,0)</f>
        <v>0</v>
      </c>
      <c r="Z40" s="570">
        <f t="shared" si="7"/>
        <v>0</v>
      </c>
      <c r="AA40" s="142">
        <f>IF(D40="DEOK",$I$16*'1st IA Load Pricing Results'!J59/'1st IA Load Pricing Results'!$J$49,0)</f>
        <v>0</v>
      </c>
      <c r="AB40" s="570">
        <f t="shared" si="8"/>
        <v>0</v>
      </c>
      <c r="AC40" s="571">
        <f t="shared" si="9"/>
        <v>2963.06836935102</v>
      </c>
      <c r="AD40" s="31">
        <f t="shared" si="10"/>
        <v>0</v>
      </c>
      <c r="AE40" s="154">
        <f>AD40/'1st IA Load Pricing Results'!J59</f>
        <v>0</v>
      </c>
      <c r="AF40" s="572">
        <f t="shared" si="13"/>
        <v>0</v>
      </c>
      <c r="AG40" s="91" t="s">
        <v>10</v>
      </c>
    </row>
    <row r="41" spans="1:33" x14ac:dyDescent="0.2">
      <c r="A41" s="22" t="s">
        <v>8</v>
      </c>
      <c r="B41" s="91" t="s">
        <v>28</v>
      </c>
      <c r="C41" s="91" t="s">
        <v>33</v>
      </c>
      <c r="D41" s="91" t="s">
        <v>8</v>
      </c>
      <c r="E41" s="142">
        <f>IF(B41="MAAC",$I$5*'1st IA Load Pricing Results'!J60/'1st IA Load Pricing Results'!$B$14,0)</f>
        <v>-482.39305272578082</v>
      </c>
      <c r="F41" s="568">
        <f t="shared" si="16"/>
        <v>0</v>
      </c>
      <c r="G41" s="142">
        <f>IF(C41="EMAAC",$I$6*'1st IA Load Pricing Results'!J60/'1st IA Load Pricing Results'!$B$15,0)</f>
        <v>1447.7147358408549</v>
      </c>
      <c r="H41" s="568">
        <f>G41*$H$21</f>
        <v>37150.170356531198</v>
      </c>
      <c r="I41" s="142">
        <f>IF(C41="SWMAAC",$I$7*'1st IA Load Pricing Results'!J60/'1st IA Load Pricing Results'!$B$16,0)</f>
        <v>0</v>
      </c>
      <c r="J41" s="568">
        <f>I41*$J$21</f>
        <v>0</v>
      </c>
      <c r="K41" s="142">
        <f>IF(D41="PS",$I$8*'1st IA Load Pricing Results'!J60/'1st IA Load Pricing Results'!$J$60,0)</f>
        <v>4985.772159017466</v>
      </c>
      <c r="L41" s="568">
        <f>K41*$L$21</f>
        <v>203506.186424074</v>
      </c>
      <c r="M41" s="142">
        <f>IF(D41="DPL",$I$9*'1st IA Load Pricing Results'!J60/'1st IA Load Pricing Results'!$J$52,0)</f>
        <v>0</v>
      </c>
      <c r="N41" s="568">
        <f t="shared" si="3"/>
        <v>0</v>
      </c>
      <c r="O41" s="142">
        <f>IF(D41="PEPCO",$I$10*'1st IA Load Pricing Results'!J60/'1st IA Load Pricing Results'!$J$58,0)</f>
        <v>0</v>
      </c>
      <c r="P41" s="568">
        <f>O41*$P$21</f>
        <v>0</v>
      </c>
      <c r="Q41" s="142">
        <f>IF(D41="ATSI",$I$11*'1st IA Load Pricing Results'!J60/'1st IA Load Pricing Results'!$J$45,0)</f>
        <v>0</v>
      </c>
      <c r="R41" s="568">
        <f t="shared" si="12"/>
        <v>0</v>
      </c>
      <c r="S41" s="142">
        <f>IF(D41="COMED",$I$12*'1st IA Load Pricing Results'!J60/'1st IA Load Pricing Results'!$J$47,0)</f>
        <v>0</v>
      </c>
      <c r="T41" s="568">
        <f t="shared" si="4"/>
        <v>0</v>
      </c>
      <c r="U41" s="142">
        <f>IF(D41="BGE",$I$13*'1st IA Load Pricing Results'!J60/'1st IA Load Pricing Results'!$J$46,0)</f>
        <v>0</v>
      </c>
      <c r="V41" s="568">
        <f t="shared" si="5"/>
        <v>0</v>
      </c>
      <c r="W41" s="142">
        <f>IF(D41="PL",$I$14*'1st IA Load Pricing Results'!J60/'1st IA Load Pricing Results'!$J$59,0)</f>
        <v>0</v>
      </c>
      <c r="X41" s="569">
        <f t="shared" si="6"/>
        <v>0</v>
      </c>
      <c r="Y41" s="142">
        <f>IF(D41="DAYTON",$I$15*'1st IA Load Pricing Results'!J60/'1st IA Load Pricing Results'!$J$48,0)</f>
        <v>0</v>
      </c>
      <c r="Z41" s="570">
        <f t="shared" si="7"/>
        <v>0</v>
      </c>
      <c r="AA41" s="142">
        <f>IF(D41="DEOK",$I$16*'1st IA Load Pricing Results'!J60/'1st IA Load Pricing Results'!$J$49,0)</f>
        <v>0</v>
      </c>
      <c r="AB41" s="570">
        <f t="shared" si="8"/>
        <v>0</v>
      </c>
      <c r="AC41" s="571">
        <f t="shared" si="9"/>
        <v>4985.772159017466</v>
      </c>
      <c r="AD41" s="31">
        <f t="shared" si="10"/>
        <v>240656.35678060519</v>
      </c>
      <c r="AE41" s="154">
        <f>AD41/'1st IA Load Pricing Results'!J60</f>
        <v>21.863823010390895</v>
      </c>
      <c r="AF41" s="154">
        <f>IF(AC41=0,0,AD41/AC41)</f>
        <v>48.268623014660733</v>
      </c>
      <c r="AG41" s="91" t="s">
        <v>8</v>
      </c>
    </row>
    <row r="42" spans="1:33" x14ac:dyDescent="0.2">
      <c r="A42" s="22" t="s">
        <v>18</v>
      </c>
      <c r="B42" s="91" t="s">
        <v>28</v>
      </c>
      <c r="C42" s="91" t="s">
        <v>33</v>
      </c>
      <c r="D42" s="91"/>
      <c r="E42" s="142">
        <f>IF(B42="MAAC",$I$5*'1st IA Load Pricing Results'!J61/'1st IA Load Pricing Results'!$B$14,0)</f>
        <v>-19.704173199308567</v>
      </c>
      <c r="F42" s="568">
        <f>E42*$F$21</f>
        <v>0</v>
      </c>
      <c r="G42" s="142">
        <f>IF(C42="EMAAC",$I$6*'1st IA Load Pricing Results'!J61/'1st IA Load Pricing Results'!$B$15,0)</f>
        <v>59.134396187946848</v>
      </c>
      <c r="H42" s="568">
        <f>G42*$H$21</f>
        <v>1517.4625483361324</v>
      </c>
      <c r="I42" s="142">
        <f>IF(C42="SWMAAC",$I$7*'1st IA Load Pricing Results'!J61/'1st IA Load Pricing Results'!$B$16,0)</f>
        <v>0</v>
      </c>
      <c r="J42" s="568">
        <f>I42*$J$21</f>
        <v>0</v>
      </c>
      <c r="K42" s="142">
        <f>IF(D42="PS",$I$8*'1st IA Load Pricing Results'!J61/'1st IA Load Pricing Results'!$J$60,0)</f>
        <v>0</v>
      </c>
      <c r="L42" s="568">
        <f>K42*$L$21</f>
        <v>0</v>
      </c>
      <c r="M42" s="142">
        <f>IF(D42="DPL",$I$9*'1st IA Load Pricing Results'!J61/'1st IA Load Pricing Results'!$J$52,0)</f>
        <v>0</v>
      </c>
      <c r="N42" s="568">
        <f t="shared" si="3"/>
        <v>0</v>
      </c>
      <c r="O42" s="142">
        <f>IF(D42="PEPCO",$I$10*'1st IA Load Pricing Results'!J61/'1st IA Load Pricing Results'!$J$58,0)</f>
        <v>0</v>
      </c>
      <c r="P42" s="568">
        <f>O42*$P$21</f>
        <v>0</v>
      </c>
      <c r="Q42" s="142">
        <f>IF(D42="ATSI",$I$11*'1st IA Load Pricing Results'!J61/'1st IA Load Pricing Results'!$J$45,0)</f>
        <v>0</v>
      </c>
      <c r="R42" s="568">
        <f>Q42*$R$21</f>
        <v>0</v>
      </c>
      <c r="S42" s="142">
        <f>IF(D42="COMED",$I$12*'1st IA Load Pricing Results'!J61/'1st IA Load Pricing Results'!$J$47,0)</f>
        <v>0</v>
      </c>
      <c r="T42" s="568">
        <f t="shared" si="4"/>
        <v>0</v>
      </c>
      <c r="U42" s="142">
        <f>IF(D42="BGE",$I$13*'1st IA Load Pricing Results'!J61/'1st IA Load Pricing Results'!$J$46,0)</f>
        <v>0</v>
      </c>
      <c r="V42" s="568">
        <f t="shared" si="5"/>
        <v>0</v>
      </c>
      <c r="W42" s="142">
        <f>IF(D42="PL",$I$14*'1st IA Load Pricing Results'!J61/'1st IA Load Pricing Results'!$J$59,0)</f>
        <v>0</v>
      </c>
      <c r="X42" s="569">
        <f t="shared" si="6"/>
        <v>0</v>
      </c>
      <c r="Y42" s="142">
        <f>IF(D42="DAYTON",$I$15*'1st IA Load Pricing Results'!J61/'1st IA Load Pricing Results'!$J$48,0)</f>
        <v>0</v>
      </c>
      <c r="Z42" s="570">
        <f>Y42*$Z$21</f>
        <v>0</v>
      </c>
      <c r="AA42" s="142">
        <f>IF(D42="DEOK",$I$16*'1st IA Load Pricing Results'!J61/'1st IA Load Pricing Results'!$J$49,0)</f>
        <v>0</v>
      </c>
      <c r="AB42" s="570">
        <f t="shared" si="8"/>
        <v>0</v>
      </c>
      <c r="AC42" s="571">
        <f t="shared" si="9"/>
        <v>59.134396187946848</v>
      </c>
      <c r="AD42" s="31">
        <f t="shared" si="10"/>
        <v>1517.4625483361324</v>
      </c>
      <c r="AE42" s="154">
        <f>AD42/'1st IA Load Pricing Results'!J61</f>
        <v>3.3751227698570747</v>
      </c>
      <c r="AF42" s="154">
        <f>IF(AC42=0,0,AD42/AC42)</f>
        <v>25.661250408530108</v>
      </c>
      <c r="AG42" s="91" t="s">
        <v>18</v>
      </c>
    </row>
    <row r="43" spans="1:33" x14ac:dyDescent="0.2">
      <c r="A43" s="775" t="s">
        <v>66</v>
      </c>
      <c r="B43" s="775"/>
      <c r="C43" s="775"/>
      <c r="D43" s="775"/>
      <c r="E43" s="573">
        <f t="shared" ref="E43:Y43" si="18">SUM(E23:E42)</f>
        <v>-2823.7003827727895</v>
      </c>
      <c r="F43" s="574">
        <f>SUM(F23:F42)</f>
        <v>0</v>
      </c>
      <c r="G43" s="573">
        <f t="shared" si="18"/>
        <v>4603.3971490788936</v>
      </c>
      <c r="H43" s="574">
        <f>SUM(H23:H42)</f>
        <v>118128.92697242709</v>
      </c>
      <c r="I43" s="573">
        <f t="shared" si="18"/>
        <v>4244.1456147572844</v>
      </c>
      <c r="J43" s="574">
        <f>SUM(J23:J42)</f>
        <v>0</v>
      </c>
      <c r="K43" s="573">
        <f>SUM(K23:K42)</f>
        <v>4985.772159017466</v>
      </c>
      <c r="L43" s="574">
        <f>SUM(L23:L42)</f>
        <v>203506.186424074</v>
      </c>
      <c r="M43" s="573">
        <f>SUM(M23:M42)</f>
        <v>-1132.1746375624116</v>
      </c>
      <c r="N43" s="574">
        <f>SUM(N23:N42)</f>
        <v>0</v>
      </c>
      <c r="O43" s="573">
        <f t="shared" si="18"/>
        <v>1336.4638728272939</v>
      </c>
      <c r="P43" s="574">
        <f>SUM(P23:P42)</f>
        <v>0</v>
      </c>
      <c r="Q43" s="573">
        <f t="shared" si="18"/>
        <v>5698.0449187308213</v>
      </c>
      <c r="R43" s="574">
        <f t="shared" si="18"/>
        <v>164880.11956423073</v>
      </c>
      <c r="S43" s="573">
        <f t="shared" si="18"/>
        <v>746.05280556204525</v>
      </c>
      <c r="T43" s="574">
        <f>SUM(T23:T42)</f>
        <v>41107.870523708087</v>
      </c>
      <c r="U43" s="573">
        <f t="shared" si="18"/>
        <v>5074.1817419299905</v>
      </c>
      <c r="V43" s="574">
        <f>SUM(V23:V42)</f>
        <v>304229.82014428067</v>
      </c>
      <c r="W43" s="573">
        <f t="shared" si="18"/>
        <v>-2963.06836935102</v>
      </c>
      <c r="X43" s="575">
        <f t="shared" si="18"/>
        <v>0</v>
      </c>
      <c r="Y43" s="573">
        <f t="shared" si="18"/>
        <v>2152.2557917744771</v>
      </c>
      <c r="Z43" s="576">
        <f>SUM(Z23:Z42)</f>
        <v>0</v>
      </c>
      <c r="AA43" s="573">
        <f>SUM(AA23:AA42)</f>
        <v>2208.7319928498346</v>
      </c>
      <c r="AB43" s="576">
        <f t="shared" ref="AB43" si="19">SUM(AB23:AB42)</f>
        <v>0</v>
      </c>
      <c r="AC43" s="571"/>
      <c r="AD43" s="574">
        <f>SUM(AD23:AD42)</f>
        <v>831852.92362872045</v>
      </c>
      <c r="AE43" s="577"/>
      <c r="AF43" s="577"/>
    </row>
    <row r="44" spans="1:33" x14ac:dyDescent="0.2">
      <c r="A44" s="23" t="s">
        <v>67</v>
      </c>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52"/>
      <c r="AE44" s="21"/>
      <c r="AF44" s="21"/>
    </row>
    <row r="45" spans="1:33" x14ac:dyDescent="0.2">
      <c r="A45" s="23" t="s">
        <v>295</v>
      </c>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52" t="s">
        <v>24</v>
      </c>
      <c r="AE45" s="21"/>
      <c r="AF45" s="21"/>
    </row>
    <row r="46" spans="1:33" x14ac:dyDescent="0.2">
      <c r="A46" s="23" t="s">
        <v>296</v>
      </c>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row>
    <row r="47" spans="1:33" x14ac:dyDescent="0.2">
      <c r="A47" s="23" t="s">
        <v>297</v>
      </c>
    </row>
  </sheetData>
  <mergeCells count="14">
    <mergeCell ref="AA20:AB20"/>
    <mergeCell ref="A43:D43"/>
    <mergeCell ref="O20:P20"/>
    <mergeCell ref="Q20:R20"/>
    <mergeCell ref="S20:T20"/>
    <mergeCell ref="U20:V20"/>
    <mergeCell ref="W20:X20"/>
    <mergeCell ref="Y20:Z20"/>
    <mergeCell ref="A19:D21"/>
    <mergeCell ref="E20:F20"/>
    <mergeCell ref="G20:H20"/>
    <mergeCell ref="I20:J20"/>
    <mergeCell ref="K20:L20"/>
    <mergeCell ref="M20:N20"/>
  </mergeCells>
  <pageMargins left="0.45" right="0.45" top="0.5" bottom="0.5" header="0" footer="0"/>
  <pageSetup paperSize="17" scale="37" orientation="landscape" horizontalDpi="200" verticalDpi="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workbookViewId="0"/>
  </sheetViews>
  <sheetFormatPr defaultRowHeight="12.75" x14ac:dyDescent="0.2"/>
  <cols>
    <col min="1" max="1" width="55.7109375" customWidth="1"/>
    <col min="2" max="17" width="15.7109375" customWidth="1"/>
  </cols>
  <sheetData>
    <row r="1" spans="1:13" ht="18.75" x14ac:dyDescent="0.3">
      <c r="A1" s="101" t="s">
        <v>321</v>
      </c>
      <c r="B1" s="11" t="s">
        <v>24</v>
      </c>
    </row>
    <row r="2" spans="1:13" ht="19.5" thickBot="1" x14ac:dyDescent="0.35">
      <c r="A2" s="3"/>
      <c r="C2" s="18"/>
      <c r="E2" s="399" t="s">
        <v>24</v>
      </c>
      <c r="F2" s="399" t="s">
        <v>24</v>
      </c>
      <c r="G2" s="399" t="s">
        <v>24</v>
      </c>
      <c r="H2" s="374" t="s">
        <v>24</v>
      </c>
    </row>
    <row r="3" spans="1:13" ht="13.5" customHeight="1" thickBot="1" x14ac:dyDescent="0.25">
      <c r="A3" s="755" t="s">
        <v>58</v>
      </c>
      <c r="B3" s="21"/>
      <c r="C3" s="139" t="s">
        <v>120</v>
      </c>
      <c r="D3" s="21"/>
      <c r="E3" s="21"/>
      <c r="F3" s="21"/>
      <c r="G3" s="21"/>
      <c r="H3" s="21"/>
      <c r="I3" s="139" t="s">
        <v>120</v>
      </c>
      <c r="J3" s="21"/>
      <c r="K3" s="21"/>
      <c r="L3" s="21"/>
      <c r="M3" s="21"/>
    </row>
    <row r="4" spans="1:13" ht="13.5" customHeight="1" thickBot="1" x14ac:dyDescent="0.25">
      <c r="A4" s="756"/>
      <c r="B4" s="204" t="s">
        <v>28</v>
      </c>
      <c r="C4" s="204" t="s">
        <v>28</v>
      </c>
      <c r="D4" s="205" t="s">
        <v>33</v>
      </c>
      <c r="E4" s="205" t="s">
        <v>5</v>
      </c>
      <c r="F4" s="205" t="s">
        <v>8</v>
      </c>
      <c r="G4" s="205" t="s">
        <v>34</v>
      </c>
      <c r="H4" s="205" t="s">
        <v>35</v>
      </c>
      <c r="I4" s="205" t="s">
        <v>35</v>
      </c>
      <c r="J4" s="205" t="s">
        <v>15</v>
      </c>
      <c r="K4" s="205" t="s">
        <v>11</v>
      </c>
      <c r="L4" s="205" t="s">
        <v>50</v>
      </c>
      <c r="M4" s="205" t="s">
        <v>20</v>
      </c>
    </row>
    <row r="5" spans="1:13" ht="26.25" thickBot="1" x14ac:dyDescent="0.25">
      <c r="A5" s="273" t="s">
        <v>91</v>
      </c>
      <c r="B5" s="349" t="s">
        <v>101</v>
      </c>
      <c r="C5" s="349" t="s">
        <v>121</v>
      </c>
      <c r="D5" s="350" t="s">
        <v>122</v>
      </c>
      <c r="E5" s="350" t="s">
        <v>122</v>
      </c>
      <c r="F5" s="350" t="s">
        <v>122</v>
      </c>
      <c r="G5" s="350" t="s">
        <v>122</v>
      </c>
      <c r="H5" s="350" t="s">
        <v>101</v>
      </c>
      <c r="I5" s="350" t="s">
        <v>121</v>
      </c>
      <c r="J5" s="350" t="s">
        <v>122</v>
      </c>
      <c r="K5" s="350" t="s">
        <v>122</v>
      </c>
      <c r="L5" s="350" t="s">
        <v>122</v>
      </c>
      <c r="M5" s="350" t="s">
        <v>122</v>
      </c>
    </row>
    <row r="6" spans="1:13" x14ac:dyDescent="0.2">
      <c r="A6" s="206" t="s">
        <v>139</v>
      </c>
      <c r="B6" s="352"/>
      <c r="C6" s="352"/>
      <c r="D6" s="353"/>
      <c r="E6" s="353"/>
      <c r="F6" s="353"/>
      <c r="G6" s="353"/>
      <c r="H6" s="353"/>
      <c r="I6" s="353"/>
      <c r="J6" s="353"/>
      <c r="K6" s="353"/>
      <c r="L6" s="353"/>
      <c r="M6" s="353"/>
    </row>
    <row r="7" spans="1:13" x14ac:dyDescent="0.2">
      <c r="A7" s="207" t="s">
        <v>85</v>
      </c>
      <c r="B7" s="187">
        <v>160</v>
      </c>
      <c r="C7" s="188">
        <v>0</v>
      </c>
      <c r="D7" s="188">
        <v>0</v>
      </c>
      <c r="E7" s="188">
        <v>0</v>
      </c>
      <c r="F7" s="188">
        <v>0</v>
      </c>
      <c r="G7" s="188">
        <v>0</v>
      </c>
      <c r="H7" s="188">
        <v>0</v>
      </c>
      <c r="I7" s="188">
        <v>0</v>
      </c>
      <c r="J7" s="188">
        <v>0</v>
      </c>
      <c r="K7" s="188">
        <v>0</v>
      </c>
      <c r="L7" s="188">
        <v>0</v>
      </c>
      <c r="M7" s="188">
        <v>0</v>
      </c>
    </row>
    <row r="8" spans="1:13" ht="25.5" x14ac:dyDescent="0.2">
      <c r="A8" s="207" t="s">
        <v>86</v>
      </c>
      <c r="B8" s="187">
        <v>106</v>
      </c>
      <c r="C8" s="188">
        <v>0</v>
      </c>
      <c r="D8" s="188">
        <v>0</v>
      </c>
      <c r="E8" s="188">
        <v>0</v>
      </c>
      <c r="F8" s="188">
        <v>0</v>
      </c>
      <c r="G8" s="188">
        <v>0</v>
      </c>
      <c r="H8" s="188">
        <v>0</v>
      </c>
      <c r="I8" s="188">
        <v>0</v>
      </c>
      <c r="J8" s="188">
        <v>0</v>
      </c>
      <c r="K8" s="188">
        <v>0</v>
      </c>
      <c r="L8" s="188">
        <v>0</v>
      </c>
      <c r="M8" s="188">
        <v>0</v>
      </c>
    </row>
    <row r="9" spans="1:13" x14ac:dyDescent="0.2">
      <c r="A9" s="207" t="s">
        <v>89</v>
      </c>
      <c r="B9" s="187">
        <v>117</v>
      </c>
      <c r="C9" s="188">
        <v>0</v>
      </c>
      <c r="D9" s="188">
        <v>0</v>
      </c>
      <c r="E9" s="188">
        <v>0</v>
      </c>
      <c r="F9" s="188">
        <v>0</v>
      </c>
      <c r="G9" s="188">
        <v>0</v>
      </c>
      <c r="H9" s="188">
        <v>0</v>
      </c>
      <c r="I9" s="188">
        <v>0</v>
      </c>
      <c r="J9" s="188">
        <v>0</v>
      </c>
      <c r="K9" s="188">
        <v>0</v>
      </c>
      <c r="L9" s="188">
        <v>0</v>
      </c>
      <c r="M9" s="188">
        <v>0</v>
      </c>
    </row>
    <row r="10" spans="1:13" ht="25.5" x14ac:dyDescent="0.2">
      <c r="A10" s="207" t="s">
        <v>90</v>
      </c>
      <c r="B10" s="187">
        <v>0</v>
      </c>
      <c r="C10" s="188">
        <v>0</v>
      </c>
      <c r="D10" s="188">
        <v>898</v>
      </c>
      <c r="E10" s="188">
        <v>0</v>
      </c>
      <c r="F10" s="188">
        <v>68.900000000000006</v>
      </c>
      <c r="G10" s="188">
        <v>105.5</v>
      </c>
      <c r="H10" s="188">
        <v>0</v>
      </c>
      <c r="I10" s="188">
        <v>0</v>
      </c>
      <c r="J10" s="188">
        <v>0</v>
      </c>
      <c r="K10" s="188">
        <v>0</v>
      </c>
      <c r="L10" s="188">
        <v>0</v>
      </c>
      <c r="M10" s="188">
        <v>0</v>
      </c>
    </row>
    <row r="11" spans="1:13" x14ac:dyDescent="0.2">
      <c r="A11" s="207" t="s">
        <v>117</v>
      </c>
      <c r="B11" s="187">
        <v>339</v>
      </c>
      <c r="C11" s="188">
        <v>0</v>
      </c>
      <c r="D11" s="188">
        <v>0</v>
      </c>
      <c r="E11" s="188">
        <v>0</v>
      </c>
      <c r="F11" s="188">
        <v>0</v>
      </c>
      <c r="G11" s="188">
        <v>0</v>
      </c>
      <c r="H11" s="188">
        <v>0</v>
      </c>
      <c r="I11" s="188">
        <v>0</v>
      </c>
      <c r="J11" s="188">
        <v>0</v>
      </c>
      <c r="K11" s="188">
        <v>0</v>
      </c>
      <c r="L11" s="188">
        <v>0</v>
      </c>
      <c r="M11" s="188">
        <v>0</v>
      </c>
    </row>
    <row r="12" spans="1:13" ht="25.5" x14ac:dyDescent="0.2">
      <c r="A12" s="207" t="s">
        <v>140</v>
      </c>
      <c r="B12" s="187">
        <v>0</v>
      </c>
      <c r="C12" s="188">
        <v>0</v>
      </c>
      <c r="D12" s="188">
        <v>0</v>
      </c>
      <c r="E12" s="188">
        <v>256</v>
      </c>
      <c r="F12" s="188">
        <v>0</v>
      </c>
      <c r="G12" s="188">
        <v>0</v>
      </c>
      <c r="H12" s="188">
        <v>0</v>
      </c>
      <c r="I12" s="188">
        <v>0</v>
      </c>
      <c r="J12" s="188">
        <v>0</v>
      </c>
      <c r="K12" s="188">
        <v>0</v>
      </c>
      <c r="L12" s="188">
        <v>0</v>
      </c>
      <c r="M12" s="188">
        <v>0</v>
      </c>
    </row>
    <row r="13" spans="1:13" ht="13.5" thickBot="1" x14ac:dyDescent="0.25">
      <c r="A13" s="328" t="s">
        <v>198</v>
      </c>
      <c r="B13" s="329">
        <f>SUM(B7:B12)</f>
        <v>722</v>
      </c>
      <c r="C13" s="329">
        <f>SUM(C7:C12)</f>
        <v>0</v>
      </c>
      <c r="D13" s="354">
        <f>SUM(D7:D12)</f>
        <v>898</v>
      </c>
      <c r="E13" s="354">
        <f t="shared" ref="E13:H13" si="0">SUM(E7:E12)</f>
        <v>256</v>
      </c>
      <c r="F13" s="354">
        <f>SUM(F7:F12)</f>
        <v>68.900000000000006</v>
      </c>
      <c r="G13" s="354">
        <f t="shared" si="0"/>
        <v>105.5</v>
      </c>
      <c r="H13" s="354">
        <f t="shared" si="0"/>
        <v>0</v>
      </c>
      <c r="I13" s="354">
        <f>SUM(I7:I12)</f>
        <v>0</v>
      </c>
      <c r="J13" s="354">
        <f>SUM(J7:J12)</f>
        <v>0</v>
      </c>
      <c r="K13" s="354">
        <f>SUM(K7:K12)</f>
        <v>0</v>
      </c>
      <c r="L13" s="354">
        <f>SUM(L7:L12)</f>
        <v>0</v>
      </c>
      <c r="M13" s="354">
        <f>SUM(M7:M12)</f>
        <v>0</v>
      </c>
    </row>
    <row r="14" spans="1:13" x14ac:dyDescent="0.2">
      <c r="A14" s="206" t="s">
        <v>136</v>
      </c>
      <c r="B14" s="355" t="s">
        <v>24</v>
      </c>
      <c r="C14" s="355" t="s">
        <v>24</v>
      </c>
      <c r="D14" s="356"/>
      <c r="E14" s="356"/>
      <c r="F14" s="356"/>
      <c r="G14" s="356"/>
      <c r="H14" s="356"/>
      <c r="I14" s="356"/>
      <c r="J14" s="356"/>
      <c r="K14" s="356"/>
      <c r="L14" s="356"/>
      <c r="M14" s="356"/>
    </row>
    <row r="15" spans="1:13" ht="25.5" x14ac:dyDescent="0.2">
      <c r="A15" s="207" t="s">
        <v>149</v>
      </c>
      <c r="B15" s="187">
        <v>16</v>
      </c>
      <c r="C15" s="188">
        <v>0</v>
      </c>
      <c r="D15" s="188">
        <v>0</v>
      </c>
      <c r="E15" s="188">
        <v>237</v>
      </c>
      <c r="F15" s="188">
        <v>0</v>
      </c>
      <c r="G15" s="188">
        <v>0</v>
      </c>
      <c r="H15" s="188">
        <v>0</v>
      </c>
      <c r="I15" s="188">
        <v>0</v>
      </c>
      <c r="J15" s="188">
        <v>0</v>
      </c>
      <c r="K15" s="188">
        <v>124</v>
      </c>
      <c r="L15" s="188">
        <v>0</v>
      </c>
      <c r="M15" s="188">
        <v>0</v>
      </c>
    </row>
    <row r="16" spans="1:13" ht="25.5" x14ac:dyDescent="0.2">
      <c r="A16" s="207" t="s">
        <v>112</v>
      </c>
      <c r="B16" s="187">
        <v>0</v>
      </c>
      <c r="C16" s="188">
        <v>0</v>
      </c>
      <c r="D16" s="188">
        <v>0</v>
      </c>
      <c r="E16" s="188">
        <v>0</v>
      </c>
      <c r="F16" s="188">
        <v>340.2</v>
      </c>
      <c r="G16" s="188">
        <v>494.5</v>
      </c>
      <c r="H16" s="188">
        <v>0</v>
      </c>
      <c r="I16" s="188">
        <v>0</v>
      </c>
      <c r="J16" s="188">
        <v>0</v>
      </c>
      <c r="K16" s="188">
        <v>0</v>
      </c>
      <c r="L16" s="188">
        <v>0</v>
      </c>
      <c r="M16" s="188">
        <v>0</v>
      </c>
    </row>
    <row r="17" spans="1:13" ht="25.5" x14ac:dyDescent="0.2">
      <c r="A17" s="207" t="s">
        <v>87</v>
      </c>
      <c r="B17" s="187">
        <v>0</v>
      </c>
      <c r="C17" s="188">
        <v>0</v>
      </c>
      <c r="D17" s="188">
        <v>0</v>
      </c>
      <c r="E17" s="188">
        <v>0</v>
      </c>
      <c r="F17" s="188">
        <v>90.3</v>
      </c>
      <c r="G17" s="188">
        <v>0</v>
      </c>
      <c r="H17" s="188">
        <v>0</v>
      </c>
      <c r="I17" s="188">
        <v>0</v>
      </c>
      <c r="J17" s="188">
        <v>0</v>
      </c>
      <c r="K17" s="188">
        <v>0</v>
      </c>
      <c r="L17" s="188">
        <v>0</v>
      </c>
      <c r="M17" s="188">
        <v>0</v>
      </c>
    </row>
    <row r="18" spans="1:13" ht="25.5" x14ac:dyDescent="0.2">
      <c r="A18" s="207" t="s">
        <v>151</v>
      </c>
      <c r="B18" s="187">
        <v>0</v>
      </c>
      <c r="C18" s="188">
        <v>0</v>
      </c>
      <c r="D18" s="188">
        <v>0</v>
      </c>
      <c r="E18" s="188">
        <v>0</v>
      </c>
      <c r="F18" s="188">
        <v>0</v>
      </c>
      <c r="G18" s="188">
        <v>0</v>
      </c>
      <c r="H18" s="188">
        <v>0</v>
      </c>
      <c r="I18" s="188">
        <v>0</v>
      </c>
      <c r="J18" s="188">
        <v>0</v>
      </c>
      <c r="K18" s="188">
        <v>182</v>
      </c>
      <c r="L18" s="188">
        <v>0</v>
      </c>
      <c r="M18" s="188">
        <v>0</v>
      </c>
    </row>
    <row r="19" spans="1:13" ht="63.75" x14ac:dyDescent="0.2">
      <c r="A19" s="357" t="s">
        <v>167</v>
      </c>
      <c r="B19" s="187">
        <v>0</v>
      </c>
      <c r="C19" s="189">
        <v>0</v>
      </c>
      <c r="D19" s="188">
        <v>50</v>
      </c>
      <c r="E19" s="188">
        <v>0</v>
      </c>
      <c r="F19" s="188">
        <v>0</v>
      </c>
      <c r="G19" s="188">
        <v>0</v>
      </c>
      <c r="H19" s="188">
        <v>0</v>
      </c>
      <c r="I19" s="188">
        <v>0</v>
      </c>
      <c r="J19" s="188">
        <v>175</v>
      </c>
      <c r="K19" s="188">
        <v>0</v>
      </c>
      <c r="L19" s="188">
        <v>0</v>
      </c>
      <c r="M19" s="188">
        <v>0</v>
      </c>
    </row>
    <row r="20" spans="1:13" ht="13.5" thickBot="1" x14ac:dyDescent="0.25">
      <c r="A20" s="328" t="s">
        <v>92</v>
      </c>
      <c r="B20" s="329">
        <f>SUM(B15:B19)</f>
        <v>16</v>
      </c>
      <c r="C20" s="329">
        <f>SUM(C15:C18)</f>
        <v>0</v>
      </c>
      <c r="D20" s="354">
        <f t="shared" ref="D20:M20" si="1">SUM(D15:D19)</f>
        <v>50</v>
      </c>
      <c r="E20" s="354">
        <f t="shared" si="1"/>
        <v>237</v>
      </c>
      <c r="F20" s="354">
        <f>SUM(F15:F19)</f>
        <v>430.5</v>
      </c>
      <c r="G20" s="354">
        <f t="shared" si="1"/>
        <v>494.5</v>
      </c>
      <c r="H20" s="354">
        <f t="shared" si="1"/>
        <v>0</v>
      </c>
      <c r="I20" s="354">
        <f t="shared" si="1"/>
        <v>0</v>
      </c>
      <c r="J20" s="354">
        <f t="shared" si="1"/>
        <v>175</v>
      </c>
      <c r="K20" s="354">
        <f t="shared" si="1"/>
        <v>306</v>
      </c>
      <c r="L20" s="354">
        <f t="shared" si="1"/>
        <v>0</v>
      </c>
      <c r="M20" s="354">
        <f t="shared" si="1"/>
        <v>0</v>
      </c>
    </row>
    <row r="21" spans="1:13" x14ac:dyDescent="0.2">
      <c r="A21" s="206" t="s">
        <v>74</v>
      </c>
      <c r="B21" s="360"/>
      <c r="C21" s="360"/>
      <c r="D21" s="361"/>
      <c r="E21" s="361"/>
      <c r="F21" s="361"/>
      <c r="G21" s="361"/>
      <c r="H21" s="361"/>
      <c r="I21" s="361"/>
      <c r="J21" s="361"/>
      <c r="K21" s="361"/>
      <c r="L21" s="361"/>
      <c r="M21" s="361"/>
    </row>
    <row r="22" spans="1:13" ht="25.5" x14ac:dyDescent="0.2">
      <c r="A22" s="207" t="s">
        <v>88</v>
      </c>
      <c r="B22" s="187">
        <v>159</v>
      </c>
      <c r="C22" s="188">
        <v>0</v>
      </c>
      <c r="D22" s="188">
        <v>0</v>
      </c>
      <c r="E22" s="188">
        <v>0</v>
      </c>
      <c r="F22" s="188">
        <v>0</v>
      </c>
      <c r="G22" s="188">
        <v>0</v>
      </c>
      <c r="H22" s="188">
        <v>0</v>
      </c>
      <c r="I22" s="188">
        <v>0</v>
      </c>
      <c r="J22" s="188">
        <v>0</v>
      </c>
      <c r="K22" s="188">
        <v>0</v>
      </c>
      <c r="L22" s="188">
        <v>0</v>
      </c>
      <c r="M22" s="188">
        <v>0</v>
      </c>
    </row>
    <row r="23" spans="1:13" ht="25.5" x14ac:dyDescent="0.2">
      <c r="A23" s="207" t="s">
        <v>152</v>
      </c>
      <c r="B23" s="187">
        <v>0</v>
      </c>
      <c r="C23" s="188">
        <v>0</v>
      </c>
      <c r="D23" s="188">
        <v>0</v>
      </c>
      <c r="E23" s="188">
        <v>0</v>
      </c>
      <c r="F23" s="188">
        <v>0</v>
      </c>
      <c r="G23" s="188">
        <v>0</v>
      </c>
      <c r="H23" s="188">
        <v>37</v>
      </c>
      <c r="I23" s="188">
        <v>0</v>
      </c>
      <c r="J23" s="188">
        <v>0</v>
      </c>
      <c r="K23" s="188">
        <v>0</v>
      </c>
      <c r="L23" s="188">
        <v>0</v>
      </c>
      <c r="M23" s="188">
        <v>0</v>
      </c>
    </row>
    <row r="24" spans="1:13" ht="25.5" x14ac:dyDescent="0.2">
      <c r="A24" s="207" t="s">
        <v>165</v>
      </c>
      <c r="B24" s="187">
        <v>0</v>
      </c>
      <c r="C24" s="188">
        <v>0</v>
      </c>
      <c r="D24" s="188">
        <v>0</v>
      </c>
      <c r="E24" s="189">
        <v>0</v>
      </c>
      <c r="F24" s="189">
        <v>0</v>
      </c>
      <c r="G24" s="189">
        <v>0</v>
      </c>
      <c r="H24" s="189">
        <v>35</v>
      </c>
      <c r="I24" s="188">
        <v>0</v>
      </c>
      <c r="J24" s="189">
        <v>0</v>
      </c>
      <c r="K24" s="188">
        <v>0</v>
      </c>
      <c r="L24" s="188">
        <v>0</v>
      </c>
      <c r="M24" s="188">
        <v>0</v>
      </c>
    </row>
    <row r="25" spans="1:13" ht="25.5" x14ac:dyDescent="0.2">
      <c r="A25" s="207" t="s">
        <v>164</v>
      </c>
      <c r="B25" s="187">
        <v>0</v>
      </c>
      <c r="C25" s="188">
        <v>0</v>
      </c>
      <c r="D25" s="188">
        <v>0</v>
      </c>
      <c r="E25" s="189">
        <v>0</v>
      </c>
      <c r="F25" s="189">
        <v>0</v>
      </c>
      <c r="G25" s="189">
        <v>0</v>
      </c>
      <c r="H25" s="189">
        <v>0</v>
      </c>
      <c r="I25" s="188">
        <v>0</v>
      </c>
      <c r="J25" s="189">
        <v>0</v>
      </c>
      <c r="K25" s="188">
        <v>0</v>
      </c>
      <c r="L25" s="188">
        <v>155</v>
      </c>
      <c r="M25" s="188">
        <v>0</v>
      </c>
    </row>
    <row r="26" spans="1:13" x14ac:dyDescent="0.2">
      <c r="A26" s="207" t="s">
        <v>153</v>
      </c>
      <c r="B26" s="187">
        <v>733</v>
      </c>
      <c r="C26" s="188">
        <v>0</v>
      </c>
      <c r="D26" s="188">
        <v>0</v>
      </c>
      <c r="E26" s="189">
        <v>0</v>
      </c>
      <c r="F26" s="189">
        <v>0</v>
      </c>
      <c r="G26" s="189">
        <v>0</v>
      </c>
      <c r="H26" s="189">
        <v>0</v>
      </c>
      <c r="I26" s="188">
        <v>0</v>
      </c>
      <c r="J26" s="189">
        <v>0</v>
      </c>
      <c r="K26" s="188">
        <v>0</v>
      </c>
      <c r="L26" s="188">
        <v>0</v>
      </c>
      <c r="M26" s="188">
        <v>0</v>
      </c>
    </row>
    <row r="27" spans="1:13" x14ac:dyDescent="0.2">
      <c r="A27" s="207" t="s">
        <v>150</v>
      </c>
      <c r="B27" s="187">
        <v>0</v>
      </c>
      <c r="C27" s="188">
        <v>0</v>
      </c>
      <c r="D27" s="188">
        <v>0</v>
      </c>
      <c r="E27" s="189">
        <v>0</v>
      </c>
      <c r="F27" s="189">
        <v>0</v>
      </c>
      <c r="G27" s="189">
        <v>0</v>
      </c>
      <c r="H27" s="189">
        <v>0</v>
      </c>
      <c r="I27" s="189">
        <v>0</v>
      </c>
      <c r="J27" s="189">
        <v>0</v>
      </c>
      <c r="K27" s="188">
        <v>65.7</v>
      </c>
      <c r="L27" s="188">
        <v>0</v>
      </c>
      <c r="M27" s="188">
        <v>0</v>
      </c>
    </row>
    <row r="28" spans="1:13" x14ac:dyDescent="0.2">
      <c r="A28" s="207" t="s">
        <v>166</v>
      </c>
      <c r="B28" s="187">
        <v>0</v>
      </c>
      <c r="C28" s="188">
        <v>0</v>
      </c>
      <c r="D28" s="188">
        <v>0</v>
      </c>
      <c r="E28" s="189">
        <v>0</v>
      </c>
      <c r="F28" s="189">
        <v>41</v>
      </c>
      <c r="G28" s="189">
        <v>21</v>
      </c>
      <c r="H28" s="189">
        <v>0</v>
      </c>
      <c r="I28" s="189">
        <v>0</v>
      </c>
      <c r="J28" s="189">
        <v>0</v>
      </c>
      <c r="K28" s="188">
        <v>0</v>
      </c>
      <c r="L28" s="188">
        <v>0</v>
      </c>
      <c r="M28" s="188">
        <v>0</v>
      </c>
    </row>
    <row r="29" spans="1:13" x14ac:dyDescent="0.2">
      <c r="A29" s="207" t="s">
        <v>176</v>
      </c>
      <c r="B29" s="187">
        <v>665</v>
      </c>
      <c r="C29" s="188">
        <v>0</v>
      </c>
      <c r="D29" s="188">
        <v>40</v>
      </c>
      <c r="E29" s="189">
        <v>0</v>
      </c>
      <c r="F29" s="189">
        <v>0</v>
      </c>
      <c r="G29" s="189">
        <v>0</v>
      </c>
      <c r="H29" s="189">
        <v>0</v>
      </c>
      <c r="I29" s="189">
        <v>0</v>
      </c>
      <c r="J29" s="189">
        <v>0</v>
      </c>
      <c r="K29" s="188">
        <v>0</v>
      </c>
      <c r="L29" s="188">
        <v>0</v>
      </c>
      <c r="M29" s="188">
        <v>0</v>
      </c>
    </row>
    <row r="30" spans="1:13" x14ac:dyDescent="0.2">
      <c r="A30" s="375" t="s">
        <v>220</v>
      </c>
      <c r="B30" s="376">
        <v>0</v>
      </c>
      <c r="C30" s="377">
        <v>0</v>
      </c>
      <c r="D30" s="378">
        <v>0</v>
      </c>
      <c r="E30" s="377">
        <v>0</v>
      </c>
      <c r="F30" s="377">
        <v>0</v>
      </c>
      <c r="G30" s="377">
        <v>0</v>
      </c>
      <c r="H30" s="377">
        <v>0</v>
      </c>
      <c r="I30" s="377">
        <v>0</v>
      </c>
      <c r="J30" s="377">
        <v>0</v>
      </c>
      <c r="K30" s="378">
        <v>0</v>
      </c>
      <c r="L30" s="378">
        <v>0</v>
      </c>
      <c r="M30" s="378">
        <v>1097</v>
      </c>
    </row>
    <row r="31" spans="1:13" x14ac:dyDescent="0.2">
      <c r="A31" s="641" t="s">
        <v>336</v>
      </c>
      <c r="B31" s="642">
        <v>0</v>
      </c>
      <c r="C31" s="643">
        <v>0</v>
      </c>
      <c r="D31" s="644">
        <v>0</v>
      </c>
      <c r="E31" s="643">
        <v>0</v>
      </c>
      <c r="F31" s="643">
        <v>0</v>
      </c>
      <c r="G31" s="643">
        <v>0</v>
      </c>
      <c r="H31" s="643">
        <v>0</v>
      </c>
      <c r="I31" s="643">
        <v>0</v>
      </c>
      <c r="J31" s="643">
        <v>0</v>
      </c>
      <c r="K31" s="644">
        <v>0</v>
      </c>
      <c r="L31" s="644">
        <v>0</v>
      </c>
      <c r="M31" s="644">
        <v>279</v>
      </c>
    </row>
    <row r="32" spans="1:13" ht="13.5" thickBot="1" x14ac:dyDescent="0.25">
      <c r="A32" s="328" t="s">
        <v>79</v>
      </c>
      <c r="B32" s="329">
        <f>SUM(B22:B31)</f>
        <v>1557</v>
      </c>
      <c r="C32" s="329">
        <f t="shared" ref="C32:M32" si="2">SUM(C22:C31)</f>
        <v>0</v>
      </c>
      <c r="D32" s="329">
        <f t="shared" si="2"/>
        <v>40</v>
      </c>
      <c r="E32" s="329">
        <f t="shared" si="2"/>
        <v>0</v>
      </c>
      <c r="F32" s="329">
        <f t="shared" si="2"/>
        <v>41</v>
      </c>
      <c r="G32" s="329">
        <f t="shared" si="2"/>
        <v>21</v>
      </c>
      <c r="H32" s="329">
        <f t="shared" si="2"/>
        <v>72</v>
      </c>
      <c r="I32" s="329">
        <f t="shared" si="2"/>
        <v>0</v>
      </c>
      <c r="J32" s="329">
        <f t="shared" si="2"/>
        <v>0</v>
      </c>
      <c r="K32" s="329">
        <f t="shared" si="2"/>
        <v>65.7</v>
      </c>
      <c r="L32" s="329">
        <f t="shared" si="2"/>
        <v>155</v>
      </c>
      <c r="M32" s="329">
        <f t="shared" si="2"/>
        <v>1376</v>
      </c>
    </row>
    <row r="33" spans="1:13" x14ac:dyDescent="0.2">
      <c r="A33" s="358"/>
      <c r="B33" s="351"/>
      <c r="C33" s="351"/>
      <c r="D33" s="359"/>
      <c r="E33" s="359"/>
      <c r="F33" s="359"/>
      <c r="G33" s="359"/>
      <c r="H33" s="359"/>
      <c r="I33" s="359"/>
      <c r="J33" s="359"/>
      <c r="K33" s="359"/>
      <c r="L33" s="359"/>
      <c r="M33" s="359"/>
    </row>
    <row r="34" spans="1:13" ht="13.5" thickBot="1" x14ac:dyDescent="0.25">
      <c r="A34" s="328" t="s">
        <v>80</v>
      </c>
      <c r="B34" s="329">
        <f>B13+B20+B32</f>
        <v>2295</v>
      </c>
      <c r="C34" s="329">
        <f t="shared" ref="C34:M34" si="3">C13+C20+C32</f>
        <v>0</v>
      </c>
      <c r="D34" s="330">
        <f t="shared" si="3"/>
        <v>988</v>
      </c>
      <c r="E34" s="330">
        <f>E13+E20+E32</f>
        <v>493</v>
      </c>
      <c r="F34" s="330">
        <f t="shared" si="3"/>
        <v>540.4</v>
      </c>
      <c r="G34" s="330">
        <f t="shared" si="3"/>
        <v>621</v>
      </c>
      <c r="H34" s="330">
        <f t="shared" si="3"/>
        <v>72</v>
      </c>
      <c r="I34" s="330">
        <f t="shared" si="3"/>
        <v>0</v>
      </c>
      <c r="J34" s="330">
        <f t="shared" si="3"/>
        <v>175</v>
      </c>
      <c r="K34" s="330">
        <f t="shared" si="3"/>
        <v>371.7</v>
      </c>
      <c r="L34" s="330">
        <f t="shared" si="3"/>
        <v>155</v>
      </c>
      <c r="M34" s="330">
        <f t="shared" si="3"/>
        <v>1376</v>
      </c>
    </row>
    <row r="35" spans="1:13" ht="12.75" customHeight="1" x14ac:dyDescent="0.2">
      <c r="A35" s="347" t="s">
        <v>104</v>
      </c>
      <c r="B35" s="379"/>
      <c r="C35" s="379"/>
      <c r="D35" s="379"/>
      <c r="E35" s="379"/>
      <c r="F35" s="379"/>
      <c r="G35" s="379"/>
      <c r="H35" s="379"/>
      <c r="I35" s="379"/>
      <c r="J35" s="379"/>
      <c r="K35" s="379"/>
      <c r="L35" s="379"/>
      <c r="M35" s="149"/>
    </row>
    <row r="36" spans="1:13" x14ac:dyDescent="0.2">
      <c r="A36" s="23"/>
      <c r="B36" s="150"/>
      <c r="C36" s="150"/>
      <c r="D36" s="40"/>
      <c r="E36" s="149"/>
      <c r="F36" s="149"/>
      <c r="G36" s="149"/>
      <c r="H36" s="149"/>
      <c r="I36" s="149"/>
      <c r="J36" s="34"/>
      <c r="K36" s="149"/>
      <c r="L36" s="149"/>
    </row>
    <row r="37" spans="1:13" x14ac:dyDescent="0.2">
      <c r="A37" s="344"/>
      <c r="B37" s="344"/>
      <c r="C37" s="344"/>
      <c r="D37" s="344"/>
      <c r="E37" s="344"/>
      <c r="F37" s="344"/>
      <c r="G37" s="344"/>
      <c r="H37" s="21"/>
      <c r="I37" s="416"/>
      <c r="J37" s="416"/>
      <c r="K37" s="416"/>
      <c r="L37" s="416"/>
    </row>
    <row r="38" spans="1:13" ht="13.5" thickBot="1" x14ac:dyDescent="0.25">
      <c r="A38" s="778" t="s">
        <v>299</v>
      </c>
      <c r="B38" s="344"/>
      <c r="C38" s="344"/>
      <c r="D38" s="344"/>
      <c r="E38" s="344"/>
      <c r="F38" s="344"/>
      <c r="G38" s="344"/>
      <c r="H38" s="21"/>
      <c r="I38" s="416"/>
      <c r="J38" s="416"/>
      <c r="K38" s="416"/>
      <c r="L38" s="416"/>
    </row>
    <row r="39" spans="1:13" ht="13.5" thickBot="1" x14ac:dyDescent="0.25">
      <c r="A39" s="778"/>
      <c r="B39" s="578" t="s">
        <v>28</v>
      </c>
      <c r="C39" s="578" t="s">
        <v>33</v>
      </c>
      <c r="D39" s="578" t="s">
        <v>5</v>
      </c>
      <c r="E39" s="578" t="s">
        <v>8</v>
      </c>
      <c r="F39" s="578" t="s">
        <v>34</v>
      </c>
      <c r="G39" s="578" t="s">
        <v>35</v>
      </c>
      <c r="H39" s="578" t="s">
        <v>15</v>
      </c>
      <c r="I39" s="578" t="s">
        <v>11</v>
      </c>
      <c r="J39" s="578" t="s">
        <v>50</v>
      </c>
      <c r="K39" s="578" t="s">
        <v>20</v>
      </c>
      <c r="L39" s="21"/>
    </row>
    <row r="40" spans="1:13" ht="13.5" thickBot="1" x14ac:dyDescent="0.25">
      <c r="A40" s="594" t="s">
        <v>300</v>
      </c>
      <c r="B40" s="595">
        <f>'1st IA Load Pricing Results'!D14</f>
        <v>0</v>
      </c>
      <c r="C40" s="596">
        <f>'1st IA Load Pricing Results'!D15-'1st IA Load Pricing Results'!D14</f>
        <v>25.661250408530108</v>
      </c>
      <c r="D40" s="596">
        <f>'1st IA Load Pricing Results'!D16-'1st IA Load Pricing Results'!D14</f>
        <v>0</v>
      </c>
      <c r="E40" s="586">
        <f>'1st IA Load Pricing Results'!D28</f>
        <v>38.290461380285308</v>
      </c>
      <c r="F40" s="586">
        <f>'1st IA Load Pricing Results'!D29-'1st IA Load Pricing Results'!D28</f>
        <v>4.2844602166604417</v>
      </c>
      <c r="G40" s="586">
        <f>'1st IA Load Pricing Results'!D32</f>
        <v>0</v>
      </c>
      <c r="H40" s="596">
        <f>'1st IA Load Pricing Results'!D17-'1st IA Load Pricing Results'!D16</f>
        <v>0</v>
      </c>
      <c r="I40" s="596">
        <f>'1st IA Load Pricing Results'!D19-'1st IA Load Pricing Results'!D16</f>
        <v>59.956429552041492</v>
      </c>
      <c r="J40" s="596">
        <f>'1st IA Load Pricing Results'!D22</f>
        <v>0</v>
      </c>
      <c r="K40" s="597">
        <f>'1st IA Load Pricing Results'!D18</f>
        <v>55.100483795834158</v>
      </c>
      <c r="L40" s="21"/>
    </row>
    <row r="41" spans="1:13" ht="13.5" thickBot="1" x14ac:dyDescent="0.25">
      <c r="A41" s="602" t="s">
        <v>301</v>
      </c>
      <c r="B41" s="780" t="s">
        <v>302</v>
      </c>
      <c r="C41" s="781"/>
      <c r="D41" s="781"/>
      <c r="E41" s="781"/>
      <c r="F41" s="781"/>
      <c r="G41" s="781"/>
      <c r="H41" s="781"/>
      <c r="I41" s="781"/>
      <c r="J41" s="781"/>
      <c r="K41" s="782"/>
      <c r="L41" s="21"/>
    </row>
    <row r="42" spans="1:13" x14ac:dyDescent="0.2">
      <c r="A42" s="606" t="s">
        <v>303</v>
      </c>
      <c r="B42" s="603">
        <f t="shared" ref="B42:B47" si="4">C7*$B$40</f>
        <v>0</v>
      </c>
      <c r="C42" s="579">
        <f t="shared" ref="C42:C47" si="5">D7*$C$40</f>
        <v>0</v>
      </c>
      <c r="D42" s="579">
        <f t="shared" ref="D42:D47" si="6">E7*$D$40</f>
        <v>0</v>
      </c>
      <c r="E42" s="579">
        <f t="shared" ref="E42:E47" si="7">F7*$E$40</f>
        <v>0</v>
      </c>
      <c r="F42" s="579">
        <f t="shared" ref="F42:F47" si="8">G7*$F$40</f>
        <v>0</v>
      </c>
      <c r="G42" s="579">
        <f t="shared" ref="G42:G47" si="9">I7*$G$40</f>
        <v>0</v>
      </c>
      <c r="H42" s="579">
        <f t="shared" ref="H42:H47" si="10">J7*$H$40</f>
        <v>0</v>
      </c>
      <c r="I42" s="579">
        <f t="shared" ref="I42:I47" si="11">K7*$I$40</f>
        <v>0</v>
      </c>
      <c r="J42" s="598">
        <f t="shared" ref="J42:J47" si="12">L7*$J$40</f>
        <v>0</v>
      </c>
      <c r="K42" s="580">
        <f t="shared" ref="K42:K47" si="13">M7*$K$40</f>
        <v>0</v>
      </c>
      <c r="L42" s="21"/>
    </row>
    <row r="43" spans="1:13" x14ac:dyDescent="0.2">
      <c r="A43" s="607" t="s">
        <v>304</v>
      </c>
      <c r="B43" s="604">
        <f t="shared" si="4"/>
        <v>0</v>
      </c>
      <c r="C43" s="581">
        <f t="shared" si="5"/>
        <v>0</v>
      </c>
      <c r="D43" s="581">
        <f t="shared" si="6"/>
        <v>0</v>
      </c>
      <c r="E43" s="581">
        <f t="shared" si="7"/>
        <v>0</v>
      </c>
      <c r="F43" s="581">
        <f t="shared" si="8"/>
        <v>0</v>
      </c>
      <c r="G43" s="581">
        <f t="shared" si="9"/>
        <v>0</v>
      </c>
      <c r="H43" s="581">
        <f t="shared" si="10"/>
        <v>0</v>
      </c>
      <c r="I43" s="581">
        <f t="shared" si="11"/>
        <v>0</v>
      </c>
      <c r="J43" s="599">
        <f t="shared" si="12"/>
        <v>0</v>
      </c>
      <c r="K43" s="582">
        <f t="shared" si="13"/>
        <v>0</v>
      </c>
      <c r="L43" s="21"/>
    </row>
    <row r="44" spans="1:13" x14ac:dyDescent="0.2">
      <c r="A44" s="607" t="s">
        <v>305</v>
      </c>
      <c r="B44" s="604">
        <f t="shared" si="4"/>
        <v>0</v>
      </c>
      <c r="C44" s="581">
        <f t="shared" si="5"/>
        <v>0</v>
      </c>
      <c r="D44" s="581">
        <f t="shared" si="6"/>
        <v>0</v>
      </c>
      <c r="E44" s="581">
        <f t="shared" si="7"/>
        <v>0</v>
      </c>
      <c r="F44" s="581">
        <f t="shared" si="8"/>
        <v>0</v>
      </c>
      <c r="G44" s="581">
        <f t="shared" si="9"/>
        <v>0</v>
      </c>
      <c r="H44" s="581">
        <f t="shared" si="10"/>
        <v>0</v>
      </c>
      <c r="I44" s="581">
        <f t="shared" si="11"/>
        <v>0</v>
      </c>
      <c r="J44" s="599">
        <f t="shared" si="12"/>
        <v>0</v>
      </c>
      <c r="K44" s="582">
        <f t="shared" si="13"/>
        <v>0</v>
      </c>
      <c r="L44" s="21"/>
    </row>
    <row r="45" spans="1:13" x14ac:dyDescent="0.2">
      <c r="A45" s="607" t="s">
        <v>306</v>
      </c>
      <c r="B45" s="604">
        <f t="shared" si="4"/>
        <v>0</v>
      </c>
      <c r="C45" s="581">
        <f t="shared" si="5"/>
        <v>23043.802866860038</v>
      </c>
      <c r="D45" s="581">
        <f t="shared" si="6"/>
        <v>0</v>
      </c>
      <c r="E45" s="581">
        <f t="shared" si="7"/>
        <v>2638.212789101658</v>
      </c>
      <c r="F45" s="581">
        <f t="shared" si="8"/>
        <v>452.0105528576766</v>
      </c>
      <c r="G45" s="581">
        <f t="shared" si="9"/>
        <v>0</v>
      </c>
      <c r="H45" s="581">
        <f t="shared" si="10"/>
        <v>0</v>
      </c>
      <c r="I45" s="581">
        <f t="shared" si="11"/>
        <v>0</v>
      </c>
      <c r="J45" s="599">
        <f t="shared" si="12"/>
        <v>0</v>
      </c>
      <c r="K45" s="582">
        <f t="shared" si="13"/>
        <v>0</v>
      </c>
      <c r="L45" s="21"/>
    </row>
    <row r="46" spans="1:13" x14ac:dyDescent="0.2">
      <c r="A46" s="607" t="s">
        <v>307</v>
      </c>
      <c r="B46" s="604">
        <f t="shared" si="4"/>
        <v>0</v>
      </c>
      <c r="C46" s="581">
        <f t="shared" si="5"/>
        <v>0</v>
      </c>
      <c r="D46" s="581">
        <f t="shared" si="6"/>
        <v>0</v>
      </c>
      <c r="E46" s="581">
        <f t="shared" si="7"/>
        <v>0</v>
      </c>
      <c r="F46" s="581">
        <f t="shared" si="8"/>
        <v>0</v>
      </c>
      <c r="G46" s="581">
        <f t="shared" si="9"/>
        <v>0</v>
      </c>
      <c r="H46" s="581">
        <f t="shared" si="10"/>
        <v>0</v>
      </c>
      <c r="I46" s="581">
        <f t="shared" si="11"/>
        <v>0</v>
      </c>
      <c r="J46" s="599">
        <f t="shared" si="12"/>
        <v>0</v>
      </c>
      <c r="K46" s="582">
        <f t="shared" si="13"/>
        <v>0</v>
      </c>
      <c r="L46" s="21"/>
    </row>
    <row r="47" spans="1:13" x14ac:dyDescent="0.2">
      <c r="A47" s="607" t="s">
        <v>308</v>
      </c>
      <c r="B47" s="604">
        <f t="shared" si="4"/>
        <v>0</v>
      </c>
      <c r="C47" s="581">
        <f t="shared" si="5"/>
        <v>0</v>
      </c>
      <c r="D47" s="581">
        <f t="shared" si="6"/>
        <v>0</v>
      </c>
      <c r="E47" s="581">
        <f t="shared" si="7"/>
        <v>0</v>
      </c>
      <c r="F47" s="581">
        <f t="shared" si="8"/>
        <v>0</v>
      </c>
      <c r="G47" s="581">
        <f t="shared" si="9"/>
        <v>0</v>
      </c>
      <c r="H47" s="581">
        <f t="shared" si="10"/>
        <v>0</v>
      </c>
      <c r="I47" s="581">
        <f t="shared" si="11"/>
        <v>0</v>
      </c>
      <c r="J47" s="599">
        <f t="shared" si="12"/>
        <v>0</v>
      </c>
      <c r="K47" s="582">
        <f t="shared" si="13"/>
        <v>0</v>
      </c>
      <c r="L47" s="21"/>
    </row>
    <row r="48" spans="1:13" x14ac:dyDescent="0.2">
      <c r="A48" s="607" t="s">
        <v>309</v>
      </c>
      <c r="B48" s="604">
        <f>C15*$B$40</f>
        <v>0</v>
      </c>
      <c r="C48" s="581">
        <f>D15*$C$40</f>
        <v>0</v>
      </c>
      <c r="D48" s="581">
        <f>E15*$D$40</f>
        <v>0</v>
      </c>
      <c r="E48" s="581">
        <f>F15*$E$40</f>
        <v>0</v>
      </c>
      <c r="F48" s="581">
        <f>G15*$F$40</f>
        <v>0</v>
      </c>
      <c r="G48" s="581">
        <f>I15*$G$40</f>
        <v>0</v>
      </c>
      <c r="H48" s="581">
        <f>J15*$H$40</f>
        <v>0</v>
      </c>
      <c r="I48" s="581">
        <f>K15*$I$40</f>
        <v>7434.5972644531448</v>
      </c>
      <c r="J48" s="599">
        <f>L15*$J$40</f>
        <v>0</v>
      </c>
      <c r="K48" s="582">
        <f>M15*$K$40</f>
        <v>0</v>
      </c>
      <c r="L48" s="21"/>
    </row>
    <row r="49" spans="1:12" x14ac:dyDescent="0.2">
      <c r="A49" s="607" t="s">
        <v>310</v>
      </c>
      <c r="B49" s="604">
        <f>C16*$B$40</f>
        <v>0</v>
      </c>
      <c r="C49" s="581">
        <f>D16*$C$40</f>
        <v>0</v>
      </c>
      <c r="D49" s="581">
        <f>E16*$D$40</f>
        <v>0</v>
      </c>
      <c r="E49" s="581">
        <f>F16*$E$40</f>
        <v>13026.414961573062</v>
      </c>
      <c r="F49" s="581">
        <f>G16*$F$40</f>
        <v>2118.6655771385886</v>
      </c>
      <c r="G49" s="581">
        <f>I16*$G$40</f>
        <v>0</v>
      </c>
      <c r="H49" s="581">
        <f>J16*$H$40</f>
        <v>0</v>
      </c>
      <c r="I49" s="581">
        <f>K16*$I$40</f>
        <v>0</v>
      </c>
      <c r="J49" s="599">
        <f>L16*$J$40</f>
        <v>0</v>
      </c>
      <c r="K49" s="582">
        <f>M16*$K$40</f>
        <v>0</v>
      </c>
      <c r="L49" s="21"/>
    </row>
    <row r="50" spans="1:12" x14ac:dyDescent="0.2">
      <c r="A50" s="607" t="s">
        <v>311</v>
      </c>
      <c r="B50" s="604">
        <f>C17*$B$40</f>
        <v>0</v>
      </c>
      <c r="C50" s="581">
        <f>D17*$C$40</f>
        <v>0</v>
      </c>
      <c r="D50" s="581">
        <f>E17*$D$40</f>
        <v>0</v>
      </c>
      <c r="E50" s="581">
        <f>F17*$E$40</f>
        <v>3457.6286626397632</v>
      </c>
      <c r="F50" s="581">
        <f>G17*$F$40</f>
        <v>0</v>
      </c>
      <c r="G50" s="581">
        <f>I17*$G$40</f>
        <v>0</v>
      </c>
      <c r="H50" s="581">
        <f>J17*$H$40</f>
        <v>0</v>
      </c>
      <c r="I50" s="581">
        <f>K17*$I$40</f>
        <v>0</v>
      </c>
      <c r="J50" s="599">
        <f>L17*$J$40</f>
        <v>0</v>
      </c>
      <c r="K50" s="582">
        <f>M17*$K$40</f>
        <v>0</v>
      </c>
      <c r="L50" s="21"/>
    </row>
    <row r="51" spans="1:12" x14ac:dyDescent="0.2">
      <c r="A51" s="607" t="s">
        <v>312</v>
      </c>
      <c r="B51" s="604">
        <f>C18*$B$40</f>
        <v>0</v>
      </c>
      <c r="C51" s="581">
        <f>D18*$C$40</f>
        <v>0</v>
      </c>
      <c r="D51" s="581">
        <f>E18*$D$40</f>
        <v>0</v>
      </c>
      <c r="E51" s="581">
        <f t="shared" ref="E51" si="14">F18*$E$40</f>
        <v>0</v>
      </c>
      <c r="F51" s="581">
        <f>G18*$F$40</f>
        <v>0</v>
      </c>
      <c r="G51" s="581">
        <f>I18*$G$40</f>
        <v>0</v>
      </c>
      <c r="H51" s="581">
        <f>J18*$H$40</f>
        <v>0</v>
      </c>
      <c r="I51" s="581">
        <f>K18*$I$40</f>
        <v>10912.070178471551</v>
      </c>
      <c r="J51" s="599">
        <f>L18*$J$40</f>
        <v>0</v>
      </c>
      <c r="K51" s="582">
        <f>M18*$K$40</f>
        <v>0</v>
      </c>
      <c r="L51" s="21"/>
    </row>
    <row r="52" spans="1:12" ht="13.5" thickBot="1" x14ac:dyDescent="0.25">
      <c r="A52" s="608" t="s">
        <v>313</v>
      </c>
      <c r="B52" s="605">
        <f>C19*$B$40</f>
        <v>0</v>
      </c>
      <c r="C52" s="583">
        <f>D19*$C$40</f>
        <v>1283.0625204265054</v>
      </c>
      <c r="D52" s="583">
        <f>E19*$D$40</f>
        <v>0</v>
      </c>
      <c r="E52" s="583">
        <f>F19*$E$40</f>
        <v>0</v>
      </c>
      <c r="F52" s="583">
        <f>G19*$F$40</f>
        <v>0</v>
      </c>
      <c r="G52" s="583">
        <f>H19*$G$40</f>
        <v>0</v>
      </c>
      <c r="H52" s="583">
        <f>I19*$H$40</f>
        <v>0</v>
      </c>
      <c r="I52" s="583">
        <f>K19*$I$40</f>
        <v>0</v>
      </c>
      <c r="J52" s="600">
        <f>K19*$J$40</f>
        <v>0</v>
      </c>
      <c r="K52" s="584">
        <f>L19*$K$40</f>
        <v>0</v>
      </c>
      <c r="L52" s="21"/>
    </row>
    <row r="53" spans="1:12" ht="13.5" thickBot="1" x14ac:dyDescent="0.25">
      <c r="A53" s="585" t="s">
        <v>314</v>
      </c>
      <c r="B53" s="586">
        <f t="shared" ref="B53:K53" si="15">SUM(B42:B52)</f>
        <v>0</v>
      </c>
      <c r="C53" s="586">
        <f t="shared" si="15"/>
        <v>24326.865387286543</v>
      </c>
      <c r="D53" s="586">
        <f t="shared" si="15"/>
        <v>0</v>
      </c>
      <c r="E53" s="586">
        <f t="shared" si="15"/>
        <v>19122.256413314484</v>
      </c>
      <c r="F53" s="586">
        <f t="shared" si="15"/>
        <v>2570.676129996265</v>
      </c>
      <c r="G53" s="586">
        <f t="shared" si="15"/>
        <v>0</v>
      </c>
      <c r="H53" s="586">
        <f t="shared" si="15"/>
        <v>0</v>
      </c>
      <c r="I53" s="586">
        <f t="shared" si="15"/>
        <v>18346.667442924696</v>
      </c>
      <c r="J53" s="601">
        <f t="shared" si="15"/>
        <v>0</v>
      </c>
      <c r="K53" s="587">
        <f t="shared" si="15"/>
        <v>0</v>
      </c>
      <c r="L53" s="21"/>
    </row>
    <row r="54" spans="1:12" x14ac:dyDescent="0.2">
      <c r="A54" s="143" t="s">
        <v>67</v>
      </c>
      <c r="B54" s="588"/>
      <c r="C54" s="141"/>
      <c r="D54" s="141"/>
      <c r="E54" s="21"/>
      <c r="F54" s="21"/>
      <c r="G54" s="21"/>
      <c r="H54" s="21"/>
      <c r="I54" s="21"/>
      <c r="J54" s="21"/>
      <c r="K54" s="21"/>
      <c r="L54" s="21"/>
    </row>
    <row r="55" spans="1:12" x14ac:dyDescent="0.2">
      <c r="A55" s="143" t="s">
        <v>315</v>
      </c>
      <c r="B55" s="588"/>
      <c r="C55" s="141"/>
      <c r="D55" s="141"/>
      <c r="E55" s="21"/>
      <c r="F55" s="21"/>
      <c r="G55" s="21"/>
      <c r="H55" s="21"/>
      <c r="I55" s="21"/>
      <c r="J55" s="21"/>
      <c r="K55" s="21"/>
      <c r="L55" s="21"/>
    </row>
    <row r="56" spans="1:12" x14ac:dyDescent="0.2">
      <c r="A56" s="121" t="s">
        <v>316</v>
      </c>
      <c r="B56" s="588"/>
      <c r="C56" s="141"/>
      <c r="D56" s="141"/>
      <c r="E56" s="21"/>
      <c r="F56" s="21"/>
      <c r="G56" s="21"/>
      <c r="H56" s="21"/>
      <c r="I56" s="21"/>
      <c r="J56" s="21"/>
      <c r="K56" s="21"/>
      <c r="L56" s="21"/>
    </row>
    <row r="57" spans="1:12" x14ac:dyDescent="0.2">
      <c r="A57" s="121" t="s">
        <v>317</v>
      </c>
      <c r="B57" s="588"/>
      <c r="C57" s="141"/>
      <c r="D57" s="141"/>
      <c r="E57" s="21"/>
      <c r="F57" s="21"/>
      <c r="G57" s="21"/>
      <c r="H57" s="21"/>
      <c r="I57" s="21"/>
      <c r="J57" s="21"/>
      <c r="K57" s="21"/>
      <c r="L57" s="21"/>
    </row>
    <row r="58" spans="1:12" x14ac:dyDescent="0.2">
      <c r="A58" s="121" t="s">
        <v>318</v>
      </c>
      <c r="B58" s="588"/>
      <c r="C58" s="141"/>
      <c r="D58" s="141"/>
      <c r="E58" s="21"/>
      <c r="F58" s="21"/>
      <c r="G58" s="21"/>
      <c r="H58" s="21"/>
      <c r="I58" s="21"/>
      <c r="J58" s="21"/>
      <c r="K58" s="21"/>
      <c r="L58" s="21"/>
    </row>
    <row r="59" spans="1:12" x14ac:dyDescent="0.2">
      <c r="A59" s="264"/>
      <c r="B59" s="588"/>
      <c r="C59" s="141"/>
      <c r="D59" s="141"/>
      <c r="E59" s="21"/>
      <c r="F59" s="21"/>
      <c r="G59" s="21"/>
      <c r="H59" s="21"/>
      <c r="I59" s="21"/>
      <c r="J59" s="21"/>
      <c r="K59" s="21"/>
      <c r="L59" s="21"/>
    </row>
    <row r="60" spans="1:12" ht="13.5" thickBot="1" x14ac:dyDescent="0.25">
      <c r="A60" s="21"/>
      <c r="B60" s="21"/>
      <c r="C60" s="21"/>
      <c r="D60" s="21"/>
      <c r="E60" s="21"/>
      <c r="F60" s="21"/>
      <c r="G60" s="21"/>
      <c r="H60" s="21"/>
      <c r="I60" s="21"/>
      <c r="J60" s="21"/>
      <c r="K60" s="21"/>
      <c r="L60" s="21"/>
    </row>
    <row r="61" spans="1:12" ht="16.5" thickBot="1" x14ac:dyDescent="0.3">
      <c r="A61" s="159" t="s">
        <v>59</v>
      </c>
      <c r="B61" s="21"/>
      <c r="C61" s="21"/>
      <c r="D61" s="21"/>
      <c r="E61" s="21"/>
      <c r="F61" s="21"/>
      <c r="G61" s="21"/>
      <c r="H61" s="21"/>
      <c r="I61" s="21"/>
      <c r="J61" s="21"/>
      <c r="K61" s="21"/>
      <c r="L61" s="21"/>
    </row>
    <row r="62" spans="1:12" ht="77.25" thickBot="1" x14ac:dyDescent="0.25">
      <c r="A62" s="331" t="s">
        <v>3</v>
      </c>
      <c r="B62" s="332" t="s">
        <v>76</v>
      </c>
      <c r="C62" s="333" t="s">
        <v>100</v>
      </c>
      <c r="D62" s="29"/>
      <c r="E62" s="21"/>
      <c r="F62" s="21"/>
      <c r="G62" s="21"/>
      <c r="H62" s="21"/>
      <c r="I62" s="21"/>
      <c r="J62" s="21"/>
      <c r="K62" s="21"/>
      <c r="L62" s="21"/>
    </row>
    <row r="63" spans="1:12" x14ac:dyDescent="0.2">
      <c r="A63" s="336" t="s">
        <v>28</v>
      </c>
      <c r="B63" s="589">
        <f>C32*B40</f>
        <v>0</v>
      </c>
      <c r="C63" s="282">
        <f>B53</f>
        <v>0</v>
      </c>
      <c r="D63" s="21"/>
      <c r="E63" s="52" t="s">
        <v>24</v>
      </c>
      <c r="F63" s="21"/>
      <c r="G63" s="21"/>
      <c r="H63" s="21"/>
      <c r="I63" s="21"/>
      <c r="J63" s="21"/>
      <c r="K63" s="21"/>
      <c r="L63" s="21"/>
    </row>
    <row r="64" spans="1:12" x14ac:dyDescent="0.2">
      <c r="A64" s="47" t="s">
        <v>33</v>
      </c>
      <c r="B64" s="50">
        <f>D32*C40</f>
        <v>1026.4500163412044</v>
      </c>
      <c r="C64" s="51">
        <f>C53</f>
        <v>24326.865387286543</v>
      </c>
      <c r="D64" s="52"/>
      <c r="E64" s="21"/>
      <c r="F64" s="21"/>
      <c r="G64" s="21"/>
      <c r="H64" s="21"/>
      <c r="I64" s="21"/>
      <c r="J64" s="21"/>
      <c r="K64" s="21"/>
      <c r="L64" s="21"/>
    </row>
    <row r="65" spans="1:12" x14ac:dyDescent="0.2">
      <c r="A65" s="47" t="s">
        <v>5</v>
      </c>
      <c r="B65" s="50">
        <f>E32*D40</f>
        <v>0</v>
      </c>
      <c r="C65" s="51">
        <f>D53</f>
        <v>0</v>
      </c>
      <c r="D65" s="21"/>
      <c r="E65" s="21"/>
      <c r="F65" s="21"/>
      <c r="G65" s="21"/>
      <c r="H65" s="21"/>
      <c r="I65" s="21"/>
      <c r="J65" s="21"/>
      <c r="K65" s="21"/>
      <c r="L65" s="21"/>
    </row>
    <row r="66" spans="1:12" x14ac:dyDescent="0.2">
      <c r="A66" s="144" t="s">
        <v>8</v>
      </c>
      <c r="B66" s="50">
        <f>F32*E40</f>
        <v>1569.9089165916976</v>
      </c>
      <c r="C66" s="51">
        <f>E53</f>
        <v>19122.256413314484</v>
      </c>
      <c r="D66" s="21"/>
      <c r="E66" s="52" t="s">
        <v>24</v>
      </c>
      <c r="F66" s="21" t="s">
        <v>24</v>
      </c>
      <c r="G66" s="79" t="s">
        <v>24</v>
      </c>
      <c r="H66" s="21"/>
      <c r="I66" s="21"/>
      <c r="J66" s="21"/>
      <c r="K66" s="21"/>
      <c r="L66" s="21"/>
    </row>
    <row r="67" spans="1:12" x14ac:dyDescent="0.2">
      <c r="A67" s="144" t="s">
        <v>34</v>
      </c>
      <c r="B67" s="50">
        <f>G32*F40</f>
        <v>89.973664549869284</v>
      </c>
      <c r="C67" s="51">
        <f>F53</f>
        <v>2570.676129996265</v>
      </c>
      <c r="D67" s="21"/>
      <c r="E67" s="52" t="s">
        <v>24</v>
      </c>
      <c r="F67" s="21"/>
      <c r="G67" s="79" t="s">
        <v>24</v>
      </c>
      <c r="H67" s="21"/>
      <c r="I67" s="21"/>
      <c r="J67" s="21"/>
      <c r="K67" s="21"/>
      <c r="L67" s="21"/>
    </row>
    <row r="68" spans="1:12" x14ac:dyDescent="0.2">
      <c r="A68" s="144" t="s">
        <v>35</v>
      </c>
      <c r="B68" s="50">
        <f>I32*G40</f>
        <v>0</v>
      </c>
      <c r="C68" s="51">
        <f>G53</f>
        <v>0</v>
      </c>
      <c r="D68" s="21"/>
      <c r="E68" s="21"/>
      <c r="F68" s="21"/>
      <c r="G68" s="79" t="s">
        <v>24</v>
      </c>
      <c r="H68" s="21"/>
      <c r="I68" s="21"/>
      <c r="J68" s="21"/>
      <c r="K68" s="21"/>
      <c r="L68" s="21"/>
    </row>
    <row r="69" spans="1:12" x14ac:dyDescent="0.2">
      <c r="A69" s="144" t="s">
        <v>15</v>
      </c>
      <c r="B69" s="50">
        <f>J32*H40</f>
        <v>0</v>
      </c>
      <c r="C69" s="51">
        <f>H53</f>
        <v>0</v>
      </c>
      <c r="D69" s="21"/>
      <c r="E69" s="21"/>
      <c r="F69" s="21"/>
      <c r="G69" s="21"/>
      <c r="H69" s="21"/>
      <c r="I69" s="21"/>
      <c r="J69" s="21"/>
      <c r="K69" s="21"/>
      <c r="L69" s="21"/>
    </row>
    <row r="70" spans="1:12" x14ac:dyDescent="0.2">
      <c r="A70" s="144" t="s">
        <v>11</v>
      </c>
      <c r="B70" s="50">
        <f>K32*I40</f>
        <v>3939.1374215691262</v>
      </c>
      <c r="C70" s="51">
        <f>I53</f>
        <v>18346.667442924696</v>
      </c>
      <c r="D70" s="21"/>
      <c r="E70" s="21"/>
      <c r="F70" s="21"/>
      <c r="G70" s="21"/>
      <c r="H70" s="21"/>
      <c r="I70" s="21"/>
      <c r="J70" s="21"/>
      <c r="K70" s="21"/>
      <c r="L70" s="21"/>
    </row>
    <row r="71" spans="1:12" x14ac:dyDescent="0.2">
      <c r="A71" s="144" t="s">
        <v>50</v>
      </c>
      <c r="B71" s="609">
        <f>L32*J40</f>
        <v>0</v>
      </c>
      <c r="C71" s="145">
        <f>J53</f>
        <v>0</v>
      </c>
      <c r="D71" s="21"/>
      <c r="E71" s="21"/>
      <c r="F71" s="21"/>
      <c r="G71" s="21"/>
      <c r="H71" s="21"/>
      <c r="I71" s="21"/>
      <c r="J71" s="21"/>
      <c r="K71" s="21"/>
      <c r="L71" s="21"/>
    </row>
    <row r="72" spans="1:12" ht="13.5" thickBot="1" x14ac:dyDescent="0.25">
      <c r="A72" s="337" t="s">
        <v>20</v>
      </c>
      <c r="B72" s="590">
        <f>M32*K40</f>
        <v>75818.265703067795</v>
      </c>
      <c r="C72" s="285">
        <f>K53</f>
        <v>0</v>
      </c>
      <c r="D72" s="52"/>
      <c r="E72" s="21"/>
      <c r="F72" s="21"/>
      <c r="G72" s="21"/>
      <c r="H72" s="21"/>
      <c r="I72" s="21"/>
      <c r="J72" s="21"/>
      <c r="K72" s="21"/>
      <c r="L72" s="21"/>
    </row>
    <row r="73" spans="1:12" ht="13.5" thickBot="1" x14ac:dyDescent="0.25">
      <c r="A73" s="334" t="s">
        <v>48</v>
      </c>
      <c r="B73" s="591">
        <f>SUM(B63:B72)</f>
        <v>82443.735722119687</v>
      </c>
      <c r="C73" s="335">
        <f>SUM(C63:C72)</f>
        <v>64366.465373521991</v>
      </c>
      <c r="D73" s="21"/>
      <c r="E73" s="21"/>
      <c r="F73" s="21"/>
      <c r="G73" s="21"/>
      <c r="H73" s="21"/>
      <c r="I73" s="21"/>
      <c r="J73" s="21"/>
      <c r="K73" s="21"/>
      <c r="L73" s="21"/>
    </row>
  </sheetData>
  <mergeCells count="3">
    <mergeCell ref="A3:A4"/>
    <mergeCell ref="A38:A39"/>
    <mergeCell ref="B41:K41"/>
  </mergeCells>
  <pageMargins left="0.45" right="0.45" top="0.5" bottom="0.5" header="0" footer="0"/>
  <pageSetup scale="4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5"/>
  <sheetViews>
    <sheetView topLeftCell="A73" zoomScaleNormal="100" workbookViewId="0"/>
  </sheetViews>
  <sheetFormatPr defaultRowHeight="12.75" x14ac:dyDescent="0.2"/>
  <cols>
    <col min="1" max="1" width="22.7109375" customWidth="1"/>
    <col min="2" max="11" width="16.7109375" customWidth="1"/>
  </cols>
  <sheetData>
    <row r="1" spans="1:8" ht="18.75" x14ac:dyDescent="0.3">
      <c r="A1" s="415" t="s">
        <v>339</v>
      </c>
      <c r="B1" s="374"/>
      <c r="C1" s="374"/>
      <c r="D1" s="374"/>
      <c r="E1" s="11" t="s">
        <v>24</v>
      </c>
      <c r="F1" s="374"/>
      <c r="G1" s="374"/>
      <c r="H1" s="374"/>
    </row>
    <row r="2" spans="1:8" ht="18.75" x14ac:dyDescent="0.3">
      <c r="A2" s="3"/>
      <c r="B2" s="431"/>
      <c r="C2" s="374" t="s">
        <v>24</v>
      </c>
      <c r="D2" s="374" t="s">
        <v>24</v>
      </c>
      <c r="E2" s="432" t="s">
        <v>24</v>
      </c>
      <c r="F2" s="433"/>
      <c r="G2" s="434"/>
      <c r="H2" s="374"/>
    </row>
    <row r="3" spans="1:8" ht="15.75" x14ac:dyDescent="0.2">
      <c r="A3" s="767" t="s">
        <v>52</v>
      </c>
      <c r="B3" s="767"/>
      <c r="C3" s="435"/>
      <c r="D3" s="435"/>
      <c r="E3" s="435"/>
      <c r="F3" s="435"/>
      <c r="G3" s="435"/>
      <c r="H3" s="435"/>
    </row>
    <row r="4" spans="1:8" ht="38.25" x14ac:dyDescent="0.2">
      <c r="A4" s="183" t="s">
        <v>125</v>
      </c>
      <c r="B4" s="164" t="s">
        <v>129</v>
      </c>
      <c r="C4" s="164" t="s">
        <v>155</v>
      </c>
      <c r="D4" s="183" t="s">
        <v>171</v>
      </c>
      <c r="E4" s="233"/>
      <c r="F4" s="233"/>
      <c r="G4" s="233"/>
      <c r="H4" s="233"/>
    </row>
    <row r="5" spans="1:8" x14ac:dyDescent="0.2">
      <c r="A5" s="182" t="s">
        <v>6</v>
      </c>
      <c r="B5" s="31">
        <v>10.26</v>
      </c>
      <c r="C5" s="31">
        <v>0</v>
      </c>
      <c r="D5" s="35">
        <f>B5+C5</f>
        <v>10.26</v>
      </c>
      <c r="E5" s="436"/>
      <c r="F5" s="33"/>
      <c r="G5" s="436"/>
      <c r="H5" s="33"/>
    </row>
    <row r="6" spans="1:8" x14ac:dyDescent="0.2">
      <c r="A6" s="182" t="s">
        <v>28</v>
      </c>
      <c r="B6" s="31">
        <f>$B$5</f>
        <v>10.26</v>
      </c>
      <c r="C6" s="31">
        <v>0</v>
      </c>
      <c r="D6" s="35">
        <f>B6+C6</f>
        <v>10.26</v>
      </c>
      <c r="E6" s="436"/>
      <c r="F6" s="33"/>
      <c r="G6" s="436"/>
      <c r="H6" s="33"/>
    </row>
    <row r="7" spans="1:8" x14ac:dyDescent="0.2">
      <c r="A7" s="182" t="s">
        <v>33</v>
      </c>
      <c r="B7" s="31">
        <f t="shared" ref="B7:B19" si="0">$B$5</f>
        <v>10.26</v>
      </c>
      <c r="C7" s="31">
        <v>5.1100000000000003</v>
      </c>
      <c r="D7" s="35">
        <f>B7+C6+C7</f>
        <v>15.370000000000001</v>
      </c>
      <c r="E7" s="436"/>
      <c r="F7" s="33" t="s">
        <v>24</v>
      </c>
      <c r="G7" s="436"/>
      <c r="H7" s="33"/>
    </row>
    <row r="8" spans="1:8" x14ac:dyDescent="0.2">
      <c r="A8" s="182" t="s">
        <v>5</v>
      </c>
      <c r="B8" s="31">
        <f t="shared" si="0"/>
        <v>10.26</v>
      </c>
      <c r="C8" s="31">
        <v>0</v>
      </c>
      <c r="D8" s="35">
        <f>B8+C6+C8</f>
        <v>10.26</v>
      </c>
      <c r="E8" s="436"/>
      <c r="F8" s="33"/>
      <c r="G8" s="436"/>
      <c r="H8" s="33"/>
    </row>
    <row r="9" spans="1:8" x14ac:dyDescent="0.2">
      <c r="A9" s="182" t="s">
        <v>8</v>
      </c>
      <c r="B9" s="31">
        <f t="shared" si="0"/>
        <v>10.26</v>
      </c>
      <c r="C9" s="31">
        <v>109.63</v>
      </c>
      <c r="D9" s="35">
        <f>B9+C6+C7+C9</f>
        <v>125</v>
      </c>
      <c r="E9" s="436"/>
      <c r="F9" s="33" t="s">
        <v>24</v>
      </c>
      <c r="G9" s="436"/>
      <c r="H9" s="33"/>
    </row>
    <row r="10" spans="1:8" x14ac:dyDescent="0.2">
      <c r="A10" s="182" t="s">
        <v>34</v>
      </c>
      <c r="B10" s="31">
        <f t="shared" si="0"/>
        <v>10.26</v>
      </c>
      <c r="C10" s="31">
        <v>0</v>
      </c>
      <c r="D10" s="35">
        <f>B10+C6+C7+C9+C10</f>
        <v>125</v>
      </c>
      <c r="E10" s="436"/>
      <c r="F10" s="33"/>
      <c r="G10" s="436"/>
      <c r="H10" s="33"/>
    </row>
    <row r="11" spans="1:8" x14ac:dyDescent="0.2">
      <c r="A11" s="182" t="s">
        <v>35</v>
      </c>
      <c r="B11" s="31">
        <f t="shared" si="0"/>
        <v>10.26</v>
      </c>
      <c r="C11" s="31">
        <v>0</v>
      </c>
      <c r="D11" s="35">
        <f>B11+C6+C7+C11</f>
        <v>15.370000000000001</v>
      </c>
      <c r="E11" s="436"/>
      <c r="F11" s="33"/>
      <c r="G11" s="436"/>
      <c r="H11" s="33"/>
    </row>
    <row r="12" spans="1:8" x14ac:dyDescent="0.2">
      <c r="A12" s="22" t="s">
        <v>15</v>
      </c>
      <c r="B12" s="31">
        <f t="shared" si="0"/>
        <v>10.26</v>
      </c>
      <c r="C12" s="35">
        <v>0</v>
      </c>
      <c r="D12" s="35">
        <f>B12+C6+C8+C12</f>
        <v>10.26</v>
      </c>
      <c r="E12" s="436"/>
      <c r="F12" s="33"/>
      <c r="G12" s="436"/>
      <c r="H12" s="33"/>
    </row>
    <row r="13" spans="1:8" x14ac:dyDescent="0.2">
      <c r="A13" s="22" t="s">
        <v>43</v>
      </c>
      <c r="B13" s="31">
        <f t="shared" si="0"/>
        <v>10.26</v>
      </c>
      <c r="C13" s="35">
        <v>0</v>
      </c>
      <c r="D13" s="35">
        <f>B13+C13</f>
        <v>10.26</v>
      </c>
      <c r="E13" s="436"/>
      <c r="F13" s="33"/>
      <c r="G13" s="436"/>
      <c r="H13" s="33"/>
    </row>
    <row r="14" spans="1:8" x14ac:dyDescent="0.2">
      <c r="A14" s="22" t="s">
        <v>113</v>
      </c>
      <c r="B14" s="31">
        <f t="shared" si="0"/>
        <v>10.26</v>
      </c>
      <c r="C14" s="35">
        <v>0</v>
      </c>
      <c r="D14" s="35">
        <f>B14+C13+C14</f>
        <v>10.26</v>
      </c>
      <c r="E14" s="436"/>
      <c r="F14" s="33"/>
      <c r="G14" s="436"/>
      <c r="H14" s="33"/>
    </row>
    <row r="15" spans="1:8" x14ac:dyDescent="0.2">
      <c r="A15" s="22" t="s">
        <v>20</v>
      </c>
      <c r="B15" s="31">
        <f t="shared" si="0"/>
        <v>10.26</v>
      </c>
      <c r="C15" s="35">
        <v>0</v>
      </c>
      <c r="D15" s="35">
        <f>B15+C15</f>
        <v>10.26</v>
      </c>
      <c r="E15" s="436"/>
      <c r="F15" s="33"/>
      <c r="G15" s="436"/>
      <c r="H15" s="33"/>
    </row>
    <row r="16" spans="1:8" x14ac:dyDescent="0.2">
      <c r="A16" s="22" t="s">
        <v>11</v>
      </c>
      <c r="B16" s="31">
        <f t="shared" si="0"/>
        <v>10.26</v>
      </c>
      <c r="C16" s="35">
        <v>59.74</v>
      </c>
      <c r="D16" s="35">
        <f>B16+C6+C8+C16</f>
        <v>70</v>
      </c>
      <c r="E16" s="436"/>
      <c r="F16" s="33" t="s">
        <v>24</v>
      </c>
      <c r="G16" s="436"/>
      <c r="H16" s="33"/>
    </row>
    <row r="17" spans="1:8" x14ac:dyDescent="0.2">
      <c r="A17" s="22" t="s">
        <v>10</v>
      </c>
      <c r="B17" s="31">
        <f t="shared" si="0"/>
        <v>10.26</v>
      </c>
      <c r="C17" s="35">
        <v>0</v>
      </c>
      <c r="D17" s="35">
        <f>B17+C6+C17</f>
        <v>10.26</v>
      </c>
      <c r="E17" s="436"/>
      <c r="F17" s="33"/>
      <c r="G17" s="436"/>
      <c r="H17" s="33"/>
    </row>
    <row r="18" spans="1:8" x14ac:dyDescent="0.2">
      <c r="A18" s="22" t="s">
        <v>21</v>
      </c>
      <c r="B18" s="31">
        <f t="shared" si="0"/>
        <v>10.26</v>
      </c>
      <c r="C18" s="35">
        <v>0</v>
      </c>
      <c r="D18" s="35">
        <f>B18+C18</f>
        <v>10.26</v>
      </c>
      <c r="E18" s="33"/>
      <c r="F18" s="33"/>
      <c r="G18" s="33"/>
      <c r="H18" s="33"/>
    </row>
    <row r="19" spans="1:8" x14ac:dyDescent="0.2">
      <c r="A19" s="22" t="s">
        <v>50</v>
      </c>
      <c r="B19" s="31">
        <f t="shared" si="0"/>
        <v>10.26</v>
      </c>
      <c r="C19" s="35">
        <v>0</v>
      </c>
      <c r="D19" s="35">
        <f>B19+C19</f>
        <v>10.26</v>
      </c>
      <c r="E19" s="33"/>
      <c r="F19" s="33"/>
      <c r="G19" s="33"/>
      <c r="H19" s="33"/>
    </row>
    <row r="20" spans="1:8" x14ac:dyDescent="0.2">
      <c r="A20" s="23" t="s">
        <v>142</v>
      </c>
      <c r="B20" s="34"/>
      <c r="C20" s="33"/>
      <c r="D20" s="33"/>
      <c r="E20" s="33"/>
      <c r="F20" s="33"/>
      <c r="G20" s="33"/>
      <c r="H20" s="33"/>
    </row>
    <row r="21" spans="1:8" ht="12.75" customHeight="1" x14ac:dyDescent="0.2">
      <c r="A21" s="219" t="s">
        <v>238</v>
      </c>
      <c r="B21" s="214"/>
      <c r="C21" s="214"/>
      <c r="D21" s="214"/>
      <c r="E21" s="214"/>
      <c r="F21" s="214"/>
      <c r="G21" s="214"/>
      <c r="H21" s="214"/>
    </row>
    <row r="22" spans="1:8" x14ac:dyDescent="0.2">
      <c r="A22" s="214"/>
      <c r="B22" s="214"/>
      <c r="C22" s="214"/>
      <c r="D22" s="214"/>
      <c r="E22" s="214"/>
      <c r="F22" s="214"/>
      <c r="G22" s="214"/>
      <c r="H22" s="214"/>
    </row>
    <row r="23" spans="1:8" ht="15.75" x14ac:dyDescent="0.25">
      <c r="A23" s="768" t="s">
        <v>239</v>
      </c>
      <c r="B23" s="769"/>
      <c r="C23" s="769"/>
      <c r="D23" s="769"/>
      <c r="E23" s="770"/>
      <c r="F23" s="437"/>
      <c r="G23" s="438"/>
      <c r="H23" s="438"/>
    </row>
    <row r="24" spans="1:8" ht="38.25" x14ac:dyDescent="0.2">
      <c r="A24" s="183" t="s">
        <v>3</v>
      </c>
      <c r="B24" s="439" t="s">
        <v>240</v>
      </c>
      <c r="C24" s="439" t="s">
        <v>241</v>
      </c>
      <c r="D24" s="440" t="s">
        <v>242</v>
      </c>
      <c r="E24" s="439" t="s">
        <v>243</v>
      </c>
      <c r="F24" s="41"/>
      <c r="G24" s="441"/>
      <c r="H24" s="41"/>
    </row>
    <row r="25" spans="1:8" x14ac:dyDescent="0.2">
      <c r="A25" s="182" t="s">
        <v>6</v>
      </c>
      <c r="B25" s="442">
        <v>6484.6</v>
      </c>
      <c r="C25" s="443">
        <v>3707.5</v>
      </c>
      <c r="D25" s="444">
        <f t="shared" ref="D25:D39" si="1">B25-C25</f>
        <v>2777.1000000000004</v>
      </c>
      <c r="E25" s="442">
        <v>0</v>
      </c>
      <c r="F25" s="445"/>
      <c r="G25" s="57"/>
      <c r="H25" s="57"/>
    </row>
    <row r="26" spans="1:8" x14ac:dyDescent="0.2">
      <c r="A26" s="182" t="s">
        <v>28</v>
      </c>
      <c r="B26" s="442">
        <v>3549.6</v>
      </c>
      <c r="C26" s="443">
        <v>946.7</v>
      </c>
      <c r="D26" s="443">
        <f t="shared" si="1"/>
        <v>2602.8999999999996</v>
      </c>
      <c r="E26" s="442">
        <v>0</v>
      </c>
      <c r="F26" s="446"/>
      <c r="G26" s="57"/>
      <c r="H26" s="57"/>
    </row>
    <row r="27" spans="1:8" x14ac:dyDescent="0.2">
      <c r="A27" s="182" t="s">
        <v>33</v>
      </c>
      <c r="B27" s="442">
        <v>236.4</v>
      </c>
      <c r="C27" s="443">
        <v>364.3</v>
      </c>
      <c r="D27" s="443">
        <f t="shared" si="1"/>
        <v>-127.9</v>
      </c>
      <c r="E27" s="442">
        <v>0</v>
      </c>
      <c r="F27" s="446"/>
      <c r="G27" s="57"/>
      <c r="H27" s="57"/>
    </row>
    <row r="28" spans="1:8" x14ac:dyDescent="0.2">
      <c r="A28" s="182" t="s">
        <v>5</v>
      </c>
      <c r="B28" s="442">
        <v>1044.7</v>
      </c>
      <c r="C28" s="443">
        <v>191.2</v>
      </c>
      <c r="D28" s="443">
        <f t="shared" si="1"/>
        <v>853.5</v>
      </c>
      <c r="E28" s="442">
        <v>0</v>
      </c>
      <c r="F28" s="446"/>
      <c r="G28" s="370"/>
      <c r="H28" s="370"/>
    </row>
    <row r="29" spans="1:8" x14ac:dyDescent="0.2">
      <c r="A29" s="182" t="s">
        <v>8</v>
      </c>
      <c r="B29" s="442">
        <v>70.400000000000006</v>
      </c>
      <c r="C29" s="443">
        <v>195.1</v>
      </c>
      <c r="D29" s="443">
        <f t="shared" si="1"/>
        <v>-124.69999999999999</v>
      </c>
      <c r="E29" s="442">
        <v>0</v>
      </c>
      <c r="F29" s="446"/>
      <c r="G29" s="370"/>
      <c r="H29" s="370"/>
    </row>
    <row r="30" spans="1:8" x14ac:dyDescent="0.2">
      <c r="A30" s="182" t="s">
        <v>34</v>
      </c>
      <c r="B30" s="442">
        <v>58</v>
      </c>
      <c r="C30" s="443">
        <v>98.1</v>
      </c>
      <c r="D30" s="443">
        <f t="shared" si="1"/>
        <v>-40.099999999999994</v>
      </c>
      <c r="E30" s="442">
        <v>0</v>
      </c>
      <c r="F30" s="446"/>
      <c r="G30" s="370"/>
      <c r="H30" s="370"/>
    </row>
    <row r="31" spans="1:8" x14ac:dyDescent="0.2">
      <c r="A31" s="182" t="s">
        <v>35</v>
      </c>
      <c r="B31" s="442">
        <v>8.1</v>
      </c>
      <c r="C31" s="443">
        <v>39.299999999999997</v>
      </c>
      <c r="D31" s="443">
        <f t="shared" si="1"/>
        <v>-31.199999999999996</v>
      </c>
      <c r="E31" s="442">
        <v>0</v>
      </c>
      <c r="F31" s="446"/>
      <c r="G31" s="370"/>
      <c r="H31" s="370"/>
    </row>
    <row r="32" spans="1:8" x14ac:dyDescent="0.2">
      <c r="A32" s="22" t="s">
        <v>15</v>
      </c>
      <c r="B32" s="442">
        <v>983.3</v>
      </c>
      <c r="C32" s="443">
        <v>75.7</v>
      </c>
      <c r="D32" s="443">
        <f t="shared" si="1"/>
        <v>907.59999999999991</v>
      </c>
      <c r="E32" s="442">
        <v>0</v>
      </c>
      <c r="F32" s="446"/>
      <c r="G32" s="370"/>
      <c r="H32" s="370"/>
    </row>
    <row r="33" spans="1:9" x14ac:dyDescent="0.2">
      <c r="A33" s="22" t="s">
        <v>43</v>
      </c>
      <c r="B33" s="442">
        <v>153.5</v>
      </c>
      <c r="C33" s="443">
        <v>1216.8</v>
      </c>
      <c r="D33" s="443">
        <f t="shared" si="1"/>
        <v>-1063.3</v>
      </c>
      <c r="E33" s="442">
        <v>0</v>
      </c>
      <c r="F33" s="446"/>
      <c r="G33" s="370"/>
      <c r="H33" s="370"/>
    </row>
    <row r="34" spans="1:9" x14ac:dyDescent="0.2">
      <c r="A34" s="22" t="s">
        <v>113</v>
      </c>
      <c r="B34" s="442">
        <v>31.5</v>
      </c>
      <c r="C34" s="443">
        <v>629</v>
      </c>
      <c r="D34" s="443">
        <f t="shared" si="1"/>
        <v>-597.5</v>
      </c>
      <c r="E34" s="442">
        <v>0</v>
      </c>
      <c r="F34" s="446"/>
      <c r="G34" s="370"/>
      <c r="H34" s="370"/>
    </row>
    <row r="35" spans="1:9" x14ac:dyDescent="0.2">
      <c r="A35" s="22" t="s">
        <v>20</v>
      </c>
      <c r="B35" s="442">
        <v>566.70000000000005</v>
      </c>
      <c r="C35" s="443">
        <v>205.9</v>
      </c>
      <c r="D35" s="443">
        <f t="shared" si="1"/>
        <v>360.80000000000007</v>
      </c>
      <c r="E35" s="442">
        <v>0</v>
      </c>
      <c r="F35" s="446"/>
      <c r="G35" s="370"/>
      <c r="H35" s="370"/>
    </row>
    <row r="36" spans="1:9" x14ac:dyDescent="0.2">
      <c r="A36" s="22" t="s">
        <v>11</v>
      </c>
      <c r="B36" s="442">
        <v>61.4</v>
      </c>
      <c r="C36" s="443">
        <v>96</v>
      </c>
      <c r="D36" s="443">
        <f t="shared" si="1"/>
        <v>-34.6</v>
      </c>
      <c r="E36" s="442">
        <v>0</v>
      </c>
      <c r="F36" s="446"/>
      <c r="G36" s="370"/>
      <c r="H36" s="370"/>
    </row>
    <row r="37" spans="1:9" x14ac:dyDescent="0.2">
      <c r="A37" s="22" t="s">
        <v>10</v>
      </c>
      <c r="B37" s="442">
        <v>381.4</v>
      </c>
      <c r="C37" s="443">
        <v>55.4</v>
      </c>
      <c r="D37" s="443">
        <f t="shared" si="1"/>
        <v>326</v>
      </c>
      <c r="E37" s="442">
        <v>0</v>
      </c>
      <c r="F37" s="446"/>
      <c r="G37" s="370"/>
      <c r="H37" s="370"/>
    </row>
    <row r="38" spans="1:9" x14ac:dyDescent="0.2">
      <c r="A38" s="22" t="s">
        <v>21</v>
      </c>
      <c r="B38" s="442">
        <v>12.6</v>
      </c>
      <c r="C38" s="443">
        <v>22.1</v>
      </c>
      <c r="D38" s="443">
        <f t="shared" si="1"/>
        <v>-9.5000000000000018</v>
      </c>
      <c r="E38" s="442">
        <v>0</v>
      </c>
      <c r="F38" s="446"/>
      <c r="G38" s="370"/>
      <c r="H38" s="370"/>
    </row>
    <row r="39" spans="1:9" x14ac:dyDescent="0.2">
      <c r="A39" s="22" t="s">
        <v>50</v>
      </c>
      <c r="B39" s="442">
        <v>61.5</v>
      </c>
      <c r="C39" s="443">
        <v>65.3</v>
      </c>
      <c r="D39" s="443">
        <f t="shared" si="1"/>
        <v>-3.7999999999999972</v>
      </c>
      <c r="E39" s="442">
        <v>0</v>
      </c>
      <c r="F39" s="446"/>
      <c r="G39" s="370"/>
      <c r="H39" s="370"/>
    </row>
    <row r="40" spans="1:9" x14ac:dyDescent="0.2">
      <c r="A40" s="447"/>
      <c r="B40" s="448"/>
      <c r="C40" s="449"/>
      <c r="D40" s="448"/>
      <c r="E40" s="450"/>
      <c r="F40" s="448"/>
      <c r="G40" s="449"/>
      <c r="H40" s="448"/>
    </row>
    <row r="41" spans="1:9" ht="15.75" x14ac:dyDescent="0.25">
      <c r="A41" s="771" t="s">
        <v>244</v>
      </c>
      <c r="B41" s="771"/>
      <c r="C41" s="771"/>
      <c r="D41" s="448"/>
      <c r="E41" s="451" t="s">
        <v>24</v>
      </c>
      <c r="F41" s="448"/>
      <c r="G41" s="449"/>
      <c r="H41" s="448"/>
    </row>
    <row r="42" spans="1:9" ht="38.25" x14ac:dyDescent="0.2">
      <c r="A42" s="183" t="s">
        <v>3</v>
      </c>
      <c r="B42" s="439" t="s">
        <v>245</v>
      </c>
      <c r="C42" s="439" t="s">
        <v>246</v>
      </c>
      <c r="D42" s="439" t="s">
        <v>247</v>
      </c>
      <c r="E42" s="659" t="s">
        <v>24</v>
      </c>
      <c r="F42" s="452"/>
      <c r="G42" s="41"/>
      <c r="H42" s="41"/>
    </row>
    <row r="43" spans="1:9" x14ac:dyDescent="0.2">
      <c r="A43" s="182" t="s">
        <v>6</v>
      </c>
      <c r="B43" s="443">
        <v>177</v>
      </c>
      <c r="C43" s="443">
        <v>2954.1</v>
      </c>
      <c r="D43" s="444">
        <f t="shared" ref="D43:D57" si="2">B43-C43</f>
        <v>-2777.1</v>
      </c>
      <c r="E43" s="446"/>
      <c r="F43" s="453"/>
      <c r="G43" s="453"/>
      <c r="H43" s="453"/>
      <c r="I43" s="316"/>
    </row>
    <row r="44" spans="1:9" x14ac:dyDescent="0.2">
      <c r="A44" s="182" t="s">
        <v>28</v>
      </c>
      <c r="B44" s="443">
        <v>163.69999999999999</v>
      </c>
      <c r="C44" s="443">
        <v>0</v>
      </c>
      <c r="D44" s="443">
        <f t="shared" si="2"/>
        <v>163.69999999999999</v>
      </c>
      <c r="E44" s="446"/>
      <c r="F44" s="453"/>
      <c r="G44" s="453"/>
      <c r="H44" s="453"/>
      <c r="I44" s="316"/>
    </row>
    <row r="45" spans="1:9" x14ac:dyDescent="0.2">
      <c r="A45" s="182" t="s">
        <v>33</v>
      </c>
      <c r="B45" s="443">
        <v>127.9</v>
      </c>
      <c r="C45" s="443">
        <v>0</v>
      </c>
      <c r="D45" s="443">
        <f t="shared" si="2"/>
        <v>127.9</v>
      </c>
      <c r="E45" s="446"/>
      <c r="F45" s="453"/>
      <c r="G45" s="453"/>
      <c r="H45" s="453"/>
      <c r="I45" s="316"/>
    </row>
    <row r="46" spans="1:9" x14ac:dyDescent="0.2">
      <c r="A46" s="182" t="s">
        <v>5</v>
      </c>
      <c r="B46" s="443">
        <v>35.799999999999997</v>
      </c>
      <c r="C46" s="443">
        <v>0</v>
      </c>
      <c r="D46" s="443">
        <f t="shared" si="2"/>
        <v>35.799999999999997</v>
      </c>
      <c r="E46" s="446"/>
      <c r="F46" s="453"/>
      <c r="G46" s="453"/>
      <c r="H46" s="453"/>
      <c r="I46" s="316"/>
    </row>
    <row r="47" spans="1:9" x14ac:dyDescent="0.2">
      <c r="A47" s="182" t="s">
        <v>8</v>
      </c>
      <c r="B47" s="443">
        <v>124.7</v>
      </c>
      <c r="C47" s="443">
        <v>0</v>
      </c>
      <c r="D47" s="443">
        <f t="shared" si="2"/>
        <v>124.7</v>
      </c>
      <c r="E47" s="446"/>
      <c r="F47" s="453"/>
      <c r="G47" s="453"/>
      <c r="H47" s="453"/>
      <c r="I47" s="316"/>
    </row>
    <row r="48" spans="1:9" x14ac:dyDescent="0.2">
      <c r="A48" s="182" t="s">
        <v>34</v>
      </c>
      <c r="B48" s="443">
        <v>38</v>
      </c>
      <c r="C48" s="443">
        <v>0</v>
      </c>
      <c r="D48" s="443">
        <f t="shared" si="2"/>
        <v>38</v>
      </c>
      <c r="E48" s="446"/>
      <c r="F48" s="453"/>
      <c r="G48" s="453"/>
      <c r="H48" s="453"/>
    </row>
    <row r="49" spans="1:8" x14ac:dyDescent="0.2">
      <c r="A49" s="182" t="s">
        <v>35</v>
      </c>
      <c r="B49" s="443">
        <v>0</v>
      </c>
      <c r="C49" s="443">
        <v>0</v>
      </c>
      <c r="D49" s="443">
        <f t="shared" si="2"/>
        <v>0</v>
      </c>
      <c r="E49" s="446"/>
      <c r="F49" s="453"/>
      <c r="G49" s="453"/>
      <c r="H49" s="453"/>
    </row>
    <row r="50" spans="1:8" x14ac:dyDescent="0.2">
      <c r="A50" s="22" t="s">
        <v>15</v>
      </c>
      <c r="B50" s="443">
        <v>1.2</v>
      </c>
      <c r="C50" s="443">
        <v>0</v>
      </c>
      <c r="D50" s="443">
        <f t="shared" si="2"/>
        <v>1.2</v>
      </c>
      <c r="E50" s="446"/>
      <c r="F50" s="453"/>
      <c r="G50" s="453"/>
      <c r="H50" s="453"/>
    </row>
    <row r="51" spans="1:8" x14ac:dyDescent="0.2">
      <c r="A51" s="22" t="s">
        <v>43</v>
      </c>
      <c r="B51" s="443">
        <v>0</v>
      </c>
      <c r="C51" s="443">
        <v>529.29999999999995</v>
      </c>
      <c r="D51" s="443">
        <f t="shared" si="2"/>
        <v>-529.29999999999995</v>
      </c>
      <c r="E51" s="446"/>
      <c r="F51" s="453"/>
      <c r="G51" s="453"/>
      <c r="H51" s="453"/>
    </row>
    <row r="52" spans="1:8" x14ac:dyDescent="0.2">
      <c r="A52" s="22" t="s">
        <v>113</v>
      </c>
      <c r="B52" s="443">
        <v>0</v>
      </c>
      <c r="C52" s="443">
        <v>0</v>
      </c>
      <c r="D52" s="443">
        <f t="shared" si="2"/>
        <v>0</v>
      </c>
      <c r="E52" s="446"/>
      <c r="F52" s="453"/>
      <c r="G52" s="453"/>
      <c r="H52" s="453"/>
    </row>
    <row r="53" spans="1:8" x14ac:dyDescent="0.2">
      <c r="A53" s="22" t="s">
        <v>20</v>
      </c>
      <c r="B53" s="443">
        <v>1.3</v>
      </c>
      <c r="C53" s="443">
        <v>1388</v>
      </c>
      <c r="D53" s="443">
        <f t="shared" si="2"/>
        <v>-1386.7</v>
      </c>
      <c r="E53" s="446"/>
      <c r="F53" s="453"/>
      <c r="G53" s="453"/>
      <c r="H53" s="453"/>
    </row>
    <row r="54" spans="1:8" x14ac:dyDescent="0.2">
      <c r="A54" s="22" t="s">
        <v>11</v>
      </c>
      <c r="B54" s="443">
        <v>34.6</v>
      </c>
      <c r="C54" s="443">
        <v>0</v>
      </c>
      <c r="D54" s="443">
        <f t="shared" si="2"/>
        <v>34.6</v>
      </c>
      <c r="E54" s="446"/>
      <c r="F54" s="453"/>
      <c r="G54" s="453"/>
      <c r="H54" s="453"/>
    </row>
    <row r="55" spans="1:8" x14ac:dyDescent="0.2">
      <c r="A55" s="22" t="s">
        <v>10</v>
      </c>
      <c r="B55" s="443">
        <v>0</v>
      </c>
      <c r="C55" s="443">
        <v>0</v>
      </c>
      <c r="D55" s="443">
        <f t="shared" si="2"/>
        <v>0</v>
      </c>
      <c r="E55" s="446"/>
      <c r="F55" s="453"/>
      <c r="G55" s="453"/>
      <c r="H55" s="453"/>
    </row>
    <row r="56" spans="1:8" x14ac:dyDescent="0.2">
      <c r="A56" s="22" t="s">
        <v>21</v>
      </c>
      <c r="B56" s="443">
        <v>0.7</v>
      </c>
      <c r="C56" s="443">
        <v>210.5</v>
      </c>
      <c r="D56" s="443">
        <f t="shared" si="2"/>
        <v>-209.8</v>
      </c>
      <c r="E56" s="446"/>
      <c r="F56" s="453"/>
      <c r="G56" s="453"/>
      <c r="H56" s="453"/>
    </row>
    <row r="57" spans="1:8" x14ac:dyDescent="0.2">
      <c r="A57" s="22" t="s">
        <v>50</v>
      </c>
      <c r="B57" s="443">
        <v>0</v>
      </c>
      <c r="C57" s="443">
        <v>57.5</v>
      </c>
      <c r="D57" s="443">
        <f t="shared" si="2"/>
        <v>-57.5</v>
      </c>
      <c r="E57" s="446"/>
      <c r="F57" s="453"/>
      <c r="G57" s="453"/>
      <c r="H57" s="453"/>
    </row>
    <row r="58" spans="1:8" x14ac:dyDescent="0.2">
      <c r="A58" s="447"/>
      <c r="B58" s="448"/>
      <c r="C58" s="449"/>
      <c r="D58" s="448"/>
      <c r="E58" s="450"/>
      <c r="F58" s="448"/>
      <c r="G58" s="449"/>
      <c r="H58" s="448"/>
    </row>
    <row r="59" spans="1:8" ht="15.75" x14ac:dyDescent="0.25">
      <c r="A59" s="772" t="s">
        <v>248</v>
      </c>
      <c r="B59" s="772"/>
      <c r="C59" s="454"/>
      <c r="D59" s="454"/>
      <c r="E59" s="455"/>
      <c r="F59" s="438"/>
      <c r="G59" s="438"/>
      <c r="H59" s="438"/>
    </row>
    <row r="60" spans="1:8" ht="63.75" x14ac:dyDescent="0.2">
      <c r="A60" s="183" t="s">
        <v>3</v>
      </c>
      <c r="B60" s="439" t="s">
        <v>240</v>
      </c>
      <c r="C60" s="439" t="s">
        <v>249</v>
      </c>
      <c r="D60" s="439" t="s">
        <v>250</v>
      </c>
      <c r="E60" s="456" t="s">
        <v>251</v>
      </c>
      <c r="F60" s="457" t="s">
        <v>252</v>
      </c>
      <c r="G60" s="456" t="s">
        <v>253</v>
      </c>
      <c r="H60" s="458"/>
    </row>
    <row r="61" spans="1:8" x14ac:dyDescent="0.2">
      <c r="A61" s="182" t="s">
        <v>44</v>
      </c>
      <c r="B61" s="48">
        <f>B25-B26-B33-B35-B38-B39</f>
        <v>2140.7000000000003</v>
      </c>
      <c r="C61" s="48">
        <f>C25-C26-C33-C35-C38-C39</f>
        <v>1250.7000000000003</v>
      </c>
      <c r="D61" s="48">
        <f>D25-D26-D33-D35-D38-D39</f>
        <v>890.00000000000057</v>
      </c>
      <c r="E61" s="50">
        <f t="shared" ref="E61:E75" si="3">B61*D5</f>
        <v>21963.582000000002</v>
      </c>
      <c r="F61" s="50">
        <f t="shared" ref="F61:F75" si="4">C61*D5</f>
        <v>12832.182000000003</v>
      </c>
      <c r="G61" s="459">
        <f>E61-F61</f>
        <v>9131.4</v>
      </c>
      <c r="H61" s="103"/>
    </row>
    <row r="62" spans="1:8" x14ac:dyDescent="0.2">
      <c r="A62" s="182" t="s">
        <v>47</v>
      </c>
      <c r="B62" s="48">
        <f>B26-B27-B28-B37</f>
        <v>1887.1</v>
      </c>
      <c r="C62" s="48">
        <f>C26-C27-C28-C37</f>
        <v>335.80000000000013</v>
      </c>
      <c r="D62" s="48">
        <f>D26-D27-D28-D37</f>
        <v>1551.2999999999997</v>
      </c>
      <c r="E62" s="50">
        <f t="shared" si="3"/>
        <v>19361.645999999997</v>
      </c>
      <c r="F62" s="50">
        <f t="shared" si="4"/>
        <v>3445.3080000000014</v>
      </c>
      <c r="G62" s="459">
        <f t="shared" ref="G62:G75" si="5">E62-F62</f>
        <v>15916.337999999996</v>
      </c>
      <c r="H62" s="103"/>
    </row>
    <row r="63" spans="1:8" x14ac:dyDescent="0.2">
      <c r="A63" s="182" t="s">
        <v>46</v>
      </c>
      <c r="B63" s="48">
        <f>B27-B29-B31</f>
        <v>157.9</v>
      </c>
      <c r="C63" s="48">
        <f>C27-C29-C31</f>
        <v>129.90000000000003</v>
      </c>
      <c r="D63" s="48">
        <f>D27-D29-D31</f>
        <v>27.999999999999979</v>
      </c>
      <c r="E63" s="50">
        <f t="shared" si="3"/>
        <v>2426.9230000000002</v>
      </c>
      <c r="F63" s="50">
        <f t="shared" si="4"/>
        <v>1996.5630000000006</v>
      </c>
      <c r="G63" s="459">
        <f t="shared" si="5"/>
        <v>430.35999999999967</v>
      </c>
      <c r="H63" s="103"/>
    </row>
    <row r="64" spans="1:8" x14ac:dyDescent="0.2">
      <c r="A64" s="182" t="s">
        <v>45</v>
      </c>
      <c r="B64" s="48">
        <f>B28-B32-B36</f>
        <v>9.2370555648813024E-14</v>
      </c>
      <c r="C64" s="48">
        <f>C28-C32-C36</f>
        <v>19.499999999999986</v>
      </c>
      <c r="D64" s="48">
        <f>D28-D32-D36</f>
        <v>-19.499999999999908</v>
      </c>
      <c r="E64" s="50">
        <f t="shared" si="3"/>
        <v>9.477219009568216E-13</v>
      </c>
      <c r="F64" s="50">
        <f t="shared" si="4"/>
        <v>200.06999999999985</v>
      </c>
      <c r="G64" s="459">
        <f t="shared" si="5"/>
        <v>-200.06999999999891</v>
      </c>
      <c r="H64" s="103"/>
    </row>
    <row r="65" spans="1:9" x14ac:dyDescent="0.2">
      <c r="A65" s="182" t="s">
        <v>37</v>
      </c>
      <c r="B65" s="48">
        <f>B29-B30</f>
        <v>12.400000000000006</v>
      </c>
      <c r="C65" s="48">
        <f>C29-C30</f>
        <v>97</v>
      </c>
      <c r="D65" s="48">
        <f>D29-D30</f>
        <v>-84.6</v>
      </c>
      <c r="E65" s="50">
        <f t="shared" si="3"/>
        <v>1550.0000000000007</v>
      </c>
      <c r="F65" s="50">
        <f t="shared" si="4"/>
        <v>12125</v>
      </c>
      <c r="G65" s="459">
        <f t="shared" si="5"/>
        <v>-10575</v>
      </c>
      <c r="H65" s="103"/>
    </row>
    <row r="66" spans="1:9" x14ac:dyDescent="0.2">
      <c r="A66" s="182" t="s">
        <v>34</v>
      </c>
      <c r="B66" s="48">
        <f t="shared" ref="B66:D68" si="6">B30</f>
        <v>58</v>
      </c>
      <c r="C66" s="48">
        <f t="shared" si="6"/>
        <v>98.1</v>
      </c>
      <c r="D66" s="48">
        <f t="shared" si="6"/>
        <v>-40.099999999999994</v>
      </c>
      <c r="E66" s="50">
        <f t="shared" si="3"/>
        <v>7250</v>
      </c>
      <c r="F66" s="50">
        <f t="shared" si="4"/>
        <v>12262.5</v>
      </c>
      <c r="G66" s="459">
        <f t="shared" si="5"/>
        <v>-5012.5</v>
      </c>
      <c r="H66" s="103"/>
    </row>
    <row r="67" spans="1:9" x14ac:dyDescent="0.2">
      <c r="A67" s="182" t="s">
        <v>35</v>
      </c>
      <c r="B67" s="48">
        <f t="shared" si="6"/>
        <v>8.1</v>
      </c>
      <c r="C67" s="48">
        <f t="shared" si="6"/>
        <v>39.299999999999997</v>
      </c>
      <c r="D67" s="48">
        <f t="shared" si="6"/>
        <v>-31.199999999999996</v>
      </c>
      <c r="E67" s="50">
        <f t="shared" si="3"/>
        <v>124.497</v>
      </c>
      <c r="F67" s="50">
        <f t="shared" si="4"/>
        <v>604.04099999999994</v>
      </c>
      <c r="G67" s="459">
        <f t="shared" si="5"/>
        <v>-479.54399999999993</v>
      </c>
      <c r="H67" s="103"/>
    </row>
    <row r="68" spans="1:9" x14ac:dyDescent="0.2">
      <c r="A68" s="182" t="s">
        <v>15</v>
      </c>
      <c r="B68" s="48">
        <f t="shared" si="6"/>
        <v>983.3</v>
      </c>
      <c r="C68" s="48">
        <f t="shared" si="6"/>
        <v>75.7</v>
      </c>
      <c r="D68" s="48">
        <f t="shared" si="6"/>
        <v>907.59999999999991</v>
      </c>
      <c r="E68" s="50">
        <f t="shared" si="3"/>
        <v>10088.657999999999</v>
      </c>
      <c r="F68" s="50">
        <f t="shared" si="4"/>
        <v>776.68200000000002</v>
      </c>
      <c r="G68" s="459">
        <f t="shared" si="5"/>
        <v>9311.9759999999987</v>
      </c>
      <c r="H68" s="103"/>
    </row>
    <row r="69" spans="1:9" x14ac:dyDescent="0.2">
      <c r="A69" s="182" t="s">
        <v>114</v>
      </c>
      <c r="B69" s="48">
        <f>B33-B34</f>
        <v>122</v>
      </c>
      <c r="C69" s="48">
        <f>C33-C34</f>
        <v>587.79999999999995</v>
      </c>
      <c r="D69" s="48">
        <f>D33-D34</f>
        <v>-465.79999999999995</v>
      </c>
      <c r="E69" s="50">
        <f t="shared" si="3"/>
        <v>1251.72</v>
      </c>
      <c r="F69" s="50">
        <f t="shared" si="4"/>
        <v>6030.8279999999995</v>
      </c>
      <c r="G69" s="459">
        <f t="shared" si="5"/>
        <v>-4779.1079999999993</v>
      </c>
      <c r="H69" s="103"/>
    </row>
    <row r="70" spans="1:9" x14ac:dyDescent="0.2">
      <c r="A70" s="182" t="s">
        <v>113</v>
      </c>
      <c r="B70" s="48">
        <f t="shared" ref="B70:D75" si="7">B34</f>
        <v>31.5</v>
      </c>
      <c r="C70" s="48">
        <f t="shared" si="7"/>
        <v>629</v>
      </c>
      <c r="D70" s="48">
        <f t="shared" si="7"/>
        <v>-597.5</v>
      </c>
      <c r="E70" s="50">
        <f t="shared" si="3"/>
        <v>323.19</v>
      </c>
      <c r="F70" s="50">
        <f t="shared" si="4"/>
        <v>6453.54</v>
      </c>
      <c r="G70" s="459">
        <f t="shared" si="5"/>
        <v>-6130.35</v>
      </c>
      <c r="H70" s="103"/>
    </row>
    <row r="71" spans="1:9" x14ac:dyDescent="0.2">
      <c r="A71" s="22" t="s">
        <v>20</v>
      </c>
      <c r="B71" s="48">
        <f t="shared" si="7"/>
        <v>566.70000000000005</v>
      </c>
      <c r="C71" s="48">
        <f t="shared" si="7"/>
        <v>205.9</v>
      </c>
      <c r="D71" s="48">
        <f t="shared" si="7"/>
        <v>360.80000000000007</v>
      </c>
      <c r="E71" s="50">
        <f t="shared" si="3"/>
        <v>5814.3420000000006</v>
      </c>
      <c r="F71" s="50">
        <f t="shared" si="4"/>
        <v>2112.5340000000001</v>
      </c>
      <c r="G71" s="459">
        <f t="shared" si="5"/>
        <v>3701.8080000000004</v>
      </c>
      <c r="H71" s="103"/>
    </row>
    <row r="72" spans="1:9" x14ac:dyDescent="0.2">
      <c r="A72" s="22" t="s">
        <v>11</v>
      </c>
      <c r="B72" s="48">
        <f t="shared" si="7"/>
        <v>61.4</v>
      </c>
      <c r="C72" s="48">
        <f t="shared" si="7"/>
        <v>96</v>
      </c>
      <c r="D72" s="48">
        <f t="shared" si="7"/>
        <v>-34.6</v>
      </c>
      <c r="E72" s="50">
        <f t="shared" si="3"/>
        <v>4298</v>
      </c>
      <c r="F72" s="50">
        <f t="shared" si="4"/>
        <v>6720</v>
      </c>
      <c r="G72" s="459">
        <f t="shared" si="5"/>
        <v>-2422</v>
      </c>
      <c r="H72" s="103"/>
    </row>
    <row r="73" spans="1:9" x14ac:dyDescent="0.2">
      <c r="A73" s="22" t="s">
        <v>10</v>
      </c>
      <c r="B73" s="48">
        <f t="shared" si="7"/>
        <v>381.4</v>
      </c>
      <c r="C73" s="48">
        <f t="shared" si="7"/>
        <v>55.4</v>
      </c>
      <c r="D73" s="48">
        <f t="shared" si="7"/>
        <v>326</v>
      </c>
      <c r="E73" s="50">
        <f t="shared" si="3"/>
        <v>3913.1639999999998</v>
      </c>
      <c r="F73" s="50">
        <f t="shared" si="4"/>
        <v>568.404</v>
      </c>
      <c r="G73" s="459">
        <f t="shared" si="5"/>
        <v>3344.7599999999998</v>
      </c>
      <c r="H73" s="103"/>
    </row>
    <row r="74" spans="1:9" x14ac:dyDescent="0.2">
      <c r="A74" s="22" t="s">
        <v>21</v>
      </c>
      <c r="B74" s="48">
        <f t="shared" si="7"/>
        <v>12.6</v>
      </c>
      <c r="C74" s="48">
        <f t="shared" si="7"/>
        <v>22.1</v>
      </c>
      <c r="D74" s="48">
        <f t="shared" si="7"/>
        <v>-9.5000000000000018</v>
      </c>
      <c r="E74" s="50">
        <f t="shared" si="3"/>
        <v>129.27599999999998</v>
      </c>
      <c r="F74" s="50">
        <f t="shared" si="4"/>
        <v>226.74600000000001</v>
      </c>
      <c r="G74" s="459">
        <f t="shared" si="5"/>
        <v>-97.470000000000027</v>
      </c>
      <c r="H74" s="103"/>
    </row>
    <row r="75" spans="1:9" x14ac:dyDescent="0.2">
      <c r="A75" s="22" t="s">
        <v>50</v>
      </c>
      <c r="B75" s="48">
        <f t="shared" si="7"/>
        <v>61.5</v>
      </c>
      <c r="C75" s="48">
        <f t="shared" si="7"/>
        <v>65.3</v>
      </c>
      <c r="D75" s="48">
        <f t="shared" si="7"/>
        <v>-3.7999999999999972</v>
      </c>
      <c r="E75" s="50">
        <f t="shared" si="3"/>
        <v>630.99</v>
      </c>
      <c r="F75" s="50">
        <f t="shared" si="4"/>
        <v>669.97799999999995</v>
      </c>
      <c r="G75" s="459">
        <f t="shared" si="5"/>
        <v>-38.987999999999943</v>
      </c>
      <c r="H75" s="103"/>
    </row>
    <row r="76" spans="1:9" x14ac:dyDescent="0.2">
      <c r="A76" s="67" t="s">
        <v>48</v>
      </c>
      <c r="B76" s="54">
        <f t="shared" ref="B76:G76" si="8">SUM(B61:B75)</f>
        <v>6484.5999999999995</v>
      </c>
      <c r="C76" s="54">
        <f t="shared" si="8"/>
        <v>3707.5000000000005</v>
      </c>
      <c r="D76" s="54">
        <f t="shared" si="8"/>
        <v>2777.1000000000008</v>
      </c>
      <c r="E76" s="68">
        <f t="shared" si="8"/>
        <v>79125.988000000027</v>
      </c>
      <c r="F76" s="68">
        <f t="shared" si="8"/>
        <v>67024.376000000004</v>
      </c>
      <c r="G76" s="68">
        <f t="shared" si="8"/>
        <v>12101.612000000001</v>
      </c>
      <c r="H76" s="460"/>
    </row>
    <row r="77" spans="1:9" x14ac:dyDescent="0.2">
      <c r="A77" s="431"/>
      <c r="B77" s="461"/>
      <c r="C77" s="461"/>
      <c r="D77" s="461"/>
      <c r="E77" s="462"/>
      <c r="F77" s="461"/>
      <c r="G77" s="461"/>
      <c r="H77" s="461"/>
      <c r="I77" s="463"/>
    </row>
    <row r="78" spans="1:9" ht="15.75" x14ac:dyDescent="0.25">
      <c r="A78" s="772" t="s">
        <v>254</v>
      </c>
      <c r="B78" s="772"/>
      <c r="C78" s="464"/>
      <c r="D78" s="464"/>
      <c r="F78" s="465"/>
      <c r="G78" s="454" t="s">
        <v>24</v>
      </c>
      <c r="H78" s="454"/>
    </row>
    <row r="79" spans="1:9" ht="63.75" x14ac:dyDescent="0.2">
      <c r="A79" s="466" t="s">
        <v>3</v>
      </c>
      <c r="B79" s="164" t="s">
        <v>157</v>
      </c>
      <c r="C79" s="184" t="s">
        <v>158</v>
      </c>
      <c r="D79" s="184" t="s">
        <v>159</v>
      </c>
      <c r="E79" s="184" t="s">
        <v>160</v>
      </c>
      <c r="F79" s="185" t="s">
        <v>130</v>
      </c>
      <c r="G79" s="183" t="s">
        <v>163</v>
      </c>
      <c r="H79" s="183" t="s">
        <v>255</v>
      </c>
      <c r="I79" s="183" t="s">
        <v>256</v>
      </c>
    </row>
    <row r="80" spans="1:9" x14ac:dyDescent="0.2">
      <c r="A80" s="182" t="s">
        <v>44</v>
      </c>
      <c r="B80" s="48">
        <f>E25-E26-E33-E35-E38-E39</f>
        <v>0</v>
      </c>
      <c r="C80" s="31">
        <f t="shared" ref="C80:C94" si="9">B80*D5</f>
        <v>0</v>
      </c>
      <c r="D80" s="31">
        <v>0</v>
      </c>
      <c r="E80" s="31">
        <v>0</v>
      </c>
      <c r="F80" s="31">
        <v>0</v>
      </c>
      <c r="G80" s="50">
        <f>C80+D80*184/365+E80*181/365+F80</f>
        <v>0</v>
      </c>
      <c r="H80" s="31">
        <v>0</v>
      </c>
      <c r="I80" s="31">
        <v>0</v>
      </c>
    </row>
    <row r="81" spans="1:9" x14ac:dyDescent="0.2">
      <c r="A81" s="182" t="s">
        <v>47</v>
      </c>
      <c r="B81" s="48">
        <f>E26-E27-E28-E37</f>
        <v>0</v>
      </c>
      <c r="C81" s="31">
        <f t="shared" si="9"/>
        <v>0</v>
      </c>
      <c r="D81" s="31">
        <v>0</v>
      </c>
      <c r="E81" s="31">
        <v>0</v>
      </c>
      <c r="F81" s="31">
        <v>0</v>
      </c>
      <c r="G81" s="50">
        <f t="shared" ref="G81:G94" si="10">C81+D81*184/365+E81*181/365+F81</f>
        <v>0</v>
      </c>
      <c r="H81" s="31">
        <v>0</v>
      </c>
      <c r="I81" s="31">
        <v>0</v>
      </c>
    </row>
    <row r="82" spans="1:9" x14ac:dyDescent="0.2">
      <c r="A82" s="182" t="s">
        <v>46</v>
      </c>
      <c r="B82" s="48">
        <f>E27-E29-E31</f>
        <v>0</v>
      </c>
      <c r="C82" s="31">
        <f t="shared" si="9"/>
        <v>0</v>
      </c>
      <c r="D82" s="31">
        <v>0</v>
      </c>
      <c r="E82" s="31">
        <v>0</v>
      </c>
      <c r="F82" s="31">
        <v>0</v>
      </c>
      <c r="G82" s="50">
        <f t="shared" si="10"/>
        <v>0</v>
      </c>
      <c r="H82" s="31">
        <v>0</v>
      </c>
      <c r="I82" s="31">
        <v>0</v>
      </c>
    </row>
    <row r="83" spans="1:9" x14ac:dyDescent="0.2">
      <c r="A83" s="182" t="s">
        <v>45</v>
      </c>
      <c r="B83" s="48">
        <f>E28-E32-E36</f>
        <v>0</v>
      </c>
      <c r="C83" s="31">
        <f t="shared" si="9"/>
        <v>0</v>
      </c>
      <c r="D83" s="31">
        <v>0</v>
      </c>
      <c r="E83" s="31">
        <v>0</v>
      </c>
      <c r="F83" s="31">
        <v>0</v>
      </c>
      <c r="G83" s="50">
        <f t="shared" si="10"/>
        <v>0</v>
      </c>
      <c r="H83" s="31">
        <v>0</v>
      </c>
      <c r="I83" s="31">
        <v>0</v>
      </c>
    </row>
    <row r="84" spans="1:9" x14ac:dyDescent="0.2">
      <c r="A84" s="182" t="s">
        <v>37</v>
      </c>
      <c r="B84" s="48">
        <f>E29-E30</f>
        <v>0</v>
      </c>
      <c r="C84" s="31">
        <f t="shared" si="9"/>
        <v>0</v>
      </c>
      <c r="D84" s="31">
        <v>0</v>
      </c>
      <c r="E84" s="31">
        <v>0</v>
      </c>
      <c r="F84" s="31">
        <v>0</v>
      </c>
      <c r="G84" s="50">
        <f t="shared" si="10"/>
        <v>0</v>
      </c>
      <c r="H84" s="31">
        <v>0</v>
      </c>
      <c r="I84" s="31">
        <v>0</v>
      </c>
    </row>
    <row r="85" spans="1:9" x14ac:dyDescent="0.2">
      <c r="A85" s="182" t="s">
        <v>34</v>
      </c>
      <c r="B85" s="48">
        <f>E30</f>
        <v>0</v>
      </c>
      <c r="C85" s="31">
        <f t="shared" si="9"/>
        <v>0</v>
      </c>
      <c r="D85" s="31">
        <v>0</v>
      </c>
      <c r="E85" s="31">
        <v>0</v>
      </c>
      <c r="F85" s="31">
        <v>0</v>
      </c>
      <c r="G85" s="50">
        <f t="shared" si="10"/>
        <v>0</v>
      </c>
      <c r="H85" s="31">
        <v>0</v>
      </c>
      <c r="I85" s="31">
        <v>0</v>
      </c>
    </row>
    <row r="86" spans="1:9" x14ac:dyDescent="0.2">
      <c r="A86" s="182" t="s">
        <v>35</v>
      </c>
      <c r="B86" s="48">
        <f>E31</f>
        <v>0</v>
      </c>
      <c r="C86" s="31">
        <f t="shared" si="9"/>
        <v>0</v>
      </c>
      <c r="D86" s="31">
        <v>0</v>
      </c>
      <c r="E86" s="31">
        <v>0</v>
      </c>
      <c r="F86" s="31">
        <v>0</v>
      </c>
      <c r="G86" s="50">
        <f t="shared" si="10"/>
        <v>0</v>
      </c>
      <c r="H86" s="31">
        <v>0</v>
      </c>
      <c r="I86" s="31">
        <v>0</v>
      </c>
    </row>
    <row r="87" spans="1:9" x14ac:dyDescent="0.2">
      <c r="A87" s="182" t="s">
        <v>15</v>
      </c>
      <c r="B87" s="48">
        <f>E32</f>
        <v>0</v>
      </c>
      <c r="C87" s="31">
        <f t="shared" si="9"/>
        <v>0</v>
      </c>
      <c r="D87" s="31">
        <v>0</v>
      </c>
      <c r="E87" s="31">
        <v>0</v>
      </c>
      <c r="F87" s="31">
        <v>0</v>
      </c>
      <c r="G87" s="50">
        <f t="shared" si="10"/>
        <v>0</v>
      </c>
      <c r="H87" s="31">
        <v>0</v>
      </c>
      <c r="I87" s="31">
        <v>0</v>
      </c>
    </row>
    <row r="88" spans="1:9" x14ac:dyDescent="0.2">
      <c r="A88" s="182" t="s">
        <v>114</v>
      </c>
      <c r="B88" s="48">
        <f>E33-E34</f>
        <v>0</v>
      </c>
      <c r="C88" s="31">
        <f t="shared" si="9"/>
        <v>0</v>
      </c>
      <c r="D88" s="31">
        <v>0</v>
      </c>
      <c r="E88" s="31">
        <v>0</v>
      </c>
      <c r="F88" s="31">
        <v>0</v>
      </c>
      <c r="G88" s="50">
        <f t="shared" si="10"/>
        <v>0</v>
      </c>
      <c r="H88" s="31">
        <v>0</v>
      </c>
      <c r="I88" s="31">
        <v>0</v>
      </c>
    </row>
    <row r="89" spans="1:9" x14ac:dyDescent="0.2">
      <c r="A89" s="22" t="s">
        <v>113</v>
      </c>
      <c r="B89" s="48">
        <f t="shared" ref="B89:B94" si="11">E34</f>
        <v>0</v>
      </c>
      <c r="C89" s="31">
        <f t="shared" si="9"/>
        <v>0</v>
      </c>
      <c r="D89" s="31">
        <v>0</v>
      </c>
      <c r="E89" s="31">
        <v>0</v>
      </c>
      <c r="F89" s="31">
        <v>0</v>
      </c>
      <c r="G89" s="50">
        <f t="shared" si="10"/>
        <v>0</v>
      </c>
      <c r="H89" s="31">
        <v>0</v>
      </c>
      <c r="I89" s="31">
        <v>0</v>
      </c>
    </row>
    <row r="90" spans="1:9" x14ac:dyDescent="0.2">
      <c r="A90" s="22" t="s">
        <v>20</v>
      </c>
      <c r="B90" s="48">
        <f t="shared" si="11"/>
        <v>0</v>
      </c>
      <c r="C90" s="31">
        <f t="shared" si="9"/>
        <v>0</v>
      </c>
      <c r="D90" s="31">
        <v>0</v>
      </c>
      <c r="E90" s="31">
        <v>0</v>
      </c>
      <c r="F90" s="31">
        <v>0</v>
      </c>
      <c r="G90" s="50">
        <f t="shared" si="10"/>
        <v>0</v>
      </c>
      <c r="H90" s="31">
        <v>0</v>
      </c>
      <c r="I90" s="31">
        <v>0</v>
      </c>
    </row>
    <row r="91" spans="1:9" x14ac:dyDescent="0.2">
      <c r="A91" s="22" t="s">
        <v>11</v>
      </c>
      <c r="B91" s="48">
        <f t="shared" si="11"/>
        <v>0</v>
      </c>
      <c r="C91" s="31">
        <f t="shared" si="9"/>
        <v>0</v>
      </c>
      <c r="D91" s="31">
        <v>0</v>
      </c>
      <c r="E91" s="31">
        <v>0</v>
      </c>
      <c r="F91" s="31">
        <v>0</v>
      </c>
      <c r="G91" s="50">
        <f t="shared" si="10"/>
        <v>0</v>
      </c>
      <c r="H91" s="31">
        <v>0</v>
      </c>
      <c r="I91" s="31">
        <v>0</v>
      </c>
    </row>
    <row r="92" spans="1:9" x14ac:dyDescent="0.2">
      <c r="A92" s="22" t="s">
        <v>10</v>
      </c>
      <c r="B92" s="48">
        <f t="shared" si="11"/>
        <v>0</v>
      </c>
      <c r="C92" s="31">
        <f t="shared" si="9"/>
        <v>0</v>
      </c>
      <c r="D92" s="31">
        <v>0</v>
      </c>
      <c r="E92" s="31">
        <v>0</v>
      </c>
      <c r="F92" s="31">
        <v>0</v>
      </c>
      <c r="G92" s="50">
        <f t="shared" si="10"/>
        <v>0</v>
      </c>
      <c r="H92" s="31">
        <v>0</v>
      </c>
      <c r="I92" s="31">
        <v>0</v>
      </c>
    </row>
    <row r="93" spans="1:9" x14ac:dyDescent="0.2">
      <c r="A93" s="22" t="s">
        <v>21</v>
      </c>
      <c r="B93" s="48">
        <f t="shared" si="11"/>
        <v>0</v>
      </c>
      <c r="C93" s="31">
        <f t="shared" si="9"/>
        <v>0</v>
      </c>
      <c r="D93" s="31">
        <v>0</v>
      </c>
      <c r="E93" s="31">
        <v>0</v>
      </c>
      <c r="F93" s="31">
        <v>0</v>
      </c>
      <c r="G93" s="50">
        <f t="shared" si="10"/>
        <v>0</v>
      </c>
      <c r="H93" s="31">
        <v>0</v>
      </c>
      <c r="I93" s="31">
        <v>0</v>
      </c>
    </row>
    <row r="94" spans="1:9" x14ac:dyDescent="0.2">
      <c r="A94" s="22" t="s">
        <v>50</v>
      </c>
      <c r="B94" s="48">
        <f t="shared" si="11"/>
        <v>0</v>
      </c>
      <c r="C94" s="31">
        <f t="shared" si="9"/>
        <v>0</v>
      </c>
      <c r="D94" s="31">
        <v>0</v>
      </c>
      <c r="E94" s="31">
        <v>0</v>
      </c>
      <c r="F94" s="31">
        <v>0</v>
      </c>
      <c r="G94" s="50">
        <f t="shared" si="10"/>
        <v>0</v>
      </c>
      <c r="H94" s="31">
        <v>0</v>
      </c>
      <c r="I94" s="31">
        <v>0</v>
      </c>
    </row>
    <row r="95" spans="1:9" x14ac:dyDescent="0.2">
      <c r="A95" s="67" t="s">
        <v>48</v>
      </c>
      <c r="B95" s="54">
        <f t="shared" ref="B95:I95" si="12">SUM(B80:B94)</f>
        <v>0</v>
      </c>
      <c r="C95" s="42">
        <f t="shared" si="12"/>
        <v>0</v>
      </c>
      <c r="D95" s="42">
        <f>SUM(D80:D94)</f>
        <v>0</v>
      </c>
      <c r="E95" s="42">
        <f>SUM(E80:E92)</f>
        <v>0</v>
      </c>
      <c r="F95" s="42">
        <f>SUM(F80:F94)</f>
        <v>0</v>
      </c>
      <c r="G95" s="42">
        <f>SUM(G80:G94)</f>
        <v>0</v>
      </c>
      <c r="H95" s="42">
        <f t="shared" si="12"/>
        <v>0</v>
      </c>
      <c r="I95" s="42">
        <f t="shared" si="12"/>
        <v>0</v>
      </c>
    </row>
  </sheetData>
  <mergeCells count="5">
    <mergeCell ref="A3:B3"/>
    <mergeCell ref="A23:E23"/>
    <mergeCell ref="A41:C41"/>
    <mergeCell ref="A59:B59"/>
    <mergeCell ref="A78:B78"/>
  </mergeCells>
  <pageMargins left="0.45" right="0.45" top="0.5" bottom="0.5" header="0" footer="0"/>
  <pageSetup scale="64" orientation="portrait" horizontalDpi="200" verticalDpi="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4"/>
  <sheetViews>
    <sheetView topLeftCell="A40" zoomScaleNormal="100" workbookViewId="0"/>
  </sheetViews>
  <sheetFormatPr defaultRowHeight="12.75" x14ac:dyDescent="0.2"/>
  <cols>
    <col min="1" max="1" width="30.7109375" customWidth="1"/>
    <col min="2" max="15" width="15.7109375" customWidth="1"/>
  </cols>
  <sheetData>
    <row r="1" spans="1:12" ht="18.75" x14ac:dyDescent="0.3">
      <c r="A1" s="101" t="s">
        <v>340</v>
      </c>
      <c r="B1" s="374"/>
      <c r="C1" s="374"/>
      <c r="D1" s="374"/>
      <c r="G1" s="434" t="s">
        <v>24</v>
      </c>
      <c r="H1" s="374"/>
      <c r="I1" s="374"/>
      <c r="J1" s="374"/>
      <c r="K1" s="374"/>
      <c r="L1" s="374"/>
    </row>
    <row r="2" spans="1:12" x14ac:dyDescent="0.2">
      <c r="A2" s="467"/>
      <c r="B2" s="374"/>
      <c r="C2" s="374"/>
      <c r="D2" s="18" t="s">
        <v>24</v>
      </c>
      <c r="E2" s="374"/>
      <c r="F2" s="374"/>
      <c r="G2" s="374"/>
      <c r="H2" s="374"/>
      <c r="I2" s="374"/>
      <c r="J2" s="374"/>
      <c r="K2" s="374"/>
      <c r="L2" s="374"/>
    </row>
    <row r="3" spans="1:12" ht="18.75" x14ac:dyDescent="0.3">
      <c r="A3" s="468" t="s">
        <v>0</v>
      </c>
      <c r="B3" s="469"/>
      <c r="C3" s="374"/>
      <c r="D3" s="1" t="s">
        <v>24</v>
      </c>
      <c r="E3" s="374"/>
      <c r="F3" s="374"/>
      <c r="G3" s="374"/>
      <c r="H3" s="374"/>
      <c r="I3" s="374"/>
      <c r="J3" s="374"/>
      <c r="K3" s="374"/>
      <c r="L3" s="374"/>
    </row>
    <row r="4" spans="1:12" x14ac:dyDescent="0.2">
      <c r="A4" s="182" t="s">
        <v>1</v>
      </c>
      <c r="B4" s="470">
        <v>0.151</v>
      </c>
      <c r="C4" s="374"/>
      <c r="D4" s="471" t="s">
        <v>24</v>
      </c>
      <c r="E4" s="472" t="s">
        <v>24</v>
      </c>
      <c r="F4" s="472" t="s">
        <v>24</v>
      </c>
      <c r="G4" s="472" t="s">
        <v>24</v>
      </c>
      <c r="H4" s="472" t="s">
        <v>24</v>
      </c>
      <c r="I4" s="472" t="s">
        <v>24</v>
      </c>
      <c r="J4" s="472" t="s">
        <v>24</v>
      </c>
      <c r="K4" s="374"/>
      <c r="L4" s="472" t="s">
        <v>24</v>
      </c>
    </row>
    <row r="5" spans="1:12" x14ac:dyDescent="0.2">
      <c r="A5" s="170" t="s">
        <v>2</v>
      </c>
      <c r="B5" s="381">
        <v>5.5599999999999997E-2</v>
      </c>
      <c r="C5" s="374"/>
      <c r="D5" s="473" t="s">
        <v>24</v>
      </c>
      <c r="E5" s="474" t="s">
        <v>24</v>
      </c>
      <c r="F5" s="475" t="s">
        <v>24</v>
      </c>
      <c r="G5" s="475" t="s">
        <v>24</v>
      </c>
      <c r="H5" s="475" t="s">
        <v>24</v>
      </c>
      <c r="I5" s="475" t="s">
        <v>24</v>
      </c>
      <c r="J5" s="472" t="s">
        <v>24</v>
      </c>
      <c r="K5" s="472" t="s">
        <v>24</v>
      </c>
      <c r="L5" s="474" t="s">
        <v>24</v>
      </c>
    </row>
    <row r="6" spans="1:12" x14ac:dyDescent="0.2">
      <c r="A6" s="182" t="s">
        <v>4</v>
      </c>
      <c r="B6" s="476">
        <v>1.087</v>
      </c>
      <c r="C6" s="374"/>
      <c r="D6" s="477" t="s">
        <v>24</v>
      </c>
      <c r="E6" s="478" t="s">
        <v>24</v>
      </c>
      <c r="F6" s="479" t="s">
        <v>24</v>
      </c>
      <c r="G6" s="480" t="s">
        <v>24</v>
      </c>
      <c r="H6" s="481" t="s">
        <v>24</v>
      </c>
      <c r="I6" s="481" t="s">
        <v>24</v>
      </c>
      <c r="J6" s="481" t="s">
        <v>24</v>
      </c>
      <c r="K6" s="640" t="s">
        <v>24</v>
      </c>
      <c r="L6" s="482" t="s">
        <v>24</v>
      </c>
    </row>
    <row r="7" spans="1:12" x14ac:dyDescent="0.2">
      <c r="A7" s="182" t="s">
        <v>258</v>
      </c>
      <c r="B7" s="176">
        <v>147948.6</v>
      </c>
      <c r="C7" s="374"/>
      <c r="D7" s="431" t="s">
        <v>24</v>
      </c>
      <c r="E7" s="474" t="s">
        <v>24</v>
      </c>
      <c r="F7" s="483" t="s">
        <v>24</v>
      </c>
      <c r="G7" s="479" t="s">
        <v>24</v>
      </c>
      <c r="H7" s="479" t="s">
        <v>24</v>
      </c>
      <c r="I7" s="479" t="s">
        <v>24</v>
      </c>
      <c r="J7" s="480" t="s">
        <v>24</v>
      </c>
      <c r="K7" s="640" t="s">
        <v>24</v>
      </c>
      <c r="L7" s="474" t="s">
        <v>24</v>
      </c>
    </row>
    <row r="8" spans="1:12" x14ac:dyDescent="0.2">
      <c r="A8" s="182" t="s">
        <v>23</v>
      </c>
      <c r="B8" s="484">
        <f>B13/(G62*B6)</f>
        <v>1.0879740868434529</v>
      </c>
      <c r="C8" s="485" t="s">
        <v>24</v>
      </c>
      <c r="D8" s="486" t="s">
        <v>24</v>
      </c>
      <c r="E8" s="474" t="s">
        <v>24</v>
      </c>
      <c r="F8" s="483" t="s">
        <v>24</v>
      </c>
      <c r="G8" s="480" t="s">
        <v>24</v>
      </c>
      <c r="H8" s="480" t="s">
        <v>24</v>
      </c>
      <c r="I8" s="480" t="s">
        <v>24</v>
      </c>
      <c r="J8" s="480" t="s">
        <v>24</v>
      </c>
      <c r="K8" s="481" t="s">
        <v>24</v>
      </c>
      <c r="L8" s="474" t="s">
        <v>24</v>
      </c>
    </row>
    <row r="9" spans="1:12" x14ac:dyDescent="0.2">
      <c r="A9" s="374"/>
      <c r="B9" s="399"/>
      <c r="C9" s="374"/>
      <c r="D9" s="447" t="s">
        <v>24</v>
      </c>
      <c r="E9" s="399" t="s">
        <v>24</v>
      </c>
      <c r="F9" s="487" t="s">
        <v>24</v>
      </c>
      <c r="G9" s="399" t="s">
        <v>24</v>
      </c>
      <c r="H9" s="488" t="s">
        <v>24</v>
      </c>
      <c r="I9" s="374"/>
      <c r="J9" s="374"/>
      <c r="K9" s="374"/>
      <c r="L9" s="374" t="s">
        <v>24</v>
      </c>
    </row>
    <row r="10" spans="1:12" x14ac:dyDescent="0.2">
      <c r="A10" s="447"/>
      <c r="B10" s="489"/>
      <c r="C10" s="489" t="s">
        <v>24</v>
      </c>
      <c r="D10" s="454" t="s">
        <v>24</v>
      </c>
      <c r="E10" s="455"/>
      <c r="F10" s="438"/>
      <c r="G10" s="490" t="s">
        <v>24</v>
      </c>
      <c r="H10" s="438"/>
      <c r="I10" s="491" t="s">
        <v>24</v>
      </c>
      <c r="J10" s="492"/>
      <c r="K10" s="492"/>
      <c r="L10" s="493"/>
    </row>
    <row r="11" spans="1:12" ht="15.75" x14ac:dyDescent="0.25">
      <c r="A11" s="494" t="s">
        <v>259</v>
      </c>
      <c r="B11" s="454"/>
      <c r="C11" s="454"/>
      <c r="D11" s="454"/>
      <c r="E11" s="495" t="s">
        <v>24</v>
      </c>
      <c r="F11" s="437"/>
      <c r="G11" s="437"/>
      <c r="H11" s="437"/>
      <c r="I11" s="491" t="s">
        <v>24</v>
      </c>
      <c r="J11" s="492"/>
      <c r="K11" s="492"/>
      <c r="L11" s="493"/>
    </row>
    <row r="12" spans="1:12" ht="63.75" x14ac:dyDescent="0.2">
      <c r="A12" s="183" t="s">
        <v>3</v>
      </c>
      <c r="B12" s="183" t="s">
        <v>260</v>
      </c>
      <c r="C12" s="183" t="s">
        <v>261</v>
      </c>
      <c r="D12" s="183" t="s">
        <v>262</v>
      </c>
      <c r="E12" s="183" t="s">
        <v>263</v>
      </c>
      <c r="F12" s="183" t="s">
        <v>138</v>
      </c>
      <c r="G12" s="183" t="s">
        <v>264</v>
      </c>
      <c r="H12" s="496"/>
    </row>
    <row r="13" spans="1:12" x14ac:dyDescent="0.2">
      <c r="A13" s="182" t="s">
        <v>6</v>
      </c>
      <c r="B13" s="497">
        <f>'BRA Resource Clearing Results'!F26-'1stIA Resource Clearing Results'!D25-'2ndIA Resource Clearing Results'!D25</f>
        <v>160964.29999999999</v>
      </c>
      <c r="C13" s="498">
        <f>('BRA Resource Clearing Results'!F26*'BRA Resource Clearing Results'!B5-'1stIA Resource Clearing Results'!D25*'1stIA Resource Clearing Results'!B5-'2ndIA Resource Clearing Results'!D25*'2ndIA Resource Clearing Results'!B5)/('BRA Resource Clearing Results'!F26-'1stIA Resource Clearing Results'!D25-'2ndIA Resource Clearing Results'!D25)</f>
        <v>142.15545468156606</v>
      </c>
      <c r="D13" s="498">
        <f>('BRA Resource Clearing Results'!F26*'BRA Resource Clearing Results'!C5-'1stIA Resource Clearing Results'!D25*'1stIA Resource Clearing Results'!C5-'2ndIA Resource Clearing Results'!D25*'2ndIA Resource Clearing Results'!C5)/('BRA Resource Clearing Results'!F26-'1stIA Resource Clearing Results'!D25-'2ndIA Resource Clearing Results'!D25)</f>
        <v>0</v>
      </c>
      <c r="E13" s="35">
        <f>'BRA Resource Clearing Results'!G65+'1stIA Resource Clearing Results'!H80+'2ndIA Resource Clearing Results'!H80</f>
        <v>3746.9479452054793</v>
      </c>
      <c r="F13" s="154">
        <f>E13/B13</f>
        <v>2.3278130276126317E-2</v>
      </c>
      <c r="G13" s="155">
        <f t="shared" ref="G13:G22" si="0">C13+D13+F13</f>
        <v>142.1787328118422</v>
      </c>
      <c r="H13" s="499"/>
    </row>
    <row r="14" spans="1:12" x14ac:dyDescent="0.2">
      <c r="A14" s="182" t="s">
        <v>28</v>
      </c>
      <c r="B14" s="497">
        <f>J42+J46+J52+(SUM(J54:J61))</f>
        <v>64392.902846284065</v>
      </c>
      <c r="C14" s="498">
        <f t="shared" ref="C14:C22" si="1">$C$13</f>
        <v>142.15545468156606</v>
      </c>
      <c r="D14" s="498">
        <f>D13+('BRA Resource Clearing Results'!F27*'BRA Resource Clearing Results'!C6-'1stIA Resource Clearing Results'!D26*'1stIA Resource Clearing Results'!C6-'2ndIA Resource Clearing Results'!D26*'2ndIA Resource Clearing Results'!C6)/('BRA Resource Clearing Results'!F27-'1stIA Resource Clearing Results'!D26-'2ndIA Resource Clearing Results'!D26)</f>
        <v>0</v>
      </c>
      <c r="E14" s="35">
        <f>'BRA Resource Clearing Results'!G66+'1stIA Resource Clearing Results'!H81+'2ndIA Resource Clearing Results'!H81</f>
        <v>0</v>
      </c>
      <c r="F14" s="154">
        <f>F13+E14/B14</f>
        <v>2.3278130276126317E-2</v>
      </c>
      <c r="G14" s="155">
        <f t="shared" si="0"/>
        <v>142.1787328118422</v>
      </c>
      <c r="H14" s="499"/>
    </row>
    <row r="15" spans="1:12" x14ac:dyDescent="0.2">
      <c r="A15" s="182" t="s">
        <v>33</v>
      </c>
      <c r="B15" s="497">
        <f>J42+J52+J54+J56+J60+J61</f>
        <v>35274.240356959999</v>
      </c>
      <c r="C15" s="498">
        <f t="shared" si="1"/>
        <v>142.15545468156606</v>
      </c>
      <c r="D15" s="498">
        <f>D14+('BRA Resource Clearing Results'!F28*'BRA Resource Clearing Results'!C7-'1stIA Resource Clearing Results'!D27*'1stIA Resource Clearing Results'!C7-'2ndIA Resource Clearing Results'!D27*'2ndIA Resource Clearing Results'!C7)/('BRA Resource Clearing Results'!F28-'1stIA Resource Clearing Results'!D27-'2ndIA Resource Clearing Results'!D27)</f>
        <v>25.572153076962188</v>
      </c>
      <c r="E15" s="35">
        <f>'BRA Resource Clearing Results'!G67+'1stIA Resource Clearing Results'!H82+'2ndIA Resource Clearing Results'!H82</f>
        <v>0</v>
      </c>
      <c r="F15" s="154">
        <f>F14+E15/B15</f>
        <v>2.3278130276126317E-2</v>
      </c>
      <c r="G15" s="155">
        <f t="shared" si="0"/>
        <v>167.75088588880439</v>
      </c>
      <c r="H15" s="499"/>
    </row>
    <row r="16" spans="1:12" x14ac:dyDescent="0.2">
      <c r="A16" s="182" t="s">
        <v>5</v>
      </c>
      <c r="B16" s="497">
        <f>J46+J58</f>
        <v>14253.030636070738</v>
      </c>
      <c r="C16" s="498">
        <f t="shared" si="1"/>
        <v>142.15545468156606</v>
      </c>
      <c r="D16" s="498">
        <f>D14+('BRA Resource Clearing Results'!F29*'BRA Resource Clearing Results'!C8-'1stIA Resource Clearing Results'!D28*'1stIA Resource Clearing Results'!C8-'2ndIA Resource Clearing Results'!D28*'2ndIA Resource Clearing Results'!C8)/('BRA Resource Clearing Results'!F29-'1stIA Resource Clearing Results'!D28-'2ndIA Resource Clearing Results'!D28)</f>
        <v>0</v>
      </c>
      <c r="E16" s="35">
        <f>'BRA Resource Clearing Results'!G68+'1stIA Resource Clearing Results'!H83+'2ndIA Resource Clearing Results'!H83</f>
        <v>0</v>
      </c>
      <c r="F16" s="154">
        <f>F14+E16/B16</f>
        <v>2.3278130276126317E-2</v>
      </c>
      <c r="G16" s="155">
        <f t="shared" si="0"/>
        <v>142.1787328118422</v>
      </c>
      <c r="H16" s="499"/>
    </row>
    <row r="17" spans="1:13" x14ac:dyDescent="0.2">
      <c r="A17" s="182" t="s">
        <v>15</v>
      </c>
      <c r="B17" s="497">
        <f>J58</f>
        <v>6936.112237019157</v>
      </c>
      <c r="C17" s="498">
        <f t="shared" si="1"/>
        <v>142.15545468156606</v>
      </c>
      <c r="D17" s="498">
        <f>D16+('BRA Resource Clearing Results'!F33*'BRA Resource Clearing Results'!C12-'1stIA Resource Clearing Results'!D32*'1stIA Resource Clearing Results'!C12-'2ndIA Resource Clearing Results'!D32*'2ndIA Resource Clearing Results'!C12)/('BRA Resource Clearing Results'!F33-'1stIA Resource Clearing Results'!D32-'2ndIA Resource Clearing Results'!D32)</f>
        <v>0</v>
      </c>
      <c r="E17" s="35">
        <f>'BRA Resource Clearing Results'!G72+'1stIA Resource Clearing Results'!H87+'2ndIA Resource Clearing Results'!H87</f>
        <v>0</v>
      </c>
      <c r="F17" s="154">
        <f>F16+E17/B17</f>
        <v>2.3278130276126317E-2</v>
      </c>
      <c r="G17" s="155">
        <f t="shared" si="0"/>
        <v>142.1787328118422</v>
      </c>
      <c r="H17" s="499"/>
    </row>
    <row r="18" spans="1:13" x14ac:dyDescent="0.2">
      <c r="A18" s="182" t="s">
        <v>20</v>
      </c>
      <c r="B18" s="497">
        <f>J47</f>
        <v>23149.93981920716</v>
      </c>
      <c r="C18" s="498">
        <f t="shared" si="1"/>
        <v>142.15545468156606</v>
      </c>
      <c r="D18" s="498">
        <f>D13+('BRA Resource Clearing Results'!F36*'BRA Resource Clearing Results'!C15-'1stIA Resource Clearing Results'!D35*'1stIA Resource Clearing Results'!C15-'2ndIA Resource Clearing Results'!D35*'2ndIA Resource Clearing Results'!C15)/('BRA Resource Clearing Results'!F36-'1stIA Resource Clearing Results'!D35-'2ndIA Resource Clearing Results'!D35)</f>
        <v>55.996810371646134</v>
      </c>
      <c r="E18" s="35">
        <f>'BRA Resource Clearing Results'!G75+'1stIA Resource Clearing Results'!H90+'2ndIA Resource Clearing Results'!H90</f>
        <v>13.899808219178084</v>
      </c>
      <c r="F18" s="154">
        <f>F13+E18/B18</f>
        <v>2.3878555518167147E-2</v>
      </c>
      <c r="G18" s="155">
        <f t="shared" si="0"/>
        <v>198.17614360873037</v>
      </c>
      <c r="H18" s="499"/>
    </row>
    <row r="19" spans="1:13" x14ac:dyDescent="0.2">
      <c r="A19" s="182" t="s">
        <v>11</v>
      </c>
      <c r="B19" s="497">
        <f>J46</f>
        <v>7316.9183990515812</v>
      </c>
      <c r="C19" s="498">
        <f t="shared" si="1"/>
        <v>142.15545468156606</v>
      </c>
      <c r="D19" s="498">
        <f>D16+('BRA Resource Clearing Results'!F37*'BRA Resource Clearing Results'!C16-'1stIA Resource Clearing Results'!D36*'1stIA Resource Clearing Results'!C16-'2ndIA Resource Clearing Results'!D36*'2ndIA Resource Clearing Results'!C16)/('BRA Resource Clearing Results'!F37-'1stIA Resource Clearing Results'!D36-'2ndIA Resource Clearing Results'!D36)</f>
        <v>59.952687752960578</v>
      </c>
      <c r="E19" s="35">
        <f>'BRA Resource Clearing Results'!G76+'1stIA Resource Clearing Results'!H91+'2ndIA Resource Clearing Results'!H91</f>
        <v>0</v>
      </c>
      <c r="F19" s="154">
        <f>F16+E19/B19</f>
        <v>2.3278130276126317E-2</v>
      </c>
      <c r="G19" s="155">
        <f t="shared" si="0"/>
        <v>202.13142056480277</v>
      </c>
      <c r="H19" s="499"/>
    </row>
    <row r="20" spans="1:13" x14ac:dyDescent="0.2">
      <c r="A20" s="182" t="s">
        <v>10</v>
      </c>
      <c r="B20" s="497">
        <f>J59</f>
        <v>8287.8558494510235</v>
      </c>
      <c r="C20" s="498">
        <f t="shared" si="1"/>
        <v>142.15545468156606</v>
      </c>
      <c r="D20" s="498">
        <f>D14+('BRA Resource Clearing Results'!F38*'BRA Resource Clearing Results'!C17-'1stIA Resource Clearing Results'!D37*'1stIA Resource Clearing Results'!C17-'2ndIA Resource Clearing Results'!D37*'2ndIA Resource Clearing Results'!C17)/('BRA Resource Clearing Results'!F38-'1stIA Resource Clearing Results'!D37-'2ndIA Resource Clearing Results'!D37)</f>
        <v>0</v>
      </c>
      <c r="E20" s="35">
        <f>'BRA Resource Clearing Results'!G77+'1stIA Resource Clearing Results'!H92+'2ndIA Resource Clearing Results'!H92</f>
        <v>0</v>
      </c>
      <c r="F20" s="154">
        <f>F14+E20/B20</f>
        <v>2.3278130276126317E-2</v>
      </c>
      <c r="G20" s="155">
        <f t="shared" si="0"/>
        <v>142.1787328118422</v>
      </c>
      <c r="H20" s="499"/>
    </row>
    <row r="21" spans="1:13" x14ac:dyDescent="0.2">
      <c r="A21" s="22" t="s">
        <v>21</v>
      </c>
      <c r="B21" s="497">
        <f>J48</f>
        <v>3599.9191218220481</v>
      </c>
      <c r="C21" s="498">
        <f t="shared" si="1"/>
        <v>142.15545468156606</v>
      </c>
      <c r="D21" s="498">
        <f>D13+('BRA Resource Clearing Results'!F39*'BRA Resource Clearing Results'!C18-'1stIA Resource Clearing Results'!D38*'1stIA Resource Clearing Results'!C18-'2ndIA Resource Clearing Results'!D38*'2ndIA Resource Clearing Results'!C18)/('BRA Resource Clearing Results'!F39-'1stIA Resource Clearing Results'!D38-'2ndIA Resource Clearing Results'!D38)</f>
        <v>0</v>
      </c>
      <c r="E21" s="35">
        <f>'BRA Resource Clearing Results'!G78+'1stIA Resource Clearing Results'!H93+'2ndIA Resource Clearing Results'!H93</f>
        <v>0</v>
      </c>
      <c r="F21" s="154">
        <f>F13+E21/B21</f>
        <v>2.3278130276126317E-2</v>
      </c>
      <c r="G21" s="155">
        <f t="shared" si="0"/>
        <v>142.1787328118422</v>
      </c>
      <c r="H21" s="499"/>
    </row>
    <row r="22" spans="1:13" x14ac:dyDescent="0.2">
      <c r="A22" s="22" t="s">
        <v>50</v>
      </c>
      <c r="B22" s="497">
        <f>J49</f>
        <v>5027.8478099634722</v>
      </c>
      <c r="C22" s="498">
        <f t="shared" si="1"/>
        <v>142.15545468156606</v>
      </c>
      <c r="D22" s="498">
        <f>D13+('BRA Resource Clearing Results'!F40*'BRA Resource Clearing Results'!C19-'1stIA Resource Clearing Results'!D39*'1stIA Resource Clearing Results'!C19-'2ndIA Resource Clearing Results'!D39*'2ndIA Resource Clearing Results'!C19)/('BRA Resource Clearing Results'!F40-'1stIA Resource Clearing Results'!D39-'2ndIA Resource Clearing Results'!D39)</f>
        <v>0</v>
      </c>
      <c r="E22" s="35">
        <f>'BRA Resource Clearing Results'!G79+'1stIA Resource Clearing Results'!H94+'2ndIA Resource Clearing Results'!H94</f>
        <v>0</v>
      </c>
      <c r="F22" s="154">
        <f>F13+E22/B22</f>
        <v>2.3278130276126317E-2</v>
      </c>
      <c r="G22" s="155">
        <f t="shared" si="0"/>
        <v>142.1787328118422</v>
      </c>
      <c r="H22" s="499"/>
    </row>
    <row r="23" spans="1:13" x14ac:dyDescent="0.2">
      <c r="A23" s="23" t="s">
        <v>208</v>
      </c>
      <c r="B23" s="34"/>
      <c r="C23" s="55"/>
      <c r="D23" s="500" t="s">
        <v>24</v>
      </c>
      <c r="E23" s="243" t="s">
        <v>24</v>
      </c>
      <c r="F23" s="57"/>
      <c r="G23" s="52" t="s">
        <v>24</v>
      </c>
      <c r="H23" s="33"/>
      <c r="I23" s="33"/>
      <c r="J23" s="446"/>
      <c r="K23" s="33"/>
      <c r="L23" s="479"/>
    </row>
    <row r="24" spans="1:13" x14ac:dyDescent="0.2">
      <c r="A24" s="501" t="s">
        <v>24</v>
      </c>
      <c r="B24" s="454"/>
      <c r="C24" s="464"/>
      <c r="D24" s="464"/>
      <c r="E24" s="464"/>
      <c r="F24" s="465"/>
      <c r="H24" s="454"/>
      <c r="I24" s="454"/>
      <c r="J24" s="464"/>
      <c r="K24" s="454"/>
      <c r="L24" s="479"/>
    </row>
    <row r="25" spans="1:13" x14ac:dyDescent="0.2">
      <c r="A25" s="501"/>
      <c r="B25" s="454"/>
      <c r="C25" s="464"/>
      <c r="D25" s="464"/>
      <c r="E25" s="464"/>
      <c r="F25" s="465"/>
      <c r="H25" s="454"/>
      <c r="I25" s="454"/>
      <c r="J25" s="464"/>
      <c r="K25" s="454"/>
      <c r="L25" s="479"/>
    </row>
    <row r="26" spans="1:13" ht="31.5" x14ac:dyDescent="0.25">
      <c r="A26" s="502" t="s">
        <v>118</v>
      </c>
      <c r="B26" s="374"/>
      <c r="C26" s="374" t="s">
        <v>24</v>
      </c>
      <c r="D26" s="503" t="s">
        <v>24</v>
      </c>
      <c r="E26" s="504" t="s">
        <v>24</v>
      </c>
      <c r="F26" s="374"/>
      <c r="G26" s="374"/>
      <c r="H26" s="374"/>
      <c r="I26" s="271" t="s">
        <v>192</v>
      </c>
      <c r="J26" s="21"/>
      <c r="K26" s="201" t="s">
        <v>24</v>
      </c>
      <c r="L26" s="374"/>
    </row>
    <row r="27" spans="1:13" ht="89.25" x14ac:dyDescent="0.2">
      <c r="A27" s="186" t="s">
        <v>54</v>
      </c>
      <c r="B27" s="183" t="s">
        <v>265</v>
      </c>
      <c r="C27" s="183" t="s">
        <v>341</v>
      </c>
      <c r="D27" s="164" t="s">
        <v>267</v>
      </c>
      <c r="E27" s="164" t="s">
        <v>268</v>
      </c>
      <c r="F27" s="164" t="s">
        <v>134</v>
      </c>
      <c r="G27" s="164" t="s">
        <v>269</v>
      </c>
      <c r="H27" s="374"/>
      <c r="I27" s="192" t="s">
        <v>7</v>
      </c>
      <c r="J27" s="190" t="s">
        <v>193</v>
      </c>
      <c r="K27" s="190" t="s">
        <v>194</v>
      </c>
    </row>
    <row r="28" spans="1:13" x14ac:dyDescent="0.2">
      <c r="A28" s="182" t="s">
        <v>37</v>
      </c>
      <c r="B28" s="182"/>
      <c r="C28" s="505">
        <f>'BRA Resource Clearing Results'!D49-'1stIA Resource Clearing Results'!D65-'2ndIA Resource Clearing Results'!D65</f>
        <v>2318.9</v>
      </c>
      <c r="D28" s="35">
        <f>('BRA Resource Clearing Results'!F30*'BRA Resource Clearing Results'!C9-'1stIA Resource Clearing Results'!D29*'1stIA Resource Clearing Results'!C9-'2ndIA Resource Clearing Results'!D29*'2ndIA Resource Clearing Results'!C9)/('BRA Resource Clearing Results'!F30-'1stIA Resource Clearing Results'!D29-'2ndIA Resource Clearing Results'!D29)</f>
        <v>39.887194780486055</v>
      </c>
      <c r="E28" s="35">
        <f>'BRA Resource Clearing Results'!G69+'1stIA Resource Clearing Results'!H84+'2ndIA Resource Clearing Results'!H84</f>
        <v>0</v>
      </c>
      <c r="F28" s="182"/>
      <c r="G28" s="182"/>
      <c r="H28" s="374"/>
      <c r="I28" s="22" t="s">
        <v>11</v>
      </c>
      <c r="J28" s="269">
        <v>240</v>
      </c>
      <c r="K28" s="35">
        <f>L46*$B$6*J28*I46/F46</f>
        <v>58209.60051643585</v>
      </c>
      <c r="L28" s="412" t="s">
        <v>24</v>
      </c>
      <c r="M28" s="374" t="s">
        <v>24</v>
      </c>
    </row>
    <row r="29" spans="1:13" x14ac:dyDescent="0.2">
      <c r="A29" s="182" t="s">
        <v>34</v>
      </c>
      <c r="B29" s="182"/>
      <c r="C29" s="505">
        <f>'BRA Resource Clearing Results'!D50-'1stIA Resource Clearing Results'!D66-'2ndIA Resource Clearing Results'!D66</f>
        <v>3252.5</v>
      </c>
      <c r="D29" s="35">
        <f>D28+('BRA Resource Clearing Results'!F31*'BRA Resource Clearing Results'!C10-'1stIA Resource Clearing Results'!D30*'1stIA Resource Clearing Results'!C10-'2ndIA Resource Clearing Results'!D30*'2ndIA Resource Clearing Results'!C10)/('BRA Resource Clearing Results'!F31-'1stIA Resource Clearing Results'!D30-'2ndIA Resource Clearing Results'!D30)</f>
        <v>44.118831982638248</v>
      </c>
      <c r="E29" s="35">
        <f>'BRA Resource Clearing Results'!G70+'1stIA Resource Clearing Results'!H85+'2ndIA Resource Clearing Results'!H85</f>
        <v>0</v>
      </c>
      <c r="F29" s="182"/>
      <c r="G29" s="182"/>
      <c r="H29" s="374"/>
      <c r="I29" s="22" t="s">
        <v>17</v>
      </c>
      <c r="J29" s="269">
        <v>75</v>
      </c>
      <c r="K29" s="35">
        <f>L52*$B$6*J29*I52/F52</f>
        <v>14930.837186243423</v>
      </c>
    </row>
    <row r="30" spans="1:13" x14ac:dyDescent="0.2">
      <c r="A30" s="67" t="s">
        <v>8</v>
      </c>
      <c r="B30" s="153">
        <f>G15</f>
        <v>167.75088588880439</v>
      </c>
      <c r="C30" s="506">
        <f>C29+C28</f>
        <v>5571.4</v>
      </c>
      <c r="D30" s="507">
        <f>(C29*D29+C28*D28)/C30</f>
        <v>42.357561295186137</v>
      </c>
      <c r="E30" s="508">
        <f>E28+E29</f>
        <v>0</v>
      </c>
      <c r="F30" s="509">
        <f>E30/J60</f>
        <v>0</v>
      </c>
      <c r="G30" s="510">
        <f>B30+D30+F30</f>
        <v>210.10844718399053</v>
      </c>
      <c r="H30" s="412"/>
      <c r="I30" s="22" t="s">
        <v>15</v>
      </c>
      <c r="J30" s="269">
        <v>195</v>
      </c>
      <c r="K30" s="35">
        <f>L58*$B$6*J30*I58/F58</f>
        <v>32911.503513939904</v>
      </c>
      <c r="L30" s="511"/>
    </row>
    <row r="31" spans="1:13" x14ac:dyDescent="0.2">
      <c r="A31" s="182" t="s">
        <v>36</v>
      </c>
      <c r="B31" s="182"/>
      <c r="C31" s="506">
        <v>3827</v>
      </c>
      <c r="D31" s="31">
        <v>0</v>
      </c>
      <c r="E31" s="35">
        <v>0</v>
      </c>
      <c r="F31" s="182"/>
      <c r="G31" s="50"/>
      <c r="H31" s="374"/>
      <c r="I31" s="178" t="s">
        <v>195</v>
      </c>
      <c r="J31" s="270">
        <f>SUM(J28:J30)</f>
        <v>510</v>
      </c>
      <c r="K31" s="241">
        <f>SUM(K28:K30)</f>
        <v>106051.94121661919</v>
      </c>
    </row>
    <row r="32" spans="1:13" x14ac:dyDescent="0.2">
      <c r="A32" s="182" t="s">
        <v>35</v>
      </c>
      <c r="B32" s="182"/>
      <c r="C32" s="505">
        <f>'BRA Resource Clearing Results'!D51-'1stIA Resource Clearing Results'!D67-'2ndIA Resource Clearing Results'!D67</f>
        <v>1711.8</v>
      </c>
      <c r="D32" s="35">
        <f>D31+('BRA Resource Clearing Results'!F32*'BRA Resource Clearing Results'!C11-'1stIA Resource Clearing Results'!D31*'1stIA Resource Clearing Results'!C11-'2ndIA Resource Clearing Results'!D31*'2ndIA Resource Clearing Results'!C11)/('BRA Resource Clearing Results'!F32-'1stIA Resource Clearing Results'!D31-'2ndIA Resource Clearing Results'!D31)</f>
        <v>0</v>
      </c>
      <c r="E32" s="35">
        <f>'BRA Resource Clearing Results'!G71+'1stIA Resource Clearing Results'!H86+'2ndIA Resource Clearing Results'!H86</f>
        <v>0</v>
      </c>
      <c r="F32" s="182"/>
      <c r="G32" s="50"/>
      <c r="H32" s="374"/>
    </row>
    <row r="33" spans="1:13" x14ac:dyDescent="0.2">
      <c r="A33" s="67" t="s">
        <v>17</v>
      </c>
      <c r="B33" s="153">
        <f>G15</f>
        <v>167.75088588880439</v>
      </c>
      <c r="C33" s="506">
        <f>C31+C32</f>
        <v>5538.8</v>
      </c>
      <c r="D33" s="507">
        <f>(C32*D32+C31*D31)/C33</f>
        <v>0</v>
      </c>
      <c r="E33" s="508">
        <f>E31+E32</f>
        <v>0</v>
      </c>
      <c r="F33" s="509">
        <f>E33/J52</f>
        <v>0</v>
      </c>
      <c r="G33" s="510">
        <f>B33+D33+F33</f>
        <v>167.75088588880439</v>
      </c>
      <c r="H33" s="412"/>
    </row>
    <row r="34" spans="1:13" x14ac:dyDescent="0.2">
      <c r="A34" s="182" t="s">
        <v>114</v>
      </c>
      <c r="B34" s="182"/>
      <c r="C34" s="505">
        <f>'BRA Resource Clearing Results'!D53-'1stIA Resource Clearing Results'!D69-'2ndIA Resource Clearing Results'!D69</f>
        <v>7665.6</v>
      </c>
      <c r="D34" s="35">
        <f>('BRA Resource Clearing Results'!F34*'BRA Resource Clearing Results'!C13-'1stIA Resource Clearing Results'!D33*'1stIA Resource Clearing Results'!C13-'2ndIA Resource Clearing Results'!D33*'2ndIA Resource Clearing Results'!C13)/('BRA Resource Clearing Results'!F34-'1stIA Resource Clearing Results'!D33-'2ndIA Resource Clearing Results'!D33)</f>
        <v>25.775065139217098</v>
      </c>
      <c r="E34" s="35">
        <f>'BRA Resource Clearing Results'!G73+'1stIA Resource Clearing Results'!H88+'2ndIA Resource Clearing Results'!H88</f>
        <v>0</v>
      </c>
      <c r="F34" s="182"/>
      <c r="G34" s="50"/>
      <c r="H34" s="412"/>
    </row>
    <row r="35" spans="1:13" x14ac:dyDescent="0.2">
      <c r="A35" s="182" t="s">
        <v>113</v>
      </c>
      <c r="B35" s="182"/>
      <c r="C35" s="505">
        <f>'BRA Resource Clearing Results'!D54-'1stIA Resource Clearing Results'!D70-'2ndIA Resource Clearing Results'!D70</f>
        <v>2067.4</v>
      </c>
      <c r="D35" s="35">
        <f>D34+('BRA Resource Clearing Results'!F35*'BRA Resource Clearing Results'!C14-'1stIA Resource Clearing Results'!D34*'1stIA Resource Clearing Results'!C14-'2ndIA Resource Clearing Results'!D34*'2ndIA Resource Clearing Results'!C14)/('BRA Resource Clearing Results'!F35-'1stIA Resource Clearing Results'!D34-'2ndIA Resource Clearing Results'!D34)</f>
        <v>25.775065139217098</v>
      </c>
      <c r="E35" s="35">
        <f>'BRA Resource Clearing Results'!G74+'1stIA Resource Clearing Results'!H89+'2ndIA Resource Clearing Results'!H89</f>
        <v>0</v>
      </c>
      <c r="F35" s="182"/>
      <c r="G35" s="50"/>
      <c r="H35" s="412"/>
    </row>
    <row r="36" spans="1:13" x14ac:dyDescent="0.2">
      <c r="A36" s="67" t="s">
        <v>43</v>
      </c>
      <c r="B36" s="153">
        <f>G13</f>
        <v>142.1787328118422</v>
      </c>
      <c r="C36" s="506">
        <f>C34+C35</f>
        <v>9733</v>
      </c>
      <c r="D36" s="507">
        <f>(C35*D35+C34*D34)/C36</f>
        <v>25.775065139217098</v>
      </c>
      <c r="E36" s="508">
        <f>E34+E35</f>
        <v>0</v>
      </c>
      <c r="F36" s="509">
        <f>E36/J45</f>
        <v>0</v>
      </c>
      <c r="G36" s="510">
        <f>B36+D36+F36</f>
        <v>167.9537979510593</v>
      </c>
      <c r="H36" s="412"/>
    </row>
    <row r="37" spans="1:13" x14ac:dyDescent="0.2">
      <c r="A37" s="773" t="s">
        <v>270</v>
      </c>
      <c r="B37" s="773"/>
      <c r="C37" s="773"/>
      <c r="D37" s="773"/>
      <c r="E37" s="512" t="s">
        <v>24</v>
      </c>
      <c r="F37" s="513"/>
      <c r="G37" s="513"/>
      <c r="H37" s="513"/>
      <c r="I37" s="514"/>
      <c r="J37" s="514"/>
      <c r="K37" s="515"/>
      <c r="L37" s="412"/>
    </row>
    <row r="38" spans="1:13" x14ac:dyDescent="0.2">
      <c r="A38" s="501" t="s">
        <v>24</v>
      </c>
      <c r="B38" s="501"/>
      <c r="C38" s="592" t="s">
        <v>24</v>
      </c>
      <c r="D38" s="501"/>
      <c r="E38" s="501" t="s">
        <v>24</v>
      </c>
      <c r="F38" s="501" t="s">
        <v>24</v>
      </c>
      <c r="G38" s="501" t="s">
        <v>24</v>
      </c>
      <c r="H38" s="434"/>
      <c r="I38" s="434"/>
      <c r="J38" s="434"/>
      <c r="K38" s="434"/>
      <c r="L38" s="374"/>
    </row>
    <row r="39" spans="1:13" x14ac:dyDescent="0.2">
      <c r="A39" s="431"/>
      <c r="B39" s="516"/>
      <c r="C39" s="516" t="s">
        <v>24</v>
      </c>
      <c r="D39" s="516" t="s">
        <v>24</v>
      </c>
      <c r="E39" s="477" t="s">
        <v>24</v>
      </c>
      <c r="F39" s="517" t="s">
        <v>24</v>
      </c>
      <c r="G39" s="518" t="s">
        <v>24</v>
      </c>
      <c r="H39" s="518"/>
      <c r="I39" s="518"/>
      <c r="J39" s="518"/>
      <c r="K39" s="518"/>
      <c r="L39" s="519"/>
    </row>
    <row r="40" spans="1:13" ht="18.75" x14ac:dyDescent="0.3">
      <c r="A40" s="520" t="s">
        <v>271</v>
      </c>
      <c r="B40" s="3"/>
      <c r="C40" s="2"/>
      <c r="D40" s="2"/>
      <c r="E40" s="521"/>
      <c r="F40" s="521"/>
      <c r="G40" s="522"/>
      <c r="H40" s="521"/>
      <c r="I40" s="521"/>
      <c r="J40" s="521"/>
      <c r="K40" s="521"/>
    </row>
    <row r="41" spans="1:13" ht="51" x14ac:dyDescent="0.2">
      <c r="A41" s="190" t="s">
        <v>7</v>
      </c>
      <c r="B41" s="190" t="s">
        <v>27</v>
      </c>
      <c r="C41" s="190" t="s">
        <v>26</v>
      </c>
      <c r="D41" s="190" t="s">
        <v>31</v>
      </c>
      <c r="E41" s="190" t="s">
        <v>342</v>
      </c>
      <c r="F41" s="190" t="s">
        <v>22</v>
      </c>
      <c r="G41" s="190" t="s">
        <v>343</v>
      </c>
      <c r="H41" s="523" t="s">
        <v>23</v>
      </c>
      <c r="I41" s="523" t="s">
        <v>272</v>
      </c>
      <c r="J41" s="59" t="s">
        <v>273</v>
      </c>
      <c r="K41" s="524" t="s">
        <v>274</v>
      </c>
      <c r="L41" s="524" t="s">
        <v>275</v>
      </c>
      <c r="M41" s="190" t="s">
        <v>7</v>
      </c>
    </row>
    <row r="42" spans="1:13" x14ac:dyDescent="0.2">
      <c r="A42" s="182" t="s">
        <v>16</v>
      </c>
      <c r="B42" s="91" t="s">
        <v>28</v>
      </c>
      <c r="C42" s="91" t="s">
        <v>33</v>
      </c>
      <c r="D42" s="91"/>
      <c r="E42" s="525">
        <v>2390</v>
      </c>
      <c r="F42" s="526">
        <f>G42/E42</f>
        <v>1.0246861924686193</v>
      </c>
      <c r="G42" s="527">
        <v>2449</v>
      </c>
      <c r="H42" s="93">
        <f>$B$8</f>
        <v>1.0879740868434529</v>
      </c>
      <c r="I42" s="93">
        <f>H42*F42</f>
        <v>1.1148320245521406</v>
      </c>
      <c r="J42" s="528">
        <f>E42*I42*$B$6</f>
        <v>2896.2555615447422</v>
      </c>
      <c r="K42" s="251">
        <f>G15</f>
        <v>167.75088588880439</v>
      </c>
      <c r="L42" s="251">
        <v>168.33514627006906</v>
      </c>
      <c r="M42" s="529" t="s">
        <v>16</v>
      </c>
    </row>
    <row r="43" spans="1:13" x14ac:dyDescent="0.2">
      <c r="A43" s="182" t="s">
        <v>276</v>
      </c>
      <c r="B43" s="91"/>
      <c r="C43" s="91"/>
      <c r="D43" s="91"/>
      <c r="E43" s="525">
        <v>10806.3</v>
      </c>
      <c r="F43" s="526">
        <v>0.96904130597463067</v>
      </c>
      <c r="G43" s="527">
        <f>E43*F43</f>
        <v>10471.751064753651</v>
      </c>
      <c r="H43" s="93">
        <f t="shared" ref="H43:H61" si="2">$B$8</f>
        <v>1.0879740868434529</v>
      </c>
      <c r="I43" s="93">
        <f>H43*F43</f>
        <v>1.0542918299813357</v>
      </c>
      <c r="J43" s="528">
        <f t="shared" ref="J43:J61" si="3">E43*I43*$B$6</f>
        <v>12384.184263129784</v>
      </c>
      <c r="K43" s="251">
        <f>G13</f>
        <v>142.1787328118422</v>
      </c>
      <c r="L43" s="251">
        <v>142.71348641844651</v>
      </c>
      <c r="M43" s="529" t="s">
        <v>29</v>
      </c>
    </row>
    <row r="44" spans="1:13" x14ac:dyDescent="0.2">
      <c r="A44" s="182" t="s">
        <v>19</v>
      </c>
      <c r="B44" s="91" t="s">
        <v>24</v>
      </c>
      <c r="C44" s="91"/>
      <c r="D44" s="91"/>
      <c r="E44" s="525">
        <v>8540</v>
      </c>
      <c r="F44" s="526">
        <f t="shared" ref="F44:F61" si="4">G44/E44</f>
        <v>0.98149882903981267</v>
      </c>
      <c r="G44" s="527">
        <v>8382</v>
      </c>
      <c r="H44" s="93">
        <f t="shared" si="2"/>
        <v>1.0879740868434529</v>
      </c>
      <c r="I44" s="93">
        <f>H44*F44</f>
        <v>1.0678452922625083</v>
      </c>
      <c r="J44" s="528">
        <f t="shared" si="3"/>
        <v>9912.7864911670185</v>
      </c>
      <c r="K44" s="251">
        <f>G13</f>
        <v>142.1787328118422</v>
      </c>
      <c r="L44" s="251">
        <v>142.71348641844651</v>
      </c>
      <c r="M44" s="529" t="s">
        <v>19</v>
      </c>
    </row>
    <row r="45" spans="1:13" x14ac:dyDescent="0.2">
      <c r="A45" s="182" t="s">
        <v>43</v>
      </c>
      <c r="B45" s="91"/>
      <c r="C45" s="91"/>
      <c r="D45" s="91" t="s">
        <v>43</v>
      </c>
      <c r="E45" s="525">
        <v>11924.8</v>
      </c>
      <c r="F45" s="526">
        <f t="shared" si="4"/>
        <v>0.99121159264725622</v>
      </c>
      <c r="G45" s="527">
        <v>11820</v>
      </c>
      <c r="H45" s="93">
        <f t="shared" si="2"/>
        <v>1.0879740868434529</v>
      </c>
      <c r="I45" s="93">
        <f t="shared" ref="I45:I61" si="5">H45*F45</f>
        <v>1.0784125273790433</v>
      </c>
      <c r="J45" s="528">
        <f t="shared" si="3"/>
        <v>13978.660978954209</v>
      </c>
      <c r="K45" s="251">
        <f>G36</f>
        <v>167.9537979510593</v>
      </c>
      <c r="L45" s="251">
        <v>168.48855155766364</v>
      </c>
      <c r="M45" s="529" t="s">
        <v>43</v>
      </c>
    </row>
    <row r="46" spans="1:13" x14ac:dyDescent="0.2">
      <c r="A46" s="182" t="s">
        <v>11</v>
      </c>
      <c r="B46" s="91" t="s">
        <v>28</v>
      </c>
      <c r="C46" s="91" t="s">
        <v>5</v>
      </c>
      <c r="D46" s="529" t="s">
        <v>11</v>
      </c>
      <c r="E46" s="525">
        <v>6110</v>
      </c>
      <c r="F46" s="526">
        <f t="shared" si="4"/>
        <v>1.0126022913256956</v>
      </c>
      <c r="G46" s="527">
        <v>6187</v>
      </c>
      <c r="H46" s="93">
        <f t="shared" si="2"/>
        <v>1.0879740868434529</v>
      </c>
      <c r="I46" s="93">
        <f t="shared" si="5"/>
        <v>1.1016850532406617</v>
      </c>
      <c r="J46" s="528">
        <f t="shared" si="3"/>
        <v>7316.9183990515812</v>
      </c>
      <c r="K46" s="251">
        <f>G19</f>
        <v>202.13142056480277</v>
      </c>
      <c r="L46" s="251">
        <v>205.08565375114651</v>
      </c>
      <c r="M46" s="529" t="s">
        <v>11</v>
      </c>
    </row>
    <row r="47" spans="1:13" x14ac:dyDescent="0.2">
      <c r="A47" s="182" t="s">
        <v>20</v>
      </c>
      <c r="B47" s="91"/>
      <c r="C47" s="91"/>
      <c r="D47" s="529" t="s">
        <v>20</v>
      </c>
      <c r="E47" s="525">
        <v>19590</v>
      </c>
      <c r="F47" s="526">
        <f t="shared" si="4"/>
        <v>0.99923430321592654</v>
      </c>
      <c r="G47" s="527">
        <v>19575</v>
      </c>
      <c r="H47" s="93">
        <f t="shared" si="2"/>
        <v>1.0879740868434529</v>
      </c>
      <c r="I47" s="93">
        <f t="shared" si="5"/>
        <v>1.0871410285840015</v>
      </c>
      <c r="J47" s="528">
        <f t="shared" si="3"/>
        <v>23149.93981920716</v>
      </c>
      <c r="K47" s="251">
        <f>G18</f>
        <v>198.17614360873037</v>
      </c>
      <c r="L47" s="251">
        <v>198.71089721533468</v>
      </c>
      <c r="M47" s="529" t="s">
        <v>20</v>
      </c>
    </row>
    <row r="48" spans="1:13" x14ac:dyDescent="0.2">
      <c r="A48" s="182" t="s">
        <v>21</v>
      </c>
      <c r="B48" s="91"/>
      <c r="C48" s="91"/>
      <c r="D48" s="529" t="s">
        <v>21</v>
      </c>
      <c r="E48" s="525">
        <v>3060</v>
      </c>
      <c r="F48" s="526">
        <f t="shared" si="4"/>
        <v>0.99477124183006538</v>
      </c>
      <c r="G48" s="527">
        <v>3044</v>
      </c>
      <c r="H48" s="93">
        <f t="shared" si="2"/>
        <v>1.0879740868434529</v>
      </c>
      <c r="I48" s="93">
        <f t="shared" si="5"/>
        <v>1.082285333448193</v>
      </c>
      <c r="J48" s="528">
        <f t="shared" si="3"/>
        <v>3599.9191218220481</v>
      </c>
      <c r="K48" s="251">
        <f>G21</f>
        <v>142.1787328118422</v>
      </c>
      <c r="L48" s="251">
        <v>142.71348641844651</v>
      </c>
      <c r="M48" s="529" t="s">
        <v>21</v>
      </c>
    </row>
    <row r="49" spans="1:13" x14ac:dyDescent="0.2">
      <c r="A49" s="182" t="s">
        <v>277</v>
      </c>
      <c r="B49" s="91"/>
      <c r="C49" s="91"/>
      <c r="D49" s="529" t="s">
        <v>50</v>
      </c>
      <c r="E49" s="525">
        <v>4167.3999999999996</v>
      </c>
      <c r="F49" s="526">
        <v>1.0201612903225807</v>
      </c>
      <c r="G49" s="527">
        <f>E49*F49</f>
        <v>4251.4201612903225</v>
      </c>
      <c r="H49" s="93">
        <f t="shared" si="2"/>
        <v>1.0879740868434529</v>
      </c>
      <c r="I49" s="93">
        <f t="shared" si="5"/>
        <v>1.1099090482717484</v>
      </c>
      <c r="J49" s="528">
        <f t="shared" si="3"/>
        <v>5027.8478099634722</v>
      </c>
      <c r="K49" s="251">
        <f>G22</f>
        <v>142.1787328118422</v>
      </c>
      <c r="L49" s="251">
        <v>142.71348641844651</v>
      </c>
      <c r="M49" s="529" t="s">
        <v>50</v>
      </c>
    </row>
    <row r="50" spans="1:13" x14ac:dyDescent="0.2">
      <c r="A50" s="182" t="s">
        <v>42</v>
      </c>
      <c r="B50" s="91"/>
      <c r="C50" s="91"/>
      <c r="D50" s="91"/>
      <c r="E50" s="525">
        <v>2640</v>
      </c>
      <c r="F50" s="526">
        <f t="shared" si="4"/>
        <v>1.009469696969697</v>
      </c>
      <c r="G50" s="527">
        <v>2665</v>
      </c>
      <c r="H50" s="93">
        <f t="shared" si="2"/>
        <v>1.0879740868434529</v>
      </c>
      <c r="I50" s="93">
        <f t="shared" si="5"/>
        <v>1.0982768717567433</v>
      </c>
      <c r="J50" s="528">
        <f t="shared" si="3"/>
        <v>3151.7031733428908</v>
      </c>
      <c r="K50" s="251">
        <f>G13</f>
        <v>142.1787328118422</v>
      </c>
      <c r="L50" s="251">
        <v>142.71348641844651</v>
      </c>
      <c r="M50" s="529" t="s">
        <v>42</v>
      </c>
    </row>
    <row r="51" spans="1:13" x14ac:dyDescent="0.2">
      <c r="A51" s="182" t="s">
        <v>30</v>
      </c>
      <c r="B51" s="91"/>
      <c r="C51" s="91"/>
      <c r="D51" s="91"/>
      <c r="E51" s="525">
        <v>18740</v>
      </c>
      <c r="F51" s="526">
        <f t="shared" si="4"/>
        <v>1.0284418356456777</v>
      </c>
      <c r="G51" s="527">
        <v>19273</v>
      </c>
      <c r="H51" s="93">
        <f t="shared" si="2"/>
        <v>1.0879740868434529</v>
      </c>
      <c r="I51" s="93">
        <f t="shared" si="5"/>
        <v>1.1189180670082106</v>
      </c>
      <c r="J51" s="528">
        <f t="shared" si="3"/>
        <v>22792.786213822714</v>
      </c>
      <c r="K51" s="251">
        <f>G13</f>
        <v>142.1787328118422</v>
      </c>
      <c r="L51" s="251">
        <v>142.71348641844651</v>
      </c>
      <c r="M51" s="529" t="s">
        <v>30</v>
      </c>
    </row>
    <row r="52" spans="1:13" x14ac:dyDescent="0.2">
      <c r="A52" s="182" t="s">
        <v>17</v>
      </c>
      <c r="B52" s="91" t="s">
        <v>28</v>
      </c>
      <c r="C52" s="91" t="s">
        <v>33</v>
      </c>
      <c r="D52" s="91" t="s">
        <v>17</v>
      </c>
      <c r="E52" s="525">
        <v>3700</v>
      </c>
      <c r="F52" s="526">
        <f t="shared" si="4"/>
        <v>1.0308108108108107</v>
      </c>
      <c r="G52" s="527">
        <v>3814</v>
      </c>
      <c r="H52" s="93">
        <f t="shared" si="2"/>
        <v>1.0879740868434529</v>
      </c>
      <c r="I52" s="93">
        <f t="shared" si="5"/>
        <v>1.121495450600251</v>
      </c>
      <c r="J52" s="528">
        <f t="shared" si="3"/>
        <v>4510.5425527691496</v>
      </c>
      <c r="K52" s="251">
        <f>G33</f>
        <v>167.75088588880439</v>
      </c>
      <c r="L52" s="251">
        <v>168.33514627006906</v>
      </c>
      <c r="M52" s="529" t="s">
        <v>17</v>
      </c>
    </row>
    <row r="53" spans="1:13" x14ac:dyDescent="0.2">
      <c r="A53" s="182" t="s">
        <v>278</v>
      </c>
      <c r="B53" s="91"/>
      <c r="C53" s="91"/>
      <c r="D53" s="91"/>
      <c r="E53" s="525">
        <v>2205.4</v>
      </c>
      <c r="F53" s="526">
        <v>0.98673469387755097</v>
      </c>
      <c r="G53" s="527">
        <f>E53*F53</f>
        <v>2176.1446938775512</v>
      </c>
      <c r="H53" s="93">
        <f t="shared" si="2"/>
        <v>1.0879740868434529</v>
      </c>
      <c r="I53" s="93">
        <f t="shared" si="5"/>
        <v>1.0735417775281826</v>
      </c>
      <c r="J53" s="528">
        <f t="shared" si="3"/>
        <v>2573.5692823066306</v>
      </c>
      <c r="K53" s="251">
        <f>G13</f>
        <v>142.1787328118422</v>
      </c>
      <c r="L53" s="251">
        <v>142.71348641844651</v>
      </c>
      <c r="M53" s="529" t="s">
        <v>116</v>
      </c>
    </row>
    <row r="54" spans="1:13" x14ac:dyDescent="0.2">
      <c r="A54" s="182" t="s">
        <v>12</v>
      </c>
      <c r="B54" s="91" t="s">
        <v>28</v>
      </c>
      <c r="C54" s="91" t="s">
        <v>33</v>
      </c>
      <c r="D54" s="91"/>
      <c r="E54" s="525">
        <v>5680</v>
      </c>
      <c r="F54" s="526">
        <f t="shared" si="4"/>
        <v>0.9913732394366197</v>
      </c>
      <c r="G54" s="527">
        <v>5631</v>
      </c>
      <c r="H54" s="93">
        <f t="shared" si="2"/>
        <v>1.0879740868434529</v>
      </c>
      <c r="I54" s="93">
        <f t="shared" si="5"/>
        <v>1.078588394897092</v>
      </c>
      <c r="J54" s="528">
        <f t="shared" si="3"/>
        <v>6659.3773242378293</v>
      </c>
      <c r="K54" s="251">
        <f>G15</f>
        <v>167.75088588880439</v>
      </c>
      <c r="L54" s="251">
        <v>168.33514627006906</v>
      </c>
      <c r="M54" s="529" t="s">
        <v>12</v>
      </c>
    </row>
    <row r="55" spans="1:13" x14ac:dyDescent="0.2">
      <c r="A55" s="182" t="s">
        <v>13</v>
      </c>
      <c r="B55" s="91" t="s">
        <v>28</v>
      </c>
      <c r="C55" s="91"/>
      <c r="D55" s="91"/>
      <c r="E55" s="525">
        <v>2890</v>
      </c>
      <c r="F55" s="526">
        <f t="shared" si="4"/>
        <v>0.99169550173010379</v>
      </c>
      <c r="G55" s="527">
        <v>2866</v>
      </c>
      <c r="H55" s="93">
        <f t="shared" si="2"/>
        <v>1.0879740868434529</v>
      </c>
      <c r="I55" s="93">
        <f t="shared" si="5"/>
        <v>1.0789390079215695</v>
      </c>
      <c r="J55" s="528">
        <f t="shared" si="3"/>
        <v>3389.411367655056</v>
      </c>
      <c r="K55" s="251">
        <f>G14</f>
        <v>142.1787328118422</v>
      </c>
      <c r="L55" s="251">
        <v>142.71348641844651</v>
      </c>
      <c r="M55" s="529" t="s">
        <v>13</v>
      </c>
    </row>
    <row r="56" spans="1:13" x14ac:dyDescent="0.2">
      <c r="A56" s="182" t="s">
        <v>9</v>
      </c>
      <c r="B56" s="91" t="s">
        <v>28</v>
      </c>
      <c r="C56" s="91" t="s">
        <v>33</v>
      </c>
      <c r="D56" s="91"/>
      <c r="E56" s="525">
        <v>8020</v>
      </c>
      <c r="F56" s="526">
        <f t="shared" si="4"/>
        <v>0.99987531172069821</v>
      </c>
      <c r="G56" s="527">
        <v>8019</v>
      </c>
      <c r="H56" s="93">
        <f t="shared" si="2"/>
        <v>1.0879740868434529</v>
      </c>
      <c r="I56" s="93">
        <f t="shared" si="5"/>
        <v>1.0878384292266394</v>
      </c>
      <c r="J56" s="528">
        <f t="shared" si="3"/>
        <v>9483.4925880062437</v>
      </c>
      <c r="K56" s="251">
        <f>G15</f>
        <v>167.75088588880439</v>
      </c>
      <c r="L56" s="251">
        <v>168.33514627006906</v>
      </c>
      <c r="M56" s="529" t="s">
        <v>9</v>
      </c>
    </row>
    <row r="57" spans="1:13" x14ac:dyDescent="0.2">
      <c r="A57" s="182" t="s">
        <v>14</v>
      </c>
      <c r="B57" s="91" t="s">
        <v>28</v>
      </c>
      <c r="C57" s="91"/>
      <c r="D57" s="91"/>
      <c r="E57" s="525">
        <v>2800</v>
      </c>
      <c r="F57" s="526">
        <f t="shared" si="4"/>
        <v>0.96285714285714286</v>
      </c>
      <c r="G57" s="527">
        <v>2696</v>
      </c>
      <c r="H57" s="93">
        <f t="shared" si="2"/>
        <v>1.0879740868434529</v>
      </c>
      <c r="I57" s="93">
        <f t="shared" si="5"/>
        <v>1.047563620760696</v>
      </c>
      <c r="J57" s="528">
        <f t="shared" si="3"/>
        <v>3188.3646361472543</v>
      </c>
      <c r="K57" s="251">
        <f>G14</f>
        <v>142.1787328118422</v>
      </c>
      <c r="L57" s="251">
        <v>142.71348641844651</v>
      </c>
      <c r="M57" s="529" t="s">
        <v>14</v>
      </c>
    </row>
    <row r="58" spans="1:13" x14ac:dyDescent="0.2">
      <c r="A58" s="182" t="s">
        <v>15</v>
      </c>
      <c r="B58" s="91" t="s">
        <v>28</v>
      </c>
      <c r="C58" s="91" t="s">
        <v>5</v>
      </c>
      <c r="D58" s="91" t="s">
        <v>15</v>
      </c>
      <c r="E58" s="525">
        <v>5890</v>
      </c>
      <c r="F58" s="526">
        <f t="shared" si="4"/>
        <v>0.99575551782682514</v>
      </c>
      <c r="G58" s="527">
        <v>5865</v>
      </c>
      <c r="H58" s="93">
        <f t="shared" si="2"/>
        <v>1.0879740868434529</v>
      </c>
      <c r="I58" s="93">
        <f t="shared" si="5"/>
        <v>1.0833562002269697</v>
      </c>
      <c r="J58" s="528">
        <f t="shared" si="3"/>
        <v>6936.112237019157</v>
      </c>
      <c r="K58" s="251">
        <f>G17</f>
        <v>142.1787328118422</v>
      </c>
      <c r="L58" s="251">
        <v>142.71348641844651</v>
      </c>
      <c r="M58" s="529" t="s">
        <v>15</v>
      </c>
    </row>
    <row r="59" spans="1:13" x14ac:dyDescent="0.2">
      <c r="A59" s="182" t="s">
        <v>10</v>
      </c>
      <c r="B59" s="91" t="s">
        <v>28</v>
      </c>
      <c r="C59" s="91"/>
      <c r="D59" s="529" t="s">
        <v>10</v>
      </c>
      <c r="E59" s="525">
        <f>6870+185</f>
        <v>7055</v>
      </c>
      <c r="F59" s="526">
        <f t="shared" si="4"/>
        <v>0.99333805811481224</v>
      </c>
      <c r="G59" s="527">
        <f>6828+180</f>
        <v>7008</v>
      </c>
      <c r="H59" s="93">
        <f t="shared" si="2"/>
        <v>1.0879740868434529</v>
      </c>
      <c r="I59" s="93">
        <f t="shared" si="5"/>
        <v>1.0807260667043115</v>
      </c>
      <c r="J59" s="528">
        <f t="shared" si="3"/>
        <v>8287.8558494510235</v>
      </c>
      <c r="K59" s="251">
        <f>G20</f>
        <v>142.1787328118422</v>
      </c>
      <c r="L59" s="251">
        <v>142.71348641844651</v>
      </c>
      <c r="M59" s="529" t="s">
        <v>10</v>
      </c>
    </row>
    <row r="60" spans="1:13" x14ac:dyDescent="0.2">
      <c r="A60" s="182" t="s">
        <v>8</v>
      </c>
      <c r="B60" s="91" t="s">
        <v>28</v>
      </c>
      <c r="C60" s="91" t="s">
        <v>33</v>
      </c>
      <c r="D60" s="91" t="s">
        <v>8</v>
      </c>
      <c r="E60" s="525">
        <v>9480</v>
      </c>
      <c r="F60" s="526">
        <f t="shared" si="4"/>
        <v>1.0056962025316456</v>
      </c>
      <c r="G60" s="527">
        <v>9534</v>
      </c>
      <c r="H60" s="93">
        <f t="shared" si="2"/>
        <v>1.0879740868434529</v>
      </c>
      <c r="I60" s="93">
        <f t="shared" si="5"/>
        <v>1.0941714075912954</v>
      </c>
      <c r="J60" s="528">
        <f t="shared" si="3"/>
        <v>11275.173754090478</v>
      </c>
      <c r="K60" s="251">
        <f>G30</f>
        <v>210.10844718399053</v>
      </c>
      <c r="L60" s="251">
        <v>210.73938114623658</v>
      </c>
      <c r="M60" s="529" t="s">
        <v>8</v>
      </c>
    </row>
    <row r="61" spans="1:13" x14ac:dyDescent="0.2">
      <c r="A61" s="182" t="s">
        <v>18</v>
      </c>
      <c r="B61" s="91" t="s">
        <v>28</v>
      </c>
      <c r="C61" s="91" t="s">
        <v>33</v>
      </c>
      <c r="D61" s="91"/>
      <c r="E61" s="525">
        <v>380</v>
      </c>
      <c r="F61" s="526">
        <f t="shared" si="4"/>
        <v>1</v>
      </c>
      <c r="G61" s="527">
        <v>380</v>
      </c>
      <c r="H61" s="93">
        <f t="shared" si="2"/>
        <v>1.0879740868434529</v>
      </c>
      <c r="I61" s="93">
        <f t="shared" si="5"/>
        <v>1.0879740868434529</v>
      </c>
      <c r="J61" s="528">
        <f t="shared" si="3"/>
        <v>449.39857631155661</v>
      </c>
      <c r="K61" s="251">
        <f>G15</f>
        <v>167.75088588880439</v>
      </c>
      <c r="L61" s="251">
        <v>168.33514627006906</v>
      </c>
      <c r="M61" s="529" t="s">
        <v>18</v>
      </c>
    </row>
    <row r="62" spans="1:13" x14ac:dyDescent="0.2">
      <c r="A62" s="530" t="s">
        <v>67</v>
      </c>
      <c r="B62" s="23"/>
      <c r="C62" s="21"/>
      <c r="D62" s="21"/>
      <c r="E62" s="531">
        <f>SUM(E42:E61)</f>
        <v>136068.9</v>
      </c>
      <c r="F62" s="532"/>
      <c r="G62" s="531">
        <f>SUM(G42:G61)</f>
        <v>136107.31591992153</v>
      </c>
      <c r="H62" s="533"/>
      <c r="I62" s="533"/>
      <c r="J62" s="534">
        <f>SUM(J42:J61)</f>
        <v>160964.30000000002</v>
      </c>
      <c r="K62" s="535" t="s">
        <v>24</v>
      </c>
      <c r="L62" s="535"/>
    </row>
    <row r="63" spans="1:13" x14ac:dyDescent="0.2">
      <c r="A63" s="97" t="s">
        <v>279</v>
      </c>
      <c r="B63" s="23"/>
      <c r="C63" s="21"/>
      <c r="D63" s="21"/>
      <c r="E63" s="536" t="s">
        <v>24</v>
      </c>
      <c r="F63" s="537"/>
      <c r="G63" s="658" t="s">
        <v>24</v>
      </c>
      <c r="H63" s="538"/>
      <c r="I63" s="60"/>
      <c r="J63" s="60"/>
      <c r="K63" s="539"/>
      <c r="L63" s="540"/>
    </row>
    <row r="64" spans="1:13" x14ac:dyDescent="0.2">
      <c r="A64" s="344" t="s">
        <v>280</v>
      </c>
      <c r="E64" s="657" t="s">
        <v>24</v>
      </c>
      <c r="G64" s="657" t="s">
        <v>24</v>
      </c>
    </row>
  </sheetData>
  <mergeCells count="1">
    <mergeCell ref="A37:D37"/>
  </mergeCells>
  <pageMargins left="0.45" right="0.45" top="0.5" bottom="0.5" header="0" footer="0"/>
  <pageSetup paperSize="17" scale="71"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7"/>
  <sheetViews>
    <sheetView topLeftCell="A28" zoomScaleNormal="100" workbookViewId="0"/>
  </sheetViews>
  <sheetFormatPr defaultRowHeight="12.75" x14ac:dyDescent="0.2"/>
  <cols>
    <col min="1" max="42" width="16.7109375" customWidth="1"/>
  </cols>
  <sheetData>
    <row r="1" spans="1:29" ht="18.75" x14ac:dyDescent="0.3">
      <c r="A1" s="108" t="s">
        <v>344</v>
      </c>
      <c r="B1" s="374"/>
      <c r="C1" s="374" t="s">
        <v>24</v>
      </c>
      <c r="D1" s="374"/>
      <c r="E1" s="374"/>
      <c r="F1" s="541" t="s">
        <v>24</v>
      </c>
      <c r="G1" s="374"/>
      <c r="H1" s="374"/>
      <c r="I1" s="374"/>
      <c r="J1" s="374"/>
      <c r="K1" s="374"/>
      <c r="L1" s="374"/>
      <c r="M1" s="374"/>
      <c r="N1" s="374"/>
      <c r="O1" s="374"/>
      <c r="P1" s="374"/>
      <c r="Q1" s="374"/>
      <c r="R1" s="374"/>
      <c r="S1" s="374"/>
      <c r="T1" s="374"/>
      <c r="U1" s="374"/>
      <c r="V1" s="374"/>
      <c r="W1" s="374"/>
      <c r="X1" s="374"/>
      <c r="Y1" s="374"/>
      <c r="Z1" s="374"/>
      <c r="AA1" s="374"/>
      <c r="AB1" s="374"/>
      <c r="AC1" s="374"/>
    </row>
    <row r="2" spans="1:29" ht="18.75" x14ac:dyDescent="0.3">
      <c r="A2" s="1" t="s">
        <v>24</v>
      </c>
      <c r="B2" s="374"/>
      <c r="C2" s="374" t="s">
        <v>24</v>
      </c>
      <c r="D2" s="542" t="s">
        <v>24</v>
      </c>
      <c r="E2" s="543" t="s">
        <v>24</v>
      </c>
      <c r="F2" s="374"/>
      <c r="G2" s="374"/>
      <c r="H2" s="374"/>
      <c r="I2" s="374"/>
      <c r="J2" s="374"/>
      <c r="K2" s="374"/>
      <c r="L2" s="374"/>
      <c r="M2" s="374"/>
      <c r="N2" s="374"/>
      <c r="O2" s="374"/>
      <c r="P2" s="374"/>
      <c r="Q2" s="374"/>
      <c r="R2" s="374"/>
      <c r="S2" s="374"/>
      <c r="T2" s="374"/>
      <c r="U2" s="374"/>
      <c r="V2" s="374"/>
      <c r="W2" s="374"/>
      <c r="X2" s="374"/>
      <c r="Y2" s="374"/>
      <c r="Z2" s="374"/>
      <c r="AA2" s="374"/>
      <c r="AB2" s="374"/>
      <c r="AC2" s="374"/>
    </row>
    <row r="3" spans="1:29" ht="18.75" x14ac:dyDescent="0.3">
      <c r="A3" s="544" t="s">
        <v>62</v>
      </c>
      <c r="B3" s="1"/>
      <c r="C3" s="545" t="s">
        <v>24</v>
      </c>
      <c r="F3" s="432"/>
      <c r="G3" s="434"/>
      <c r="H3" s="434"/>
      <c r="I3" s="434" t="s">
        <v>24</v>
      </c>
      <c r="J3" s="374"/>
      <c r="K3" s="504"/>
      <c r="L3" s="504"/>
      <c r="AC3" s="504"/>
    </row>
    <row r="4" spans="1:29" ht="89.25" x14ac:dyDescent="0.2">
      <c r="A4" s="164" t="s">
        <v>3</v>
      </c>
      <c r="B4" s="183" t="s">
        <v>260</v>
      </c>
      <c r="C4" s="183" t="s">
        <v>282</v>
      </c>
      <c r="D4" s="183" t="s">
        <v>283</v>
      </c>
      <c r="E4" s="164" t="s">
        <v>65</v>
      </c>
      <c r="F4" s="164" t="s">
        <v>284</v>
      </c>
      <c r="G4" s="164" t="s">
        <v>73</v>
      </c>
      <c r="H4" s="164" t="s">
        <v>285</v>
      </c>
      <c r="I4" s="546" t="s">
        <v>286</v>
      </c>
      <c r="J4" s="472"/>
      <c r="M4" s="472"/>
      <c r="N4" s="472"/>
      <c r="O4" s="472"/>
      <c r="P4" s="472"/>
      <c r="Q4" s="472"/>
      <c r="R4" s="472"/>
      <c r="S4" s="472"/>
      <c r="T4" s="472"/>
      <c r="U4" s="472"/>
      <c r="V4" s="472"/>
      <c r="W4" s="472"/>
    </row>
    <row r="5" spans="1:29" x14ac:dyDescent="0.2">
      <c r="A5" s="368" t="s">
        <v>28</v>
      </c>
      <c r="B5" s="547">
        <f>'2nd IA Load Pricing Results'!B14</f>
        <v>64392.902846284065</v>
      </c>
      <c r="C5" s="548">
        <f>'BRA Resource Clearing Results'!F27-'1stIA Resource Clearing Results'!D26-'2ndIA Resource Clearing Results'!D26</f>
        <v>64650.899999999987</v>
      </c>
      <c r="D5" s="552">
        <f>B5-C5</f>
        <v>-257.99715371592174</v>
      </c>
      <c r="E5" s="113">
        <v>0</v>
      </c>
      <c r="F5" s="48">
        <f t="shared" ref="F5:F16" si="0">D5-E5</f>
        <v>-257.99715371592174</v>
      </c>
      <c r="G5" s="48">
        <f>'2nd IA ICTRs'!C32</f>
        <v>0</v>
      </c>
      <c r="H5" s="48">
        <f>'2nd IA ICTRs'!C13+'2nd IA ICTRs'!C20</f>
        <v>0</v>
      </c>
      <c r="I5" s="549">
        <f t="shared" ref="I5:I16" si="1">F5-G5-H5</f>
        <v>-257.99715371592174</v>
      </c>
      <c r="J5" s="550" t="s">
        <v>24</v>
      </c>
      <c r="K5" s="511"/>
      <c r="M5" s="516"/>
      <c r="N5" s="516"/>
      <c r="O5" s="516"/>
      <c r="P5" s="516"/>
      <c r="Q5" s="516"/>
      <c r="R5" s="516"/>
      <c r="S5" s="516"/>
      <c r="T5" s="516"/>
      <c r="U5" s="516"/>
      <c r="V5" s="516"/>
      <c r="W5" s="516"/>
    </row>
    <row r="6" spans="1:29" x14ac:dyDescent="0.2">
      <c r="A6" s="368" t="s">
        <v>33</v>
      </c>
      <c r="B6" s="547">
        <f>'2nd IA Load Pricing Results'!B15</f>
        <v>35274.240356959999</v>
      </c>
      <c r="C6" s="548">
        <f>'BRA Resource Clearing Results'!F28-'1stIA Resource Clearing Results'!D27-'2ndIA Resource Clearing Results'!D27</f>
        <v>29501.5</v>
      </c>
      <c r="D6" s="552">
        <v>5737.7255501384861</v>
      </c>
      <c r="E6" s="113">
        <v>0</v>
      </c>
      <c r="F6" s="551">
        <f t="shared" si="0"/>
        <v>5737.7255501384861</v>
      </c>
      <c r="G6" s="48">
        <f>'2nd IA ICTRs'!D32</f>
        <v>40</v>
      </c>
      <c r="H6" s="48">
        <f>'2nd IA ICTRs'!D13+'2nd IA ICTRs'!D20</f>
        <v>948</v>
      </c>
      <c r="I6" s="549">
        <f t="shared" si="1"/>
        <v>4749.7255501384861</v>
      </c>
      <c r="J6" s="550" t="s">
        <v>24</v>
      </c>
      <c r="M6" s="516" t="s">
        <v>24</v>
      </c>
      <c r="N6" s="516"/>
      <c r="O6" s="516"/>
      <c r="P6" s="516"/>
      <c r="Q6" s="516"/>
      <c r="R6" s="516"/>
      <c r="S6" s="516"/>
      <c r="T6" s="516"/>
      <c r="U6" s="516"/>
      <c r="V6" s="516"/>
      <c r="W6" s="516"/>
    </row>
    <row r="7" spans="1:29" x14ac:dyDescent="0.2">
      <c r="A7" s="368" t="s">
        <v>5</v>
      </c>
      <c r="B7" s="547">
        <f>'2nd IA Load Pricing Results'!B16</f>
        <v>14253.030636070738</v>
      </c>
      <c r="C7" s="548">
        <f>'BRA Resource Clearing Results'!F29-'1stIA Resource Clearing Results'!D28-'2ndIA Resource Clearing Results'!D28</f>
        <v>8986.3000000000011</v>
      </c>
      <c r="D7" s="552">
        <f t="shared" ref="D7:D16" si="2">B7-C7</f>
        <v>5266.7306360707371</v>
      </c>
      <c r="E7" s="113">
        <v>0</v>
      </c>
      <c r="F7" s="551">
        <f t="shared" si="0"/>
        <v>5266.7306360707371</v>
      </c>
      <c r="G7" s="48">
        <f>'2nd IA ICTRs'!E32</f>
        <v>0</v>
      </c>
      <c r="H7" s="48">
        <f>'2nd IA ICTRs'!E13+'2nd IA ICTRs'!E20</f>
        <v>493</v>
      </c>
      <c r="I7" s="549">
        <f t="shared" si="1"/>
        <v>4773.7306360707371</v>
      </c>
      <c r="J7" s="550" t="s">
        <v>24</v>
      </c>
      <c r="M7" s="516"/>
      <c r="N7" s="516"/>
      <c r="O7" s="516"/>
      <c r="P7" s="516"/>
      <c r="Q7" s="516"/>
      <c r="R7" s="516"/>
      <c r="S7" s="516"/>
      <c r="T7" s="516"/>
      <c r="U7" s="516"/>
      <c r="V7" s="516"/>
      <c r="W7" s="516"/>
    </row>
    <row r="8" spans="1:29" x14ac:dyDescent="0.2">
      <c r="A8" s="368" t="s">
        <v>40</v>
      </c>
      <c r="B8" s="547">
        <f>'2nd IA Load Pricing Results'!J60</f>
        <v>11275.173754090478</v>
      </c>
      <c r="C8" s="548">
        <f>'2nd IA Load Pricing Results'!C30</f>
        <v>5571.4</v>
      </c>
      <c r="D8" s="552">
        <v>5701.4068567306103</v>
      </c>
      <c r="E8" s="113">
        <v>0</v>
      </c>
      <c r="F8" s="551">
        <f t="shared" si="0"/>
        <v>5701.4068567306103</v>
      </c>
      <c r="G8" s="48">
        <f>('2nd IA ICTRs'!B66+'2nd IA ICTRs'!B67)/L21</f>
        <v>40.706766738270197</v>
      </c>
      <c r="H8" s="44">
        <f>('2nd IA ICTRs'!C66+'2nd IA ICTRs'!C67)/L21</f>
        <v>530.21577984987618</v>
      </c>
      <c r="I8" s="549">
        <f>F8-G8-H8</f>
        <v>5130.484310142464</v>
      </c>
      <c r="J8" s="550" t="s">
        <v>24</v>
      </c>
      <c r="M8" s="516"/>
      <c r="N8" s="516"/>
      <c r="O8" s="516"/>
      <c r="P8" s="516"/>
      <c r="Q8" s="516"/>
      <c r="R8" s="516"/>
      <c r="S8" s="516"/>
      <c r="T8" s="516"/>
      <c r="U8" s="516"/>
      <c r="V8" s="516"/>
      <c r="W8" s="516"/>
    </row>
    <row r="9" spans="1:29" x14ac:dyDescent="0.2">
      <c r="A9" s="368" t="s">
        <v>38</v>
      </c>
      <c r="B9" s="547">
        <f>'2nd IA Load Pricing Results'!J52</f>
        <v>4510.5425527691496</v>
      </c>
      <c r="C9" s="548">
        <f>'2nd IA Load Pricing Results'!C33</f>
        <v>5538.8</v>
      </c>
      <c r="D9" s="552">
        <f t="shared" si="2"/>
        <v>-1028.2574472308506</v>
      </c>
      <c r="E9" s="113">
        <v>0</v>
      </c>
      <c r="F9" s="553">
        <f t="shared" si="0"/>
        <v>-1028.2574472308506</v>
      </c>
      <c r="G9" s="48">
        <f>'2nd IA ICTRs'!I32</f>
        <v>0</v>
      </c>
      <c r="H9" s="44">
        <f>'2nd IA ICTRs'!I13+'2nd IA ICTRs'!I20</f>
        <v>0</v>
      </c>
      <c r="I9" s="549">
        <f t="shared" si="1"/>
        <v>-1028.2574472308506</v>
      </c>
      <c r="J9" s="550" t="s">
        <v>24</v>
      </c>
      <c r="M9" s="516"/>
      <c r="N9" s="516"/>
      <c r="O9" s="516"/>
      <c r="P9" s="516"/>
      <c r="Q9" s="516"/>
      <c r="R9" s="516"/>
      <c r="S9" s="516"/>
      <c r="T9" s="516"/>
      <c r="U9" s="516"/>
      <c r="V9" s="516"/>
      <c r="W9" s="516"/>
    </row>
    <row r="10" spans="1:29" x14ac:dyDescent="0.2">
      <c r="A10" s="368" t="s">
        <v>15</v>
      </c>
      <c r="B10" s="547">
        <f>'2nd IA Load Pricing Results'!B17</f>
        <v>6936.112237019157</v>
      </c>
      <c r="C10" s="548">
        <f>'BRA Resource Clearing Results'!F33-'1stIA Resource Clearing Results'!D32-'2ndIA Resource Clearing Results'!D32</f>
        <v>4745.3000000000011</v>
      </c>
      <c r="D10" s="552">
        <f t="shared" si="2"/>
        <v>2190.8122370191559</v>
      </c>
      <c r="E10" s="113">
        <v>0</v>
      </c>
      <c r="F10" s="48">
        <f t="shared" si="0"/>
        <v>2190.8122370191559</v>
      </c>
      <c r="G10" s="48">
        <f>'2nd IA ICTRs'!J32</f>
        <v>0</v>
      </c>
      <c r="H10" s="48">
        <f>'2nd IA ICTRs'!J13+'2nd IA ICTRs'!J20</f>
        <v>175</v>
      </c>
      <c r="I10" s="549">
        <f t="shared" si="1"/>
        <v>2015.8122370191559</v>
      </c>
      <c r="J10" s="550" t="s">
        <v>24</v>
      </c>
      <c r="M10" s="516"/>
      <c r="N10" s="516"/>
      <c r="O10" s="516"/>
      <c r="P10" s="516"/>
      <c r="Q10" s="516"/>
      <c r="R10" s="516"/>
      <c r="S10" s="516"/>
      <c r="T10" s="516"/>
      <c r="U10" s="516"/>
      <c r="V10" s="516"/>
      <c r="W10" s="516"/>
    </row>
    <row r="11" spans="1:29" x14ac:dyDescent="0.2">
      <c r="A11" s="368" t="s">
        <v>115</v>
      </c>
      <c r="B11" s="547">
        <f>'2nd IA Load Pricing Results'!J45</f>
        <v>13978.660978954209</v>
      </c>
      <c r="C11" s="548">
        <f>'2nd IA Load Pricing Results'!C36</f>
        <v>9733</v>
      </c>
      <c r="D11" s="552">
        <v>4179.050710823878</v>
      </c>
      <c r="E11" s="113">
        <v>0</v>
      </c>
      <c r="F11" s="48">
        <f t="shared" si="0"/>
        <v>4179.050710823878</v>
      </c>
      <c r="G11" s="48">
        <v>0</v>
      </c>
      <c r="H11" s="48">
        <v>0</v>
      </c>
      <c r="I11" s="549">
        <f t="shared" si="1"/>
        <v>4179.050710823878</v>
      </c>
      <c r="J11" s="550" t="s">
        <v>24</v>
      </c>
      <c r="M11" s="516"/>
      <c r="N11" s="516"/>
      <c r="O11" s="516"/>
      <c r="P11" s="516"/>
      <c r="Q11" s="516"/>
      <c r="R11" s="516"/>
      <c r="S11" s="516"/>
      <c r="T11" s="516"/>
      <c r="U11" s="516"/>
      <c r="V11" s="516"/>
      <c r="W11" s="516"/>
    </row>
    <row r="12" spans="1:29" x14ac:dyDescent="0.2">
      <c r="A12" s="368" t="s">
        <v>20</v>
      </c>
      <c r="B12" s="547">
        <f>'2nd IA Load Pricing Results'!B18</f>
        <v>23149.93981920716</v>
      </c>
      <c r="C12" s="548">
        <f>'BRA Resource Clearing Results'!F36-'1stIA Resource Clearing Results'!D35-'2ndIA Resource Clearing Results'!D35</f>
        <v>22179.7</v>
      </c>
      <c r="D12" s="552">
        <f t="shared" si="2"/>
        <v>970.2398192071596</v>
      </c>
      <c r="E12" s="113">
        <v>0</v>
      </c>
      <c r="F12" s="48">
        <f t="shared" si="0"/>
        <v>970.2398192071596</v>
      </c>
      <c r="G12" s="48">
        <f>'2nd IA ICTRs'!N32</f>
        <v>970.23981920715948</v>
      </c>
      <c r="H12" s="48">
        <f>'2nd IA ICTRs'!N13+'2nd IA ICTRs'!N20</f>
        <v>0</v>
      </c>
      <c r="I12" s="549">
        <f t="shared" si="1"/>
        <v>1.1368683772161603E-13</v>
      </c>
      <c r="J12" s="550" t="s">
        <v>24</v>
      </c>
      <c r="M12" s="516"/>
      <c r="N12" s="516"/>
      <c r="O12" s="516"/>
      <c r="P12" s="516"/>
      <c r="Q12" s="516"/>
      <c r="R12" s="516"/>
      <c r="S12" s="516"/>
      <c r="T12" s="516"/>
      <c r="U12" s="516"/>
      <c r="V12" s="516"/>
      <c r="W12" s="516"/>
    </row>
    <row r="13" spans="1:29" x14ac:dyDescent="0.2">
      <c r="A13" s="368" t="s">
        <v>11</v>
      </c>
      <c r="B13" s="547">
        <f>'2nd IA Load Pricing Results'!B19</f>
        <v>7316.9183990515812</v>
      </c>
      <c r="C13" s="548">
        <f>'BRA Resource Clearing Results'!F37-'1stIA Resource Clearing Results'!D36-'2ndIA Resource Clearing Results'!D36</f>
        <v>2001.3</v>
      </c>
      <c r="D13" s="552">
        <f t="shared" si="2"/>
        <v>5315.618399051581</v>
      </c>
      <c r="E13" s="113">
        <v>0</v>
      </c>
      <c r="F13" s="48">
        <f t="shared" si="0"/>
        <v>5315.618399051581</v>
      </c>
      <c r="G13" s="48">
        <f>'2nd IA ICTRs'!K32</f>
        <v>65.7</v>
      </c>
      <c r="H13" s="48">
        <f>'2nd IA ICTRs'!K13+'2nd IA ICTRs'!K20</f>
        <v>306</v>
      </c>
      <c r="I13" s="549">
        <f t="shared" si="1"/>
        <v>4943.9183990515812</v>
      </c>
      <c r="J13" s="550" t="s">
        <v>24</v>
      </c>
      <c r="M13" s="516"/>
      <c r="N13" s="516"/>
      <c r="O13" s="516"/>
      <c r="P13" s="516"/>
      <c r="Q13" s="516"/>
      <c r="R13" s="516"/>
      <c r="S13" s="516"/>
      <c r="T13" s="516"/>
      <c r="U13" s="516"/>
      <c r="V13" s="516"/>
      <c r="W13" s="516"/>
    </row>
    <row r="14" spans="1:29" x14ac:dyDescent="0.2">
      <c r="A14" s="368" t="s">
        <v>10</v>
      </c>
      <c r="B14" s="547">
        <f>'2nd IA Load Pricing Results'!B20</f>
        <v>8287.8558494510235</v>
      </c>
      <c r="C14" s="548">
        <f>'BRA Resource Clearing Results'!F38-'1stIA Resource Clearing Results'!D37-'2ndIA Resource Clearing Results'!D37</f>
        <v>10886.800000000001</v>
      </c>
      <c r="D14" s="548">
        <f t="shared" si="2"/>
        <v>-2598.9441505489776</v>
      </c>
      <c r="E14" s="113">
        <v>0</v>
      </c>
      <c r="F14" s="48">
        <f t="shared" si="0"/>
        <v>-2598.9441505489776</v>
      </c>
      <c r="G14" s="48">
        <v>0</v>
      </c>
      <c r="H14" s="48">
        <v>0</v>
      </c>
      <c r="I14" s="549">
        <f t="shared" si="1"/>
        <v>-2598.9441505489776</v>
      </c>
      <c r="J14" s="550" t="s">
        <v>24</v>
      </c>
      <c r="M14" s="516"/>
      <c r="N14" s="516"/>
      <c r="O14" s="516"/>
      <c r="P14" s="516"/>
      <c r="Q14" s="516"/>
      <c r="R14" s="516"/>
      <c r="S14" s="516"/>
      <c r="T14" s="516"/>
      <c r="U14" s="516"/>
      <c r="V14" s="516"/>
      <c r="W14" s="516"/>
    </row>
    <row r="15" spans="1:29" x14ac:dyDescent="0.2">
      <c r="A15" s="115" t="s">
        <v>21</v>
      </c>
      <c r="B15" s="547">
        <f>'2nd IA Load Pricing Results'!B21</f>
        <v>3599.9191218220481</v>
      </c>
      <c r="C15" s="548">
        <f>'BRA Resource Clearing Results'!F39-'1stIA Resource Clearing Results'!D38-'2ndIA Resource Clearing Results'!D38</f>
        <v>1633.2</v>
      </c>
      <c r="D15" s="548">
        <f t="shared" si="2"/>
        <v>1966.719121822048</v>
      </c>
      <c r="E15" s="113">
        <v>0</v>
      </c>
      <c r="F15" s="48">
        <f t="shared" si="0"/>
        <v>1966.719121822048</v>
      </c>
      <c r="G15" s="48">
        <v>0</v>
      </c>
      <c r="H15" s="48">
        <v>0</v>
      </c>
      <c r="I15" s="549">
        <f t="shared" si="1"/>
        <v>1966.719121822048</v>
      </c>
      <c r="J15" s="550"/>
      <c r="M15" s="516"/>
      <c r="N15" s="516"/>
      <c r="O15" s="516"/>
      <c r="P15" s="516"/>
      <c r="Q15" s="516"/>
      <c r="R15" s="516"/>
      <c r="S15" s="516"/>
      <c r="T15" s="516"/>
      <c r="U15" s="516"/>
      <c r="V15" s="516"/>
      <c r="W15" s="516"/>
    </row>
    <row r="16" spans="1:29" x14ac:dyDescent="0.2">
      <c r="A16" s="554" t="s">
        <v>50</v>
      </c>
      <c r="B16" s="547">
        <f>'2nd IA Load Pricing Results'!B22</f>
        <v>5027.8478099634722</v>
      </c>
      <c r="C16" s="548">
        <f>'BRA Resource Clearing Results'!F40-'1stIA Resource Clearing Results'!D39-'2ndIA Resource Clearing Results'!D39</f>
        <v>2807.1000000000004</v>
      </c>
      <c r="D16" s="548">
        <f t="shared" si="2"/>
        <v>2220.7478099634718</v>
      </c>
      <c r="E16" s="113">
        <v>0</v>
      </c>
      <c r="F16" s="48">
        <f t="shared" si="0"/>
        <v>2220.7478099634718</v>
      </c>
      <c r="G16" s="48">
        <f>'2nd IA ICTRs'!L32</f>
        <v>155</v>
      </c>
      <c r="H16" s="48">
        <f>'2nd IA ICTRs'!L13+'2nd IA ICTRs'!L20</f>
        <v>0</v>
      </c>
      <c r="I16" s="549">
        <f t="shared" si="1"/>
        <v>2065.7478099634718</v>
      </c>
      <c r="J16" s="550"/>
      <c r="M16" s="516"/>
      <c r="N16" s="516"/>
      <c r="O16" s="516"/>
      <c r="P16" s="516"/>
      <c r="Q16" s="516"/>
      <c r="R16" s="516"/>
      <c r="S16" s="516"/>
      <c r="T16" s="516" t="s">
        <v>24</v>
      </c>
      <c r="U16" s="516"/>
      <c r="V16" s="516"/>
      <c r="W16" s="516"/>
    </row>
    <row r="17" spans="1:33" x14ac:dyDescent="0.2">
      <c r="A17" s="21" t="s">
        <v>287</v>
      </c>
      <c r="B17" s="32"/>
      <c r="C17" s="32"/>
      <c r="D17" s="55"/>
      <c r="E17" s="23"/>
      <c r="F17" s="55"/>
      <c r="G17" s="56"/>
      <c r="H17" s="555"/>
      <c r="I17" s="56"/>
      <c r="J17" s="438"/>
      <c r="K17" s="463"/>
      <c r="N17" s="516"/>
      <c r="O17" s="516"/>
      <c r="P17" s="516"/>
      <c r="Q17" s="516"/>
      <c r="R17" s="516"/>
      <c r="S17" s="516"/>
      <c r="T17" s="516" t="s">
        <v>24</v>
      </c>
      <c r="U17" s="516"/>
      <c r="V17" s="516"/>
      <c r="W17" s="516"/>
      <c r="X17" s="516"/>
      <c r="Y17" s="516"/>
      <c r="Z17" s="516"/>
      <c r="AA17" s="516"/>
      <c r="AB17" s="516"/>
    </row>
    <row r="18" spans="1:33" x14ac:dyDescent="0.2">
      <c r="A18" s="501"/>
      <c r="B18" s="15"/>
      <c r="C18" s="15"/>
      <c r="D18" s="464"/>
      <c r="E18" s="15"/>
      <c r="F18" s="464"/>
      <c r="G18" s="556"/>
      <c r="H18" s="481"/>
      <c r="I18" s="556"/>
      <c r="J18" s="438"/>
      <c r="K18" s="463"/>
      <c r="N18" s="516"/>
      <c r="O18" s="516"/>
      <c r="P18" s="516"/>
      <c r="Q18" s="516"/>
      <c r="R18" s="516"/>
      <c r="S18" s="516"/>
      <c r="T18" s="516"/>
      <c r="U18" s="516"/>
      <c r="V18" s="516"/>
      <c r="W18" s="516"/>
      <c r="X18" s="516"/>
      <c r="Y18" s="516"/>
      <c r="Z18" s="516"/>
      <c r="AA18" s="516"/>
      <c r="AB18" s="516"/>
    </row>
    <row r="19" spans="1:33" ht="14.25" x14ac:dyDescent="0.2">
      <c r="A19" s="778" t="s">
        <v>81</v>
      </c>
      <c r="B19" s="778"/>
      <c r="C19" s="778"/>
      <c r="D19" s="778"/>
      <c r="E19" s="557"/>
      <c r="F19" s="558"/>
      <c r="G19" s="558"/>
      <c r="H19" s="558"/>
      <c r="I19" s="558"/>
      <c r="J19" s="558"/>
      <c r="K19" s="558"/>
      <c r="L19" s="558"/>
      <c r="M19" s="558"/>
      <c r="N19" s="558"/>
      <c r="O19" s="558"/>
      <c r="P19" s="558"/>
      <c r="Q19" s="558"/>
      <c r="R19" s="558"/>
      <c r="S19" s="558"/>
      <c r="T19" s="558"/>
      <c r="U19" s="558"/>
      <c r="V19" s="558"/>
      <c r="W19" s="593" t="s">
        <v>24</v>
      </c>
      <c r="X19" s="558"/>
      <c r="Y19" s="558"/>
      <c r="Z19" s="558"/>
      <c r="AA19" s="558"/>
      <c r="AB19" s="558"/>
      <c r="AC19" s="558"/>
    </row>
    <row r="20" spans="1:33" ht="15" x14ac:dyDescent="0.25">
      <c r="A20" s="778"/>
      <c r="B20" s="778"/>
      <c r="C20" s="778"/>
      <c r="D20" s="778"/>
      <c r="E20" s="776" t="s">
        <v>28</v>
      </c>
      <c r="F20" s="776"/>
      <c r="G20" s="776" t="s">
        <v>33</v>
      </c>
      <c r="H20" s="776"/>
      <c r="I20" s="776" t="s">
        <v>5</v>
      </c>
      <c r="J20" s="776"/>
      <c r="K20" s="776" t="s">
        <v>40</v>
      </c>
      <c r="L20" s="776"/>
      <c r="M20" s="776" t="s">
        <v>38</v>
      </c>
      <c r="N20" s="776"/>
      <c r="O20" s="776" t="s">
        <v>15</v>
      </c>
      <c r="P20" s="776"/>
      <c r="Q20" s="776" t="s">
        <v>115</v>
      </c>
      <c r="R20" s="776"/>
      <c r="S20" s="776" t="s">
        <v>20</v>
      </c>
      <c r="T20" s="776"/>
      <c r="U20" s="776" t="s">
        <v>11</v>
      </c>
      <c r="V20" s="776"/>
      <c r="W20" s="776" t="s">
        <v>10</v>
      </c>
      <c r="X20" s="777"/>
      <c r="Y20" s="774" t="s">
        <v>21</v>
      </c>
      <c r="Z20" s="774"/>
      <c r="AA20" s="774" t="s">
        <v>50</v>
      </c>
      <c r="AB20" s="774"/>
      <c r="AC20" s="559"/>
      <c r="AD20" s="559"/>
      <c r="AE20" s="559"/>
      <c r="AF20" s="21"/>
    </row>
    <row r="21" spans="1:33" ht="45" x14ac:dyDescent="0.25">
      <c r="A21" s="779"/>
      <c r="B21" s="779"/>
      <c r="C21" s="779"/>
      <c r="D21" s="779"/>
      <c r="E21" s="560" t="s">
        <v>288</v>
      </c>
      <c r="F21" s="561">
        <f>'2nd IA Load Pricing Results'!D14</f>
        <v>0</v>
      </c>
      <c r="G21" s="560" t="s">
        <v>288</v>
      </c>
      <c r="H21" s="561">
        <f>'2nd IA Load Pricing Results'!D15-'2nd IA Load Pricing Results'!D14</f>
        <v>25.572153076962188</v>
      </c>
      <c r="I21" s="560" t="s">
        <v>288</v>
      </c>
      <c r="J21" s="561">
        <f>'2nd IA Load Pricing Results'!D16-'2nd IA Load Pricing Results'!D14</f>
        <v>0</v>
      </c>
      <c r="K21" s="560" t="s">
        <v>288</v>
      </c>
      <c r="L21" s="561">
        <f>'2nd IA Load Pricing Results'!D30</f>
        <v>42.357561295186137</v>
      </c>
      <c r="M21" s="560" t="s">
        <v>288</v>
      </c>
      <c r="N21" s="561">
        <f>'2nd IA Load Pricing Results'!D33</f>
        <v>0</v>
      </c>
      <c r="O21" s="560" t="s">
        <v>288</v>
      </c>
      <c r="P21" s="561">
        <f>'2nd IA Load Pricing Results'!D17-'2nd IA Load Pricing Results'!D16</f>
        <v>0</v>
      </c>
      <c r="Q21" s="560" t="s">
        <v>288</v>
      </c>
      <c r="R21" s="562">
        <f>'2nd IA Load Pricing Results'!D36</f>
        <v>25.775065139217098</v>
      </c>
      <c r="S21" s="560" t="s">
        <v>288</v>
      </c>
      <c r="T21" s="562">
        <f>'2nd IA Load Pricing Results'!D18</f>
        <v>55.996810371646134</v>
      </c>
      <c r="U21" s="560" t="s">
        <v>288</v>
      </c>
      <c r="V21" s="562">
        <f>'2nd IA Load Pricing Results'!D19-'2nd IA Load Pricing Results'!D16</f>
        <v>59.952687752960578</v>
      </c>
      <c r="W21" s="560" t="s">
        <v>288</v>
      </c>
      <c r="X21" s="563">
        <f>'2nd IA Load Pricing Results'!D20-'2nd IA Load Pricing Results'!D14</f>
        <v>0</v>
      </c>
      <c r="Y21" s="560" t="s">
        <v>288</v>
      </c>
      <c r="Z21" s="562">
        <f>'2nd IA Load Pricing Results'!D21</f>
        <v>0</v>
      </c>
      <c r="AA21" s="560" t="s">
        <v>288</v>
      </c>
      <c r="AB21" s="562">
        <f>'2nd IA Load Pricing Results'!D22</f>
        <v>0</v>
      </c>
      <c r="AC21" s="564"/>
      <c r="AD21" s="559"/>
      <c r="AE21" s="559"/>
      <c r="AF21" s="21"/>
    </row>
    <row r="22" spans="1:33" ht="76.5" x14ac:dyDescent="0.2">
      <c r="A22" s="565" t="s">
        <v>7</v>
      </c>
      <c r="B22" s="190" t="s">
        <v>27</v>
      </c>
      <c r="C22" s="190" t="s">
        <v>26</v>
      </c>
      <c r="D22" s="190" t="s">
        <v>31</v>
      </c>
      <c r="E22" s="190" t="s">
        <v>289</v>
      </c>
      <c r="F22" s="190" t="s">
        <v>290</v>
      </c>
      <c r="G22" s="190" t="s">
        <v>289</v>
      </c>
      <c r="H22" s="190" t="s">
        <v>290</v>
      </c>
      <c r="I22" s="190" t="s">
        <v>289</v>
      </c>
      <c r="J22" s="190" t="s">
        <v>290</v>
      </c>
      <c r="K22" s="190" t="s">
        <v>289</v>
      </c>
      <c r="L22" s="190" t="s">
        <v>290</v>
      </c>
      <c r="M22" s="190" t="s">
        <v>289</v>
      </c>
      <c r="N22" s="190" t="s">
        <v>290</v>
      </c>
      <c r="O22" s="190" t="s">
        <v>289</v>
      </c>
      <c r="P22" s="190" t="s">
        <v>290</v>
      </c>
      <c r="Q22" s="190" t="s">
        <v>289</v>
      </c>
      <c r="R22" s="190" t="s">
        <v>290</v>
      </c>
      <c r="S22" s="190" t="s">
        <v>289</v>
      </c>
      <c r="T22" s="190" t="s">
        <v>290</v>
      </c>
      <c r="U22" s="190" t="s">
        <v>289</v>
      </c>
      <c r="V22" s="190" t="s">
        <v>290</v>
      </c>
      <c r="W22" s="190" t="s">
        <v>289</v>
      </c>
      <c r="X22" s="566" t="s">
        <v>290</v>
      </c>
      <c r="Y22" s="190" t="s">
        <v>289</v>
      </c>
      <c r="Z22" s="566" t="s">
        <v>290</v>
      </c>
      <c r="AA22" s="190" t="s">
        <v>289</v>
      </c>
      <c r="AB22" s="566" t="s">
        <v>290</v>
      </c>
      <c r="AC22" s="190" t="s">
        <v>291</v>
      </c>
      <c r="AD22" s="190" t="s">
        <v>292</v>
      </c>
      <c r="AE22" s="567" t="s">
        <v>293</v>
      </c>
      <c r="AF22" s="567" t="s">
        <v>294</v>
      </c>
      <c r="AG22" s="565" t="s">
        <v>7</v>
      </c>
    </row>
    <row r="23" spans="1:33" x14ac:dyDescent="0.2">
      <c r="A23" s="22" t="s">
        <v>16</v>
      </c>
      <c r="B23" s="91" t="s">
        <v>28</v>
      </c>
      <c r="C23" s="91" t="s">
        <v>33</v>
      </c>
      <c r="D23" s="91"/>
      <c r="E23" s="142">
        <f>IF(B23="MAAC",$I$5*'2nd IA Load Pricing Results'!J42/'2nd IA Load Pricing Results'!$B$14,0)</f>
        <v>-11.604162233471548</v>
      </c>
      <c r="F23" s="568">
        <f>E23*$F$21</f>
        <v>0</v>
      </c>
      <c r="G23" s="142">
        <f>IF(C23="EMAAC",$I$6*'2nd IA Load Pricing Results'!J42/'2nd IA Load Pricing Results'!$B$15,0)</f>
        <v>389.98484166322964</v>
      </c>
      <c r="H23" s="568">
        <f>G23*$H$21</f>
        <v>9972.75206870697</v>
      </c>
      <c r="I23" s="142">
        <f>IF(C23="SWMAAC",$I$7*'2nd IA Load Pricing Results'!J42/'2nd IA Load Pricing Results'!$B$16,0)</f>
        <v>0</v>
      </c>
      <c r="J23" s="568">
        <f>I23*$J$21</f>
        <v>0</v>
      </c>
      <c r="K23" s="142">
        <f>IF(D23="PS",$I$8*'2nd IA Load Pricing Results'!J42/'2nd IA Load Pricing Results'!$J$60,0)</f>
        <v>0</v>
      </c>
      <c r="L23" s="568">
        <f>K23*$L$21</f>
        <v>0</v>
      </c>
      <c r="M23" s="142">
        <f>IF(D23="DPL",$I$9*'2nd IA Load Pricing Results'!J42/'2nd IA Load Pricing Results'!$J$52,0)</f>
        <v>0</v>
      </c>
      <c r="N23" s="568">
        <f>M23*$N$21</f>
        <v>0</v>
      </c>
      <c r="O23" s="142">
        <f>IF(D23="PEPCO",$I$10*'2nd IA Load Pricing Results'!J42/'2nd IA Load Pricing Results'!$J$58,0)</f>
        <v>0</v>
      </c>
      <c r="P23" s="568">
        <f>O23*$P$21</f>
        <v>0</v>
      </c>
      <c r="Q23" s="142">
        <f>IF(D23="ATSI",$I$11*'2nd IA Load Pricing Results'!J42/'2nd IA Load Pricing Results'!$J$45,0)</f>
        <v>0</v>
      </c>
      <c r="R23" s="568">
        <f>Q23*$R$21</f>
        <v>0</v>
      </c>
      <c r="S23" s="142">
        <f>IF(D23="COMED",$I$12*'2nd IA Load Pricing Results'!J42/'2nd IA Load Pricing Results'!$J$47,0)</f>
        <v>0</v>
      </c>
      <c r="T23" s="568">
        <f>S23*$T$21</f>
        <v>0</v>
      </c>
      <c r="U23" s="142">
        <f>IF(D23="BGE",$I$13*'2nd IA Load Pricing Results'!J42/'2nd IA Load Pricing Results'!$J$46,0)</f>
        <v>0</v>
      </c>
      <c r="V23" s="568">
        <f>U23*$V$21</f>
        <v>0</v>
      </c>
      <c r="W23" s="142">
        <f>IF(D23="PL",$I$14*'2nd IA Load Pricing Results'!J42/'2nd IA Load Pricing Results'!$J$59,0)</f>
        <v>0</v>
      </c>
      <c r="X23" s="569">
        <f>W23*$X$21</f>
        <v>0</v>
      </c>
      <c r="Y23" s="142">
        <f>IF(D23="DAYTON",$I$15*'2nd IA Load Pricing Results'!J42/'2nd IA Load Pricing Results'!$J$48,0)</f>
        <v>0</v>
      </c>
      <c r="Z23" s="570">
        <f>Y23*$Z$21</f>
        <v>0</v>
      </c>
      <c r="AA23" s="142">
        <f>IF(D23="DEOK",$I$16*'2nd IA Load Pricing Results'!J42/'2nd IA Load Pricing Results'!$J$49,0)</f>
        <v>0</v>
      </c>
      <c r="AB23" s="570">
        <f>AA23*$AB$21</f>
        <v>0</v>
      </c>
      <c r="AC23" s="571">
        <f>MAX(ABS(E23),ABS(G23),ABS(I23),ABS(K23),ABS(M23),ABS(O23),ABS(Q23),ABS(S23),ABS(U23),ABS(W23),ABS(Y23),ABS(AA23))</f>
        <v>389.98484166322964</v>
      </c>
      <c r="AD23" s="31">
        <f>F23+H23+J23+L23+N23+P23+R23+T23+V23+X23+Z23+AB23</f>
        <v>9972.75206870697</v>
      </c>
      <c r="AE23" s="154">
        <f>AD23/'2nd IA Load Pricing Results'!J42</f>
        <v>3.4433259968909371</v>
      </c>
      <c r="AF23" s="154">
        <f>IF(AC23=0,0,AD23/AC23)</f>
        <v>25.572153076962188</v>
      </c>
      <c r="AG23" s="91" t="s">
        <v>16</v>
      </c>
    </row>
    <row r="24" spans="1:33" x14ac:dyDescent="0.2">
      <c r="A24" s="22" t="s">
        <v>29</v>
      </c>
      <c r="B24" s="91"/>
      <c r="C24" s="91"/>
      <c r="D24" s="91"/>
      <c r="E24" s="142">
        <f>IF(B24="MAAC",$I$5*'2nd IA Load Pricing Results'!J43/'2nd IA Load Pricing Results'!$B$14,0)</f>
        <v>0</v>
      </c>
      <c r="F24" s="568">
        <f>E24*$F$21</f>
        <v>0</v>
      </c>
      <c r="G24" s="142">
        <f>IF(C24="EMAAC",$I$6*'2nd IA Load Pricing Results'!J43/'2nd IA Load Pricing Results'!$B$15,0)</f>
        <v>0</v>
      </c>
      <c r="H24" s="568">
        <f>G24*$H$21</f>
        <v>0</v>
      </c>
      <c r="I24" s="142">
        <f>IF(C24="SWMAAC",$I$7*'2nd IA Load Pricing Results'!J43/'2nd IA Load Pricing Results'!$B$16,0)</f>
        <v>0</v>
      </c>
      <c r="J24" s="568">
        <f>I24*$J$21</f>
        <v>0</v>
      </c>
      <c r="K24" s="142">
        <f>IF(D24="PS",$I$8*'2nd IA Load Pricing Results'!J43/'2nd IA Load Pricing Results'!$J$60,0)</f>
        <v>0</v>
      </c>
      <c r="L24" s="568">
        <f>K24*$L$21</f>
        <v>0</v>
      </c>
      <c r="M24" s="142">
        <f>IF(D24="DPL",$I$9*'2nd IA Load Pricing Results'!J43/'2nd IA Load Pricing Results'!$J$52,0)</f>
        <v>0</v>
      </c>
      <c r="N24" s="568">
        <f>M24*$N$21</f>
        <v>0</v>
      </c>
      <c r="O24" s="142">
        <f>IF(D24="PEPCO",$I$10*'2nd IA Load Pricing Results'!J43/'2nd IA Load Pricing Results'!$J$58,0)</f>
        <v>0</v>
      </c>
      <c r="P24" s="568">
        <f>O24*$P$21</f>
        <v>0</v>
      </c>
      <c r="Q24" s="142">
        <f>IF(D24="ATSI",$I$11*'2nd IA Load Pricing Results'!J43/'2nd IA Load Pricing Results'!$J$45,0)</f>
        <v>0</v>
      </c>
      <c r="R24" s="568">
        <f>Q24*$R$21</f>
        <v>0</v>
      </c>
      <c r="S24" s="142">
        <f>IF(D24="COMED",$I$12*'2nd IA Load Pricing Results'!J43/'2nd IA Load Pricing Results'!$J$47,0)</f>
        <v>0</v>
      </c>
      <c r="T24" s="568">
        <f>S24*$T$21</f>
        <v>0</v>
      </c>
      <c r="U24" s="142">
        <f>IF(D24="BGE",$I$13*'2nd IA Load Pricing Results'!J43/'2nd IA Load Pricing Results'!$J$46,0)</f>
        <v>0</v>
      </c>
      <c r="V24" s="568">
        <f t="shared" ref="V24:V42" si="3">U24*$V$21</f>
        <v>0</v>
      </c>
      <c r="W24" s="142">
        <f>IF(D24="PL",$I$14*'2nd IA Load Pricing Results'!J43/'2nd IA Load Pricing Results'!$J$59,0)</f>
        <v>0</v>
      </c>
      <c r="X24" s="569">
        <f t="shared" ref="X24:X42" si="4">W24*$X$21</f>
        <v>0</v>
      </c>
      <c r="Y24" s="142">
        <f>IF(D24="DAYTON",$I$15*'2nd IA Load Pricing Results'!J43/'2nd IA Load Pricing Results'!$J$48,0)</f>
        <v>0</v>
      </c>
      <c r="Z24" s="570">
        <f t="shared" ref="Z24:Z41" si="5">Y24*$Z$21</f>
        <v>0</v>
      </c>
      <c r="AA24" s="142">
        <f>IF(D24="DEOK",$I$16*'2nd IA Load Pricing Results'!J43/'2nd IA Load Pricing Results'!$J$49,0)</f>
        <v>0</v>
      </c>
      <c r="AB24" s="570">
        <f t="shared" ref="AB24:AB42" si="6">AA24*$AB$21</f>
        <v>0</v>
      </c>
      <c r="AC24" s="571">
        <f t="shared" ref="AC24:AC42" si="7">MAX(ABS(E24),ABS(G24),ABS(I24),ABS(K24),ABS(M24),ABS(O24),ABS(Q24),ABS(S24),ABS(U24),ABS(W24),ABS(Y24),ABS(AA24))</f>
        <v>0</v>
      </c>
      <c r="AD24" s="31">
        <f t="shared" ref="AD24:AD42" si="8">F24+H24+J24+L24+N24+P24+R24+T24+V24+X24+Z24+AB24</f>
        <v>0</v>
      </c>
      <c r="AE24" s="154">
        <f>AD24/'2nd IA Load Pricing Results'!J43</f>
        <v>0</v>
      </c>
      <c r="AF24" s="154">
        <f>IF(AC24=0,0,AD24/AC24)</f>
        <v>0</v>
      </c>
      <c r="AG24" s="91" t="s">
        <v>29</v>
      </c>
    </row>
    <row r="25" spans="1:33" x14ac:dyDescent="0.2">
      <c r="A25" s="22" t="s">
        <v>19</v>
      </c>
      <c r="B25" s="91" t="s">
        <v>24</v>
      </c>
      <c r="C25" s="91"/>
      <c r="D25" s="91"/>
      <c r="E25" s="142">
        <f>IF(B25="MAAC",$I$5*'2nd IA Load Pricing Results'!J44/'2nd IA Load Pricing Results'!$B$14,0)</f>
        <v>0</v>
      </c>
      <c r="F25" s="568">
        <f>E25*$F$21</f>
        <v>0</v>
      </c>
      <c r="G25" s="142">
        <f>IF(C25="EMAAC",$I$6*'2nd IA Load Pricing Results'!J44/'2nd IA Load Pricing Results'!$B$15,0)</f>
        <v>0</v>
      </c>
      <c r="H25" s="568">
        <f>G25*$H$21</f>
        <v>0</v>
      </c>
      <c r="I25" s="142">
        <f>IF(C25="SWMAAC",$I$7*'2nd IA Load Pricing Results'!J44/'2nd IA Load Pricing Results'!$B$16,0)</f>
        <v>0</v>
      </c>
      <c r="J25" s="568">
        <f>I25*$J$21</f>
        <v>0</v>
      </c>
      <c r="K25" s="142">
        <f>IF(D25="PS",$I$8*'2nd IA Load Pricing Results'!J44/'2nd IA Load Pricing Results'!$J$60,0)</f>
        <v>0</v>
      </c>
      <c r="L25" s="568">
        <f>K25*$L$21</f>
        <v>0</v>
      </c>
      <c r="M25" s="142">
        <f>IF(D25="DPL",$I$9*'2nd IA Load Pricing Results'!J44/'2nd IA Load Pricing Results'!$J$52,0)</f>
        <v>0</v>
      </c>
      <c r="N25" s="568">
        <f t="shared" ref="N25:N42" si="9">M25*$N$21</f>
        <v>0</v>
      </c>
      <c r="O25" s="142">
        <f>IF(D25="PEPCO",$I$10*'2nd IA Load Pricing Results'!J44/'2nd IA Load Pricing Results'!$J$58,0)</f>
        <v>0</v>
      </c>
      <c r="P25" s="568">
        <f t="shared" ref="P25:P38" si="10">O25*$P$21</f>
        <v>0</v>
      </c>
      <c r="Q25" s="142">
        <f>IF(D25="ATSI",$I$11*'2nd IA Load Pricing Results'!J44/'2nd IA Load Pricing Results'!$J$45,0)</f>
        <v>0</v>
      </c>
      <c r="R25" s="568">
        <f t="shared" ref="R25:R41" si="11">Q25*$R$21</f>
        <v>0</v>
      </c>
      <c r="S25" s="142">
        <f>IF(D25="COMED",$I$12*'2nd IA Load Pricing Results'!J44/'2nd IA Load Pricing Results'!$J$47,0)</f>
        <v>0</v>
      </c>
      <c r="T25" s="568">
        <f>S25*$T$21</f>
        <v>0</v>
      </c>
      <c r="U25" s="142">
        <f>IF(D25="BGE",$I$13*'2nd IA Load Pricing Results'!J44/'2nd IA Load Pricing Results'!$J$46,0)</f>
        <v>0</v>
      </c>
      <c r="V25" s="568">
        <f t="shared" si="3"/>
        <v>0</v>
      </c>
      <c r="W25" s="142">
        <f>IF(D25="PL",$I$14*'2nd IA Load Pricing Results'!J44/'2nd IA Load Pricing Results'!$J$59,0)</f>
        <v>0</v>
      </c>
      <c r="X25" s="569">
        <f t="shared" si="4"/>
        <v>0</v>
      </c>
      <c r="Y25" s="142">
        <f>IF(D25="DAYTON",$I$15*'2nd IA Load Pricing Results'!J44/'2nd IA Load Pricing Results'!$J$48,0)</f>
        <v>0</v>
      </c>
      <c r="Z25" s="570">
        <f t="shared" si="5"/>
        <v>0</v>
      </c>
      <c r="AA25" s="142">
        <f>IF(D25="DEOK",$I$16*'2nd IA Load Pricing Results'!J44/'2nd IA Load Pricing Results'!$J$49,0)</f>
        <v>0</v>
      </c>
      <c r="AB25" s="570">
        <f t="shared" si="6"/>
        <v>0</v>
      </c>
      <c r="AC25" s="571">
        <f t="shared" si="7"/>
        <v>0</v>
      </c>
      <c r="AD25" s="31">
        <f t="shared" si="8"/>
        <v>0</v>
      </c>
      <c r="AE25" s="154">
        <f>AD25/'2nd IA Load Pricing Results'!J44</f>
        <v>0</v>
      </c>
      <c r="AF25" s="154">
        <f t="shared" ref="AF25:AF40" si="12">IF(AC25=0,0,AD25/AC25)</f>
        <v>0</v>
      </c>
      <c r="AG25" s="91" t="s">
        <v>19</v>
      </c>
    </row>
    <row r="26" spans="1:33" x14ac:dyDescent="0.2">
      <c r="A26" s="22" t="s">
        <v>43</v>
      </c>
      <c r="B26" s="91"/>
      <c r="C26" s="91"/>
      <c r="D26" s="91" t="s">
        <v>43</v>
      </c>
      <c r="E26" s="142">
        <f>IF(B26="MAAC",$I$5*'2nd IA Load Pricing Results'!J45/'2nd IA Load Pricing Results'!$B$14,0)</f>
        <v>0</v>
      </c>
      <c r="F26" s="568">
        <f>E26*$F$21</f>
        <v>0</v>
      </c>
      <c r="G26" s="142">
        <f>IF(C26="EMAAC",$I$6*'2nd IA Load Pricing Results'!J45/'2nd IA Load Pricing Results'!$B$15,0)</f>
        <v>0</v>
      </c>
      <c r="H26" s="568">
        <f t="shared" ref="H26:H40" si="13">G26*$H$21</f>
        <v>0</v>
      </c>
      <c r="I26" s="142">
        <f>IF(C26="SWMAAC",$I$7*'2nd IA Load Pricing Results'!J45/'2nd IA Load Pricing Results'!$B$16,0)</f>
        <v>0</v>
      </c>
      <c r="J26" s="568">
        <f>I26*$J$21</f>
        <v>0</v>
      </c>
      <c r="K26" s="142">
        <f>IF(D26="PS",$I$8*'2nd IA Load Pricing Results'!J45/'2nd IA Load Pricing Results'!$J$60,0)</f>
        <v>0</v>
      </c>
      <c r="L26" s="568">
        <f t="shared" ref="L26:L40" si="14">K26*$L$21</f>
        <v>0</v>
      </c>
      <c r="M26" s="142">
        <f>IF(D26="DPL",$I$9*'2nd IA Load Pricing Results'!J45/'2nd IA Load Pricing Results'!$J$52,0)</f>
        <v>0</v>
      </c>
      <c r="N26" s="568">
        <f t="shared" si="9"/>
        <v>0</v>
      </c>
      <c r="O26" s="142">
        <f>IF(D26="PEPCO",$I$10*'2nd IA Load Pricing Results'!J45/'2nd IA Load Pricing Results'!$J$58,0)</f>
        <v>0</v>
      </c>
      <c r="P26" s="568">
        <f t="shared" si="10"/>
        <v>0</v>
      </c>
      <c r="Q26" s="142">
        <f>IF(D26="ATSI",$I$11*'2nd IA Load Pricing Results'!J45/'2nd IA Load Pricing Results'!$J$45,0)</f>
        <v>4179.050710823878</v>
      </c>
      <c r="R26" s="568">
        <f>Q26*$R$21</f>
        <v>107715.30429157698</v>
      </c>
      <c r="S26" s="142">
        <f>IF(D26="COMED",$I$12*'2nd IA Load Pricing Results'!J45/'2nd IA Load Pricing Results'!$J$47,0)</f>
        <v>0</v>
      </c>
      <c r="T26" s="568">
        <f>S26*$T$21</f>
        <v>0</v>
      </c>
      <c r="U26" s="142">
        <f>IF(D26="BGE",$I$13*'2nd IA Load Pricing Results'!J45/'2nd IA Load Pricing Results'!$J$46,0)</f>
        <v>0</v>
      </c>
      <c r="V26" s="568">
        <f t="shared" si="3"/>
        <v>0</v>
      </c>
      <c r="W26" s="142">
        <f>IF(D26="PL",$I$14*'2nd IA Load Pricing Results'!J45/'2nd IA Load Pricing Results'!$J$59,0)</f>
        <v>0</v>
      </c>
      <c r="X26" s="569">
        <f t="shared" si="4"/>
        <v>0</v>
      </c>
      <c r="Y26" s="142">
        <f>IF(D26="DAYTON",$I$15*'2nd IA Load Pricing Results'!J45/'2nd IA Load Pricing Results'!$J$48,0)</f>
        <v>0</v>
      </c>
      <c r="Z26" s="570">
        <f t="shared" si="5"/>
        <v>0</v>
      </c>
      <c r="AA26" s="142">
        <f>IF(D26="DEOK",$I$16*'2nd IA Load Pricing Results'!J45/'2nd IA Load Pricing Results'!$J$49,0)</f>
        <v>0</v>
      </c>
      <c r="AB26" s="570">
        <f t="shared" si="6"/>
        <v>0</v>
      </c>
      <c r="AC26" s="571">
        <f t="shared" si="7"/>
        <v>4179.050710823878</v>
      </c>
      <c r="AD26" s="31">
        <f t="shared" si="8"/>
        <v>107715.30429157698</v>
      </c>
      <c r="AE26" s="154">
        <f>AD26/'2nd IA Load Pricing Results'!J45</f>
        <v>7.7056954492100092</v>
      </c>
      <c r="AF26" s="154">
        <f>IF(AC26=0,0,AD26/AC26)</f>
        <v>25.775065139217098</v>
      </c>
      <c r="AG26" s="91" t="s">
        <v>43</v>
      </c>
    </row>
    <row r="27" spans="1:33" x14ac:dyDescent="0.2">
      <c r="A27" s="22" t="s">
        <v>11</v>
      </c>
      <c r="B27" s="91" t="s">
        <v>28</v>
      </c>
      <c r="C27" s="91" t="s">
        <v>5</v>
      </c>
      <c r="D27" s="91" t="s">
        <v>11</v>
      </c>
      <c r="E27" s="142">
        <f>IF(B27="MAAC",$I$5*'2nd IA Load Pricing Results'!J46/'2nd IA Load Pricing Results'!$B$14,0)</f>
        <v>-29.316027659652299</v>
      </c>
      <c r="F27" s="568">
        <f t="shared" ref="F27:F41" si="15">E27*$F$21</f>
        <v>0</v>
      </c>
      <c r="G27" s="142">
        <f>IF(C27="EMAAC",$I$6*'2nd IA Load Pricing Results'!J46/'2nd IA Load Pricing Results'!$B$15,0)</f>
        <v>0</v>
      </c>
      <c r="H27" s="568">
        <f t="shared" si="13"/>
        <v>0</v>
      </c>
      <c r="I27" s="142">
        <f>IF(C27="SWMAAC",$I$7*'2nd IA Load Pricing Results'!J46/'2nd IA Load Pricing Results'!$B$16,0)</f>
        <v>2450.6365288225729</v>
      </c>
      <c r="J27" s="568">
        <f>I27*$J$21</f>
        <v>0</v>
      </c>
      <c r="K27" s="142">
        <f>IF(D27="PS",$I$8*'2nd IA Load Pricing Results'!J46/'2nd IA Load Pricing Results'!$J$60,0)</f>
        <v>0</v>
      </c>
      <c r="L27" s="568">
        <f t="shared" si="14"/>
        <v>0</v>
      </c>
      <c r="M27" s="142">
        <f>IF(D27="DPL",$I$9*'2nd IA Load Pricing Results'!J46/'2nd IA Load Pricing Results'!$J$52,0)</f>
        <v>0</v>
      </c>
      <c r="N27" s="568">
        <f t="shared" si="9"/>
        <v>0</v>
      </c>
      <c r="O27" s="142">
        <f>IF(D27="PEPCO",$I$10*'2nd IA Load Pricing Results'!J46/'2nd IA Load Pricing Results'!$J$58,0)</f>
        <v>0</v>
      </c>
      <c r="P27" s="568">
        <f>O27*$P$21</f>
        <v>0</v>
      </c>
      <c r="Q27" s="142">
        <f>IF(D27="ATSI",$I$11*'2nd IA Load Pricing Results'!J46/'2nd IA Load Pricing Results'!$J$45,0)</f>
        <v>0</v>
      </c>
      <c r="R27" s="568">
        <f t="shared" si="11"/>
        <v>0</v>
      </c>
      <c r="S27" s="142">
        <f>IF(D27="COMED",$I$12*'2nd IA Load Pricing Results'!J46/'2nd IA Load Pricing Results'!$J$47,0)</f>
        <v>0</v>
      </c>
      <c r="T27" s="568">
        <f t="shared" ref="T27:T42" si="16">S27*$T$21</f>
        <v>0</v>
      </c>
      <c r="U27" s="142">
        <f>IF(D27="BGE",$I$13*'2nd IA Load Pricing Results'!J46/'2nd IA Load Pricing Results'!$J$46,0)</f>
        <v>4943.9183990515812</v>
      </c>
      <c r="V27" s="568">
        <f>U27*$V$21</f>
        <v>296401.19605445623</v>
      </c>
      <c r="W27" s="142">
        <f>IF(D27="PL",$I$14*'2nd IA Load Pricing Results'!J46/'2nd IA Load Pricing Results'!$J$59,0)</f>
        <v>0</v>
      </c>
      <c r="X27" s="569">
        <f t="shared" si="4"/>
        <v>0</v>
      </c>
      <c r="Y27" s="142">
        <f>IF(D27="DAYTON",$I$15*'2nd IA Load Pricing Results'!J46/'2nd IA Load Pricing Results'!$J$48,0)</f>
        <v>0</v>
      </c>
      <c r="Z27" s="570">
        <f t="shared" si="5"/>
        <v>0</v>
      </c>
      <c r="AA27" s="142">
        <f>IF(D27="DEOK",$I$16*'2nd IA Load Pricing Results'!J46/'2nd IA Load Pricing Results'!$J$49,0)</f>
        <v>0</v>
      </c>
      <c r="AB27" s="570">
        <f t="shared" si="6"/>
        <v>0</v>
      </c>
      <c r="AC27" s="571">
        <f t="shared" si="7"/>
        <v>4943.9183990515812</v>
      </c>
      <c r="AD27" s="31">
        <f t="shared" si="8"/>
        <v>296401.19605445623</v>
      </c>
      <c r="AE27" s="154">
        <f>AD27/'2nd IA Load Pricing Results'!J46</f>
        <v>40.509020312824006</v>
      </c>
      <c r="AF27" s="154">
        <f>IF(AC27=0,0,AD27/AC27)</f>
        <v>59.952687752960585</v>
      </c>
      <c r="AG27" s="91" t="s">
        <v>11</v>
      </c>
    </row>
    <row r="28" spans="1:33" x14ac:dyDescent="0.2">
      <c r="A28" s="22" t="s">
        <v>20</v>
      </c>
      <c r="B28" s="91"/>
      <c r="C28" s="91"/>
      <c r="D28" s="91" t="s">
        <v>20</v>
      </c>
      <c r="E28" s="142">
        <f>IF(B28="MAAC",$I$5*'2nd IA Load Pricing Results'!J47/'2nd IA Load Pricing Results'!$B$14,0)</f>
        <v>0</v>
      </c>
      <c r="F28" s="568">
        <f t="shared" si="15"/>
        <v>0</v>
      </c>
      <c r="G28" s="142">
        <f>IF(C28="EMAAC",$I$6*'2nd IA Load Pricing Results'!J47/'2nd IA Load Pricing Results'!$B$15,0)</f>
        <v>0</v>
      </c>
      <c r="H28" s="568">
        <f t="shared" si="13"/>
        <v>0</v>
      </c>
      <c r="I28" s="142">
        <f>IF(C28="SWMAAC",$I$7*'2nd IA Load Pricing Results'!J47/'2nd IA Load Pricing Results'!$B$16,0)</f>
        <v>0</v>
      </c>
      <c r="J28" s="568">
        <f t="shared" ref="J28:J40" si="17">I28*$J$21</f>
        <v>0</v>
      </c>
      <c r="K28" s="142">
        <f>IF(D28="PS",$I$8*'2nd IA Load Pricing Results'!J47/'2nd IA Load Pricing Results'!$J$60,0)</f>
        <v>0</v>
      </c>
      <c r="L28" s="568">
        <f t="shared" si="14"/>
        <v>0</v>
      </c>
      <c r="M28" s="142">
        <f>IF(D28="DPL",$I$9*'2nd IA Load Pricing Results'!J47/'2nd IA Load Pricing Results'!$J$52,0)</f>
        <v>0</v>
      </c>
      <c r="N28" s="568">
        <f t="shared" si="9"/>
        <v>0</v>
      </c>
      <c r="O28" s="142">
        <f>IF(D28="PEPCO",$I$10*'2nd IA Load Pricing Results'!J47/'2nd IA Load Pricing Results'!$J$58,0)</f>
        <v>0</v>
      </c>
      <c r="P28" s="568">
        <f t="shared" si="10"/>
        <v>0</v>
      </c>
      <c r="Q28" s="142">
        <f>IF(D28="ATSI",$I$11*'2nd IA Load Pricing Results'!J47/'2nd IA Load Pricing Results'!$J$45,0)</f>
        <v>0</v>
      </c>
      <c r="R28" s="568">
        <f t="shared" si="11"/>
        <v>0</v>
      </c>
      <c r="S28" s="142">
        <f>IF(D28="COMED",$I$12*'2nd IA Load Pricing Results'!J47/'2nd IA Load Pricing Results'!$J$47,0)</f>
        <v>1.1368683772161603E-13</v>
      </c>
      <c r="T28" s="568">
        <f>S28*$T$21</f>
        <v>6.3661002936494395E-12</v>
      </c>
      <c r="U28" s="142">
        <f>IF(D28="BGE",$I$13*'2nd IA Load Pricing Results'!J47/'2nd IA Load Pricing Results'!$J$46,0)</f>
        <v>0</v>
      </c>
      <c r="V28" s="568">
        <f t="shared" si="3"/>
        <v>0</v>
      </c>
      <c r="W28" s="142">
        <f>IF(D28="PL",$I$14*'2nd IA Load Pricing Results'!J47/'2nd IA Load Pricing Results'!$J$59,0)</f>
        <v>0</v>
      </c>
      <c r="X28" s="569">
        <f t="shared" si="4"/>
        <v>0</v>
      </c>
      <c r="Y28" s="142">
        <f>IF(D28="DAYTON",$I$15*'2nd IA Load Pricing Results'!J47/'2nd IA Load Pricing Results'!$J$48,0)</f>
        <v>0</v>
      </c>
      <c r="Z28" s="570">
        <f t="shared" si="5"/>
        <v>0</v>
      </c>
      <c r="AA28" s="142">
        <f>IF(D28="DEOK",$I$16*'2nd IA Load Pricing Results'!J47/'2nd IA Load Pricing Results'!$J$49,0)</f>
        <v>0</v>
      </c>
      <c r="AB28" s="570">
        <f t="shared" si="6"/>
        <v>0</v>
      </c>
      <c r="AC28" s="571">
        <f t="shared" si="7"/>
        <v>1.1368683772161603E-13</v>
      </c>
      <c r="AD28" s="31">
        <f t="shared" si="8"/>
        <v>6.3661002936494395E-12</v>
      </c>
      <c r="AE28" s="154">
        <f>AD28/'2nd IA Load Pricing Results'!J47</f>
        <v>2.7499424807867452E-16</v>
      </c>
      <c r="AF28" s="154">
        <f t="shared" si="12"/>
        <v>55.996810371646134</v>
      </c>
      <c r="AG28" s="91" t="s">
        <v>20</v>
      </c>
    </row>
    <row r="29" spans="1:33" x14ac:dyDescent="0.2">
      <c r="A29" s="22" t="s">
        <v>21</v>
      </c>
      <c r="B29" s="91"/>
      <c r="C29" s="91"/>
      <c r="D29" s="91" t="s">
        <v>21</v>
      </c>
      <c r="E29" s="142">
        <f>IF(B29="MAAC",$I$5*'2nd IA Load Pricing Results'!J48/'2nd IA Load Pricing Results'!$B$14,0)</f>
        <v>0</v>
      </c>
      <c r="F29" s="568">
        <f t="shared" si="15"/>
        <v>0</v>
      </c>
      <c r="G29" s="142">
        <f>IF(C29="EMAAC",$I$6*'2nd IA Load Pricing Results'!J48/'2nd IA Load Pricing Results'!$B$15,0)</f>
        <v>0</v>
      </c>
      <c r="H29" s="568">
        <f t="shared" si="13"/>
        <v>0</v>
      </c>
      <c r="I29" s="142">
        <f>IF(C29="SWMAAC",$I$7*'2nd IA Load Pricing Results'!J48/'2nd IA Load Pricing Results'!$B$16,0)</f>
        <v>0</v>
      </c>
      <c r="J29" s="568">
        <f>I29*$J$21</f>
        <v>0</v>
      </c>
      <c r="K29" s="142">
        <f>IF(D29="PS",$I$8*'2nd IA Load Pricing Results'!J48/'2nd IA Load Pricing Results'!$J$60,0)</f>
        <v>0</v>
      </c>
      <c r="L29" s="568">
        <f t="shared" si="14"/>
        <v>0</v>
      </c>
      <c r="M29" s="142">
        <f>IF(D29="DPL",$I$9*'2nd IA Load Pricing Results'!J48/'2nd IA Load Pricing Results'!$J$52,0)</f>
        <v>0</v>
      </c>
      <c r="N29" s="568">
        <f t="shared" si="9"/>
        <v>0</v>
      </c>
      <c r="O29" s="142">
        <f>IF(D29="PEPCO",$I$10*'2nd IA Load Pricing Results'!J48/'2nd IA Load Pricing Results'!$J$58,0)</f>
        <v>0</v>
      </c>
      <c r="P29" s="568">
        <f t="shared" si="10"/>
        <v>0</v>
      </c>
      <c r="Q29" s="142">
        <f>IF(D29="ATSI",$I$11*'2nd IA Load Pricing Results'!J48/'2nd IA Load Pricing Results'!$J$45,0)</f>
        <v>0</v>
      </c>
      <c r="R29" s="568">
        <f t="shared" si="11"/>
        <v>0</v>
      </c>
      <c r="S29" s="142">
        <f>IF(D29="COMED",$I$12*'2nd IA Load Pricing Results'!J48/'2nd IA Load Pricing Results'!$J$47,0)</f>
        <v>0</v>
      </c>
      <c r="T29" s="568">
        <f t="shared" si="16"/>
        <v>0</v>
      </c>
      <c r="U29" s="142">
        <f>IF(D29="BGE",$I$13*'2nd IA Load Pricing Results'!J48/'2nd IA Load Pricing Results'!$J$46,0)</f>
        <v>0</v>
      </c>
      <c r="V29" s="568">
        <f t="shared" si="3"/>
        <v>0</v>
      </c>
      <c r="W29" s="142">
        <f>IF(D29="PL",$I$14*'2nd IA Load Pricing Results'!J48/'2nd IA Load Pricing Results'!$J$59,0)</f>
        <v>0</v>
      </c>
      <c r="X29" s="569">
        <f t="shared" si="4"/>
        <v>0</v>
      </c>
      <c r="Y29" s="142">
        <f>IF(D29="DAYTON",$I$15*'2nd IA Load Pricing Results'!J48/'2nd IA Load Pricing Results'!$J$48,0)</f>
        <v>1966.719121822048</v>
      </c>
      <c r="Z29" s="570">
        <f>Y29*$Z$21</f>
        <v>0</v>
      </c>
      <c r="AA29" s="142">
        <f>IF(D29="DEOK",$I$16*'2nd IA Load Pricing Results'!J48/'2nd IA Load Pricing Results'!$J$49,0)</f>
        <v>0</v>
      </c>
      <c r="AB29" s="570">
        <f t="shared" si="6"/>
        <v>0</v>
      </c>
      <c r="AC29" s="571">
        <f t="shared" si="7"/>
        <v>1966.719121822048</v>
      </c>
      <c r="AD29" s="31">
        <f t="shared" si="8"/>
        <v>0</v>
      </c>
      <c r="AE29" s="154">
        <f>AD29/'2nd IA Load Pricing Results'!J48</f>
        <v>0</v>
      </c>
      <c r="AF29" s="154">
        <f t="shared" si="12"/>
        <v>0</v>
      </c>
      <c r="AG29" s="91" t="s">
        <v>21</v>
      </c>
    </row>
    <row r="30" spans="1:33" x14ac:dyDescent="0.2">
      <c r="A30" s="22" t="s">
        <v>50</v>
      </c>
      <c r="B30" s="91"/>
      <c r="C30" s="91"/>
      <c r="D30" s="91" t="s">
        <v>50</v>
      </c>
      <c r="E30" s="142">
        <f>IF(B30="MAAC",$I$5*'2nd IA Load Pricing Results'!J49/'2nd IA Load Pricing Results'!$B$14,0)</f>
        <v>0</v>
      </c>
      <c r="F30" s="568">
        <f>E30*$F$21</f>
        <v>0</v>
      </c>
      <c r="G30" s="142">
        <f>IF(C30="EMAAC",$I$6*'2nd IA Load Pricing Results'!J49/'2nd IA Load Pricing Results'!$B$15,0)</f>
        <v>0</v>
      </c>
      <c r="H30" s="568">
        <f t="shared" si="13"/>
        <v>0</v>
      </c>
      <c r="I30" s="142">
        <f>IF(C30="SWMAAC",$I$7*'2nd IA Load Pricing Results'!J49/'2nd IA Load Pricing Results'!$B$16,0)</f>
        <v>0</v>
      </c>
      <c r="J30" s="568">
        <f>I30*$J$21</f>
        <v>0</v>
      </c>
      <c r="K30" s="142">
        <f>IF(D30="PS",$I$8*'2nd IA Load Pricing Results'!J49/'2nd IA Load Pricing Results'!$J$60,0)</f>
        <v>0</v>
      </c>
      <c r="L30" s="568">
        <f t="shared" si="14"/>
        <v>0</v>
      </c>
      <c r="M30" s="142">
        <f>IF(D30="DPL",$I$9*'2nd IA Load Pricing Results'!J49/'2nd IA Load Pricing Results'!$J$52,0)</f>
        <v>0</v>
      </c>
      <c r="N30" s="568">
        <f t="shared" si="9"/>
        <v>0</v>
      </c>
      <c r="O30" s="142">
        <f>IF(D30="PEPCO",$I$10*'2nd IA Load Pricing Results'!J49/'2nd IA Load Pricing Results'!$J$58,0)</f>
        <v>0</v>
      </c>
      <c r="P30" s="568">
        <f t="shared" si="10"/>
        <v>0</v>
      </c>
      <c r="Q30" s="142">
        <f>IF(D30="ATSI",$I$11*'2nd IA Load Pricing Results'!J49/'2nd IA Load Pricing Results'!$J$45,0)</f>
        <v>0</v>
      </c>
      <c r="R30" s="568">
        <f t="shared" si="11"/>
        <v>0</v>
      </c>
      <c r="S30" s="142">
        <f>IF(D30="COMED",$I$12*'2nd IA Load Pricing Results'!J49/'2nd IA Load Pricing Results'!$J$47,0)</f>
        <v>0</v>
      </c>
      <c r="T30" s="568">
        <f t="shared" si="16"/>
        <v>0</v>
      </c>
      <c r="U30" s="142">
        <f>IF(D30="BGE",$I$13*'2nd IA Load Pricing Results'!J49/'2nd IA Load Pricing Results'!$J$46,0)</f>
        <v>0</v>
      </c>
      <c r="V30" s="568">
        <f t="shared" si="3"/>
        <v>0</v>
      </c>
      <c r="W30" s="142">
        <f>IF(D30="PL",$I$14*'2nd IA Load Pricing Results'!J49/'2nd IA Load Pricing Results'!$J$59,0)</f>
        <v>0</v>
      </c>
      <c r="X30" s="569">
        <f t="shared" si="4"/>
        <v>0</v>
      </c>
      <c r="Y30" s="142">
        <f>IF(D30="DAYTON",$I$15*'2nd IA Load Pricing Results'!J49/'2nd IA Load Pricing Results'!$J$48,0)</f>
        <v>0</v>
      </c>
      <c r="Z30" s="570">
        <f t="shared" si="5"/>
        <v>0</v>
      </c>
      <c r="AA30" s="142">
        <f>IF(D30="DEOK",$I$16*'2nd IA Load Pricing Results'!J49/'2nd IA Load Pricing Results'!$J$49,0)</f>
        <v>2065.7478099634718</v>
      </c>
      <c r="AB30" s="570">
        <f>AA30*$AB$21</f>
        <v>0</v>
      </c>
      <c r="AC30" s="571">
        <f t="shared" si="7"/>
        <v>2065.7478099634718</v>
      </c>
      <c r="AD30" s="31">
        <f t="shared" si="8"/>
        <v>0</v>
      </c>
      <c r="AE30" s="154">
        <f>AD30/'2nd IA Load Pricing Results'!J49</f>
        <v>0</v>
      </c>
      <c r="AF30" s="154">
        <f>IF(AC30=0,0,AD30/AC30)</f>
        <v>0</v>
      </c>
      <c r="AG30" s="91" t="s">
        <v>50</v>
      </c>
    </row>
    <row r="31" spans="1:33" x14ac:dyDescent="0.2">
      <c r="A31" s="22" t="s">
        <v>42</v>
      </c>
      <c r="B31" s="91"/>
      <c r="C31" s="91"/>
      <c r="D31" s="91"/>
      <c r="E31" s="142">
        <f>IF(B31="MAAC",$I$5*'2nd IA Load Pricing Results'!J50/'2nd IA Load Pricing Results'!$B$14,0)</f>
        <v>0</v>
      </c>
      <c r="F31" s="568">
        <f>E31*$F$21</f>
        <v>0</v>
      </c>
      <c r="G31" s="142">
        <f>IF(C31="EMAAC",$I$6*'2nd IA Load Pricing Results'!J50/'2nd IA Load Pricing Results'!$B$15,0)</f>
        <v>0</v>
      </c>
      <c r="H31" s="568">
        <f t="shared" si="13"/>
        <v>0</v>
      </c>
      <c r="I31" s="142">
        <f>IF(C31="SWMAAC",$I$7*'2nd IA Load Pricing Results'!J50/'2nd IA Load Pricing Results'!$B$16,0)</f>
        <v>0</v>
      </c>
      <c r="J31" s="568">
        <f>I31*$J$21</f>
        <v>0</v>
      </c>
      <c r="K31" s="142">
        <f>IF(D31="PS",$I$8*'2nd IA Load Pricing Results'!J50/'2nd IA Load Pricing Results'!$J$60,0)</f>
        <v>0</v>
      </c>
      <c r="L31" s="568">
        <f t="shared" si="14"/>
        <v>0</v>
      </c>
      <c r="M31" s="142">
        <f>IF(D31="DPL",$I$9*'2nd IA Load Pricing Results'!J50/'2nd IA Load Pricing Results'!$J$52,0)</f>
        <v>0</v>
      </c>
      <c r="N31" s="568">
        <f t="shared" si="9"/>
        <v>0</v>
      </c>
      <c r="O31" s="142">
        <f>IF(D31="PEPCO",$I$10*'2nd IA Load Pricing Results'!J50/'2nd IA Load Pricing Results'!$J$58,0)</f>
        <v>0</v>
      </c>
      <c r="P31" s="568">
        <f t="shared" si="10"/>
        <v>0</v>
      </c>
      <c r="Q31" s="142">
        <f>IF(D31="ATSI",$I$11*'2nd IA Load Pricing Results'!J50/'2nd IA Load Pricing Results'!$J$45,0)</f>
        <v>0</v>
      </c>
      <c r="R31" s="568">
        <f t="shared" si="11"/>
        <v>0</v>
      </c>
      <c r="S31" s="142">
        <f>IF(D31="COMED",$I$12*'2nd IA Load Pricing Results'!J50/'2nd IA Load Pricing Results'!$J$47,0)</f>
        <v>0</v>
      </c>
      <c r="T31" s="568">
        <f t="shared" si="16"/>
        <v>0</v>
      </c>
      <c r="U31" s="142">
        <f>IF(D31="BGE",$I$13*'2nd IA Load Pricing Results'!J50/'2nd IA Load Pricing Results'!$J$46,0)</f>
        <v>0</v>
      </c>
      <c r="V31" s="568">
        <f t="shared" si="3"/>
        <v>0</v>
      </c>
      <c r="W31" s="142">
        <f>IF(D31="PL",$I$14*'2nd IA Load Pricing Results'!J50/'2nd IA Load Pricing Results'!$J$59,0)</f>
        <v>0</v>
      </c>
      <c r="X31" s="569">
        <f t="shared" si="4"/>
        <v>0</v>
      </c>
      <c r="Y31" s="142">
        <f>IF(D31="DAYTON",$I$15*'2nd IA Load Pricing Results'!J50/'2nd IA Load Pricing Results'!$J$48,0)</f>
        <v>0</v>
      </c>
      <c r="Z31" s="570">
        <f t="shared" si="5"/>
        <v>0</v>
      </c>
      <c r="AA31" s="142">
        <f>IF(D31="DEOK",$I$16*'2nd IA Load Pricing Results'!J50/'2nd IA Load Pricing Results'!$J$49,0)</f>
        <v>0</v>
      </c>
      <c r="AB31" s="570">
        <f t="shared" si="6"/>
        <v>0</v>
      </c>
      <c r="AC31" s="571">
        <f t="shared" si="7"/>
        <v>0</v>
      </c>
      <c r="AD31" s="31">
        <f t="shared" si="8"/>
        <v>0</v>
      </c>
      <c r="AE31" s="154">
        <f>AD31/'2nd IA Load Pricing Results'!J50</f>
        <v>0</v>
      </c>
      <c r="AF31" s="154">
        <f t="shared" si="12"/>
        <v>0</v>
      </c>
      <c r="AG31" s="91" t="s">
        <v>42</v>
      </c>
    </row>
    <row r="32" spans="1:33" x14ac:dyDescent="0.2">
      <c r="A32" s="22" t="s">
        <v>30</v>
      </c>
      <c r="B32" s="91"/>
      <c r="C32" s="91"/>
      <c r="D32" s="91"/>
      <c r="E32" s="142">
        <f>IF(B32="MAAC",$I$5*'2nd IA Load Pricing Results'!J51/'2nd IA Load Pricing Results'!$B$14,0)</f>
        <v>0</v>
      </c>
      <c r="F32" s="568">
        <f t="shared" si="15"/>
        <v>0</v>
      </c>
      <c r="G32" s="142">
        <f>IF(C32="EMAAC",$I$6*'2nd IA Load Pricing Results'!J51/'2nd IA Load Pricing Results'!$B$15,0)</f>
        <v>0</v>
      </c>
      <c r="H32" s="568">
        <f t="shared" si="13"/>
        <v>0</v>
      </c>
      <c r="I32" s="142">
        <f>IF(C32="SWMAAC",$I$7*'2nd IA Load Pricing Results'!J51/'2nd IA Load Pricing Results'!$B$16,0)</f>
        <v>0</v>
      </c>
      <c r="J32" s="568">
        <f>I32*$J$21</f>
        <v>0</v>
      </c>
      <c r="K32" s="142">
        <f>IF(D32="PS",$I$8*'2nd IA Load Pricing Results'!J51/'2nd IA Load Pricing Results'!$J$60,0)</f>
        <v>0</v>
      </c>
      <c r="L32" s="568">
        <f t="shared" si="14"/>
        <v>0</v>
      </c>
      <c r="M32" s="142">
        <f>IF(D32="DPL",$I$9*'2nd IA Load Pricing Results'!J51/'2nd IA Load Pricing Results'!$J$52,0)</f>
        <v>0</v>
      </c>
      <c r="N32" s="568">
        <f t="shared" si="9"/>
        <v>0</v>
      </c>
      <c r="O32" s="142">
        <f>IF(D32="PEPCO",$I$10*'2nd IA Load Pricing Results'!J51/'2nd IA Load Pricing Results'!$J$58,0)</f>
        <v>0</v>
      </c>
      <c r="P32" s="568">
        <f t="shared" si="10"/>
        <v>0</v>
      </c>
      <c r="Q32" s="142">
        <f>IF(D32="ATSI",$I$11*'2nd IA Load Pricing Results'!J51/'2nd IA Load Pricing Results'!$J$45,0)</f>
        <v>0</v>
      </c>
      <c r="R32" s="568">
        <f t="shared" si="11"/>
        <v>0</v>
      </c>
      <c r="S32" s="142">
        <f>IF(D32="COMED",$I$12*'2nd IA Load Pricing Results'!J51/'2nd IA Load Pricing Results'!$J$47,0)</f>
        <v>0</v>
      </c>
      <c r="T32" s="568">
        <f t="shared" si="16"/>
        <v>0</v>
      </c>
      <c r="U32" s="142">
        <f>IF(D32="BGE",$I$13*'2nd IA Load Pricing Results'!J51/'2nd IA Load Pricing Results'!$J$46,0)</f>
        <v>0</v>
      </c>
      <c r="V32" s="568">
        <f t="shared" si="3"/>
        <v>0</v>
      </c>
      <c r="W32" s="142">
        <f>IF(D32="PL",$I$14*'2nd IA Load Pricing Results'!J51/'2nd IA Load Pricing Results'!$J$59,0)</f>
        <v>0</v>
      </c>
      <c r="X32" s="569">
        <f t="shared" si="4"/>
        <v>0</v>
      </c>
      <c r="Y32" s="142">
        <f>IF(D32="DAYTON",$I$15*'2nd IA Load Pricing Results'!J51/'2nd IA Load Pricing Results'!$J$48,0)</f>
        <v>0</v>
      </c>
      <c r="Z32" s="570">
        <f t="shared" si="5"/>
        <v>0</v>
      </c>
      <c r="AA32" s="142">
        <f>IF(D32="DEOK",$I$16*'2nd IA Load Pricing Results'!J51/'2nd IA Load Pricing Results'!$J$49,0)</f>
        <v>0</v>
      </c>
      <c r="AB32" s="570">
        <f t="shared" si="6"/>
        <v>0</v>
      </c>
      <c r="AC32" s="571">
        <f t="shared" si="7"/>
        <v>0</v>
      </c>
      <c r="AD32" s="31">
        <f t="shared" si="8"/>
        <v>0</v>
      </c>
      <c r="AE32" s="154">
        <f>AD32/'2nd IA Load Pricing Results'!J51</f>
        <v>0</v>
      </c>
      <c r="AF32" s="154">
        <f t="shared" si="12"/>
        <v>0</v>
      </c>
      <c r="AG32" s="91" t="s">
        <v>30</v>
      </c>
    </row>
    <row r="33" spans="1:33" x14ac:dyDescent="0.2">
      <c r="A33" s="22" t="s">
        <v>17</v>
      </c>
      <c r="B33" s="91" t="s">
        <v>28</v>
      </c>
      <c r="C33" s="91" t="s">
        <v>33</v>
      </c>
      <c r="D33" s="91" t="s">
        <v>17</v>
      </c>
      <c r="E33" s="142">
        <f>IF(B33="MAAC",$I$5*'2nd IA Load Pricing Results'!J52/'2nd IA Load Pricing Results'!$B$14,0)</f>
        <v>-18.071978259885867</v>
      </c>
      <c r="F33" s="568">
        <f t="shared" si="15"/>
        <v>0</v>
      </c>
      <c r="G33" s="142">
        <f>IF(C33="EMAAC",$I$6*'2nd IA Load Pricing Results'!J52/'2nd IA Load Pricing Results'!$B$15,0)</f>
        <v>607.35083140202448</v>
      </c>
      <c r="H33" s="568">
        <f>G33*$H$21</f>
        <v>15531.268432032823</v>
      </c>
      <c r="I33" s="142">
        <f>IF(C33="SWMAAC",$I$7*'2nd IA Load Pricing Results'!J52/'2nd IA Load Pricing Results'!$B$16,0)</f>
        <v>0</v>
      </c>
      <c r="J33" s="568">
        <f t="shared" si="17"/>
        <v>0</v>
      </c>
      <c r="K33" s="142">
        <f>IF(D33="PS",$I$8*'2nd IA Load Pricing Results'!J52/'2nd IA Load Pricing Results'!$J$60,0)</f>
        <v>0</v>
      </c>
      <c r="L33" s="568">
        <f t="shared" si="14"/>
        <v>0</v>
      </c>
      <c r="M33" s="142">
        <f>IF(D33="DPL",$I$9*'2nd IA Load Pricing Results'!J52/'2nd IA Load Pricing Results'!$J$52,0)</f>
        <v>-1028.2574472308506</v>
      </c>
      <c r="N33" s="568">
        <f>M33*$N$21</f>
        <v>0</v>
      </c>
      <c r="O33" s="142">
        <f>IF(D33="PEPCO",$I$10*'2nd IA Load Pricing Results'!J52/'2nd IA Load Pricing Results'!$J$58,0)</f>
        <v>0</v>
      </c>
      <c r="P33" s="568">
        <f t="shared" si="10"/>
        <v>0</v>
      </c>
      <c r="Q33" s="142">
        <f>IF(D33="ATSI",$I$11*'2nd IA Load Pricing Results'!J52/'2nd IA Load Pricing Results'!$J$45,0)</f>
        <v>0</v>
      </c>
      <c r="R33" s="568">
        <f t="shared" si="11"/>
        <v>0</v>
      </c>
      <c r="S33" s="142">
        <f>IF(D33="COMED",$I$12*'2nd IA Load Pricing Results'!J52/'2nd IA Load Pricing Results'!$J$47,0)</f>
        <v>0</v>
      </c>
      <c r="T33" s="568">
        <f t="shared" si="16"/>
        <v>0</v>
      </c>
      <c r="U33" s="142">
        <f>IF(D33="BGE",$I$13*'2nd IA Load Pricing Results'!J52/'2nd IA Load Pricing Results'!$J$46,0)</f>
        <v>0</v>
      </c>
      <c r="V33" s="568">
        <f t="shared" si="3"/>
        <v>0</v>
      </c>
      <c r="W33" s="142">
        <f>IF(D33="PL",$I$14*'2nd IA Load Pricing Results'!J52/'2nd IA Load Pricing Results'!$J$59,0)</f>
        <v>0</v>
      </c>
      <c r="X33" s="569">
        <f t="shared" si="4"/>
        <v>0</v>
      </c>
      <c r="Y33" s="142">
        <f>IF(D33="DAYTON",$I$15*'2nd IA Load Pricing Results'!J52/'2nd IA Load Pricing Results'!$J$48,0)</f>
        <v>0</v>
      </c>
      <c r="Z33" s="570">
        <f t="shared" si="5"/>
        <v>0</v>
      </c>
      <c r="AA33" s="142">
        <f>IF(D33="DEOK",$I$16*'2nd IA Load Pricing Results'!J52/'2nd IA Load Pricing Results'!$J$49,0)</f>
        <v>0</v>
      </c>
      <c r="AB33" s="570">
        <f t="shared" si="6"/>
        <v>0</v>
      </c>
      <c r="AC33" s="571">
        <f t="shared" si="7"/>
        <v>1028.2574472308506</v>
      </c>
      <c r="AD33" s="31">
        <f t="shared" si="8"/>
        <v>15531.268432032823</v>
      </c>
      <c r="AE33" s="154">
        <f>AD33/'2nd IA Load Pricing Results'!J52</f>
        <v>3.4433259968909367</v>
      </c>
      <c r="AF33" s="154">
        <f t="shared" si="12"/>
        <v>15.104455089393532</v>
      </c>
      <c r="AG33" s="91" t="s">
        <v>17</v>
      </c>
    </row>
    <row r="34" spans="1:33" x14ac:dyDescent="0.2">
      <c r="A34" s="22" t="s">
        <v>116</v>
      </c>
      <c r="B34" s="91"/>
      <c r="C34" s="91"/>
      <c r="D34" s="91"/>
      <c r="E34" s="142">
        <f>IF(B34="MAAC",$I$5*'2nd IA Load Pricing Results'!J53/'2nd IA Load Pricing Results'!$B$14,0)</f>
        <v>0</v>
      </c>
      <c r="F34" s="568">
        <f>E34*$F$21</f>
        <v>0</v>
      </c>
      <c r="G34" s="142">
        <f>IF(C34="EMAAC",$I$6*'2nd IA Load Pricing Results'!J53/'2nd IA Load Pricing Results'!$B$15,0)</f>
        <v>0</v>
      </c>
      <c r="H34" s="568">
        <f t="shared" si="13"/>
        <v>0</v>
      </c>
      <c r="I34" s="142">
        <f>IF(C34="SWMAAC",$I$7*'2nd IA Load Pricing Results'!J53/'2nd IA Load Pricing Results'!$B$16,0)</f>
        <v>0</v>
      </c>
      <c r="J34" s="568">
        <f>I34*$J$21</f>
        <v>0</v>
      </c>
      <c r="K34" s="142">
        <f>IF(D34="PS",$I$8*'2nd IA Load Pricing Results'!J53/'2nd IA Load Pricing Results'!$J$60,0)</f>
        <v>0</v>
      </c>
      <c r="L34" s="568">
        <f>K34*$L$21</f>
        <v>0</v>
      </c>
      <c r="M34" s="142">
        <f>IF(D34="DPL",$I$9*'2nd IA Load Pricing Results'!J53/'2nd IA Load Pricing Results'!$J$52,0)</f>
        <v>0</v>
      </c>
      <c r="N34" s="568">
        <f t="shared" si="9"/>
        <v>0</v>
      </c>
      <c r="O34" s="142">
        <f>IF(D34="PEPCO",$I$10*'2nd IA Load Pricing Results'!J53/'2nd IA Load Pricing Results'!$J$58,0)</f>
        <v>0</v>
      </c>
      <c r="P34" s="568">
        <f>O34*$P$21</f>
        <v>0</v>
      </c>
      <c r="Q34" s="142">
        <f>IF(D34="ATSI",$I$11*'2nd IA Load Pricing Results'!J53/'2nd IA Load Pricing Results'!$J$45,0)</f>
        <v>0</v>
      </c>
      <c r="R34" s="568">
        <f>Q34*$R$21</f>
        <v>0</v>
      </c>
      <c r="S34" s="142">
        <f>IF(D34="COMED",$I$12*'2nd IA Load Pricing Results'!J53/'2nd IA Load Pricing Results'!$J$47,0)</f>
        <v>0</v>
      </c>
      <c r="T34" s="568">
        <f t="shared" si="16"/>
        <v>0</v>
      </c>
      <c r="U34" s="142">
        <f>IF(D34="BGE",$I$13*'2nd IA Load Pricing Results'!J53/'2nd IA Load Pricing Results'!$J$46,0)</f>
        <v>0</v>
      </c>
      <c r="V34" s="568">
        <f t="shared" si="3"/>
        <v>0</v>
      </c>
      <c r="W34" s="142">
        <f>IF(D34="PL",$I$14*'2nd IA Load Pricing Results'!J53/'2nd IA Load Pricing Results'!$J$59,0)</f>
        <v>0</v>
      </c>
      <c r="X34" s="569">
        <f t="shared" si="4"/>
        <v>0</v>
      </c>
      <c r="Y34" s="142">
        <f>IF(D34="DAYTON",$I$15*'2nd IA Load Pricing Results'!J53/'2nd IA Load Pricing Results'!$J$48,0)</f>
        <v>0</v>
      </c>
      <c r="Z34" s="570">
        <f t="shared" si="5"/>
        <v>0</v>
      </c>
      <c r="AA34" s="142">
        <f>IF(D34="DEOK",$I$16*'2nd IA Load Pricing Results'!J53/'2nd IA Load Pricing Results'!$J$49,0)</f>
        <v>0</v>
      </c>
      <c r="AB34" s="570">
        <f t="shared" si="6"/>
        <v>0</v>
      </c>
      <c r="AC34" s="571">
        <f t="shared" si="7"/>
        <v>0</v>
      </c>
      <c r="AD34" s="31">
        <f t="shared" si="8"/>
        <v>0</v>
      </c>
      <c r="AE34" s="154">
        <f>AD34/'2nd IA Load Pricing Results'!J53</f>
        <v>0</v>
      </c>
      <c r="AF34" s="154">
        <f>IF(AC34=0,0,AD34/AC34)</f>
        <v>0</v>
      </c>
      <c r="AG34" s="91" t="s">
        <v>116</v>
      </c>
    </row>
    <row r="35" spans="1:33" x14ac:dyDescent="0.2">
      <c r="A35" s="22" t="s">
        <v>12</v>
      </c>
      <c r="B35" s="91" t="s">
        <v>28</v>
      </c>
      <c r="C35" s="91" t="s">
        <v>33</v>
      </c>
      <c r="D35" s="91"/>
      <c r="E35" s="142">
        <f>IF(B35="MAAC",$I$5*'2nd IA Load Pricing Results'!J54/'2nd IA Load Pricing Results'!$B$14,0)</f>
        <v>-26.681517981493787</v>
      </c>
      <c r="F35" s="568">
        <f t="shared" si="15"/>
        <v>0</v>
      </c>
      <c r="G35" s="142">
        <f>IF(C35="EMAAC",$I$6*'2nd IA Load Pricing Results'!J54/'2nd IA Load Pricing Results'!$B$15,0)</f>
        <v>896.69442360377548</v>
      </c>
      <c r="H35" s="568">
        <f>G35*$H$21</f>
        <v>22930.407063654122</v>
      </c>
      <c r="I35" s="142">
        <f>IF(C35="SWMAAC",$I$7*'2nd IA Load Pricing Results'!J54/'2nd IA Load Pricing Results'!$B$16,0)</f>
        <v>0</v>
      </c>
      <c r="J35" s="568">
        <f t="shared" si="17"/>
        <v>0</v>
      </c>
      <c r="K35" s="142">
        <f>IF(D35="PS",$I$8*'2nd IA Load Pricing Results'!J54/'2nd IA Load Pricing Results'!$J$60,0)</f>
        <v>0</v>
      </c>
      <c r="L35" s="568">
        <f t="shared" si="14"/>
        <v>0</v>
      </c>
      <c r="M35" s="142">
        <f>IF(D35="DPL",$I$9*'2nd IA Load Pricing Results'!J54/'2nd IA Load Pricing Results'!$J$52,0)</f>
        <v>0</v>
      </c>
      <c r="N35" s="568">
        <f t="shared" si="9"/>
        <v>0</v>
      </c>
      <c r="O35" s="142">
        <f>IF(D35="PEPCO",$I$10*'2nd IA Load Pricing Results'!J54/'2nd IA Load Pricing Results'!$J$58,0)</f>
        <v>0</v>
      </c>
      <c r="P35" s="568">
        <f t="shared" si="10"/>
        <v>0</v>
      </c>
      <c r="Q35" s="142">
        <f>IF(D35="ATSI",$I$11*'2nd IA Load Pricing Results'!J54/'2nd IA Load Pricing Results'!$J$45,0)</f>
        <v>0</v>
      </c>
      <c r="R35" s="568">
        <f t="shared" si="11"/>
        <v>0</v>
      </c>
      <c r="S35" s="142">
        <f>IF(D35="COMED",$I$12*'2nd IA Load Pricing Results'!J54/'2nd IA Load Pricing Results'!$J$47,0)</f>
        <v>0</v>
      </c>
      <c r="T35" s="568">
        <f t="shared" si="16"/>
        <v>0</v>
      </c>
      <c r="U35" s="142">
        <f>IF(D35="BGE",$I$13*'2nd IA Load Pricing Results'!J54/'2nd IA Load Pricing Results'!$J$46,0)</f>
        <v>0</v>
      </c>
      <c r="V35" s="568">
        <f t="shared" si="3"/>
        <v>0</v>
      </c>
      <c r="W35" s="142">
        <f>IF(D35="PL",$I$14*'2nd IA Load Pricing Results'!J54/'2nd IA Load Pricing Results'!$J$59,0)</f>
        <v>0</v>
      </c>
      <c r="X35" s="569">
        <f>W35*$X$21</f>
        <v>0</v>
      </c>
      <c r="Y35" s="142">
        <f>IF(D35="DAYTON",$I$15*'2nd IA Load Pricing Results'!J54/'2nd IA Load Pricing Results'!$J$48,0)</f>
        <v>0</v>
      </c>
      <c r="Z35" s="570">
        <f t="shared" si="5"/>
        <v>0</v>
      </c>
      <c r="AA35" s="142">
        <f>IF(D35="DEOK",$I$16*'2nd IA Load Pricing Results'!J54/'2nd IA Load Pricing Results'!$J$49,0)</f>
        <v>0</v>
      </c>
      <c r="AB35" s="570">
        <f t="shared" si="6"/>
        <v>0</v>
      </c>
      <c r="AC35" s="571">
        <f t="shared" si="7"/>
        <v>896.69442360377548</v>
      </c>
      <c r="AD35" s="31">
        <f t="shared" si="8"/>
        <v>22930.407063654122</v>
      </c>
      <c r="AE35" s="154">
        <f>AD35/'2nd IA Load Pricing Results'!J54</f>
        <v>3.4433259968909367</v>
      </c>
      <c r="AF35" s="154">
        <f t="shared" si="12"/>
        <v>25.572153076962188</v>
      </c>
      <c r="AG35" s="91" t="s">
        <v>12</v>
      </c>
    </row>
    <row r="36" spans="1:33" x14ac:dyDescent="0.2">
      <c r="A36" s="22" t="s">
        <v>13</v>
      </c>
      <c r="B36" s="91" t="s">
        <v>28</v>
      </c>
      <c r="C36" s="91"/>
      <c r="D36" s="91"/>
      <c r="E36" s="142">
        <f>IF(B36="MAAC",$I$5*'2nd IA Load Pricing Results'!J55/'2nd IA Load Pricing Results'!$B$14,0)</f>
        <v>-13.58004449209043</v>
      </c>
      <c r="F36" s="568">
        <f t="shared" si="15"/>
        <v>0</v>
      </c>
      <c r="G36" s="142">
        <f>IF(C36="EMAAC",$I$6*'2nd IA Load Pricing Results'!J55/'2nd IA Load Pricing Results'!$B$15,0)</f>
        <v>0</v>
      </c>
      <c r="H36" s="568">
        <f>G36*$H$21</f>
        <v>0</v>
      </c>
      <c r="I36" s="142">
        <f>IF(C36="SWMAAC",$I$7*'2nd IA Load Pricing Results'!J55/'2nd IA Load Pricing Results'!$B$16,0)</f>
        <v>0</v>
      </c>
      <c r="J36" s="568">
        <f t="shared" si="17"/>
        <v>0</v>
      </c>
      <c r="K36" s="142">
        <f>IF(D36="PS",$I$8*'2nd IA Load Pricing Results'!J55/'2nd IA Load Pricing Results'!$J$60,0)</f>
        <v>0</v>
      </c>
      <c r="L36" s="568">
        <f t="shared" si="14"/>
        <v>0</v>
      </c>
      <c r="M36" s="142">
        <f>IF(D36="DPL",$I$9*'2nd IA Load Pricing Results'!J55/'2nd IA Load Pricing Results'!$J$52,0)</f>
        <v>0</v>
      </c>
      <c r="N36" s="568">
        <f t="shared" si="9"/>
        <v>0</v>
      </c>
      <c r="O36" s="142">
        <f>IF(D36="PEPCO",$I$10*'2nd IA Load Pricing Results'!J55/'2nd IA Load Pricing Results'!$J$58,0)</f>
        <v>0</v>
      </c>
      <c r="P36" s="568">
        <f t="shared" si="10"/>
        <v>0</v>
      </c>
      <c r="Q36" s="142">
        <f>IF(D36="ATSI",$I$11*'2nd IA Load Pricing Results'!J55/'2nd IA Load Pricing Results'!$J$45,0)</f>
        <v>0</v>
      </c>
      <c r="R36" s="568">
        <f t="shared" si="11"/>
        <v>0</v>
      </c>
      <c r="S36" s="142">
        <f>IF(D36="COMED",$I$12*'2nd IA Load Pricing Results'!J55/'2nd IA Load Pricing Results'!$J$47,0)</f>
        <v>0</v>
      </c>
      <c r="T36" s="568">
        <f t="shared" si="16"/>
        <v>0</v>
      </c>
      <c r="U36" s="142">
        <f>IF(D36="BGE",$I$13*'2nd IA Load Pricing Results'!J55/'2nd IA Load Pricing Results'!$J$46,0)</f>
        <v>0</v>
      </c>
      <c r="V36" s="568">
        <f t="shared" si="3"/>
        <v>0</v>
      </c>
      <c r="W36" s="142">
        <f>IF(D36="PL",$I$14*'2nd IA Load Pricing Results'!J55/'2nd IA Load Pricing Results'!$J$59,0)</f>
        <v>0</v>
      </c>
      <c r="X36" s="569">
        <f>W36*$X$21</f>
        <v>0</v>
      </c>
      <c r="Y36" s="142">
        <f>IF(D36="DAYTON",$I$15*'2nd IA Load Pricing Results'!J55/'2nd IA Load Pricing Results'!$J$48,0)</f>
        <v>0</v>
      </c>
      <c r="Z36" s="570">
        <f t="shared" si="5"/>
        <v>0</v>
      </c>
      <c r="AA36" s="142">
        <f>IF(D36="DEOK",$I$16*'2nd IA Load Pricing Results'!J55/'2nd IA Load Pricing Results'!$J$49,0)</f>
        <v>0</v>
      </c>
      <c r="AB36" s="570">
        <f t="shared" si="6"/>
        <v>0</v>
      </c>
      <c r="AC36" s="571">
        <f t="shared" si="7"/>
        <v>13.58004449209043</v>
      </c>
      <c r="AD36" s="31">
        <f t="shared" si="8"/>
        <v>0</v>
      </c>
      <c r="AE36" s="154">
        <f>AD36/'2nd IA Load Pricing Results'!J55</f>
        <v>0</v>
      </c>
      <c r="AF36" s="572">
        <f t="shared" si="12"/>
        <v>0</v>
      </c>
      <c r="AG36" s="91" t="s">
        <v>13</v>
      </c>
    </row>
    <row r="37" spans="1:33" x14ac:dyDescent="0.2">
      <c r="A37" s="22" t="s">
        <v>9</v>
      </c>
      <c r="B37" s="91" t="s">
        <v>28</v>
      </c>
      <c r="C37" s="91" t="s">
        <v>33</v>
      </c>
      <c r="D37" s="91"/>
      <c r="E37" s="142">
        <f>IF(B37="MAAC",$I$5*'2nd IA Load Pricing Results'!J56/'2nd IA Load Pricing Results'!$B$14,0)</f>
        <v>-37.99664228264939</v>
      </c>
      <c r="F37" s="568">
        <f t="shared" si="15"/>
        <v>0</v>
      </c>
      <c r="G37" s="142">
        <f>IF(C37="EMAAC",$I$6*'2nd IA Load Pricing Results'!J56/'2nd IA Load Pricing Results'!$B$15,0)</f>
        <v>1276.9654737841729</v>
      </c>
      <c r="H37" s="568">
        <f>G37*$H$21</f>
        <v>32654.756569604415</v>
      </c>
      <c r="I37" s="142">
        <f>IF(C37="SWMAAC",$I$7*'2nd IA Load Pricing Results'!J56/'2nd IA Load Pricing Results'!$B$16,0)</f>
        <v>0</v>
      </c>
      <c r="J37" s="568">
        <f t="shared" si="17"/>
        <v>0</v>
      </c>
      <c r="K37" s="142">
        <f>IF(D37="PS",$I$8*'2nd IA Load Pricing Results'!J56/'2nd IA Load Pricing Results'!$J$60,0)</f>
        <v>0</v>
      </c>
      <c r="L37" s="568">
        <f t="shared" si="14"/>
        <v>0</v>
      </c>
      <c r="M37" s="142">
        <f>IF(D37="DPL",$I$9*'2nd IA Load Pricing Results'!J56/'2nd IA Load Pricing Results'!$J$52,0)</f>
        <v>0</v>
      </c>
      <c r="N37" s="568">
        <f t="shared" si="9"/>
        <v>0</v>
      </c>
      <c r="O37" s="142">
        <f>IF(D37="PEPCO",$I$10*'2nd IA Load Pricing Results'!J56/'2nd IA Load Pricing Results'!$J$58,0)</f>
        <v>0</v>
      </c>
      <c r="P37" s="568">
        <f t="shared" si="10"/>
        <v>0</v>
      </c>
      <c r="Q37" s="142">
        <f>IF(D37="ATSI",$I$11*'2nd IA Load Pricing Results'!J56/'2nd IA Load Pricing Results'!$J$45,0)</f>
        <v>0</v>
      </c>
      <c r="R37" s="568">
        <f t="shared" si="11"/>
        <v>0</v>
      </c>
      <c r="S37" s="142">
        <f>IF(D37="COMED",$I$12*'2nd IA Load Pricing Results'!J56/'2nd IA Load Pricing Results'!$J$47,0)</f>
        <v>0</v>
      </c>
      <c r="T37" s="568">
        <f t="shared" si="16"/>
        <v>0</v>
      </c>
      <c r="U37" s="142">
        <f>IF(D37="BGE",$I$13*'2nd IA Load Pricing Results'!J56/'2nd IA Load Pricing Results'!$J$46,0)</f>
        <v>0</v>
      </c>
      <c r="V37" s="568">
        <f t="shared" si="3"/>
        <v>0</v>
      </c>
      <c r="W37" s="142">
        <f>IF(D37="PL",$I$14*'2nd IA Load Pricing Results'!J56/'2nd IA Load Pricing Results'!$J$59,0)</f>
        <v>0</v>
      </c>
      <c r="X37" s="569">
        <f t="shared" si="4"/>
        <v>0</v>
      </c>
      <c r="Y37" s="142">
        <f>IF(D37="DAYTON",$I$15*'2nd IA Load Pricing Results'!J56/'2nd IA Load Pricing Results'!$J$48,0)</f>
        <v>0</v>
      </c>
      <c r="Z37" s="570">
        <f t="shared" si="5"/>
        <v>0</v>
      </c>
      <c r="AA37" s="142">
        <f>IF(D37="DEOK",$I$16*'2nd IA Load Pricing Results'!J56/'2nd IA Load Pricing Results'!$J$49,0)</f>
        <v>0</v>
      </c>
      <c r="AB37" s="570">
        <f t="shared" si="6"/>
        <v>0</v>
      </c>
      <c r="AC37" s="571">
        <f t="shared" si="7"/>
        <v>1276.9654737841729</v>
      </c>
      <c r="AD37" s="31">
        <f>F37+H37+J37+L37+N37+P37+R37+T37+V37+X37+Z37+AB37</f>
        <v>32654.756569604415</v>
      </c>
      <c r="AE37" s="154">
        <f>AD37/'2nd IA Load Pricing Results'!J56</f>
        <v>3.4433259968909375</v>
      </c>
      <c r="AF37" s="154">
        <f t="shared" si="12"/>
        <v>25.572153076962188</v>
      </c>
      <c r="AG37" s="91" t="s">
        <v>9</v>
      </c>
    </row>
    <row r="38" spans="1:33" x14ac:dyDescent="0.2">
      <c r="A38" s="22" t="s">
        <v>14</v>
      </c>
      <c r="B38" s="91" t="s">
        <v>28</v>
      </c>
      <c r="C38" s="91"/>
      <c r="D38" s="91"/>
      <c r="E38" s="142">
        <f>IF(B38="MAAC",$I$5*'2nd IA Load Pricing Results'!J57/'2nd IA Load Pricing Results'!$B$14,0)</f>
        <v>-12.774528943013186</v>
      </c>
      <c r="F38" s="568">
        <f t="shared" si="15"/>
        <v>0</v>
      </c>
      <c r="G38" s="142">
        <f>IF(C38="EMAAC",$I$6*'2nd IA Load Pricing Results'!J57/'2nd IA Load Pricing Results'!$B$15,0)</f>
        <v>0</v>
      </c>
      <c r="H38" s="568">
        <f t="shared" si="13"/>
        <v>0</v>
      </c>
      <c r="I38" s="142">
        <f>IF(C38="SWMAAC",$I$7*'2nd IA Load Pricing Results'!J57/'2nd IA Load Pricing Results'!$B$16,0)</f>
        <v>0</v>
      </c>
      <c r="J38" s="568">
        <f t="shared" si="17"/>
        <v>0</v>
      </c>
      <c r="K38" s="142">
        <f>IF(D38="PS",$I$8*'2nd IA Load Pricing Results'!J57/'2nd IA Load Pricing Results'!$J$60,0)</f>
        <v>0</v>
      </c>
      <c r="L38" s="568">
        <f t="shared" si="14"/>
        <v>0</v>
      </c>
      <c r="M38" s="142">
        <f>IF(D38="DPL",$I$9*'2nd IA Load Pricing Results'!J57/'2nd IA Load Pricing Results'!$J$52,0)</f>
        <v>0</v>
      </c>
      <c r="N38" s="568">
        <f t="shared" si="9"/>
        <v>0</v>
      </c>
      <c r="O38" s="142">
        <f>IF(D38="PEPCO",$I$10*'2nd IA Load Pricing Results'!J57/'2nd IA Load Pricing Results'!$J$58,0)</f>
        <v>0</v>
      </c>
      <c r="P38" s="568">
        <f t="shared" si="10"/>
        <v>0</v>
      </c>
      <c r="Q38" s="142">
        <f>IF(D38="ATSI",$I$11*'2nd IA Load Pricing Results'!J57/'2nd IA Load Pricing Results'!$J$45,0)</f>
        <v>0</v>
      </c>
      <c r="R38" s="568">
        <f t="shared" si="11"/>
        <v>0</v>
      </c>
      <c r="S38" s="142">
        <f>IF(D38="COMED",$I$12*'2nd IA Load Pricing Results'!J57/'2nd IA Load Pricing Results'!$J$47,0)</f>
        <v>0</v>
      </c>
      <c r="T38" s="568">
        <f t="shared" si="16"/>
        <v>0</v>
      </c>
      <c r="U38" s="142">
        <f>IF(D38="BGE",$I$13*'2nd IA Load Pricing Results'!J57/'2nd IA Load Pricing Results'!$J$46,0)</f>
        <v>0</v>
      </c>
      <c r="V38" s="568">
        <f t="shared" si="3"/>
        <v>0</v>
      </c>
      <c r="W38" s="142">
        <f>IF(D38="PL",$I$14*'2nd IA Load Pricing Results'!J57/'2nd IA Load Pricing Results'!$J$59,0)</f>
        <v>0</v>
      </c>
      <c r="X38" s="569">
        <f t="shared" si="4"/>
        <v>0</v>
      </c>
      <c r="Y38" s="142">
        <f>IF(D38="DAYTON",$I$15*'2nd IA Load Pricing Results'!J57/'2nd IA Load Pricing Results'!$J$48,0)</f>
        <v>0</v>
      </c>
      <c r="Z38" s="570">
        <f t="shared" si="5"/>
        <v>0</v>
      </c>
      <c r="AA38" s="142">
        <f>IF(D38="DEOK",$I$16*'2nd IA Load Pricing Results'!J57/'2nd IA Load Pricing Results'!$J$49,0)</f>
        <v>0</v>
      </c>
      <c r="AB38" s="570">
        <f t="shared" si="6"/>
        <v>0</v>
      </c>
      <c r="AC38" s="571">
        <f t="shared" si="7"/>
        <v>12.774528943013186</v>
      </c>
      <c r="AD38" s="31">
        <f t="shared" si="8"/>
        <v>0</v>
      </c>
      <c r="AE38" s="154">
        <f>AD38/'2nd IA Load Pricing Results'!J57</f>
        <v>0</v>
      </c>
      <c r="AF38" s="572">
        <f t="shared" si="12"/>
        <v>0</v>
      </c>
      <c r="AG38" s="91" t="s">
        <v>14</v>
      </c>
    </row>
    <row r="39" spans="1:33" x14ac:dyDescent="0.2">
      <c r="A39" s="22" t="s">
        <v>15</v>
      </c>
      <c r="B39" s="91" t="s">
        <v>28</v>
      </c>
      <c r="C39" s="91" t="s">
        <v>5</v>
      </c>
      <c r="D39" s="91" t="s">
        <v>15</v>
      </c>
      <c r="E39" s="142">
        <f>IF(B39="MAAC",$I$5*'2nd IA Load Pricing Results'!J58/'2nd IA Load Pricing Results'!$B$14,0)</f>
        <v>-27.790286443164817</v>
      </c>
      <c r="F39" s="568">
        <f t="shared" si="15"/>
        <v>0</v>
      </c>
      <c r="G39" s="142">
        <f>IF(C39="EMAAC",$I$6*'2nd IA Load Pricing Results'!J58/'2nd IA Load Pricing Results'!$B$15,0)</f>
        <v>0</v>
      </c>
      <c r="H39" s="568">
        <f t="shared" si="13"/>
        <v>0</v>
      </c>
      <c r="I39" s="142">
        <f>IF(C39="SWMAAC",$I$7*'2nd IA Load Pricing Results'!J58/'2nd IA Load Pricing Results'!$B$16,0)</f>
        <v>2323.0941072481642</v>
      </c>
      <c r="J39" s="568">
        <f>I39*$J$21</f>
        <v>0</v>
      </c>
      <c r="K39" s="142">
        <f>IF(D39="PS",$I$8*'2nd IA Load Pricing Results'!J58/'2nd IA Load Pricing Results'!$J$60,0)</f>
        <v>0</v>
      </c>
      <c r="L39" s="568">
        <f t="shared" si="14"/>
        <v>0</v>
      </c>
      <c r="M39" s="142">
        <f>IF(D39="DPL",$I$9*'2nd IA Load Pricing Results'!J58/'2nd IA Load Pricing Results'!$J$52,0)</f>
        <v>0</v>
      </c>
      <c r="N39" s="568">
        <f>M39*$N$21</f>
        <v>0</v>
      </c>
      <c r="O39" s="142">
        <f>IF(D39="PEPCO",$I$10*'2nd IA Load Pricing Results'!J58/'2nd IA Load Pricing Results'!$J$58,0)</f>
        <v>2015.8122370191559</v>
      </c>
      <c r="P39" s="568">
        <f>O39*$P$21</f>
        <v>0</v>
      </c>
      <c r="Q39" s="142">
        <f>IF(D39="ATSI",$I$11*'2nd IA Load Pricing Results'!J58/'2nd IA Load Pricing Results'!$J$45,0)</f>
        <v>0</v>
      </c>
      <c r="R39" s="568">
        <f>Q39*$R$21</f>
        <v>0</v>
      </c>
      <c r="S39" s="142">
        <f>IF(D39="COMED",$I$12*'2nd IA Load Pricing Results'!J58/'2nd IA Load Pricing Results'!$J$47,0)</f>
        <v>0</v>
      </c>
      <c r="T39" s="568">
        <f t="shared" si="16"/>
        <v>0</v>
      </c>
      <c r="U39" s="142">
        <f>IF(D39="BGE",$I$13*'2nd IA Load Pricing Results'!J58/'2nd IA Load Pricing Results'!$J$46,0)</f>
        <v>0</v>
      </c>
      <c r="V39" s="568">
        <f t="shared" si="3"/>
        <v>0</v>
      </c>
      <c r="W39" s="142">
        <f>IF(D39="PL",$I$14*'2nd IA Load Pricing Results'!J58/'2nd IA Load Pricing Results'!$J$59,0)</f>
        <v>0</v>
      </c>
      <c r="X39" s="569">
        <f>W39*$X$21</f>
        <v>0</v>
      </c>
      <c r="Y39" s="142">
        <f>IF(D39="DAYTON",$I$15*'2nd IA Load Pricing Results'!J58/'2nd IA Load Pricing Results'!$J$48,0)</f>
        <v>0</v>
      </c>
      <c r="Z39" s="570">
        <f t="shared" si="5"/>
        <v>0</v>
      </c>
      <c r="AA39" s="142">
        <f>IF(D39="DEOK",$I$16*'2nd IA Load Pricing Results'!J58/'2nd IA Load Pricing Results'!$J$49,0)</f>
        <v>0</v>
      </c>
      <c r="AB39" s="570">
        <f t="shared" si="6"/>
        <v>0</v>
      </c>
      <c r="AC39" s="571">
        <f t="shared" si="7"/>
        <v>2323.0941072481642</v>
      </c>
      <c r="AD39" s="31">
        <f t="shared" si="8"/>
        <v>0</v>
      </c>
      <c r="AE39" s="154">
        <f>AD39/'2nd IA Load Pricing Results'!J58</f>
        <v>0</v>
      </c>
      <c r="AF39" s="154">
        <f t="shared" si="12"/>
        <v>0</v>
      </c>
      <c r="AG39" s="91" t="s">
        <v>15</v>
      </c>
    </row>
    <row r="40" spans="1:33" x14ac:dyDescent="0.2">
      <c r="A40" s="22" t="s">
        <v>10</v>
      </c>
      <c r="B40" s="91" t="s">
        <v>28</v>
      </c>
      <c r="C40" s="91"/>
      <c r="D40" s="91" t="s">
        <v>10</v>
      </c>
      <c r="E40" s="142">
        <f>IF(B40="MAAC",$I$5*'2nd IA Load Pricing Results'!J59/'2nd IA Load Pricing Results'!$B$14,0)</f>
        <v>-33.206193929019442</v>
      </c>
      <c r="F40" s="568">
        <f t="shared" si="15"/>
        <v>0</v>
      </c>
      <c r="G40" s="142">
        <f>IF(C40="EMAAC",$I$6*'2nd IA Load Pricing Results'!J59/'2nd IA Load Pricing Results'!$B$15,0)</f>
        <v>0</v>
      </c>
      <c r="H40" s="568">
        <f t="shared" si="13"/>
        <v>0</v>
      </c>
      <c r="I40" s="142">
        <f>IF(C40="SWMAAC",$I$7*'2nd IA Load Pricing Results'!J59/'2nd IA Load Pricing Results'!$B$16,0)</f>
        <v>0</v>
      </c>
      <c r="J40" s="568">
        <f t="shared" si="17"/>
        <v>0</v>
      </c>
      <c r="K40" s="142">
        <f>IF(D40="PS",$I$8*'2nd IA Load Pricing Results'!J59/'2nd IA Load Pricing Results'!$J$60,0)</f>
        <v>0</v>
      </c>
      <c r="L40" s="568">
        <f t="shared" si="14"/>
        <v>0</v>
      </c>
      <c r="M40" s="142">
        <f>IF(D40="DPL",$I$9*'2nd IA Load Pricing Results'!J59/'2nd IA Load Pricing Results'!$J$52,0)</f>
        <v>0</v>
      </c>
      <c r="N40" s="568">
        <f t="shared" si="9"/>
        <v>0</v>
      </c>
      <c r="O40" s="142">
        <f>IF(D40="PEPCO",$I$10*'2nd IA Load Pricing Results'!J59/'2nd IA Load Pricing Results'!$J$58,0)</f>
        <v>0</v>
      </c>
      <c r="P40" s="568">
        <f>O40*$P$21</f>
        <v>0</v>
      </c>
      <c r="Q40" s="142">
        <f>IF(D40="ATSI",$I$11*'2nd IA Load Pricing Results'!J59/'2nd IA Load Pricing Results'!$J$45,0)</f>
        <v>0</v>
      </c>
      <c r="R40" s="568">
        <f t="shared" si="11"/>
        <v>0</v>
      </c>
      <c r="S40" s="142">
        <f>IF(D40="COMED",$I$12*'2nd IA Load Pricing Results'!J59/'2nd IA Load Pricing Results'!$J$47,0)</f>
        <v>0</v>
      </c>
      <c r="T40" s="568">
        <f t="shared" si="16"/>
        <v>0</v>
      </c>
      <c r="U40" s="142">
        <f>IF(D40="BGE",$I$13*'2nd IA Load Pricing Results'!J59/'2nd IA Load Pricing Results'!$J$46,0)</f>
        <v>0</v>
      </c>
      <c r="V40" s="568">
        <f t="shared" si="3"/>
        <v>0</v>
      </c>
      <c r="W40" s="142">
        <f>IF(D40="PL",$I$14*'2nd IA Load Pricing Results'!J59/'2nd IA Load Pricing Results'!$J$59,0)</f>
        <v>-2598.9441505489776</v>
      </c>
      <c r="X40" s="569">
        <f>W40*$X$21</f>
        <v>0</v>
      </c>
      <c r="Y40" s="142">
        <f>IF(D40="DAYTON",$I$15*'2nd IA Load Pricing Results'!J59/'2nd IA Load Pricing Results'!$J$48,0)</f>
        <v>0</v>
      </c>
      <c r="Z40" s="570">
        <f t="shared" si="5"/>
        <v>0</v>
      </c>
      <c r="AA40" s="142">
        <f>IF(D40="DEOK",$I$16*'2nd IA Load Pricing Results'!J59/'2nd IA Load Pricing Results'!$J$49,0)</f>
        <v>0</v>
      </c>
      <c r="AB40" s="570">
        <f t="shared" si="6"/>
        <v>0</v>
      </c>
      <c r="AC40" s="571">
        <f t="shared" si="7"/>
        <v>2598.9441505489776</v>
      </c>
      <c r="AD40" s="31">
        <f t="shared" si="8"/>
        <v>0</v>
      </c>
      <c r="AE40" s="154">
        <f>AD40/'2nd IA Load Pricing Results'!J59</f>
        <v>0</v>
      </c>
      <c r="AF40" s="572">
        <f t="shared" si="12"/>
        <v>0</v>
      </c>
      <c r="AG40" s="91" t="s">
        <v>10</v>
      </c>
    </row>
    <row r="41" spans="1:33" x14ac:dyDescent="0.2">
      <c r="A41" s="22" t="s">
        <v>8</v>
      </c>
      <c r="B41" s="91" t="s">
        <v>28</v>
      </c>
      <c r="C41" s="91" t="s">
        <v>33</v>
      </c>
      <c r="D41" s="91" t="s">
        <v>8</v>
      </c>
      <c r="E41" s="142">
        <f>IF(B41="MAAC",$I$5*'2nd IA Load Pricing Results'!J60/'2nd IA Load Pricing Results'!$B$14,0)</f>
        <v>-45.175207322955401</v>
      </c>
      <c r="F41" s="568">
        <f t="shared" si="15"/>
        <v>0</v>
      </c>
      <c r="G41" s="142">
        <f>IF(C41="EMAAC",$I$6*'2nd IA Load Pricing Results'!J60/'2nd IA Load Pricing Results'!$B$15,0)</f>
        <v>1518.2178360217365</v>
      </c>
      <c r="H41" s="568">
        <f>G41*$H$21</f>
        <v>38824.098906922125</v>
      </c>
      <c r="I41" s="142">
        <f>IF(C41="SWMAAC",$I$7*'2nd IA Load Pricing Results'!J60/'2nd IA Load Pricing Results'!$B$16,0)</f>
        <v>0</v>
      </c>
      <c r="J41" s="568">
        <f>I41*$J$21</f>
        <v>0</v>
      </c>
      <c r="K41" s="142">
        <f>IF(D41="PS",$I$8*'2nd IA Load Pricing Results'!J60/'2nd IA Load Pricing Results'!$J$60,0)</f>
        <v>5130.484310142464</v>
      </c>
      <c r="L41" s="568">
        <f>K41*$L$21</f>
        <v>217314.80364085018</v>
      </c>
      <c r="M41" s="142">
        <f>IF(D41="DPL",$I$9*'2nd IA Load Pricing Results'!J60/'2nd IA Load Pricing Results'!$J$52,0)</f>
        <v>0</v>
      </c>
      <c r="N41" s="568">
        <f t="shared" si="9"/>
        <v>0</v>
      </c>
      <c r="O41" s="142">
        <f>IF(D41="PEPCO",$I$10*'2nd IA Load Pricing Results'!J60/'2nd IA Load Pricing Results'!$J$58,0)</f>
        <v>0</v>
      </c>
      <c r="P41" s="568">
        <f>O41*$P$21</f>
        <v>0</v>
      </c>
      <c r="Q41" s="142">
        <f>IF(D41="ATSI",$I$11*'2nd IA Load Pricing Results'!J60/'2nd IA Load Pricing Results'!$J$45,0)</f>
        <v>0</v>
      </c>
      <c r="R41" s="568">
        <f t="shared" si="11"/>
        <v>0</v>
      </c>
      <c r="S41" s="142">
        <f>IF(D41="COMED",$I$12*'2nd IA Load Pricing Results'!J60/'2nd IA Load Pricing Results'!$J$47,0)</f>
        <v>0</v>
      </c>
      <c r="T41" s="568">
        <f t="shared" si="16"/>
        <v>0</v>
      </c>
      <c r="U41" s="142">
        <f>IF(D41="BGE",$I$13*'2nd IA Load Pricing Results'!J60/'2nd IA Load Pricing Results'!$J$46,0)</f>
        <v>0</v>
      </c>
      <c r="V41" s="568">
        <f t="shared" si="3"/>
        <v>0</v>
      </c>
      <c r="W41" s="142">
        <f>IF(D41="PL",$I$14*'2nd IA Load Pricing Results'!J60/'2nd IA Load Pricing Results'!$J$59,0)</f>
        <v>0</v>
      </c>
      <c r="X41" s="569">
        <f t="shared" si="4"/>
        <v>0</v>
      </c>
      <c r="Y41" s="142">
        <f>IF(D41="DAYTON",$I$15*'2nd IA Load Pricing Results'!J60/'2nd IA Load Pricing Results'!$J$48,0)</f>
        <v>0</v>
      </c>
      <c r="Z41" s="570">
        <f t="shared" si="5"/>
        <v>0</v>
      </c>
      <c r="AA41" s="142">
        <f>IF(D41="DEOK",$I$16*'2nd IA Load Pricing Results'!J60/'2nd IA Load Pricing Results'!$J$49,0)</f>
        <v>0</v>
      </c>
      <c r="AB41" s="570">
        <f t="shared" si="6"/>
        <v>0</v>
      </c>
      <c r="AC41" s="571">
        <f t="shared" si="7"/>
        <v>5130.484310142464</v>
      </c>
      <c r="AD41" s="31">
        <f t="shared" si="8"/>
        <v>256138.9025477723</v>
      </c>
      <c r="AE41" s="154">
        <f>AD41/'2nd IA Load Pricing Results'!J60</f>
        <v>22.717069211891182</v>
      </c>
      <c r="AF41" s="154">
        <f>IF(AC41=0,0,AD41/AC41)</f>
        <v>49.924897351583517</v>
      </c>
      <c r="AG41" s="91" t="s">
        <v>8</v>
      </c>
    </row>
    <row r="42" spans="1:33" x14ac:dyDescent="0.2">
      <c r="A42" s="22" t="s">
        <v>18</v>
      </c>
      <c r="B42" s="91" t="s">
        <v>28</v>
      </c>
      <c r="C42" s="91" t="s">
        <v>33</v>
      </c>
      <c r="D42" s="91"/>
      <c r="E42" s="142">
        <f>IF(B42="MAAC",$I$5*'2nd IA Load Pricing Results'!J61/'2nd IA Load Pricing Results'!$B$14,0)</f>
        <v>-1.8005641685255975</v>
      </c>
      <c r="F42" s="568">
        <f>E42*$F$21</f>
        <v>0</v>
      </c>
      <c r="G42" s="142">
        <f>IF(C42="EMAAC",$I$6*'2nd IA Load Pricing Results'!J61/'2nd IA Load Pricing Results'!$B$15,0)</f>
        <v>60.512143663547278</v>
      </c>
      <c r="H42" s="568">
        <f>G42*$H$21</f>
        <v>1547.4258007793585</v>
      </c>
      <c r="I42" s="142">
        <f>IF(C42="SWMAAC",$I$7*'2nd IA Load Pricing Results'!J61/'2nd IA Load Pricing Results'!$B$16,0)</f>
        <v>0</v>
      </c>
      <c r="J42" s="568">
        <f>I42*$J$21</f>
        <v>0</v>
      </c>
      <c r="K42" s="142">
        <f>IF(D42="PS",$I$8*'2nd IA Load Pricing Results'!J61/'2nd IA Load Pricing Results'!$J$60,0)</f>
        <v>0</v>
      </c>
      <c r="L42" s="568">
        <f>K42*$L$21</f>
        <v>0</v>
      </c>
      <c r="M42" s="142">
        <f>IF(D42="DPL",$I$9*'2nd IA Load Pricing Results'!J61/'2nd IA Load Pricing Results'!$J$52,0)</f>
        <v>0</v>
      </c>
      <c r="N42" s="568">
        <f t="shared" si="9"/>
        <v>0</v>
      </c>
      <c r="O42" s="142">
        <f>IF(D42="PEPCO",$I$10*'2nd IA Load Pricing Results'!J61/'2nd IA Load Pricing Results'!$J$58,0)</f>
        <v>0</v>
      </c>
      <c r="P42" s="568">
        <f>O42*$P$21</f>
        <v>0</v>
      </c>
      <c r="Q42" s="142">
        <f>IF(D42="ATSI",$I$11*'2nd IA Load Pricing Results'!J61/'2nd IA Load Pricing Results'!$J$45,0)</f>
        <v>0</v>
      </c>
      <c r="R42" s="568">
        <f>Q42*$R$21</f>
        <v>0</v>
      </c>
      <c r="S42" s="142">
        <f>IF(D42="COMED",$I$12*'2nd IA Load Pricing Results'!J61/'2nd IA Load Pricing Results'!$J$47,0)</f>
        <v>0</v>
      </c>
      <c r="T42" s="568">
        <f t="shared" si="16"/>
        <v>0</v>
      </c>
      <c r="U42" s="142">
        <f>IF(D42="BGE",$I$13*'2nd IA Load Pricing Results'!J61/'2nd IA Load Pricing Results'!$J$46,0)</f>
        <v>0</v>
      </c>
      <c r="V42" s="568">
        <f t="shared" si="3"/>
        <v>0</v>
      </c>
      <c r="W42" s="142">
        <f>IF(D42="PL",$I$14*'2nd IA Load Pricing Results'!J61/'2nd IA Load Pricing Results'!$J$59,0)</f>
        <v>0</v>
      </c>
      <c r="X42" s="569">
        <f t="shared" si="4"/>
        <v>0</v>
      </c>
      <c r="Y42" s="142">
        <f>IF(D42="DAYTON",$I$15*'2nd IA Load Pricing Results'!J61/'2nd IA Load Pricing Results'!$J$48,0)</f>
        <v>0</v>
      </c>
      <c r="Z42" s="570">
        <f>Y42*$Z$21</f>
        <v>0</v>
      </c>
      <c r="AA42" s="142">
        <f>IF(D42="DEOK",$I$16*'2nd IA Load Pricing Results'!J61/'2nd IA Load Pricing Results'!$J$49,0)</f>
        <v>0</v>
      </c>
      <c r="AB42" s="570">
        <f t="shared" si="6"/>
        <v>0</v>
      </c>
      <c r="AC42" s="571">
        <f t="shared" si="7"/>
        <v>60.512143663547278</v>
      </c>
      <c r="AD42" s="31">
        <f t="shared" si="8"/>
        <v>1547.4258007793585</v>
      </c>
      <c r="AE42" s="154">
        <f>AD42/'2nd IA Load Pricing Results'!J61</f>
        <v>3.4433259968909371</v>
      </c>
      <c r="AF42" s="154">
        <f>IF(AC42=0,0,AD42/AC42)</f>
        <v>25.572153076962188</v>
      </c>
      <c r="AG42" s="91" t="s">
        <v>18</v>
      </c>
    </row>
    <row r="43" spans="1:33" x14ac:dyDescent="0.2">
      <c r="A43" s="775" t="s">
        <v>66</v>
      </c>
      <c r="B43" s="775"/>
      <c r="C43" s="775"/>
      <c r="D43" s="775"/>
      <c r="E43" s="573">
        <f t="shared" ref="E43:Y43" si="18">SUM(E23:E42)</f>
        <v>-257.99715371592174</v>
      </c>
      <c r="F43" s="574">
        <f>SUM(F23:F42)</f>
        <v>0</v>
      </c>
      <c r="G43" s="573">
        <f t="shared" si="18"/>
        <v>4749.7255501384861</v>
      </c>
      <c r="H43" s="574">
        <f>SUM(H23:H42)</f>
        <v>121460.70884169982</v>
      </c>
      <c r="I43" s="573">
        <f t="shared" si="18"/>
        <v>4773.7306360707371</v>
      </c>
      <c r="J43" s="574">
        <f>SUM(J23:J42)</f>
        <v>0</v>
      </c>
      <c r="K43" s="573">
        <f>SUM(K23:K42)</f>
        <v>5130.484310142464</v>
      </c>
      <c r="L43" s="574">
        <f>SUM(L23:L42)</f>
        <v>217314.80364085018</v>
      </c>
      <c r="M43" s="573">
        <f>SUM(M23:M42)</f>
        <v>-1028.2574472308506</v>
      </c>
      <c r="N43" s="574">
        <f>SUM(N23:N42)</f>
        <v>0</v>
      </c>
      <c r="O43" s="573">
        <f t="shared" si="18"/>
        <v>2015.8122370191559</v>
      </c>
      <c r="P43" s="574">
        <f>SUM(P23:P42)</f>
        <v>0</v>
      </c>
      <c r="Q43" s="573">
        <f t="shared" si="18"/>
        <v>4179.050710823878</v>
      </c>
      <c r="R43" s="574">
        <f>SUM(R23:R42)</f>
        <v>107715.30429157698</v>
      </c>
      <c r="S43" s="573">
        <f t="shared" si="18"/>
        <v>1.1368683772161603E-13</v>
      </c>
      <c r="T43" s="574">
        <f>SUM(T23:T42)</f>
        <v>6.3661002936494395E-12</v>
      </c>
      <c r="U43" s="573">
        <f t="shared" si="18"/>
        <v>4943.9183990515812</v>
      </c>
      <c r="V43" s="574">
        <f>SUM(V23:V42)</f>
        <v>296401.19605445623</v>
      </c>
      <c r="W43" s="573">
        <f t="shared" si="18"/>
        <v>-2598.9441505489776</v>
      </c>
      <c r="X43" s="575">
        <f>SUM(X23:X42)</f>
        <v>0</v>
      </c>
      <c r="Y43" s="573">
        <f t="shared" si="18"/>
        <v>1966.719121822048</v>
      </c>
      <c r="Z43" s="576">
        <f>SUM(Z23:Z42)</f>
        <v>0</v>
      </c>
      <c r="AA43" s="573">
        <f>SUM(AA23:AA42)</f>
        <v>2065.7478099634718</v>
      </c>
      <c r="AB43" s="576">
        <f>SUM(AB23:AB42)</f>
        <v>0</v>
      </c>
      <c r="AC43" s="571"/>
      <c r="AD43" s="574">
        <f>SUM(AD23:AD42)</f>
        <v>742892.01282858313</v>
      </c>
      <c r="AE43" s="577"/>
      <c r="AF43" s="577"/>
    </row>
    <row r="44" spans="1:33" x14ac:dyDescent="0.2">
      <c r="A44" s="23" t="s">
        <v>67</v>
      </c>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52"/>
      <c r="AE44" s="21"/>
      <c r="AF44" s="21"/>
    </row>
    <row r="45" spans="1:33" x14ac:dyDescent="0.2">
      <c r="A45" s="23" t="s">
        <v>295</v>
      </c>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52" t="s">
        <v>24</v>
      </c>
      <c r="AE45" s="21"/>
      <c r="AF45" s="21"/>
    </row>
    <row r="46" spans="1:33" x14ac:dyDescent="0.2">
      <c r="A46" s="23" t="s">
        <v>296</v>
      </c>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row>
    <row r="47" spans="1:33" x14ac:dyDescent="0.2">
      <c r="A47" s="23" t="s">
        <v>297</v>
      </c>
    </row>
  </sheetData>
  <mergeCells count="14">
    <mergeCell ref="AA20:AB20"/>
    <mergeCell ref="A43:D43"/>
    <mergeCell ref="O20:P20"/>
    <mergeCell ref="Q20:R20"/>
    <mergeCell ref="S20:T20"/>
    <mergeCell ref="U20:V20"/>
    <mergeCell ref="W20:X20"/>
    <mergeCell ref="Y20:Z20"/>
    <mergeCell ref="A19:D21"/>
    <mergeCell ref="E20:F20"/>
    <mergeCell ref="G20:H20"/>
    <mergeCell ref="I20:J20"/>
    <mergeCell ref="K20:L20"/>
    <mergeCell ref="M20:N20"/>
  </mergeCells>
  <pageMargins left="0.45" right="0.45" top="0.5" bottom="0.5" header="0" footer="0"/>
  <pageSetup paperSize="17" scale="37" orientation="landscape" horizontalDpi="200" verticalDpi="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7"/>
  <sheetViews>
    <sheetView zoomScaleNormal="100" workbookViewId="0"/>
  </sheetViews>
  <sheetFormatPr defaultRowHeight="12.75" x14ac:dyDescent="0.2"/>
  <cols>
    <col min="1" max="1" width="55.7109375" customWidth="1"/>
    <col min="2" max="17" width="15.7109375" customWidth="1"/>
  </cols>
  <sheetData>
    <row r="1" spans="1:14" ht="18.75" x14ac:dyDescent="0.3">
      <c r="A1" s="101" t="s">
        <v>345</v>
      </c>
      <c r="B1" s="11" t="s">
        <v>24</v>
      </c>
    </row>
    <row r="2" spans="1:14" ht="19.5" thickBot="1" x14ac:dyDescent="0.35">
      <c r="A2" s="3"/>
      <c r="C2" s="18"/>
      <c r="E2" s="399" t="s">
        <v>24</v>
      </c>
      <c r="F2" s="399" t="s">
        <v>24</v>
      </c>
      <c r="G2" s="399" t="s">
        <v>24</v>
      </c>
      <c r="H2" s="374" t="s">
        <v>24</v>
      </c>
    </row>
    <row r="3" spans="1:14" ht="13.5" customHeight="1" thickBot="1" x14ac:dyDescent="0.25">
      <c r="A3" s="755" t="s">
        <v>58</v>
      </c>
      <c r="B3" s="21"/>
      <c r="C3" s="139" t="s">
        <v>120</v>
      </c>
      <c r="D3" s="21"/>
      <c r="E3" s="21"/>
      <c r="F3" s="21"/>
      <c r="G3" s="21"/>
      <c r="H3" s="21"/>
      <c r="I3" s="139" t="s">
        <v>120</v>
      </c>
      <c r="J3" s="21"/>
      <c r="K3" s="21"/>
      <c r="L3" s="21"/>
      <c r="M3" s="21"/>
      <c r="N3" s="139" t="s">
        <v>120</v>
      </c>
    </row>
    <row r="4" spans="1:14" ht="13.5" customHeight="1" thickBot="1" x14ac:dyDescent="0.25">
      <c r="A4" s="756"/>
      <c r="B4" s="204" t="s">
        <v>28</v>
      </c>
      <c r="C4" s="204" t="s">
        <v>28</v>
      </c>
      <c r="D4" s="205" t="s">
        <v>33</v>
      </c>
      <c r="E4" s="205" t="s">
        <v>5</v>
      </c>
      <c r="F4" s="205" t="s">
        <v>8</v>
      </c>
      <c r="G4" s="205" t="s">
        <v>34</v>
      </c>
      <c r="H4" s="205" t="s">
        <v>35</v>
      </c>
      <c r="I4" s="205" t="s">
        <v>35</v>
      </c>
      <c r="J4" s="205" t="s">
        <v>15</v>
      </c>
      <c r="K4" s="205" t="s">
        <v>11</v>
      </c>
      <c r="L4" s="205" t="s">
        <v>50</v>
      </c>
      <c r="M4" s="205" t="s">
        <v>20</v>
      </c>
      <c r="N4" s="205" t="s">
        <v>20</v>
      </c>
    </row>
    <row r="5" spans="1:14" ht="26.25" thickBot="1" x14ac:dyDescent="0.25">
      <c r="A5" s="273" t="s">
        <v>91</v>
      </c>
      <c r="B5" s="349" t="s">
        <v>101</v>
      </c>
      <c r="C5" s="349" t="s">
        <v>121</v>
      </c>
      <c r="D5" s="350" t="s">
        <v>122</v>
      </c>
      <c r="E5" s="350" t="s">
        <v>122</v>
      </c>
      <c r="F5" s="350" t="s">
        <v>122</v>
      </c>
      <c r="G5" s="350" t="s">
        <v>122</v>
      </c>
      <c r="H5" s="350" t="s">
        <v>101</v>
      </c>
      <c r="I5" s="350" t="s">
        <v>121</v>
      </c>
      <c r="J5" s="350" t="s">
        <v>122</v>
      </c>
      <c r="K5" s="350" t="s">
        <v>122</v>
      </c>
      <c r="L5" s="350" t="s">
        <v>122</v>
      </c>
      <c r="M5" s="350" t="s">
        <v>122</v>
      </c>
      <c r="N5" s="350" t="s">
        <v>122</v>
      </c>
    </row>
    <row r="6" spans="1:14" x14ac:dyDescent="0.2">
      <c r="A6" s="206" t="s">
        <v>139</v>
      </c>
      <c r="B6" s="352"/>
      <c r="C6" s="352"/>
      <c r="D6" s="353"/>
      <c r="E6" s="353"/>
      <c r="F6" s="353"/>
      <c r="G6" s="353"/>
      <c r="H6" s="353"/>
      <c r="I6" s="353"/>
      <c r="J6" s="353"/>
      <c r="K6" s="353"/>
      <c r="L6" s="353"/>
      <c r="M6" s="353"/>
      <c r="N6" s="353"/>
    </row>
    <row r="7" spans="1:14" x14ac:dyDescent="0.2">
      <c r="A7" s="207" t="s">
        <v>85</v>
      </c>
      <c r="B7" s="187">
        <v>160</v>
      </c>
      <c r="C7" s="188">
        <v>0</v>
      </c>
      <c r="D7" s="188">
        <v>0</v>
      </c>
      <c r="E7" s="188">
        <v>0</v>
      </c>
      <c r="F7" s="188">
        <v>0</v>
      </c>
      <c r="G7" s="188">
        <v>0</v>
      </c>
      <c r="H7" s="188">
        <v>0</v>
      </c>
      <c r="I7" s="188">
        <v>0</v>
      </c>
      <c r="J7" s="188">
        <v>0</v>
      </c>
      <c r="K7" s="188">
        <v>0</v>
      </c>
      <c r="L7" s="188">
        <v>0</v>
      </c>
      <c r="M7" s="188">
        <v>0</v>
      </c>
      <c r="N7" s="188">
        <v>0</v>
      </c>
    </row>
    <row r="8" spans="1:14" ht="25.5" x14ac:dyDescent="0.2">
      <c r="A8" s="207" t="s">
        <v>86</v>
      </c>
      <c r="B8" s="187">
        <v>106</v>
      </c>
      <c r="C8" s="188">
        <v>0</v>
      </c>
      <c r="D8" s="188">
        <v>0</v>
      </c>
      <c r="E8" s="188">
        <v>0</v>
      </c>
      <c r="F8" s="188">
        <v>0</v>
      </c>
      <c r="G8" s="188">
        <v>0</v>
      </c>
      <c r="H8" s="188">
        <v>0</v>
      </c>
      <c r="I8" s="188">
        <v>0</v>
      </c>
      <c r="J8" s="188">
        <v>0</v>
      </c>
      <c r="K8" s="188">
        <v>0</v>
      </c>
      <c r="L8" s="188">
        <v>0</v>
      </c>
      <c r="M8" s="188">
        <v>0</v>
      </c>
      <c r="N8" s="188">
        <v>0</v>
      </c>
    </row>
    <row r="9" spans="1:14" x14ac:dyDescent="0.2">
      <c r="A9" s="207" t="s">
        <v>89</v>
      </c>
      <c r="B9" s="187">
        <v>117</v>
      </c>
      <c r="C9" s="188">
        <v>0</v>
      </c>
      <c r="D9" s="188">
        <v>0</v>
      </c>
      <c r="E9" s="188">
        <v>0</v>
      </c>
      <c r="F9" s="188">
        <v>0</v>
      </c>
      <c r="G9" s="188">
        <v>0</v>
      </c>
      <c r="H9" s="188">
        <v>0</v>
      </c>
      <c r="I9" s="188">
        <v>0</v>
      </c>
      <c r="J9" s="188">
        <v>0</v>
      </c>
      <c r="K9" s="188">
        <v>0</v>
      </c>
      <c r="L9" s="188">
        <v>0</v>
      </c>
      <c r="M9" s="188">
        <v>0</v>
      </c>
      <c r="N9" s="188">
        <v>0</v>
      </c>
    </row>
    <row r="10" spans="1:14" ht="25.5" x14ac:dyDescent="0.2">
      <c r="A10" s="207" t="s">
        <v>90</v>
      </c>
      <c r="B10" s="187">
        <v>0</v>
      </c>
      <c r="C10" s="188">
        <v>0</v>
      </c>
      <c r="D10" s="188">
        <v>898</v>
      </c>
      <c r="E10" s="188">
        <v>0</v>
      </c>
      <c r="F10" s="188">
        <v>68.900000000000006</v>
      </c>
      <c r="G10" s="188">
        <v>105.5</v>
      </c>
      <c r="H10" s="188">
        <v>0</v>
      </c>
      <c r="I10" s="188">
        <v>0</v>
      </c>
      <c r="J10" s="188">
        <v>0</v>
      </c>
      <c r="K10" s="188">
        <v>0</v>
      </c>
      <c r="L10" s="188">
        <v>0</v>
      </c>
      <c r="M10" s="188">
        <v>0</v>
      </c>
      <c r="N10" s="188">
        <v>0</v>
      </c>
    </row>
    <row r="11" spans="1:14" x14ac:dyDescent="0.2">
      <c r="A11" s="207" t="s">
        <v>117</v>
      </c>
      <c r="B11" s="187">
        <v>339</v>
      </c>
      <c r="C11" s="188">
        <v>0</v>
      </c>
      <c r="D11" s="188">
        <v>0</v>
      </c>
      <c r="E11" s="188">
        <v>0</v>
      </c>
      <c r="F11" s="188">
        <v>0</v>
      </c>
      <c r="G11" s="188">
        <v>0</v>
      </c>
      <c r="H11" s="188">
        <v>0</v>
      </c>
      <c r="I11" s="188">
        <v>0</v>
      </c>
      <c r="J11" s="188">
        <v>0</v>
      </c>
      <c r="K11" s="188">
        <v>0</v>
      </c>
      <c r="L11" s="188">
        <v>0</v>
      </c>
      <c r="M11" s="188">
        <v>0</v>
      </c>
      <c r="N11" s="188">
        <v>0</v>
      </c>
    </row>
    <row r="12" spans="1:14" ht="25.5" x14ac:dyDescent="0.2">
      <c r="A12" s="207" t="s">
        <v>140</v>
      </c>
      <c r="B12" s="187">
        <v>0</v>
      </c>
      <c r="C12" s="188">
        <v>0</v>
      </c>
      <c r="D12" s="188">
        <v>0</v>
      </c>
      <c r="E12" s="188">
        <v>256</v>
      </c>
      <c r="F12" s="188">
        <v>0</v>
      </c>
      <c r="G12" s="188">
        <v>0</v>
      </c>
      <c r="H12" s="188">
        <v>0</v>
      </c>
      <c r="I12" s="188">
        <v>0</v>
      </c>
      <c r="J12" s="188">
        <v>0</v>
      </c>
      <c r="K12" s="188">
        <v>0</v>
      </c>
      <c r="L12" s="188">
        <v>0</v>
      </c>
      <c r="M12" s="188">
        <v>0</v>
      </c>
      <c r="N12" s="188">
        <v>0</v>
      </c>
    </row>
    <row r="13" spans="1:14" ht="13.5" thickBot="1" x14ac:dyDescent="0.25">
      <c r="A13" s="328" t="s">
        <v>198</v>
      </c>
      <c r="B13" s="329">
        <f>SUM(B7:B12)</f>
        <v>722</v>
      </c>
      <c r="C13" s="329">
        <f>SUM(C7:C12)</f>
        <v>0</v>
      </c>
      <c r="D13" s="354">
        <f>SUM(D7:D12)</f>
        <v>898</v>
      </c>
      <c r="E13" s="354">
        <f t="shared" ref="E13:H13" si="0">SUM(E7:E12)</f>
        <v>256</v>
      </c>
      <c r="F13" s="354">
        <f>SUM(F7:F12)</f>
        <v>68.900000000000006</v>
      </c>
      <c r="G13" s="354">
        <f t="shared" si="0"/>
        <v>105.5</v>
      </c>
      <c r="H13" s="354">
        <f t="shared" si="0"/>
        <v>0</v>
      </c>
      <c r="I13" s="354">
        <f t="shared" ref="I13:N13" si="1">SUM(I7:I12)</f>
        <v>0</v>
      </c>
      <c r="J13" s="354">
        <f t="shared" si="1"/>
        <v>0</v>
      </c>
      <c r="K13" s="354">
        <f t="shared" si="1"/>
        <v>0</v>
      </c>
      <c r="L13" s="354">
        <f t="shared" si="1"/>
        <v>0</v>
      </c>
      <c r="M13" s="354">
        <f t="shared" si="1"/>
        <v>0</v>
      </c>
      <c r="N13" s="354">
        <f t="shared" si="1"/>
        <v>0</v>
      </c>
    </row>
    <row r="14" spans="1:14" x14ac:dyDescent="0.2">
      <c r="A14" s="206" t="s">
        <v>136</v>
      </c>
      <c r="B14" s="355" t="s">
        <v>24</v>
      </c>
      <c r="C14" s="355" t="s">
        <v>24</v>
      </c>
      <c r="D14" s="356"/>
      <c r="E14" s="356"/>
      <c r="F14" s="356"/>
      <c r="G14" s="356"/>
      <c r="H14" s="356"/>
      <c r="I14" s="356"/>
      <c r="J14" s="356"/>
      <c r="K14" s="356"/>
      <c r="L14" s="356"/>
      <c r="M14" s="356"/>
      <c r="N14" s="356"/>
    </row>
    <row r="15" spans="1:14" ht="25.5" x14ac:dyDescent="0.2">
      <c r="A15" s="207" t="s">
        <v>149</v>
      </c>
      <c r="B15" s="187">
        <v>16</v>
      </c>
      <c r="C15" s="188">
        <v>0</v>
      </c>
      <c r="D15" s="188">
        <v>0</v>
      </c>
      <c r="E15" s="188">
        <v>237</v>
      </c>
      <c r="F15" s="188">
        <v>0</v>
      </c>
      <c r="G15" s="188">
        <v>0</v>
      </c>
      <c r="H15" s="188">
        <v>0</v>
      </c>
      <c r="I15" s="188">
        <v>0</v>
      </c>
      <c r="J15" s="188">
        <v>0</v>
      </c>
      <c r="K15" s="188">
        <v>124</v>
      </c>
      <c r="L15" s="188">
        <v>0</v>
      </c>
      <c r="M15" s="188">
        <v>0</v>
      </c>
      <c r="N15" s="188">
        <v>0</v>
      </c>
    </row>
    <row r="16" spans="1:14" ht="25.5" x14ac:dyDescent="0.2">
      <c r="A16" s="207" t="s">
        <v>112</v>
      </c>
      <c r="B16" s="187">
        <v>0</v>
      </c>
      <c r="C16" s="188">
        <v>0</v>
      </c>
      <c r="D16" s="188">
        <v>0</v>
      </c>
      <c r="E16" s="188">
        <v>0</v>
      </c>
      <c r="F16" s="188">
        <v>340.2</v>
      </c>
      <c r="G16" s="188">
        <v>494.5</v>
      </c>
      <c r="H16" s="188">
        <v>0</v>
      </c>
      <c r="I16" s="188">
        <v>0</v>
      </c>
      <c r="J16" s="188">
        <v>0</v>
      </c>
      <c r="K16" s="188">
        <v>0</v>
      </c>
      <c r="L16" s="188">
        <v>0</v>
      </c>
      <c r="M16" s="188">
        <v>0</v>
      </c>
      <c r="N16" s="188">
        <v>0</v>
      </c>
    </row>
    <row r="17" spans="1:14" ht="25.5" x14ac:dyDescent="0.2">
      <c r="A17" s="207" t="s">
        <v>87</v>
      </c>
      <c r="B17" s="187">
        <v>0</v>
      </c>
      <c r="C17" s="188">
        <v>0</v>
      </c>
      <c r="D17" s="188">
        <v>0</v>
      </c>
      <c r="E17" s="188">
        <v>0</v>
      </c>
      <c r="F17" s="188">
        <v>90.3</v>
      </c>
      <c r="G17" s="188">
        <v>0</v>
      </c>
      <c r="H17" s="188">
        <v>0</v>
      </c>
      <c r="I17" s="188">
        <v>0</v>
      </c>
      <c r="J17" s="188">
        <v>0</v>
      </c>
      <c r="K17" s="188">
        <v>0</v>
      </c>
      <c r="L17" s="188">
        <v>0</v>
      </c>
      <c r="M17" s="188">
        <v>0</v>
      </c>
      <c r="N17" s="188">
        <v>0</v>
      </c>
    </row>
    <row r="18" spans="1:14" ht="25.5" x14ac:dyDescent="0.2">
      <c r="A18" s="207" t="s">
        <v>151</v>
      </c>
      <c r="B18" s="187">
        <v>0</v>
      </c>
      <c r="C18" s="188">
        <v>0</v>
      </c>
      <c r="D18" s="188">
        <v>0</v>
      </c>
      <c r="E18" s="188">
        <v>0</v>
      </c>
      <c r="F18" s="188">
        <v>0</v>
      </c>
      <c r="G18" s="188">
        <v>0</v>
      </c>
      <c r="H18" s="188">
        <v>0</v>
      </c>
      <c r="I18" s="188">
        <v>0</v>
      </c>
      <c r="J18" s="188">
        <v>0</v>
      </c>
      <c r="K18" s="188">
        <v>182</v>
      </c>
      <c r="L18" s="188">
        <v>0</v>
      </c>
      <c r="M18" s="188">
        <v>0</v>
      </c>
      <c r="N18" s="188">
        <v>0</v>
      </c>
    </row>
    <row r="19" spans="1:14" ht="63.75" x14ac:dyDescent="0.2">
      <c r="A19" s="357" t="s">
        <v>167</v>
      </c>
      <c r="B19" s="187">
        <v>0</v>
      </c>
      <c r="C19" s="189">
        <v>0</v>
      </c>
      <c r="D19" s="188">
        <v>50</v>
      </c>
      <c r="E19" s="188">
        <v>0</v>
      </c>
      <c r="F19" s="188">
        <v>0</v>
      </c>
      <c r="G19" s="188">
        <v>0</v>
      </c>
      <c r="H19" s="188">
        <v>0</v>
      </c>
      <c r="I19" s="188">
        <v>0</v>
      </c>
      <c r="J19" s="188">
        <v>175</v>
      </c>
      <c r="K19" s="188">
        <v>0</v>
      </c>
      <c r="L19" s="188">
        <v>0</v>
      </c>
      <c r="M19" s="188">
        <v>0</v>
      </c>
      <c r="N19" s="188">
        <v>0</v>
      </c>
    </row>
    <row r="20" spans="1:14" ht="13.5" thickBot="1" x14ac:dyDescent="0.25">
      <c r="A20" s="328" t="s">
        <v>92</v>
      </c>
      <c r="B20" s="329">
        <f>SUM(B15:B19)</f>
        <v>16</v>
      </c>
      <c r="C20" s="329">
        <f>SUM(C15:C18)</f>
        <v>0</v>
      </c>
      <c r="D20" s="354">
        <f t="shared" ref="D20:M20" si="2">SUM(D15:D19)</f>
        <v>50</v>
      </c>
      <c r="E20" s="354">
        <f t="shared" si="2"/>
        <v>237</v>
      </c>
      <c r="F20" s="354">
        <f>SUM(F15:F19)</f>
        <v>430.5</v>
      </c>
      <c r="G20" s="354">
        <f t="shared" si="2"/>
        <v>494.5</v>
      </c>
      <c r="H20" s="354">
        <f t="shared" si="2"/>
        <v>0</v>
      </c>
      <c r="I20" s="354">
        <f t="shared" si="2"/>
        <v>0</v>
      </c>
      <c r="J20" s="354">
        <f t="shared" si="2"/>
        <v>175</v>
      </c>
      <c r="K20" s="354">
        <f t="shared" si="2"/>
        <v>306</v>
      </c>
      <c r="L20" s="354">
        <f t="shared" si="2"/>
        <v>0</v>
      </c>
      <c r="M20" s="354">
        <f t="shared" si="2"/>
        <v>0</v>
      </c>
      <c r="N20" s="354">
        <f t="shared" ref="N20" si="3">SUM(N15:N19)</f>
        <v>0</v>
      </c>
    </row>
    <row r="21" spans="1:14" x14ac:dyDescent="0.2">
      <c r="A21" s="206" t="s">
        <v>74</v>
      </c>
      <c r="B21" s="360"/>
      <c r="C21" s="360"/>
      <c r="D21" s="361"/>
      <c r="E21" s="361"/>
      <c r="F21" s="361"/>
      <c r="G21" s="361"/>
      <c r="H21" s="361"/>
      <c r="I21" s="361"/>
      <c r="J21" s="361"/>
      <c r="K21" s="361"/>
      <c r="L21" s="361"/>
      <c r="M21" s="361"/>
      <c r="N21" s="361"/>
    </row>
    <row r="22" spans="1:14" ht="25.5" x14ac:dyDescent="0.2">
      <c r="A22" s="207" t="s">
        <v>88</v>
      </c>
      <c r="B22" s="187">
        <v>159</v>
      </c>
      <c r="C22" s="188">
        <v>0</v>
      </c>
      <c r="D22" s="188">
        <v>0</v>
      </c>
      <c r="E22" s="188">
        <v>0</v>
      </c>
      <c r="F22" s="188">
        <v>0</v>
      </c>
      <c r="G22" s="188">
        <v>0</v>
      </c>
      <c r="H22" s="188">
        <v>0</v>
      </c>
      <c r="I22" s="188">
        <v>0</v>
      </c>
      <c r="J22" s="188">
        <v>0</v>
      </c>
      <c r="K22" s="188">
        <v>0</v>
      </c>
      <c r="L22" s="188">
        <v>0</v>
      </c>
      <c r="M22" s="188">
        <v>0</v>
      </c>
      <c r="N22" s="188">
        <v>0</v>
      </c>
    </row>
    <row r="23" spans="1:14" ht="25.5" x14ac:dyDescent="0.2">
      <c r="A23" s="207" t="s">
        <v>152</v>
      </c>
      <c r="B23" s="187">
        <v>0</v>
      </c>
      <c r="C23" s="188">
        <v>0</v>
      </c>
      <c r="D23" s="188">
        <v>0</v>
      </c>
      <c r="E23" s="188">
        <v>0</v>
      </c>
      <c r="F23" s="188">
        <v>0</v>
      </c>
      <c r="G23" s="188">
        <v>0</v>
      </c>
      <c r="H23" s="188">
        <v>37</v>
      </c>
      <c r="I23" s="188">
        <v>0</v>
      </c>
      <c r="J23" s="188">
        <v>0</v>
      </c>
      <c r="K23" s="188">
        <v>0</v>
      </c>
      <c r="L23" s="188">
        <v>0</v>
      </c>
      <c r="M23" s="188">
        <v>0</v>
      </c>
      <c r="N23" s="188">
        <v>0</v>
      </c>
    </row>
    <row r="24" spans="1:14" ht="25.5" x14ac:dyDescent="0.2">
      <c r="A24" s="207" t="s">
        <v>165</v>
      </c>
      <c r="B24" s="187">
        <v>0</v>
      </c>
      <c r="C24" s="188">
        <v>0</v>
      </c>
      <c r="D24" s="188">
        <v>0</v>
      </c>
      <c r="E24" s="189">
        <v>0</v>
      </c>
      <c r="F24" s="189">
        <v>0</v>
      </c>
      <c r="G24" s="189">
        <v>0</v>
      </c>
      <c r="H24" s="189">
        <v>35</v>
      </c>
      <c r="I24" s="188">
        <v>0</v>
      </c>
      <c r="J24" s="189">
        <v>0</v>
      </c>
      <c r="K24" s="188">
        <v>0</v>
      </c>
      <c r="L24" s="188">
        <v>0</v>
      </c>
      <c r="M24" s="188">
        <v>0</v>
      </c>
      <c r="N24" s="188">
        <v>0</v>
      </c>
    </row>
    <row r="25" spans="1:14" ht="25.5" x14ac:dyDescent="0.2">
      <c r="A25" s="207" t="s">
        <v>164</v>
      </c>
      <c r="B25" s="187">
        <v>0</v>
      </c>
      <c r="C25" s="188">
        <v>0</v>
      </c>
      <c r="D25" s="188">
        <v>0</v>
      </c>
      <c r="E25" s="189">
        <v>0</v>
      </c>
      <c r="F25" s="189">
        <v>0</v>
      </c>
      <c r="G25" s="189">
        <v>0</v>
      </c>
      <c r="H25" s="189">
        <v>0</v>
      </c>
      <c r="I25" s="188">
        <v>0</v>
      </c>
      <c r="J25" s="189">
        <v>0</v>
      </c>
      <c r="K25" s="188">
        <v>0</v>
      </c>
      <c r="L25" s="188">
        <v>155</v>
      </c>
      <c r="M25" s="188">
        <v>0</v>
      </c>
      <c r="N25" s="188">
        <v>0</v>
      </c>
    </row>
    <row r="26" spans="1:14" x14ac:dyDescent="0.2">
      <c r="A26" s="207" t="s">
        <v>153</v>
      </c>
      <c r="B26" s="187">
        <v>733</v>
      </c>
      <c r="C26" s="188">
        <v>0</v>
      </c>
      <c r="D26" s="188">
        <v>0</v>
      </c>
      <c r="E26" s="189">
        <v>0</v>
      </c>
      <c r="F26" s="189">
        <v>0</v>
      </c>
      <c r="G26" s="189">
        <v>0</v>
      </c>
      <c r="H26" s="189">
        <v>0</v>
      </c>
      <c r="I26" s="188">
        <v>0</v>
      </c>
      <c r="J26" s="189">
        <v>0</v>
      </c>
      <c r="K26" s="188">
        <v>0</v>
      </c>
      <c r="L26" s="188">
        <v>0</v>
      </c>
      <c r="M26" s="188">
        <v>0</v>
      </c>
      <c r="N26" s="188">
        <v>0</v>
      </c>
    </row>
    <row r="27" spans="1:14" x14ac:dyDescent="0.2">
      <c r="A27" s="207" t="s">
        <v>150</v>
      </c>
      <c r="B27" s="187">
        <v>0</v>
      </c>
      <c r="C27" s="188">
        <v>0</v>
      </c>
      <c r="D27" s="188">
        <v>0</v>
      </c>
      <c r="E27" s="189">
        <v>0</v>
      </c>
      <c r="F27" s="189">
        <v>0</v>
      </c>
      <c r="G27" s="189">
        <v>0</v>
      </c>
      <c r="H27" s="189">
        <v>0</v>
      </c>
      <c r="I27" s="189">
        <v>0</v>
      </c>
      <c r="J27" s="189">
        <v>0</v>
      </c>
      <c r="K27" s="188">
        <v>65.7</v>
      </c>
      <c r="L27" s="188">
        <v>0</v>
      </c>
      <c r="M27" s="188">
        <v>0</v>
      </c>
      <c r="N27" s="188">
        <v>0</v>
      </c>
    </row>
    <row r="28" spans="1:14" x14ac:dyDescent="0.2">
      <c r="A28" s="207" t="s">
        <v>166</v>
      </c>
      <c r="B28" s="187">
        <v>0</v>
      </c>
      <c r="C28" s="188">
        <v>0</v>
      </c>
      <c r="D28" s="188">
        <v>0</v>
      </c>
      <c r="E28" s="189">
        <v>0</v>
      </c>
      <c r="F28" s="189">
        <v>41</v>
      </c>
      <c r="G28" s="189">
        <v>21</v>
      </c>
      <c r="H28" s="189">
        <v>0</v>
      </c>
      <c r="I28" s="189">
        <v>0</v>
      </c>
      <c r="J28" s="189">
        <v>0</v>
      </c>
      <c r="K28" s="188">
        <v>0</v>
      </c>
      <c r="L28" s="188">
        <v>0</v>
      </c>
      <c r="M28" s="188">
        <v>0</v>
      </c>
      <c r="N28" s="188">
        <v>0</v>
      </c>
    </row>
    <row r="29" spans="1:14" x14ac:dyDescent="0.2">
      <c r="A29" s="207" t="s">
        <v>176</v>
      </c>
      <c r="B29" s="187">
        <v>665</v>
      </c>
      <c r="C29" s="188">
        <v>0</v>
      </c>
      <c r="D29" s="188">
        <v>40</v>
      </c>
      <c r="E29" s="189">
        <v>0</v>
      </c>
      <c r="F29" s="189">
        <v>0</v>
      </c>
      <c r="G29" s="189">
        <v>0</v>
      </c>
      <c r="H29" s="189">
        <v>0</v>
      </c>
      <c r="I29" s="189">
        <v>0</v>
      </c>
      <c r="J29" s="189">
        <v>0</v>
      </c>
      <c r="K29" s="188">
        <v>0</v>
      </c>
      <c r="L29" s="188">
        <v>0</v>
      </c>
      <c r="M29" s="188">
        <v>0</v>
      </c>
      <c r="N29" s="188">
        <v>0</v>
      </c>
    </row>
    <row r="30" spans="1:14" x14ac:dyDescent="0.2">
      <c r="A30" s="375" t="s">
        <v>220</v>
      </c>
      <c r="B30" s="376">
        <v>0</v>
      </c>
      <c r="C30" s="377">
        <v>0</v>
      </c>
      <c r="D30" s="378">
        <v>0</v>
      </c>
      <c r="E30" s="377">
        <v>0</v>
      </c>
      <c r="F30" s="377">
        <v>0</v>
      </c>
      <c r="G30" s="377">
        <v>0</v>
      </c>
      <c r="H30" s="377">
        <v>0</v>
      </c>
      <c r="I30" s="377">
        <v>0</v>
      </c>
      <c r="J30" s="377">
        <v>0</v>
      </c>
      <c r="K30" s="378">
        <v>0</v>
      </c>
      <c r="L30" s="378">
        <v>0</v>
      </c>
      <c r="M30" s="378">
        <v>1097</v>
      </c>
      <c r="N30" s="378">
        <f>'2nd IA CTRs'!F12*M30/M32</f>
        <v>773.51241400454501</v>
      </c>
    </row>
    <row r="31" spans="1:14" x14ac:dyDescent="0.2">
      <c r="A31" s="641" t="s">
        <v>336</v>
      </c>
      <c r="B31" s="642">
        <v>0</v>
      </c>
      <c r="C31" s="643">
        <v>0</v>
      </c>
      <c r="D31" s="644">
        <v>0</v>
      </c>
      <c r="E31" s="643">
        <v>0</v>
      </c>
      <c r="F31" s="643">
        <v>0</v>
      </c>
      <c r="G31" s="643">
        <v>0</v>
      </c>
      <c r="H31" s="643">
        <v>0</v>
      </c>
      <c r="I31" s="643">
        <v>0</v>
      </c>
      <c r="J31" s="643">
        <v>0</v>
      </c>
      <c r="K31" s="644">
        <v>0</v>
      </c>
      <c r="L31" s="644">
        <v>0</v>
      </c>
      <c r="M31" s="644">
        <v>279</v>
      </c>
      <c r="N31" s="644">
        <f>'2nd IA CTRs'!F12*M31/M32</f>
        <v>196.72740520261451</v>
      </c>
    </row>
    <row r="32" spans="1:14" ht="13.5" thickBot="1" x14ac:dyDescent="0.25">
      <c r="A32" s="328" t="s">
        <v>79</v>
      </c>
      <c r="B32" s="329">
        <f>SUM(B22:B31)</f>
        <v>1557</v>
      </c>
      <c r="C32" s="329">
        <f t="shared" ref="C32:M32" si="4">SUM(C22:C31)</f>
        <v>0</v>
      </c>
      <c r="D32" s="329">
        <f t="shared" si="4"/>
        <v>40</v>
      </c>
      <c r="E32" s="329">
        <f t="shared" si="4"/>
        <v>0</v>
      </c>
      <c r="F32" s="329">
        <f t="shared" si="4"/>
        <v>41</v>
      </c>
      <c r="G32" s="329">
        <f t="shared" si="4"/>
        <v>21</v>
      </c>
      <c r="H32" s="329">
        <f t="shared" si="4"/>
        <v>72</v>
      </c>
      <c r="I32" s="329">
        <f t="shared" si="4"/>
        <v>0</v>
      </c>
      <c r="J32" s="329">
        <f t="shared" si="4"/>
        <v>0</v>
      </c>
      <c r="K32" s="329">
        <f t="shared" si="4"/>
        <v>65.7</v>
      </c>
      <c r="L32" s="329">
        <f t="shared" si="4"/>
        <v>155</v>
      </c>
      <c r="M32" s="329">
        <f t="shared" si="4"/>
        <v>1376</v>
      </c>
      <c r="N32" s="329">
        <f t="shared" ref="N32" si="5">SUM(N22:N31)</f>
        <v>970.23981920715948</v>
      </c>
    </row>
    <row r="33" spans="1:14" x14ac:dyDescent="0.2">
      <c r="A33" s="358"/>
      <c r="B33" s="351"/>
      <c r="C33" s="351"/>
      <c r="D33" s="359"/>
      <c r="E33" s="359"/>
      <c r="F33" s="359"/>
      <c r="G33" s="359"/>
      <c r="H33" s="359"/>
      <c r="I33" s="359"/>
      <c r="J33" s="359"/>
      <c r="K33" s="359"/>
      <c r="L33" s="359"/>
      <c r="M33" s="359"/>
      <c r="N33" s="359"/>
    </row>
    <row r="34" spans="1:14" ht="13.5" thickBot="1" x14ac:dyDescent="0.25">
      <c r="A34" s="328" t="s">
        <v>80</v>
      </c>
      <c r="B34" s="329">
        <f>B13+B20+B32</f>
        <v>2295</v>
      </c>
      <c r="C34" s="329">
        <f t="shared" ref="C34:M34" si="6">C13+C20+C32</f>
        <v>0</v>
      </c>
      <c r="D34" s="330">
        <f t="shared" si="6"/>
        <v>988</v>
      </c>
      <c r="E34" s="330">
        <f>E13+E20+E32</f>
        <v>493</v>
      </c>
      <c r="F34" s="330">
        <f t="shared" si="6"/>
        <v>540.4</v>
      </c>
      <c r="G34" s="330">
        <f t="shared" si="6"/>
        <v>621</v>
      </c>
      <c r="H34" s="330">
        <f t="shared" si="6"/>
        <v>72</v>
      </c>
      <c r="I34" s="330">
        <f t="shared" si="6"/>
        <v>0</v>
      </c>
      <c r="J34" s="330">
        <f t="shared" si="6"/>
        <v>175</v>
      </c>
      <c r="K34" s="330">
        <f t="shared" si="6"/>
        <v>371.7</v>
      </c>
      <c r="L34" s="330">
        <f t="shared" si="6"/>
        <v>155</v>
      </c>
      <c r="M34" s="330">
        <f t="shared" si="6"/>
        <v>1376</v>
      </c>
      <c r="N34" s="330">
        <f t="shared" ref="N34" si="7">N13+N20+N32</f>
        <v>970.23981920715948</v>
      </c>
    </row>
    <row r="35" spans="1:14" ht="12.75" customHeight="1" x14ac:dyDescent="0.2">
      <c r="A35" s="347" t="s">
        <v>104</v>
      </c>
      <c r="B35" s="379"/>
      <c r="C35" s="379"/>
      <c r="D35" s="379"/>
      <c r="E35" s="379"/>
      <c r="F35" s="379"/>
      <c r="G35" s="379"/>
      <c r="H35" s="379"/>
      <c r="I35" s="379"/>
      <c r="J35" s="379"/>
      <c r="K35" s="379"/>
      <c r="L35" s="379"/>
      <c r="M35" s="149"/>
    </row>
    <row r="36" spans="1:14" x14ac:dyDescent="0.2">
      <c r="A36" s="23"/>
      <c r="B36" s="150"/>
      <c r="C36" s="150"/>
      <c r="D36" s="40"/>
      <c r="E36" s="149"/>
      <c r="F36" s="149"/>
      <c r="G36" s="149"/>
      <c r="H36" s="149"/>
      <c r="I36" s="149"/>
      <c r="J36" s="34"/>
      <c r="K36" s="149"/>
      <c r="L36" s="149"/>
    </row>
    <row r="37" spans="1:14" x14ac:dyDescent="0.2">
      <c r="A37" s="344"/>
      <c r="B37" s="344"/>
      <c r="C37" s="344"/>
      <c r="D37" s="344"/>
      <c r="E37" s="344"/>
      <c r="F37" s="344"/>
      <c r="G37" s="344"/>
      <c r="H37" s="21"/>
      <c r="I37" s="645"/>
      <c r="J37" s="645"/>
      <c r="K37" s="645"/>
      <c r="L37" s="645"/>
    </row>
    <row r="38" spans="1:14" ht="13.5" thickBot="1" x14ac:dyDescent="0.25">
      <c r="A38" s="778" t="s">
        <v>299</v>
      </c>
      <c r="B38" s="344"/>
      <c r="C38" s="344"/>
      <c r="D38" s="344"/>
      <c r="E38" s="344"/>
      <c r="F38" s="344"/>
      <c r="G38" s="344"/>
      <c r="H38" s="21"/>
      <c r="I38" s="645"/>
      <c r="J38" s="645"/>
      <c r="K38" s="645"/>
      <c r="L38" s="645"/>
    </row>
    <row r="39" spans="1:14" ht="13.5" thickBot="1" x14ac:dyDescent="0.25">
      <c r="A39" s="778"/>
      <c r="B39" s="578" t="s">
        <v>28</v>
      </c>
      <c r="C39" s="578" t="s">
        <v>33</v>
      </c>
      <c r="D39" s="578" t="s">
        <v>5</v>
      </c>
      <c r="E39" s="578" t="s">
        <v>8</v>
      </c>
      <c r="F39" s="578" t="s">
        <v>34</v>
      </c>
      <c r="G39" s="578" t="s">
        <v>35</v>
      </c>
      <c r="H39" s="578" t="s">
        <v>15</v>
      </c>
      <c r="I39" s="578" t="s">
        <v>11</v>
      </c>
      <c r="J39" s="578" t="s">
        <v>50</v>
      </c>
      <c r="K39" s="578" t="s">
        <v>20</v>
      </c>
      <c r="L39" s="21"/>
    </row>
    <row r="40" spans="1:14" ht="13.5" thickBot="1" x14ac:dyDescent="0.25">
      <c r="A40" s="594" t="s">
        <v>300</v>
      </c>
      <c r="B40" s="595">
        <f>'2nd IA Load Pricing Results'!D14</f>
        <v>0</v>
      </c>
      <c r="C40" s="596">
        <f>'2nd IA Load Pricing Results'!D15-'2nd IA Load Pricing Results'!D14</f>
        <v>25.572153076962188</v>
      </c>
      <c r="D40" s="596">
        <f>'2nd IA Load Pricing Results'!D16-'2nd IA Load Pricing Results'!D14</f>
        <v>0</v>
      </c>
      <c r="E40" s="586">
        <f>'2nd IA Load Pricing Results'!D28</f>
        <v>39.887194780486055</v>
      </c>
      <c r="F40" s="586">
        <f>'2nd IA Load Pricing Results'!D29-'2nd IA Load Pricing Results'!D28</f>
        <v>4.2316372021521929</v>
      </c>
      <c r="G40" s="586">
        <f>'2nd IA Load Pricing Results'!D32</f>
        <v>0</v>
      </c>
      <c r="H40" s="596">
        <f>'2nd IA Load Pricing Results'!D17-'2nd IA Load Pricing Results'!D16</f>
        <v>0</v>
      </c>
      <c r="I40" s="596">
        <f>'2nd IA Load Pricing Results'!D19-'2nd IA Load Pricing Results'!D16</f>
        <v>59.952687752960578</v>
      </c>
      <c r="J40" s="596">
        <f>'2nd IA Load Pricing Results'!D22</f>
        <v>0</v>
      </c>
      <c r="K40" s="597">
        <f>'2nd IA Load Pricing Results'!D18</f>
        <v>55.996810371646134</v>
      </c>
      <c r="L40" s="21"/>
    </row>
    <row r="41" spans="1:14" ht="13.5" thickBot="1" x14ac:dyDescent="0.25">
      <c r="A41" s="602" t="s">
        <v>301</v>
      </c>
      <c r="B41" s="780" t="s">
        <v>302</v>
      </c>
      <c r="C41" s="781"/>
      <c r="D41" s="781"/>
      <c r="E41" s="781"/>
      <c r="F41" s="781"/>
      <c r="G41" s="781"/>
      <c r="H41" s="781"/>
      <c r="I41" s="781"/>
      <c r="J41" s="781"/>
      <c r="K41" s="782"/>
      <c r="L41" s="21"/>
    </row>
    <row r="42" spans="1:14" x14ac:dyDescent="0.2">
      <c r="A42" s="606" t="s">
        <v>303</v>
      </c>
      <c r="B42" s="603">
        <f t="shared" ref="B42:B47" si="8">C7*$B$40</f>
        <v>0</v>
      </c>
      <c r="C42" s="579">
        <f t="shared" ref="C42:C47" si="9">D7*$C$40</f>
        <v>0</v>
      </c>
      <c r="D42" s="579">
        <f t="shared" ref="D42:D47" si="10">E7*$D$40</f>
        <v>0</v>
      </c>
      <c r="E42" s="579">
        <f t="shared" ref="E42:E47" si="11">F7*$E$40</f>
        <v>0</v>
      </c>
      <c r="F42" s="579">
        <f t="shared" ref="F42:F47" si="12">G7*$F$40</f>
        <v>0</v>
      </c>
      <c r="G42" s="579">
        <f t="shared" ref="G42:G47" si="13">I7*$G$40</f>
        <v>0</v>
      </c>
      <c r="H42" s="579">
        <f t="shared" ref="H42:H47" si="14">J7*$H$40</f>
        <v>0</v>
      </c>
      <c r="I42" s="579">
        <f t="shared" ref="I42:I47" si="15">K7*$I$40</f>
        <v>0</v>
      </c>
      <c r="J42" s="598">
        <f t="shared" ref="J42:J47" si="16">L7*$J$40</f>
        <v>0</v>
      </c>
      <c r="K42" s="580">
        <f t="shared" ref="K42:K47" si="17">M7*$K$40</f>
        <v>0</v>
      </c>
      <c r="L42" s="21"/>
    </row>
    <row r="43" spans="1:14" x14ac:dyDescent="0.2">
      <c r="A43" s="607" t="s">
        <v>304</v>
      </c>
      <c r="B43" s="604">
        <f t="shared" si="8"/>
        <v>0</v>
      </c>
      <c r="C43" s="581">
        <f t="shared" si="9"/>
        <v>0</v>
      </c>
      <c r="D43" s="581">
        <f t="shared" si="10"/>
        <v>0</v>
      </c>
      <c r="E43" s="581">
        <f t="shared" si="11"/>
        <v>0</v>
      </c>
      <c r="F43" s="581">
        <f t="shared" si="12"/>
        <v>0</v>
      </c>
      <c r="G43" s="581">
        <f t="shared" si="13"/>
        <v>0</v>
      </c>
      <c r="H43" s="581">
        <f t="shared" si="14"/>
        <v>0</v>
      </c>
      <c r="I43" s="581">
        <f t="shared" si="15"/>
        <v>0</v>
      </c>
      <c r="J43" s="599">
        <f t="shared" si="16"/>
        <v>0</v>
      </c>
      <c r="K43" s="582">
        <f t="shared" si="17"/>
        <v>0</v>
      </c>
      <c r="L43" s="21"/>
    </row>
    <row r="44" spans="1:14" x14ac:dyDescent="0.2">
      <c r="A44" s="607" t="s">
        <v>305</v>
      </c>
      <c r="B44" s="604">
        <f t="shared" si="8"/>
        <v>0</v>
      </c>
      <c r="C44" s="581">
        <f t="shared" si="9"/>
        <v>0</v>
      </c>
      <c r="D44" s="581">
        <f t="shared" si="10"/>
        <v>0</v>
      </c>
      <c r="E44" s="581">
        <f t="shared" si="11"/>
        <v>0</v>
      </c>
      <c r="F44" s="581">
        <f t="shared" si="12"/>
        <v>0</v>
      </c>
      <c r="G44" s="581">
        <f t="shared" si="13"/>
        <v>0</v>
      </c>
      <c r="H44" s="581">
        <f t="shared" si="14"/>
        <v>0</v>
      </c>
      <c r="I44" s="581">
        <f t="shared" si="15"/>
        <v>0</v>
      </c>
      <c r="J44" s="599">
        <f t="shared" si="16"/>
        <v>0</v>
      </c>
      <c r="K44" s="582">
        <f t="shared" si="17"/>
        <v>0</v>
      </c>
      <c r="L44" s="21"/>
    </row>
    <row r="45" spans="1:14" x14ac:dyDescent="0.2">
      <c r="A45" s="607" t="s">
        <v>306</v>
      </c>
      <c r="B45" s="604">
        <f t="shared" si="8"/>
        <v>0</v>
      </c>
      <c r="C45" s="581">
        <f t="shared" si="9"/>
        <v>22963.793463112044</v>
      </c>
      <c r="D45" s="581">
        <f t="shared" si="10"/>
        <v>0</v>
      </c>
      <c r="E45" s="581">
        <f t="shared" si="11"/>
        <v>2748.2277203754893</v>
      </c>
      <c r="F45" s="581">
        <f t="shared" si="12"/>
        <v>446.43772482705634</v>
      </c>
      <c r="G45" s="581">
        <f t="shared" si="13"/>
        <v>0</v>
      </c>
      <c r="H45" s="581">
        <f t="shared" si="14"/>
        <v>0</v>
      </c>
      <c r="I45" s="581">
        <f t="shared" si="15"/>
        <v>0</v>
      </c>
      <c r="J45" s="599">
        <f t="shared" si="16"/>
        <v>0</v>
      </c>
      <c r="K45" s="582">
        <f t="shared" si="17"/>
        <v>0</v>
      </c>
      <c r="L45" s="21"/>
    </row>
    <row r="46" spans="1:14" x14ac:dyDescent="0.2">
      <c r="A46" s="607" t="s">
        <v>307</v>
      </c>
      <c r="B46" s="604">
        <f t="shared" si="8"/>
        <v>0</v>
      </c>
      <c r="C46" s="581">
        <f t="shared" si="9"/>
        <v>0</v>
      </c>
      <c r="D46" s="581">
        <f t="shared" si="10"/>
        <v>0</v>
      </c>
      <c r="E46" s="581">
        <f t="shared" si="11"/>
        <v>0</v>
      </c>
      <c r="F46" s="581">
        <f t="shared" si="12"/>
        <v>0</v>
      </c>
      <c r="G46" s="581">
        <f t="shared" si="13"/>
        <v>0</v>
      </c>
      <c r="H46" s="581">
        <f t="shared" si="14"/>
        <v>0</v>
      </c>
      <c r="I46" s="581">
        <f t="shared" si="15"/>
        <v>0</v>
      </c>
      <c r="J46" s="599">
        <f t="shared" si="16"/>
        <v>0</v>
      </c>
      <c r="K46" s="582">
        <f t="shared" si="17"/>
        <v>0</v>
      </c>
      <c r="L46" s="21"/>
    </row>
    <row r="47" spans="1:14" x14ac:dyDescent="0.2">
      <c r="A47" s="607" t="s">
        <v>308</v>
      </c>
      <c r="B47" s="604">
        <f t="shared" si="8"/>
        <v>0</v>
      </c>
      <c r="C47" s="581">
        <f t="shared" si="9"/>
        <v>0</v>
      </c>
      <c r="D47" s="581">
        <f t="shared" si="10"/>
        <v>0</v>
      </c>
      <c r="E47" s="581">
        <f t="shared" si="11"/>
        <v>0</v>
      </c>
      <c r="F47" s="581">
        <f t="shared" si="12"/>
        <v>0</v>
      </c>
      <c r="G47" s="581">
        <f t="shared" si="13"/>
        <v>0</v>
      </c>
      <c r="H47" s="581">
        <f t="shared" si="14"/>
        <v>0</v>
      </c>
      <c r="I47" s="581">
        <f t="shared" si="15"/>
        <v>0</v>
      </c>
      <c r="J47" s="599">
        <f t="shared" si="16"/>
        <v>0</v>
      </c>
      <c r="K47" s="582">
        <f t="shared" si="17"/>
        <v>0</v>
      </c>
      <c r="L47" s="21"/>
    </row>
    <row r="48" spans="1:14" x14ac:dyDescent="0.2">
      <c r="A48" s="607" t="s">
        <v>309</v>
      </c>
      <c r="B48" s="604">
        <f>C15*$B$40</f>
        <v>0</v>
      </c>
      <c r="C48" s="581">
        <f>D15*$C$40</f>
        <v>0</v>
      </c>
      <c r="D48" s="581">
        <f>E15*$D$40</f>
        <v>0</v>
      </c>
      <c r="E48" s="581">
        <f>F15*$E$40</f>
        <v>0</v>
      </c>
      <c r="F48" s="581">
        <f>G15*$F$40</f>
        <v>0</v>
      </c>
      <c r="G48" s="581">
        <f>I15*$G$40</f>
        <v>0</v>
      </c>
      <c r="H48" s="581">
        <f>J15*$H$40</f>
        <v>0</v>
      </c>
      <c r="I48" s="581">
        <f>K15*$I$40</f>
        <v>7434.1332813671115</v>
      </c>
      <c r="J48" s="599">
        <f>L15*$J$40</f>
        <v>0</v>
      </c>
      <c r="K48" s="582">
        <f>M15*$K$40</f>
        <v>0</v>
      </c>
      <c r="L48" s="21"/>
    </row>
    <row r="49" spans="1:12" x14ac:dyDescent="0.2">
      <c r="A49" s="607" t="s">
        <v>310</v>
      </c>
      <c r="B49" s="604">
        <f>C16*$B$40</f>
        <v>0</v>
      </c>
      <c r="C49" s="581">
        <f>D16*$C$40</f>
        <v>0</v>
      </c>
      <c r="D49" s="581">
        <f>E16*$D$40</f>
        <v>0</v>
      </c>
      <c r="E49" s="581">
        <f>F16*$E$40</f>
        <v>13569.623664321356</v>
      </c>
      <c r="F49" s="581">
        <f>G16*$F$40</f>
        <v>2092.5445964642595</v>
      </c>
      <c r="G49" s="581">
        <f>I16*$G$40</f>
        <v>0</v>
      </c>
      <c r="H49" s="581">
        <f>J16*$H$40</f>
        <v>0</v>
      </c>
      <c r="I49" s="581">
        <f>K16*$I$40</f>
        <v>0</v>
      </c>
      <c r="J49" s="599">
        <f>L16*$J$40</f>
        <v>0</v>
      </c>
      <c r="K49" s="582">
        <f>M16*$K$40</f>
        <v>0</v>
      </c>
      <c r="L49" s="21"/>
    </row>
    <row r="50" spans="1:12" x14ac:dyDescent="0.2">
      <c r="A50" s="607" t="s">
        <v>311</v>
      </c>
      <c r="B50" s="604">
        <f>C17*$B$40</f>
        <v>0</v>
      </c>
      <c r="C50" s="581">
        <f>D17*$C$40</f>
        <v>0</v>
      </c>
      <c r="D50" s="581">
        <f>E17*$D$40</f>
        <v>0</v>
      </c>
      <c r="E50" s="581">
        <f>F17*$E$40</f>
        <v>3601.8136886778907</v>
      </c>
      <c r="F50" s="581">
        <f>G17*$F$40</f>
        <v>0</v>
      </c>
      <c r="G50" s="581">
        <f>I17*$G$40</f>
        <v>0</v>
      </c>
      <c r="H50" s="581">
        <f>J17*$H$40</f>
        <v>0</v>
      </c>
      <c r="I50" s="581">
        <f>K17*$I$40</f>
        <v>0</v>
      </c>
      <c r="J50" s="599">
        <f>L17*$J$40</f>
        <v>0</v>
      </c>
      <c r="K50" s="582">
        <f>M17*$K$40</f>
        <v>0</v>
      </c>
      <c r="L50" s="21"/>
    </row>
    <row r="51" spans="1:12" x14ac:dyDescent="0.2">
      <c r="A51" s="607" t="s">
        <v>312</v>
      </c>
      <c r="B51" s="604">
        <f>C18*$B$40</f>
        <v>0</v>
      </c>
      <c r="C51" s="581">
        <f>D18*$C$40</f>
        <v>0</v>
      </c>
      <c r="D51" s="581">
        <f>E18*$D$40</f>
        <v>0</v>
      </c>
      <c r="E51" s="581">
        <f t="shared" ref="E51" si="18">F18*$E$40</f>
        <v>0</v>
      </c>
      <c r="F51" s="581">
        <f>G18*$F$40</f>
        <v>0</v>
      </c>
      <c r="G51" s="581">
        <f>I18*$G$40</f>
        <v>0</v>
      </c>
      <c r="H51" s="581">
        <f>J18*$H$40</f>
        <v>0</v>
      </c>
      <c r="I51" s="581">
        <f>K18*$I$40</f>
        <v>10911.389171038825</v>
      </c>
      <c r="J51" s="599">
        <f>L18*$J$40</f>
        <v>0</v>
      </c>
      <c r="K51" s="582">
        <f>M18*$K$40</f>
        <v>0</v>
      </c>
      <c r="L51" s="21"/>
    </row>
    <row r="52" spans="1:12" ht="13.5" thickBot="1" x14ac:dyDescent="0.25">
      <c r="A52" s="608" t="s">
        <v>313</v>
      </c>
      <c r="B52" s="605">
        <f>C19*$B$40</f>
        <v>0</v>
      </c>
      <c r="C52" s="583">
        <f>D19*$C$40</f>
        <v>1278.6076538481093</v>
      </c>
      <c r="D52" s="583">
        <f>E19*$D$40</f>
        <v>0</v>
      </c>
      <c r="E52" s="583">
        <f>F19*$E$40</f>
        <v>0</v>
      </c>
      <c r="F52" s="583">
        <f>G19*$F$40</f>
        <v>0</v>
      </c>
      <c r="G52" s="583">
        <f>H19*$G$40</f>
        <v>0</v>
      </c>
      <c r="H52" s="583">
        <f>I19*$H$40</f>
        <v>0</v>
      </c>
      <c r="I52" s="583">
        <f>K19*$I$40</f>
        <v>0</v>
      </c>
      <c r="J52" s="600">
        <f>K19*$J$40</f>
        <v>0</v>
      </c>
      <c r="K52" s="584">
        <f>L19*$K$40</f>
        <v>0</v>
      </c>
      <c r="L52" s="21"/>
    </row>
    <row r="53" spans="1:12" ht="13.5" thickBot="1" x14ac:dyDescent="0.25">
      <c r="A53" s="585" t="s">
        <v>314</v>
      </c>
      <c r="B53" s="586">
        <f t="shared" ref="B53:K53" si="19">SUM(B42:B52)</f>
        <v>0</v>
      </c>
      <c r="C53" s="586">
        <f t="shared" si="19"/>
        <v>24242.401116960154</v>
      </c>
      <c r="D53" s="586">
        <f t="shared" si="19"/>
        <v>0</v>
      </c>
      <c r="E53" s="586">
        <f t="shared" si="19"/>
        <v>19919.665073374737</v>
      </c>
      <c r="F53" s="586">
        <f t="shared" si="19"/>
        <v>2538.9823212913157</v>
      </c>
      <c r="G53" s="586">
        <f t="shared" si="19"/>
        <v>0</v>
      </c>
      <c r="H53" s="586">
        <f t="shared" si="19"/>
        <v>0</v>
      </c>
      <c r="I53" s="586">
        <f t="shared" si="19"/>
        <v>18345.522452405938</v>
      </c>
      <c r="J53" s="601">
        <f t="shared" si="19"/>
        <v>0</v>
      </c>
      <c r="K53" s="587">
        <f t="shared" si="19"/>
        <v>0</v>
      </c>
      <c r="L53" s="21"/>
    </row>
    <row r="54" spans="1:12" x14ac:dyDescent="0.2">
      <c r="A54" s="143" t="s">
        <v>67</v>
      </c>
      <c r="B54" s="588"/>
      <c r="C54" s="141"/>
      <c r="D54" s="141"/>
      <c r="E54" s="21"/>
      <c r="F54" s="21"/>
      <c r="G54" s="21"/>
      <c r="H54" s="21"/>
      <c r="I54" s="21"/>
      <c r="J54" s="21"/>
      <c r="K54" s="21"/>
      <c r="L54" s="21"/>
    </row>
    <row r="55" spans="1:12" x14ac:dyDescent="0.2">
      <c r="A55" s="143" t="s">
        <v>315</v>
      </c>
      <c r="B55" s="588"/>
      <c r="C55" s="141"/>
      <c r="D55" s="141"/>
      <c r="E55" s="21"/>
      <c r="F55" s="21"/>
      <c r="G55" s="21"/>
      <c r="H55" s="21"/>
      <c r="I55" s="21"/>
      <c r="J55" s="21"/>
      <c r="K55" s="21"/>
      <c r="L55" s="21"/>
    </row>
    <row r="56" spans="1:12" x14ac:dyDescent="0.2">
      <c r="A56" s="121" t="s">
        <v>316</v>
      </c>
      <c r="B56" s="588"/>
      <c r="C56" s="141"/>
      <c r="D56" s="141"/>
      <c r="E56" s="21"/>
      <c r="F56" s="21"/>
      <c r="G56" s="21"/>
      <c r="H56" s="21"/>
      <c r="I56" s="21"/>
      <c r="J56" s="21"/>
      <c r="K56" s="21"/>
      <c r="L56" s="21"/>
    </row>
    <row r="57" spans="1:12" x14ac:dyDescent="0.2">
      <c r="A57" s="121" t="s">
        <v>317</v>
      </c>
      <c r="B57" s="588"/>
      <c r="C57" s="141"/>
      <c r="D57" s="141"/>
      <c r="E57" s="21"/>
      <c r="F57" s="21"/>
      <c r="G57" s="21"/>
      <c r="H57" s="21"/>
      <c r="I57" s="21"/>
      <c r="J57" s="21"/>
      <c r="K57" s="21"/>
      <c r="L57" s="21"/>
    </row>
    <row r="58" spans="1:12" x14ac:dyDescent="0.2">
      <c r="A58" s="121" t="s">
        <v>318</v>
      </c>
      <c r="B58" s="588"/>
      <c r="C58" s="141"/>
      <c r="D58" s="141"/>
      <c r="E58" s="21"/>
      <c r="F58" s="21"/>
      <c r="G58" s="21"/>
      <c r="H58" s="21"/>
      <c r="I58" s="21"/>
      <c r="J58" s="21"/>
      <c r="K58" s="21"/>
      <c r="L58" s="21"/>
    </row>
    <row r="59" spans="1:12" x14ac:dyDescent="0.2">
      <c r="A59" s="264"/>
      <c r="B59" s="588"/>
      <c r="C59" s="141"/>
      <c r="D59" s="141"/>
      <c r="E59" s="21"/>
      <c r="F59" s="21"/>
      <c r="G59" s="21"/>
      <c r="H59" s="21"/>
      <c r="I59" s="21"/>
      <c r="J59" s="21"/>
      <c r="K59" s="21"/>
      <c r="L59" s="21"/>
    </row>
    <row r="60" spans="1:12" ht="13.5" thickBot="1" x14ac:dyDescent="0.25">
      <c r="A60" s="21"/>
      <c r="B60" s="21"/>
      <c r="C60" s="21"/>
      <c r="D60" s="21"/>
      <c r="E60" s="21"/>
      <c r="F60" s="21"/>
      <c r="G60" s="21"/>
      <c r="H60" s="21"/>
      <c r="I60" s="21"/>
      <c r="J60" s="21"/>
      <c r="K60" s="21"/>
      <c r="L60" s="21"/>
    </row>
    <row r="61" spans="1:12" ht="16.5" thickBot="1" x14ac:dyDescent="0.3">
      <c r="A61" s="159" t="s">
        <v>59</v>
      </c>
      <c r="B61" s="21"/>
      <c r="C61" s="21"/>
      <c r="D61" s="21"/>
      <c r="E61" s="21"/>
      <c r="F61" s="21"/>
      <c r="G61" s="21"/>
      <c r="H61" s="21"/>
      <c r="I61" s="21"/>
      <c r="J61" s="21"/>
      <c r="K61" s="21"/>
      <c r="L61" s="21"/>
    </row>
    <row r="62" spans="1:12" ht="77.25" thickBot="1" x14ac:dyDescent="0.25">
      <c r="A62" s="331" t="s">
        <v>3</v>
      </c>
      <c r="B62" s="332" t="s">
        <v>76</v>
      </c>
      <c r="C62" s="333" t="s">
        <v>100</v>
      </c>
      <c r="D62" s="29"/>
      <c r="E62" s="21"/>
      <c r="F62" s="21"/>
      <c r="G62" s="21"/>
      <c r="H62" s="21"/>
      <c r="I62" s="21"/>
      <c r="J62" s="21"/>
      <c r="K62" s="21"/>
      <c r="L62" s="21"/>
    </row>
    <row r="63" spans="1:12" x14ac:dyDescent="0.2">
      <c r="A63" s="336" t="s">
        <v>28</v>
      </c>
      <c r="B63" s="589">
        <f>C32*B40</f>
        <v>0</v>
      </c>
      <c r="C63" s="282">
        <f>B53</f>
        <v>0</v>
      </c>
      <c r="D63" s="21"/>
      <c r="E63" s="52" t="s">
        <v>24</v>
      </c>
      <c r="F63" s="21"/>
      <c r="G63" s="21"/>
      <c r="H63" s="21"/>
      <c r="I63" s="21"/>
      <c r="J63" s="21"/>
      <c r="K63" s="21"/>
      <c r="L63" s="21"/>
    </row>
    <row r="64" spans="1:12" x14ac:dyDescent="0.2">
      <c r="A64" s="47" t="s">
        <v>33</v>
      </c>
      <c r="B64" s="50">
        <f>D32*C40</f>
        <v>1022.8861230784876</v>
      </c>
      <c r="C64" s="51">
        <f>C53</f>
        <v>24242.401116960154</v>
      </c>
      <c r="D64" s="52"/>
      <c r="E64" s="21"/>
      <c r="F64" s="21"/>
      <c r="G64" s="21"/>
      <c r="H64" s="21"/>
      <c r="I64" s="21"/>
      <c r="J64" s="21"/>
      <c r="K64" s="21"/>
      <c r="L64" s="21"/>
    </row>
    <row r="65" spans="1:12" x14ac:dyDescent="0.2">
      <c r="A65" s="47" t="s">
        <v>5</v>
      </c>
      <c r="B65" s="50">
        <f>E32*D40</f>
        <v>0</v>
      </c>
      <c r="C65" s="51">
        <f>D53</f>
        <v>0</v>
      </c>
      <c r="D65" s="21"/>
      <c r="E65" s="21"/>
      <c r="F65" s="21"/>
      <c r="G65" s="21"/>
      <c r="H65" s="21"/>
      <c r="I65" s="21"/>
      <c r="J65" s="21"/>
      <c r="K65" s="21"/>
      <c r="L65" s="21"/>
    </row>
    <row r="66" spans="1:12" x14ac:dyDescent="0.2">
      <c r="A66" s="144" t="s">
        <v>8</v>
      </c>
      <c r="B66" s="50">
        <f>F32*E40</f>
        <v>1635.3749859999282</v>
      </c>
      <c r="C66" s="51">
        <f>E53</f>
        <v>19919.665073374737</v>
      </c>
      <c r="D66" s="21"/>
      <c r="E66" s="52" t="s">
        <v>24</v>
      </c>
      <c r="F66" s="21" t="s">
        <v>24</v>
      </c>
      <c r="G66" s="79" t="s">
        <v>24</v>
      </c>
      <c r="H66" s="21"/>
      <c r="I66" s="21"/>
      <c r="J66" s="21"/>
      <c r="K66" s="21"/>
      <c r="L66" s="21"/>
    </row>
    <row r="67" spans="1:12" x14ac:dyDescent="0.2">
      <c r="A67" s="144" t="s">
        <v>34</v>
      </c>
      <c r="B67" s="50">
        <f>G32*F40</f>
        <v>88.864381245196057</v>
      </c>
      <c r="C67" s="51">
        <f>F53</f>
        <v>2538.9823212913157</v>
      </c>
      <c r="D67" s="21"/>
      <c r="E67" s="52" t="s">
        <v>24</v>
      </c>
      <c r="F67" s="21"/>
      <c r="G67" s="79" t="s">
        <v>24</v>
      </c>
      <c r="H67" s="21"/>
      <c r="I67" s="21"/>
      <c r="J67" s="21"/>
      <c r="K67" s="21"/>
      <c r="L67" s="21"/>
    </row>
    <row r="68" spans="1:12" x14ac:dyDescent="0.2">
      <c r="A68" s="144" t="s">
        <v>35</v>
      </c>
      <c r="B68" s="50">
        <f>I32*G40</f>
        <v>0</v>
      </c>
      <c r="C68" s="51">
        <f>G53</f>
        <v>0</v>
      </c>
      <c r="D68" s="21"/>
      <c r="E68" s="21"/>
      <c r="F68" s="21"/>
      <c r="G68" s="79" t="s">
        <v>24</v>
      </c>
      <c r="H68" s="21"/>
      <c r="I68" s="21"/>
      <c r="J68" s="21"/>
      <c r="K68" s="21"/>
      <c r="L68" s="21"/>
    </row>
    <row r="69" spans="1:12" x14ac:dyDescent="0.2">
      <c r="A69" s="144" t="s">
        <v>15</v>
      </c>
      <c r="B69" s="50">
        <f>J32*H40</f>
        <v>0</v>
      </c>
      <c r="C69" s="51">
        <f>H53</f>
        <v>0</v>
      </c>
      <c r="D69" s="21"/>
      <c r="E69" s="21"/>
      <c r="F69" s="21"/>
      <c r="G69" s="21"/>
      <c r="H69" s="21"/>
      <c r="I69" s="21"/>
      <c r="J69" s="21"/>
      <c r="K69" s="21"/>
      <c r="L69" s="21"/>
    </row>
    <row r="70" spans="1:12" x14ac:dyDescent="0.2">
      <c r="A70" s="144" t="s">
        <v>11</v>
      </c>
      <c r="B70" s="50">
        <f>K32*I40</f>
        <v>3938.8915853695103</v>
      </c>
      <c r="C70" s="51">
        <f>I53</f>
        <v>18345.522452405938</v>
      </c>
      <c r="D70" s="21"/>
      <c r="E70" s="21"/>
      <c r="F70" s="21"/>
      <c r="G70" s="21"/>
      <c r="H70" s="21"/>
      <c r="I70" s="21"/>
      <c r="J70" s="21"/>
      <c r="K70" s="21"/>
      <c r="L70" s="21"/>
    </row>
    <row r="71" spans="1:12" x14ac:dyDescent="0.2">
      <c r="A71" s="144" t="s">
        <v>50</v>
      </c>
      <c r="B71" s="609">
        <f>L32*J40</f>
        <v>0</v>
      </c>
      <c r="C71" s="145">
        <f>J53</f>
        <v>0</v>
      </c>
      <c r="D71" s="21"/>
      <c r="E71" s="21"/>
      <c r="F71" s="21"/>
      <c r="G71" s="21"/>
      <c r="H71" s="21"/>
      <c r="I71" s="21"/>
      <c r="J71" s="21"/>
      <c r="K71" s="21"/>
      <c r="L71" s="21"/>
    </row>
    <row r="72" spans="1:12" ht="13.5" thickBot="1" x14ac:dyDescent="0.25">
      <c r="A72" s="337" t="s">
        <v>20</v>
      </c>
      <c r="B72" s="590">
        <f>N32*K40</f>
        <v>54330.335171163541</v>
      </c>
      <c r="C72" s="285">
        <f>K53</f>
        <v>0</v>
      </c>
      <c r="D72" s="52"/>
      <c r="E72" s="21"/>
      <c r="F72" s="21"/>
      <c r="G72" s="21"/>
      <c r="H72" s="21"/>
      <c r="I72" s="21"/>
      <c r="J72" s="21"/>
      <c r="K72" s="21"/>
      <c r="L72" s="21"/>
    </row>
    <row r="73" spans="1:12" ht="13.5" thickBot="1" x14ac:dyDescent="0.25">
      <c r="A73" s="334" t="s">
        <v>48</v>
      </c>
      <c r="B73" s="591">
        <f>SUM(B63:B72)</f>
        <v>61016.352246856666</v>
      </c>
      <c r="C73" s="335">
        <f>SUM(C63:C72)</f>
        <v>65046.570964032151</v>
      </c>
      <c r="D73" s="21"/>
      <c r="E73" s="21"/>
      <c r="F73" s="21"/>
      <c r="G73" s="21"/>
      <c r="H73" s="21"/>
      <c r="I73" s="21"/>
      <c r="J73" s="21"/>
      <c r="K73" s="21"/>
      <c r="L73" s="21"/>
    </row>
    <row r="75" spans="1:12" x14ac:dyDescent="0.2">
      <c r="A75" s="660" t="s">
        <v>24</v>
      </c>
      <c r="B75" s="661" t="s">
        <v>24</v>
      </c>
      <c r="C75" s="662" t="s">
        <v>24</v>
      </c>
    </row>
    <row r="76" spans="1:12" x14ac:dyDescent="0.2">
      <c r="A76" s="663"/>
      <c r="B76" s="661" t="s">
        <v>24</v>
      </c>
      <c r="C76" s="662" t="s">
        <v>24</v>
      </c>
    </row>
    <row r="77" spans="1:12" x14ac:dyDescent="0.2">
      <c r="A77" s="663"/>
      <c r="B77" s="661" t="s">
        <v>24</v>
      </c>
      <c r="C77" s="663"/>
    </row>
  </sheetData>
  <mergeCells count="3">
    <mergeCell ref="A3:A4"/>
    <mergeCell ref="A38:A39"/>
    <mergeCell ref="B41:K41"/>
  </mergeCells>
  <pageMargins left="0.45" right="0.45" top="0.5" bottom="0.5" header="0" footer="0"/>
  <pageSetup scale="46"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4"/>
  <sheetViews>
    <sheetView zoomScaleNormal="100" workbookViewId="0"/>
  </sheetViews>
  <sheetFormatPr defaultRowHeight="12.75" x14ac:dyDescent="0.2"/>
  <cols>
    <col min="1" max="1" width="22.7109375" customWidth="1"/>
    <col min="2" max="6" width="16.7109375" customWidth="1"/>
    <col min="7" max="7" width="17.42578125" bestFit="1" customWidth="1"/>
    <col min="8" max="11" width="16.7109375" customWidth="1"/>
  </cols>
  <sheetData>
    <row r="1" spans="1:11" ht="18.75" x14ac:dyDescent="0.3">
      <c r="A1" s="415" t="s">
        <v>347</v>
      </c>
      <c r="B1" s="374"/>
      <c r="C1" s="374"/>
      <c r="D1" s="374"/>
      <c r="E1" s="11" t="s">
        <v>24</v>
      </c>
      <c r="F1" s="374"/>
      <c r="G1" s="374"/>
      <c r="H1" s="374"/>
    </row>
    <row r="2" spans="1:11" ht="18.75" x14ac:dyDescent="0.3">
      <c r="A2" s="3"/>
      <c r="B2" s="431"/>
      <c r="C2" s="374" t="s">
        <v>24</v>
      </c>
      <c r="D2" s="374" t="s">
        <v>24</v>
      </c>
      <c r="E2" s="432" t="s">
        <v>24</v>
      </c>
      <c r="F2" s="433"/>
      <c r="G2" s="434"/>
      <c r="H2" s="374"/>
    </row>
    <row r="3" spans="1:11" ht="15.75" x14ac:dyDescent="0.2">
      <c r="A3" s="767" t="s">
        <v>52</v>
      </c>
      <c r="B3" s="767"/>
      <c r="C3" s="435"/>
      <c r="D3" s="435"/>
      <c r="E3" s="435"/>
      <c r="F3" s="435"/>
      <c r="G3" s="453"/>
      <c r="H3" s="453"/>
      <c r="I3" s="453"/>
      <c r="J3" s="453"/>
      <c r="K3" s="453"/>
    </row>
    <row r="4" spans="1:11" ht="38.25" x14ac:dyDescent="0.2">
      <c r="A4" s="183" t="s">
        <v>125</v>
      </c>
      <c r="B4" s="164" t="s">
        <v>129</v>
      </c>
      <c r="C4" s="164" t="s">
        <v>155</v>
      </c>
      <c r="D4" s="183" t="s">
        <v>171</v>
      </c>
      <c r="E4" s="233"/>
      <c r="F4" s="233"/>
      <c r="G4" s="453"/>
      <c r="H4" s="453"/>
      <c r="I4" s="453"/>
      <c r="J4" s="453"/>
      <c r="K4" s="453"/>
    </row>
    <row r="5" spans="1:11" x14ac:dyDescent="0.2">
      <c r="A5" s="182" t="s">
        <v>6</v>
      </c>
      <c r="B5" s="31">
        <v>20.55</v>
      </c>
      <c r="C5" s="31">
        <v>0</v>
      </c>
      <c r="D5" s="35">
        <f>B5+C5</f>
        <v>20.55</v>
      </c>
      <c r="E5" s="436"/>
      <c r="F5" s="33"/>
      <c r="G5" s="453"/>
      <c r="H5" s="453"/>
      <c r="I5" s="453"/>
      <c r="J5" s="453"/>
      <c r="K5" s="453"/>
    </row>
    <row r="6" spans="1:11" x14ac:dyDescent="0.2">
      <c r="A6" s="182" t="s">
        <v>28</v>
      </c>
      <c r="B6" s="31">
        <v>20.55</v>
      </c>
      <c r="C6" s="31">
        <v>0</v>
      </c>
      <c r="D6" s="35">
        <f>B6+C6</f>
        <v>20.55</v>
      </c>
      <c r="E6" s="436"/>
      <c r="F6" s="33"/>
      <c r="G6" s="453"/>
      <c r="H6" s="453"/>
      <c r="I6" s="453"/>
      <c r="J6" s="453"/>
      <c r="K6" s="453"/>
    </row>
    <row r="7" spans="1:11" x14ac:dyDescent="0.2">
      <c r="A7" s="182" t="s">
        <v>33</v>
      </c>
      <c r="B7" s="31">
        <v>20.55</v>
      </c>
      <c r="C7" s="31">
        <v>5.81</v>
      </c>
      <c r="D7" s="35">
        <f>B7+C6+C7</f>
        <v>26.36</v>
      </c>
      <c r="E7" s="436"/>
      <c r="F7" s="33" t="s">
        <v>24</v>
      </c>
      <c r="G7" s="453"/>
      <c r="H7" s="453"/>
      <c r="I7" s="453"/>
      <c r="J7" s="453"/>
      <c r="K7" s="453"/>
    </row>
    <row r="8" spans="1:11" x14ac:dyDescent="0.2">
      <c r="A8" s="182" t="s">
        <v>5</v>
      </c>
      <c r="B8" s="31">
        <v>20.55</v>
      </c>
      <c r="C8" s="31">
        <v>0</v>
      </c>
      <c r="D8" s="35">
        <f>B8+C6+C8</f>
        <v>20.55</v>
      </c>
      <c r="E8" s="436"/>
      <c r="F8" s="33"/>
      <c r="G8" s="453"/>
      <c r="H8" s="453"/>
      <c r="I8" s="453"/>
      <c r="J8" s="453"/>
      <c r="K8" s="453"/>
    </row>
    <row r="9" spans="1:11" x14ac:dyDescent="0.2">
      <c r="A9" s="182" t="s">
        <v>8</v>
      </c>
      <c r="B9" s="31">
        <v>20.55</v>
      </c>
      <c r="C9" s="31">
        <v>4.6399999999999997</v>
      </c>
      <c r="D9" s="35">
        <f>B9+C6+C7+C9</f>
        <v>31</v>
      </c>
      <c r="E9" s="436"/>
      <c r="F9" s="33" t="s">
        <v>24</v>
      </c>
      <c r="G9" s="453"/>
      <c r="H9" s="453"/>
      <c r="I9" s="453"/>
      <c r="J9" s="453"/>
      <c r="K9" s="453"/>
    </row>
    <row r="10" spans="1:11" x14ac:dyDescent="0.2">
      <c r="A10" s="182" t="s">
        <v>34</v>
      </c>
      <c r="B10" s="31">
        <v>20.55</v>
      </c>
      <c r="C10" s="31">
        <v>0</v>
      </c>
      <c r="D10" s="35">
        <f>B10+C6+C7+C9+C10</f>
        <v>31</v>
      </c>
      <c r="E10" s="436"/>
      <c r="F10" s="33"/>
      <c r="G10" s="453"/>
      <c r="H10" s="453"/>
      <c r="I10" s="453"/>
      <c r="J10" s="453"/>
      <c r="K10" s="453"/>
    </row>
    <row r="11" spans="1:11" x14ac:dyDescent="0.2">
      <c r="A11" s="182" t="s">
        <v>35</v>
      </c>
      <c r="B11" s="31">
        <v>20.55</v>
      </c>
      <c r="C11" s="31">
        <v>0</v>
      </c>
      <c r="D11" s="35">
        <f>B11+C6+C7+C11</f>
        <v>26.36</v>
      </c>
      <c r="E11" s="436"/>
      <c r="F11" s="33"/>
      <c r="G11" s="453"/>
      <c r="H11" s="453"/>
      <c r="I11" s="453"/>
      <c r="J11" s="453"/>
      <c r="K11" s="453"/>
    </row>
    <row r="12" spans="1:11" x14ac:dyDescent="0.2">
      <c r="A12" s="22" t="s">
        <v>15</v>
      </c>
      <c r="B12" s="31">
        <v>20.55</v>
      </c>
      <c r="C12" s="31">
        <v>0</v>
      </c>
      <c r="D12" s="35">
        <f>B12+C6+C8+C12</f>
        <v>20.55</v>
      </c>
      <c r="E12" s="436"/>
      <c r="F12" s="33"/>
      <c r="G12" s="453"/>
      <c r="H12" s="453"/>
      <c r="I12" s="453"/>
      <c r="J12" s="453"/>
      <c r="K12" s="453"/>
    </row>
    <row r="13" spans="1:11" x14ac:dyDescent="0.2">
      <c r="A13" s="22" t="s">
        <v>43</v>
      </c>
      <c r="B13" s="31">
        <v>20.55</v>
      </c>
      <c r="C13" s="31">
        <v>0</v>
      </c>
      <c r="D13" s="35">
        <f>B13+C13</f>
        <v>20.55</v>
      </c>
      <c r="E13" s="436"/>
      <c r="F13" s="33"/>
      <c r="G13" s="453"/>
      <c r="H13" s="453"/>
      <c r="I13" s="453"/>
      <c r="J13" s="453"/>
      <c r="K13" s="453"/>
    </row>
    <row r="14" spans="1:11" x14ac:dyDescent="0.2">
      <c r="A14" s="22" t="s">
        <v>113</v>
      </c>
      <c r="B14" s="31">
        <v>20.55</v>
      </c>
      <c r="C14" s="31">
        <v>0</v>
      </c>
      <c r="D14" s="35">
        <f>B14+C13+C14</f>
        <v>20.55</v>
      </c>
      <c r="E14" s="436"/>
      <c r="F14" s="33"/>
      <c r="G14" s="453"/>
      <c r="H14" s="453"/>
      <c r="I14" s="453"/>
      <c r="J14" s="453"/>
      <c r="K14" s="453"/>
    </row>
    <row r="15" spans="1:11" x14ac:dyDescent="0.2">
      <c r="A15" s="22" t="s">
        <v>20</v>
      </c>
      <c r="B15" s="31">
        <v>20.55</v>
      </c>
      <c r="C15" s="31">
        <v>0</v>
      </c>
      <c r="D15" s="35">
        <f>B15+C15</f>
        <v>20.55</v>
      </c>
      <c r="E15" s="436"/>
      <c r="F15" s="33"/>
      <c r="G15" s="453"/>
      <c r="H15" s="453"/>
      <c r="I15" s="453"/>
      <c r="J15" s="453"/>
      <c r="K15" s="453"/>
    </row>
    <row r="16" spans="1:11" x14ac:dyDescent="0.2">
      <c r="A16" s="22" t="s">
        <v>11</v>
      </c>
      <c r="B16" s="31">
        <v>20.55</v>
      </c>
      <c r="C16" s="31">
        <v>18.45</v>
      </c>
      <c r="D16" s="35">
        <f>B16+C6+C8+C16</f>
        <v>39</v>
      </c>
      <c r="E16" s="436"/>
      <c r="F16" s="33" t="s">
        <v>24</v>
      </c>
      <c r="G16" s="453"/>
      <c r="H16" s="453"/>
      <c r="I16" s="453"/>
      <c r="J16" s="453"/>
      <c r="K16" s="453"/>
    </row>
    <row r="17" spans="1:11" x14ac:dyDescent="0.2">
      <c r="A17" s="22" t="s">
        <v>10</v>
      </c>
      <c r="B17" s="31">
        <v>20.55</v>
      </c>
      <c r="C17" s="31">
        <v>0</v>
      </c>
      <c r="D17" s="35">
        <f>B17+C6+C17</f>
        <v>20.55</v>
      </c>
      <c r="E17" s="436"/>
      <c r="F17" s="33"/>
      <c r="G17" s="453"/>
      <c r="H17" s="453"/>
      <c r="I17" s="453"/>
      <c r="J17" s="453"/>
      <c r="K17" s="453"/>
    </row>
    <row r="18" spans="1:11" x14ac:dyDescent="0.2">
      <c r="A18" s="22" t="s">
        <v>21</v>
      </c>
      <c r="B18" s="31">
        <v>20.55</v>
      </c>
      <c r="C18" s="31">
        <v>0</v>
      </c>
      <c r="D18" s="35">
        <f>B18+C18</f>
        <v>20.55</v>
      </c>
      <c r="E18" s="33"/>
      <c r="F18" s="33"/>
      <c r="G18" s="453"/>
      <c r="H18" s="453"/>
      <c r="I18" s="453"/>
      <c r="J18" s="453"/>
      <c r="K18" s="453"/>
    </row>
    <row r="19" spans="1:11" x14ac:dyDescent="0.2">
      <c r="A19" s="22" t="s">
        <v>50</v>
      </c>
      <c r="B19" s="31">
        <v>20.55</v>
      </c>
      <c r="C19" s="31">
        <v>0</v>
      </c>
      <c r="D19" s="35">
        <f>B19+C19</f>
        <v>20.55</v>
      </c>
      <c r="E19" s="33"/>
      <c r="F19" s="33"/>
      <c r="G19" s="453"/>
      <c r="H19" s="453"/>
      <c r="I19" s="453"/>
      <c r="J19" s="453"/>
      <c r="K19" s="453"/>
    </row>
    <row r="20" spans="1:11" x14ac:dyDescent="0.2">
      <c r="A20" s="23" t="s">
        <v>142</v>
      </c>
      <c r="B20" s="34"/>
      <c r="C20" s="33"/>
      <c r="D20" s="33"/>
      <c r="E20" s="33"/>
      <c r="F20" s="33"/>
      <c r="G20" s="453"/>
      <c r="H20" s="453"/>
      <c r="I20" s="453"/>
      <c r="J20" s="453"/>
      <c r="K20" s="453"/>
    </row>
    <row r="21" spans="1:11" ht="12.75" customHeight="1" x14ac:dyDescent="0.2">
      <c r="A21" s="219" t="s">
        <v>238</v>
      </c>
      <c r="B21" s="214"/>
      <c r="C21" s="214"/>
      <c r="D21" s="214"/>
      <c r="E21" s="214"/>
      <c r="F21" s="214"/>
      <c r="G21" s="453"/>
      <c r="H21" s="453"/>
      <c r="I21" s="453"/>
      <c r="J21" s="453"/>
      <c r="K21" s="453"/>
    </row>
    <row r="22" spans="1:11" x14ac:dyDescent="0.2">
      <c r="A22" s="214"/>
      <c r="B22" s="214"/>
      <c r="C22" s="214"/>
      <c r="D22" s="214"/>
      <c r="E22" s="214"/>
      <c r="F22" s="214"/>
      <c r="G22" s="453"/>
      <c r="H22" s="453"/>
      <c r="I22" s="453"/>
      <c r="J22" s="453"/>
      <c r="K22" s="453"/>
    </row>
    <row r="23" spans="1:11" ht="15.75" x14ac:dyDescent="0.25">
      <c r="A23" s="768" t="s">
        <v>239</v>
      </c>
      <c r="B23" s="769"/>
      <c r="C23" s="769"/>
      <c r="D23" s="769"/>
      <c r="E23" s="770"/>
      <c r="F23" s="437"/>
      <c r="G23" s="453"/>
      <c r="H23" s="453"/>
      <c r="I23" s="453"/>
      <c r="J23" s="453"/>
      <c r="K23" s="453"/>
    </row>
    <row r="24" spans="1:11" ht="38.25" x14ac:dyDescent="0.2">
      <c r="A24" s="183" t="s">
        <v>3</v>
      </c>
      <c r="B24" s="439" t="s">
        <v>240</v>
      </c>
      <c r="C24" s="439" t="s">
        <v>241</v>
      </c>
      <c r="D24" s="440" t="s">
        <v>242</v>
      </c>
      <c r="E24" s="439" t="s">
        <v>243</v>
      </c>
      <c r="F24" s="41"/>
      <c r="G24" s="453"/>
      <c r="H24" s="453"/>
      <c r="I24" s="453"/>
      <c r="J24" s="453"/>
      <c r="K24" s="453"/>
    </row>
    <row r="25" spans="1:11" x14ac:dyDescent="0.2">
      <c r="A25" s="182" t="s">
        <v>6</v>
      </c>
      <c r="B25" s="442">
        <v>4515.8999999999996</v>
      </c>
      <c r="C25" s="442">
        <v>5235</v>
      </c>
      <c r="D25" s="444">
        <f t="shared" ref="D25:D39" si="0">B25-C25</f>
        <v>-719.10000000000036</v>
      </c>
      <c r="E25" s="442">
        <v>0</v>
      </c>
      <c r="F25" s="445"/>
      <c r="G25" s="453"/>
      <c r="H25" s="453"/>
      <c r="I25" s="453"/>
      <c r="J25" s="453"/>
      <c r="K25" s="453"/>
    </row>
    <row r="26" spans="1:11" x14ac:dyDescent="0.2">
      <c r="A26" s="182" t="s">
        <v>28</v>
      </c>
      <c r="B26" s="442">
        <v>2100.4</v>
      </c>
      <c r="C26" s="442">
        <v>2041.2</v>
      </c>
      <c r="D26" s="443">
        <f t="shared" si="0"/>
        <v>59.200000000000045</v>
      </c>
      <c r="E26" s="442">
        <v>0</v>
      </c>
      <c r="F26" s="446"/>
      <c r="G26" s="453"/>
      <c r="H26" s="453"/>
      <c r="I26" s="453"/>
      <c r="J26" s="453"/>
      <c r="K26" s="453"/>
    </row>
    <row r="27" spans="1:11" x14ac:dyDescent="0.2">
      <c r="A27" s="182" t="s">
        <v>33</v>
      </c>
      <c r="B27" s="442">
        <v>1248.5999999999999</v>
      </c>
      <c r="C27" s="442">
        <v>1401.8</v>
      </c>
      <c r="D27" s="443">
        <f t="shared" si="0"/>
        <v>-153.20000000000005</v>
      </c>
      <c r="E27" s="442">
        <v>0</v>
      </c>
      <c r="F27" s="446"/>
      <c r="G27" s="453"/>
      <c r="H27" s="453"/>
      <c r="I27" s="453"/>
      <c r="J27" s="453"/>
      <c r="K27" s="453"/>
    </row>
    <row r="28" spans="1:11" x14ac:dyDescent="0.2">
      <c r="A28" s="182" t="s">
        <v>5</v>
      </c>
      <c r="B28" s="442">
        <v>443.2</v>
      </c>
      <c r="C28" s="442">
        <v>343.1</v>
      </c>
      <c r="D28" s="443">
        <f t="shared" si="0"/>
        <v>100.09999999999997</v>
      </c>
      <c r="E28" s="442">
        <v>0</v>
      </c>
      <c r="F28" s="446"/>
      <c r="G28" s="453"/>
      <c r="H28" s="453"/>
      <c r="I28" s="453"/>
      <c r="J28" s="453"/>
      <c r="K28" s="453"/>
    </row>
    <row r="29" spans="1:11" x14ac:dyDescent="0.2">
      <c r="A29" s="182" t="s">
        <v>8</v>
      </c>
      <c r="B29" s="442">
        <v>442.9</v>
      </c>
      <c r="C29" s="442">
        <v>472.5</v>
      </c>
      <c r="D29" s="443">
        <f t="shared" si="0"/>
        <v>-29.600000000000023</v>
      </c>
      <c r="E29" s="442">
        <v>0</v>
      </c>
      <c r="F29" s="446"/>
      <c r="G29" s="453"/>
      <c r="H29" s="453"/>
      <c r="I29" s="453"/>
      <c r="J29" s="453"/>
      <c r="K29" s="453"/>
    </row>
    <row r="30" spans="1:11" x14ac:dyDescent="0.2">
      <c r="A30" s="182" t="s">
        <v>34</v>
      </c>
      <c r="B30" s="442">
        <v>212.6</v>
      </c>
      <c r="C30" s="442">
        <v>244.8</v>
      </c>
      <c r="D30" s="443">
        <f t="shared" si="0"/>
        <v>-32.200000000000017</v>
      </c>
      <c r="E30" s="442">
        <v>0</v>
      </c>
      <c r="F30" s="446"/>
      <c r="G30" s="453"/>
      <c r="H30" s="453"/>
      <c r="I30" s="453"/>
      <c r="J30" s="453"/>
      <c r="K30" s="453"/>
    </row>
    <row r="31" spans="1:11" x14ac:dyDescent="0.2">
      <c r="A31" s="182" t="s">
        <v>35</v>
      </c>
      <c r="B31" s="442">
        <v>73.5</v>
      </c>
      <c r="C31" s="442">
        <v>18.3</v>
      </c>
      <c r="D31" s="443">
        <f t="shared" si="0"/>
        <v>55.2</v>
      </c>
      <c r="E31" s="442">
        <v>0</v>
      </c>
      <c r="F31" s="446"/>
      <c r="G31" s="453"/>
      <c r="H31" s="453"/>
      <c r="I31" s="453"/>
      <c r="J31" s="453"/>
      <c r="K31" s="453"/>
    </row>
    <row r="32" spans="1:11" x14ac:dyDescent="0.2">
      <c r="A32" s="22" t="s">
        <v>15</v>
      </c>
      <c r="B32" s="442">
        <v>198.6</v>
      </c>
      <c r="C32" s="442">
        <v>67.2</v>
      </c>
      <c r="D32" s="443">
        <f t="shared" si="0"/>
        <v>131.39999999999998</v>
      </c>
      <c r="E32" s="442">
        <v>0</v>
      </c>
      <c r="F32" s="446"/>
      <c r="G32" s="453"/>
      <c r="H32" s="453"/>
      <c r="I32" s="453"/>
      <c r="J32" s="453"/>
      <c r="K32" s="453"/>
    </row>
    <row r="33" spans="1:11" x14ac:dyDescent="0.2">
      <c r="A33" s="22" t="s">
        <v>43</v>
      </c>
      <c r="B33" s="442">
        <v>961.3</v>
      </c>
      <c r="C33" s="442">
        <v>942.7</v>
      </c>
      <c r="D33" s="443">
        <f t="shared" si="0"/>
        <v>18.599999999999909</v>
      </c>
      <c r="E33" s="442">
        <v>0</v>
      </c>
      <c r="F33" s="446"/>
      <c r="G33" s="453"/>
      <c r="H33" s="453"/>
      <c r="I33" s="453"/>
      <c r="J33" s="453"/>
      <c r="K33" s="453"/>
    </row>
    <row r="34" spans="1:11" x14ac:dyDescent="0.2">
      <c r="A34" s="22" t="s">
        <v>113</v>
      </c>
      <c r="B34" s="442">
        <v>664.4</v>
      </c>
      <c r="C34" s="442">
        <v>485</v>
      </c>
      <c r="D34" s="443">
        <f t="shared" si="0"/>
        <v>179.39999999999998</v>
      </c>
      <c r="E34" s="442">
        <v>0</v>
      </c>
      <c r="F34" s="446"/>
      <c r="G34" s="453"/>
      <c r="H34" s="453"/>
      <c r="I34" s="453"/>
      <c r="J34" s="453"/>
      <c r="K34" s="453"/>
    </row>
    <row r="35" spans="1:11" x14ac:dyDescent="0.2">
      <c r="A35" s="22" t="s">
        <v>20</v>
      </c>
      <c r="B35" s="442">
        <v>327.7</v>
      </c>
      <c r="C35" s="442">
        <v>221.7</v>
      </c>
      <c r="D35" s="443">
        <f t="shared" si="0"/>
        <v>106</v>
      </c>
      <c r="E35" s="442">
        <v>0</v>
      </c>
      <c r="F35" s="446"/>
      <c r="G35" s="453"/>
      <c r="H35" s="453"/>
      <c r="I35" s="453"/>
      <c r="J35" s="453"/>
      <c r="K35" s="453"/>
    </row>
    <row r="36" spans="1:11" x14ac:dyDescent="0.2">
      <c r="A36" s="22" t="s">
        <v>11</v>
      </c>
      <c r="B36" s="442">
        <v>244.1</v>
      </c>
      <c r="C36" s="442">
        <v>244.1</v>
      </c>
      <c r="D36" s="443">
        <f t="shared" si="0"/>
        <v>0</v>
      </c>
      <c r="E36" s="442">
        <v>0</v>
      </c>
      <c r="F36" s="446"/>
      <c r="G36" s="453"/>
      <c r="H36" s="453"/>
      <c r="I36" s="453"/>
      <c r="J36" s="453"/>
      <c r="K36" s="453"/>
    </row>
    <row r="37" spans="1:11" x14ac:dyDescent="0.2">
      <c r="A37" s="22" t="s">
        <v>10</v>
      </c>
      <c r="B37" s="442">
        <v>148.30000000000001</v>
      </c>
      <c r="C37" s="442">
        <v>62.9</v>
      </c>
      <c r="D37" s="443">
        <f t="shared" si="0"/>
        <v>85.4</v>
      </c>
      <c r="E37" s="442">
        <v>0</v>
      </c>
      <c r="F37" s="446"/>
      <c r="G37" s="453"/>
      <c r="H37" s="453"/>
      <c r="I37" s="453"/>
      <c r="J37" s="453"/>
      <c r="K37" s="453"/>
    </row>
    <row r="38" spans="1:11" x14ac:dyDescent="0.2">
      <c r="A38" s="22" t="s">
        <v>21</v>
      </c>
      <c r="B38" s="442">
        <v>39.5</v>
      </c>
      <c r="C38" s="442">
        <v>81.400000000000006</v>
      </c>
      <c r="D38" s="443">
        <f t="shared" si="0"/>
        <v>-41.900000000000006</v>
      </c>
      <c r="E38" s="442">
        <v>0</v>
      </c>
      <c r="F38" s="446"/>
      <c r="G38" s="453"/>
      <c r="H38" s="453"/>
      <c r="I38" s="453"/>
      <c r="J38" s="453"/>
      <c r="K38" s="453"/>
    </row>
    <row r="39" spans="1:11" x14ac:dyDescent="0.2">
      <c r="A39" s="22" t="s">
        <v>50</v>
      </c>
      <c r="B39" s="442">
        <v>73.8</v>
      </c>
      <c r="C39" s="442">
        <v>159.19999999999999</v>
      </c>
      <c r="D39" s="443">
        <f t="shared" si="0"/>
        <v>-85.399999999999991</v>
      </c>
      <c r="E39" s="442">
        <v>0</v>
      </c>
      <c r="F39" s="446"/>
      <c r="G39" s="453"/>
      <c r="H39" s="453"/>
      <c r="I39" s="453"/>
      <c r="J39" s="453"/>
      <c r="K39" s="453"/>
    </row>
    <row r="40" spans="1:11" x14ac:dyDescent="0.2">
      <c r="A40" s="447"/>
      <c r="B40" s="448"/>
      <c r="C40" s="449"/>
      <c r="D40" s="448"/>
      <c r="E40" s="450"/>
      <c r="F40" s="448"/>
      <c r="G40" s="453"/>
      <c r="H40" s="453"/>
      <c r="I40" s="453"/>
      <c r="J40" s="453"/>
      <c r="K40" s="453"/>
    </row>
    <row r="41" spans="1:11" ht="15.75" x14ac:dyDescent="0.25">
      <c r="A41" s="771" t="s">
        <v>244</v>
      </c>
      <c r="B41" s="771"/>
      <c r="C41" s="771"/>
      <c r="D41" s="448"/>
      <c r="E41" s="451" t="s">
        <v>24</v>
      </c>
      <c r="F41" s="448"/>
      <c r="G41" s="453"/>
      <c r="H41" s="453"/>
      <c r="I41" s="453"/>
      <c r="J41" s="453"/>
      <c r="K41" s="453"/>
    </row>
    <row r="42" spans="1:11" ht="38.25" x14ac:dyDescent="0.2">
      <c r="A42" s="183" t="s">
        <v>3</v>
      </c>
      <c r="B42" s="439" t="s">
        <v>245</v>
      </c>
      <c r="C42" s="439" t="s">
        <v>246</v>
      </c>
      <c r="D42" s="439" t="s">
        <v>247</v>
      </c>
      <c r="E42" s="659" t="s">
        <v>24</v>
      </c>
      <c r="F42" s="452"/>
      <c r="G42" s="453"/>
      <c r="H42" s="453"/>
      <c r="I42" s="453"/>
      <c r="J42" s="453"/>
      <c r="K42" s="453"/>
    </row>
    <row r="43" spans="1:11" x14ac:dyDescent="0.2">
      <c r="A43" s="182" t="s">
        <v>6</v>
      </c>
      <c r="B43" s="443">
        <v>803.1</v>
      </c>
      <c r="C43" s="443">
        <v>84</v>
      </c>
      <c r="D43" s="444">
        <f>B43-C43</f>
        <v>719.1</v>
      </c>
      <c r="E43" s="446"/>
      <c r="F43" s="453"/>
      <c r="G43" s="453"/>
      <c r="H43" s="453"/>
      <c r="I43" s="453"/>
      <c r="J43" s="453"/>
      <c r="K43" s="453"/>
    </row>
    <row r="44" spans="1:11" x14ac:dyDescent="0.2">
      <c r="A44" s="182" t="s">
        <v>28</v>
      </c>
      <c r="B44" s="443">
        <v>289.39999999999998</v>
      </c>
      <c r="C44" s="443">
        <v>23.2</v>
      </c>
      <c r="D44" s="443">
        <f t="shared" ref="D44:D57" si="1">B44-C44</f>
        <v>266.2</v>
      </c>
      <c r="E44" s="446"/>
      <c r="F44" s="453"/>
      <c r="G44" s="453"/>
      <c r="H44" s="453"/>
      <c r="I44" s="453"/>
      <c r="J44" s="453"/>
      <c r="K44" s="453"/>
    </row>
    <row r="45" spans="1:11" x14ac:dyDescent="0.2">
      <c r="A45" s="182" t="s">
        <v>33</v>
      </c>
      <c r="B45" s="443">
        <v>153.19999999999999</v>
      </c>
      <c r="C45" s="443">
        <v>0</v>
      </c>
      <c r="D45" s="443">
        <f t="shared" si="1"/>
        <v>153.19999999999999</v>
      </c>
      <c r="E45" s="446"/>
      <c r="F45" s="453"/>
      <c r="G45" s="453"/>
      <c r="H45" s="453"/>
      <c r="I45" s="453"/>
      <c r="J45" s="453"/>
      <c r="K45" s="453"/>
    </row>
    <row r="46" spans="1:11" x14ac:dyDescent="0.2">
      <c r="A46" s="182" t="s">
        <v>5</v>
      </c>
      <c r="B46" s="443">
        <v>62.5</v>
      </c>
      <c r="C46" s="443">
        <v>23.2</v>
      </c>
      <c r="D46" s="443">
        <f t="shared" si="1"/>
        <v>39.299999999999997</v>
      </c>
      <c r="E46" s="446"/>
      <c r="F46" s="453"/>
      <c r="G46" s="453"/>
      <c r="H46" s="453"/>
      <c r="I46" s="453"/>
      <c r="J46" s="453"/>
      <c r="K46" s="453"/>
    </row>
    <row r="47" spans="1:11" x14ac:dyDescent="0.2">
      <c r="A47" s="182" t="s">
        <v>8</v>
      </c>
      <c r="B47" s="443">
        <v>29.6</v>
      </c>
      <c r="C47" s="443">
        <v>0</v>
      </c>
      <c r="D47" s="443">
        <f t="shared" si="1"/>
        <v>29.6</v>
      </c>
      <c r="E47" s="446"/>
      <c r="F47" s="453"/>
      <c r="G47" s="453"/>
      <c r="H47" s="453"/>
      <c r="I47" s="453"/>
      <c r="J47" s="453"/>
      <c r="K47" s="453"/>
    </row>
    <row r="48" spans="1:11" x14ac:dyDescent="0.2">
      <c r="A48" s="182" t="s">
        <v>34</v>
      </c>
      <c r="B48" s="443">
        <v>28.8</v>
      </c>
      <c r="C48" s="443">
        <v>0</v>
      </c>
      <c r="D48" s="443">
        <f t="shared" si="1"/>
        <v>28.8</v>
      </c>
      <c r="E48" s="446"/>
      <c r="F48" s="453"/>
      <c r="G48" s="453"/>
      <c r="H48" s="453"/>
      <c r="I48" s="453"/>
      <c r="J48" s="453"/>
      <c r="K48" s="453"/>
    </row>
    <row r="49" spans="1:21" x14ac:dyDescent="0.2">
      <c r="A49" s="182" t="s">
        <v>35</v>
      </c>
      <c r="B49" s="443">
        <v>10.1</v>
      </c>
      <c r="C49" s="443">
        <v>0</v>
      </c>
      <c r="D49" s="443">
        <f t="shared" si="1"/>
        <v>10.1</v>
      </c>
      <c r="E49" s="446"/>
      <c r="F49" s="453"/>
      <c r="G49" s="453"/>
      <c r="H49" s="453"/>
      <c r="I49" s="453"/>
      <c r="J49" s="453"/>
      <c r="K49" s="453"/>
    </row>
    <row r="50" spans="1:21" x14ac:dyDescent="0.2">
      <c r="A50" s="22" t="s">
        <v>15</v>
      </c>
      <c r="B50" s="443">
        <v>62.5</v>
      </c>
      <c r="C50" s="443">
        <v>23.2</v>
      </c>
      <c r="D50" s="443">
        <f t="shared" si="1"/>
        <v>39.299999999999997</v>
      </c>
      <c r="E50" s="446"/>
      <c r="F50" s="453"/>
      <c r="G50" s="453"/>
      <c r="H50" s="453"/>
      <c r="I50" s="453"/>
      <c r="J50" s="453"/>
      <c r="K50" s="453"/>
    </row>
    <row r="51" spans="1:21" x14ac:dyDescent="0.2">
      <c r="A51" s="22" t="s">
        <v>43</v>
      </c>
      <c r="B51" s="443">
        <v>89.9</v>
      </c>
      <c r="C51" s="443">
        <v>0</v>
      </c>
      <c r="D51" s="443">
        <f t="shared" si="1"/>
        <v>89.9</v>
      </c>
      <c r="E51" s="446"/>
      <c r="F51" s="453"/>
      <c r="G51" s="453"/>
      <c r="H51" s="453"/>
      <c r="I51" s="453"/>
      <c r="J51" s="453"/>
      <c r="K51" s="453"/>
    </row>
    <row r="52" spans="1:21" x14ac:dyDescent="0.2">
      <c r="A52" s="22" t="s">
        <v>113</v>
      </c>
      <c r="B52" s="443">
        <v>22</v>
      </c>
      <c r="C52" s="443">
        <v>0</v>
      </c>
      <c r="D52" s="443">
        <f t="shared" si="1"/>
        <v>22</v>
      </c>
      <c r="E52" s="446"/>
      <c r="F52" s="453"/>
      <c r="G52" s="453"/>
      <c r="H52" s="453"/>
      <c r="I52" s="453"/>
      <c r="J52" s="453"/>
      <c r="K52" s="453"/>
    </row>
    <row r="53" spans="1:21" x14ac:dyDescent="0.2">
      <c r="A53" s="22" t="s">
        <v>20</v>
      </c>
      <c r="B53" s="443">
        <v>87.7</v>
      </c>
      <c r="C53" s="443">
        <v>60.8</v>
      </c>
      <c r="D53" s="443">
        <f t="shared" si="1"/>
        <v>26.900000000000006</v>
      </c>
      <c r="E53" s="446"/>
      <c r="F53" s="453"/>
      <c r="G53" s="453"/>
      <c r="H53" s="453"/>
      <c r="I53" s="453"/>
      <c r="J53" s="453"/>
      <c r="K53" s="453"/>
    </row>
    <row r="54" spans="1:21" x14ac:dyDescent="0.2">
      <c r="A54" s="22" t="s">
        <v>11</v>
      </c>
      <c r="B54" s="443">
        <v>0</v>
      </c>
      <c r="C54" s="443">
        <v>0</v>
      </c>
      <c r="D54" s="443">
        <f t="shared" si="1"/>
        <v>0</v>
      </c>
      <c r="E54" s="446"/>
      <c r="F54" s="453"/>
      <c r="G54" s="453"/>
      <c r="H54" s="453"/>
      <c r="I54" s="453"/>
      <c r="J54" s="453"/>
      <c r="K54" s="453"/>
    </row>
    <row r="55" spans="1:21" x14ac:dyDescent="0.2">
      <c r="A55" s="22" t="s">
        <v>10</v>
      </c>
      <c r="B55" s="443">
        <v>44.7</v>
      </c>
      <c r="C55" s="443">
        <v>0</v>
      </c>
      <c r="D55" s="443">
        <f t="shared" si="1"/>
        <v>44.7</v>
      </c>
      <c r="E55" s="446"/>
      <c r="F55" s="453"/>
      <c r="G55" s="453"/>
      <c r="H55" s="453"/>
      <c r="I55" s="453"/>
      <c r="J55" s="453"/>
      <c r="K55" s="453"/>
    </row>
    <row r="56" spans="1:21" x14ac:dyDescent="0.2">
      <c r="A56" s="22" t="s">
        <v>21</v>
      </c>
      <c r="B56" s="443">
        <v>27.6</v>
      </c>
      <c r="C56" s="443">
        <v>0</v>
      </c>
      <c r="D56" s="443">
        <f t="shared" si="1"/>
        <v>27.6</v>
      </c>
      <c r="E56" s="446"/>
      <c r="F56" s="453"/>
      <c r="G56" s="453"/>
      <c r="H56" s="453"/>
      <c r="I56" s="453"/>
      <c r="J56" s="453"/>
      <c r="K56" s="453"/>
    </row>
    <row r="57" spans="1:21" x14ac:dyDescent="0.2">
      <c r="A57" s="22" t="s">
        <v>50</v>
      </c>
      <c r="B57" s="443">
        <v>20.7</v>
      </c>
      <c r="C57" s="443">
        <v>0</v>
      </c>
      <c r="D57" s="443">
        <f t="shared" si="1"/>
        <v>20.7</v>
      </c>
      <c r="E57" s="446"/>
      <c r="F57" s="453"/>
      <c r="G57" s="453"/>
      <c r="H57" s="453"/>
      <c r="I57" s="453"/>
      <c r="J57" s="453"/>
      <c r="K57" s="453"/>
    </row>
    <row r="58" spans="1:21" x14ac:dyDescent="0.2">
      <c r="A58" s="447"/>
      <c r="B58" s="448"/>
      <c r="C58" s="449"/>
      <c r="D58" s="448"/>
      <c r="E58" s="450"/>
      <c r="F58" s="448"/>
      <c r="G58" s="453"/>
      <c r="H58" s="453"/>
      <c r="I58" s="453"/>
      <c r="J58" s="453"/>
      <c r="K58" s="453"/>
      <c r="L58" s="453"/>
    </row>
    <row r="59" spans="1:21" ht="15.75" x14ac:dyDescent="0.25">
      <c r="A59" s="772" t="s">
        <v>248</v>
      </c>
      <c r="B59" s="772"/>
      <c r="C59" s="454"/>
      <c r="D59" s="454"/>
      <c r="E59" s="455"/>
      <c r="F59" s="438"/>
      <c r="G59" s="438"/>
      <c r="H59" s="438"/>
      <c r="I59" s="453"/>
      <c r="J59" s="453"/>
      <c r="K59" s="453"/>
      <c r="L59" s="453"/>
      <c r="M59" s="455"/>
      <c r="N59" s="438"/>
      <c r="O59" s="438"/>
    </row>
    <row r="60" spans="1:21" ht="63.75" x14ac:dyDescent="0.2">
      <c r="A60" s="183" t="s">
        <v>3</v>
      </c>
      <c r="B60" s="439" t="s">
        <v>240</v>
      </c>
      <c r="C60" s="439" t="s">
        <v>249</v>
      </c>
      <c r="D60" s="439" t="s">
        <v>250</v>
      </c>
      <c r="E60" s="456" t="s">
        <v>251</v>
      </c>
      <c r="F60" s="457" t="s">
        <v>252</v>
      </c>
      <c r="G60" s="456" t="s">
        <v>253</v>
      </c>
      <c r="H60" s="458"/>
      <c r="I60" s="453"/>
      <c r="J60" s="453"/>
      <c r="K60" s="453"/>
      <c r="L60" s="453"/>
      <c r="M60" s="453"/>
      <c r="N60" s="453"/>
      <c r="O60" s="453"/>
      <c r="P60" s="453"/>
      <c r="Q60" s="453"/>
      <c r="R60" s="453"/>
      <c r="S60" s="453"/>
      <c r="T60" s="453"/>
      <c r="U60" s="453"/>
    </row>
    <row r="61" spans="1:21" x14ac:dyDescent="0.2">
      <c r="A61" s="182" t="s">
        <v>44</v>
      </c>
      <c r="B61" s="48">
        <f>B25-B26-B33-B35-B38-B39</f>
        <v>1013.1999999999996</v>
      </c>
      <c r="C61" s="48">
        <f>C25-C26-C33-C35-C38-C39</f>
        <v>1788.8000000000002</v>
      </c>
      <c r="D61" s="48">
        <f>D25-D26-D33-D35-D38-D39</f>
        <v>-775.60000000000036</v>
      </c>
      <c r="E61" s="50">
        <f>B61*D5</f>
        <v>20821.259999999991</v>
      </c>
      <c r="F61" s="50">
        <f>C61*D5</f>
        <v>36759.840000000004</v>
      </c>
      <c r="G61" s="459">
        <f>E61-F61</f>
        <v>-15938.580000000013</v>
      </c>
      <c r="H61" s="103"/>
      <c r="I61" s="453"/>
      <c r="J61" s="453"/>
      <c r="K61" s="453"/>
      <c r="L61" s="453"/>
    </row>
    <row r="62" spans="1:21" x14ac:dyDescent="0.2">
      <c r="A62" s="182" t="s">
        <v>47</v>
      </c>
      <c r="B62" s="48">
        <f>B26-B27-B28-B37</f>
        <v>260.30000000000018</v>
      </c>
      <c r="C62" s="48">
        <f>C26-C27-C28-C37</f>
        <v>233.40000000000006</v>
      </c>
      <c r="D62" s="48">
        <f>D26-D27-D28-D37</f>
        <v>26.900000000000119</v>
      </c>
      <c r="E62" s="50">
        <f t="shared" ref="E62:E75" si="2">B62*D6</f>
        <v>5349.1650000000036</v>
      </c>
      <c r="F62" s="50">
        <f t="shared" ref="F62:F75" si="3">C62*D6</f>
        <v>4796.3700000000017</v>
      </c>
      <c r="G62" s="459">
        <f t="shared" ref="G62:G75" si="4">E62-F62</f>
        <v>552.79500000000189</v>
      </c>
      <c r="H62" s="103"/>
    </row>
    <row r="63" spans="1:21" x14ac:dyDescent="0.2">
      <c r="A63" s="182" t="s">
        <v>46</v>
      </c>
      <c r="B63" s="48">
        <f>B27-B29-B31</f>
        <v>732.19999999999993</v>
      </c>
      <c r="C63" s="48">
        <f>C27-C29-C31</f>
        <v>911</v>
      </c>
      <c r="D63" s="48">
        <f>D27-D29-D31</f>
        <v>-178.8</v>
      </c>
      <c r="E63" s="50">
        <f t="shared" si="2"/>
        <v>19300.791999999998</v>
      </c>
      <c r="F63" s="50">
        <f t="shared" si="3"/>
        <v>24013.96</v>
      </c>
      <c r="G63" s="459">
        <f t="shared" si="4"/>
        <v>-4713.1680000000015</v>
      </c>
      <c r="H63" s="103"/>
    </row>
    <row r="64" spans="1:21" x14ac:dyDescent="0.2">
      <c r="A64" s="182" t="s">
        <v>45</v>
      </c>
      <c r="B64" s="48">
        <f>B28-B32-B36</f>
        <v>0.5</v>
      </c>
      <c r="C64" s="48">
        <f>C28-C32-C36</f>
        <v>31.80000000000004</v>
      </c>
      <c r="D64" s="48">
        <f>D28-D32-D36</f>
        <v>-31.300000000000011</v>
      </c>
      <c r="E64" s="50">
        <f t="shared" si="2"/>
        <v>10.275</v>
      </c>
      <c r="F64" s="50">
        <f t="shared" si="3"/>
        <v>653.4900000000008</v>
      </c>
      <c r="G64" s="459">
        <f t="shared" si="4"/>
        <v>-643.21500000000083</v>
      </c>
      <c r="H64" s="103"/>
    </row>
    <row r="65" spans="1:19" x14ac:dyDescent="0.2">
      <c r="A65" s="182" t="s">
        <v>37</v>
      </c>
      <c r="B65" s="48">
        <f>B29-B30</f>
        <v>230.29999999999998</v>
      </c>
      <c r="C65" s="48">
        <f>C29-C30</f>
        <v>227.7</v>
      </c>
      <c r="D65" s="48">
        <f>D29-D30</f>
        <v>2.5999999999999943</v>
      </c>
      <c r="E65" s="50">
        <f t="shared" si="2"/>
        <v>7139.2999999999993</v>
      </c>
      <c r="F65" s="50">
        <f t="shared" si="3"/>
        <v>7058.7</v>
      </c>
      <c r="G65" s="459">
        <f t="shared" si="4"/>
        <v>80.599999999999454</v>
      </c>
      <c r="H65" s="103"/>
    </row>
    <row r="66" spans="1:19" x14ac:dyDescent="0.2">
      <c r="A66" s="182" t="s">
        <v>34</v>
      </c>
      <c r="B66" s="48">
        <f t="shared" ref="B66:D68" si="5">B30</f>
        <v>212.6</v>
      </c>
      <c r="C66" s="48">
        <f t="shared" si="5"/>
        <v>244.8</v>
      </c>
      <c r="D66" s="48">
        <f t="shared" si="5"/>
        <v>-32.200000000000017</v>
      </c>
      <c r="E66" s="50">
        <f t="shared" si="2"/>
        <v>6590.5999999999995</v>
      </c>
      <c r="F66" s="50">
        <f t="shared" si="3"/>
        <v>7588.8</v>
      </c>
      <c r="G66" s="459">
        <f t="shared" si="4"/>
        <v>-998.20000000000073</v>
      </c>
      <c r="H66" s="103"/>
    </row>
    <row r="67" spans="1:19" x14ac:dyDescent="0.2">
      <c r="A67" s="182" t="s">
        <v>35</v>
      </c>
      <c r="B67" s="48">
        <f t="shared" si="5"/>
        <v>73.5</v>
      </c>
      <c r="C67" s="48">
        <f t="shared" si="5"/>
        <v>18.3</v>
      </c>
      <c r="D67" s="48">
        <f t="shared" si="5"/>
        <v>55.2</v>
      </c>
      <c r="E67" s="50">
        <f t="shared" si="2"/>
        <v>1937.46</v>
      </c>
      <c r="F67" s="50">
        <f t="shared" si="3"/>
        <v>482.38800000000003</v>
      </c>
      <c r="G67" s="459">
        <f t="shared" si="4"/>
        <v>1455.0720000000001</v>
      </c>
      <c r="H67" s="103"/>
    </row>
    <row r="68" spans="1:19" x14ac:dyDescent="0.2">
      <c r="A68" s="182" t="s">
        <v>15</v>
      </c>
      <c r="B68" s="48">
        <f t="shared" si="5"/>
        <v>198.6</v>
      </c>
      <c r="C68" s="48">
        <f t="shared" si="5"/>
        <v>67.2</v>
      </c>
      <c r="D68" s="48">
        <f t="shared" si="5"/>
        <v>131.39999999999998</v>
      </c>
      <c r="E68" s="50">
        <f t="shared" si="2"/>
        <v>4081.23</v>
      </c>
      <c r="F68" s="50">
        <f t="shared" si="3"/>
        <v>1380.96</v>
      </c>
      <c r="G68" s="459">
        <f t="shared" si="4"/>
        <v>2700.27</v>
      </c>
      <c r="H68" s="103"/>
    </row>
    <row r="69" spans="1:19" x14ac:dyDescent="0.2">
      <c r="A69" s="182" t="s">
        <v>114</v>
      </c>
      <c r="B69" s="48">
        <f>B33-B34</f>
        <v>296.89999999999998</v>
      </c>
      <c r="C69" s="48">
        <f>C33-C34</f>
        <v>457.70000000000005</v>
      </c>
      <c r="D69" s="48">
        <f>D33-D34</f>
        <v>-160.80000000000007</v>
      </c>
      <c r="E69" s="50">
        <f t="shared" si="2"/>
        <v>6101.2950000000001</v>
      </c>
      <c r="F69" s="50">
        <f t="shared" si="3"/>
        <v>9405.7350000000006</v>
      </c>
      <c r="G69" s="459">
        <f t="shared" si="4"/>
        <v>-3304.4400000000005</v>
      </c>
      <c r="H69" s="103"/>
    </row>
    <row r="70" spans="1:19" x14ac:dyDescent="0.2">
      <c r="A70" s="182" t="s">
        <v>113</v>
      </c>
      <c r="B70" s="48">
        <f t="shared" ref="B70:D75" si="6">B34</f>
        <v>664.4</v>
      </c>
      <c r="C70" s="48">
        <f t="shared" si="6"/>
        <v>485</v>
      </c>
      <c r="D70" s="48">
        <f t="shared" si="6"/>
        <v>179.39999999999998</v>
      </c>
      <c r="E70" s="50">
        <f t="shared" si="2"/>
        <v>13653.42</v>
      </c>
      <c r="F70" s="50">
        <f t="shared" si="3"/>
        <v>9966.75</v>
      </c>
      <c r="G70" s="459">
        <f t="shared" si="4"/>
        <v>3686.67</v>
      </c>
      <c r="H70" s="103"/>
    </row>
    <row r="71" spans="1:19" x14ac:dyDescent="0.2">
      <c r="A71" s="22" t="s">
        <v>20</v>
      </c>
      <c r="B71" s="48">
        <f t="shared" si="6"/>
        <v>327.7</v>
      </c>
      <c r="C71" s="48">
        <f t="shared" si="6"/>
        <v>221.7</v>
      </c>
      <c r="D71" s="48">
        <f t="shared" si="6"/>
        <v>106</v>
      </c>
      <c r="E71" s="50">
        <f t="shared" si="2"/>
        <v>6734.2349999999997</v>
      </c>
      <c r="F71" s="50">
        <f t="shared" si="3"/>
        <v>4555.9349999999995</v>
      </c>
      <c r="G71" s="459">
        <f t="shared" si="4"/>
        <v>2178.3000000000002</v>
      </c>
      <c r="H71" s="103"/>
    </row>
    <row r="72" spans="1:19" x14ac:dyDescent="0.2">
      <c r="A72" s="22" t="s">
        <v>11</v>
      </c>
      <c r="B72" s="48">
        <f t="shared" si="6"/>
        <v>244.1</v>
      </c>
      <c r="C72" s="48">
        <f t="shared" si="6"/>
        <v>244.1</v>
      </c>
      <c r="D72" s="48">
        <f t="shared" si="6"/>
        <v>0</v>
      </c>
      <c r="E72" s="50">
        <f t="shared" si="2"/>
        <v>9519.9</v>
      </c>
      <c r="F72" s="50">
        <f t="shared" si="3"/>
        <v>9519.9</v>
      </c>
      <c r="G72" s="459">
        <f t="shared" si="4"/>
        <v>0</v>
      </c>
      <c r="H72" s="103"/>
    </row>
    <row r="73" spans="1:19" x14ac:dyDescent="0.2">
      <c r="A73" s="22" t="s">
        <v>10</v>
      </c>
      <c r="B73" s="48">
        <f t="shared" si="6"/>
        <v>148.30000000000001</v>
      </c>
      <c r="C73" s="48">
        <f t="shared" si="6"/>
        <v>62.9</v>
      </c>
      <c r="D73" s="48">
        <f t="shared" si="6"/>
        <v>85.4</v>
      </c>
      <c r="E73" s="50">
        <f t="shared" si="2"/>
        <v>3047.5650000000005</v>
      </c>
      <c r="F73" s="50">
        <f t="shared" si="3"/>
        <v>1292.595</v>
      </c>
      <c r="G73" s="459">
        <f t="shared" si="4"/>
        <v>1754.9700000000005</v>
      </c>
      <c r="H73" s="103"/>
    </row>
    <row r="74" spans="1:19" x14ac:dyDescent="0.2">
      <c r="A74" s="22" t="s">
        <v>21</v>
      </c>
      <c r="B74" s="48">
        <f t="shared" si="6"/>
        <v>39.5</v>
      </c>
      <c r="C74" s="48">
        <f t="shared" si="6"/>
        <v>81.400000000000006</v>
      </c>
      <c r="D74" s="48">
        <f t="shared" si="6"/>
        <v>-41.900000000000006</v>
      </c>
      <c r="E74" s="50">
        <f t="shared" si="2"/>
        <v>811.72500000000002</v>
      </c>
      <c r="F74" s="50">
        <f t="shared" si="3"/>
        <v>1672.7700000000002</v>
      </c>
      <c r="G74" s="459">
        <f t="shared" si="4"/>
        <v>-861.04500000000019</v>
      </c>
      <c r="H74" s="103"/>
    </row>
    <row r="75" spans="1:19" x14ac:dyDescent="0.2">
      <c r="A75" s="22" t="s">
        <v>50</v>
      </c>
      <c r="B75" s="48">
        <f t="shared" si="6"/>
        <v>73.8</v>
      </c>
      <c r="C75" s="48">
        <f t="shared" si="6"/>
        <v>159.19999999999999</v>
      </c>
      <c r="D75" s="48">
        <f t="shared" si="6"/>
        <v>-85.399999999999991</v>
      </c>
      <c r="E75" s="50">
        <f t="shared" si="2"/>
        <v>1516.59</v>
      </c>
      <c r="F75" s="50">
        <f t="shared" si="3"/>
        <v>3271.56</v>
      </c>
      <c r="G75" s="459">
        <f t="shared" si="4"/>
        <v>-1754.97</v>
      </c>
      <c r="H75" s="103"/>
      <c r="K75" s="453"/>
      <c r="L75" s="453"/>
      <c r="M75" s="453"/>
      <c r="N75" s="453"/>
      <c r="O75" s="453"/>
      <c r="P75" s="453"/>
      <c r="Q75" s="453"/>
      <c r="R75" s="453"/>
      <c r="S75" s="453"/>
    </row>
    <row r="76" spans="1:19" x14ac:dyDescent="0.2">
      <c r="A76" s="67" t="s">
        <v>48</v>
      </c>
      <c r="B76" s="54">
        <f t="shared" ref="B76:G76" si="7">SUM(B61:B75)</f>
        <v>4515.9000000000005</v>
      </c>
      <c r="C76" s="54">
        <f t="shared" si="7"/>
        <v>5235</v>
      </c>
      <c r="D76" s="54">
        <f t="shared" si="7"/>
        <v>-719.10000000000025</v>
      </c>
      <c r="E76" s="68">
        <f t="shared" si="7"/>
        <v>106614.81199999999</v>
      </c>
      <c r="F76" s="68">
        <f t="shared" si="7"/>
        <v>122419.75300000003</v>
      </c>
      <c r="G76" s="68">
        <f t="shared" si="7"/>
        <v>-15804.941000000017</v>
      </c>
      <c r="H76" s="460"/>
      <c r="K76" s="453"/>
      <c r="L76" s="453"/>
      <c r="M76" s="453"/>
      <c r="N76" s="453"/>
      <c r="O76" s="453"/>
      <c r="P76" s="453"/>
      <c r="Q76" s="453"/>
      <c r="R76" s="453"/>
      <c r="S76" s="453"/>
    </row>
    <row r="77" spans="1:19" x14ac:dyDescent="0.2">
      <c r="A77" s="431"/>
      <c r="B77" s="461"/>
      <c r="C77" s="461"/>
      <c r="D77" s="461"/>
      <c r="E77" s="462"/>
      <c r="F77" s="461"/>
      <c r="G77" s="461"/>
      <c r="H77" s="461"/>
      <c r="I77" s="463"/>
      <c r="K77" s="453"/>
      <c r="L77" s="453"/>
      <c r="M77" s="453"/>
      <c r="N77" s="453"/>
      <c r="O77" s="453"/>
      <c r="P77" s="453"/>
      <c r="Q77" s="453"/>
      <c r="R77" s="453"/>
      <c r="S77" s="453"/>
    </row>
    <row r="78" spans="1:19" ht="15.75" x14ac:dyDescent="0.25">
      <c r="A78" s="772" t="s">
        <v>254</v>
      </c>
      <c r="B78" s="772"/>
      <c r="C78" s="464"/>
      <c r="D78" s="464"/>
      <c r="F78" s="465"/>
      <c r="G78" s="454" t="s">
        <v>24</v>
      </c>
      <c r="H78" s="454"/>
      <c r="K78" s="453"/>
      <c r="L78" s="453"/>
      <c r="M78" s="453"/>
      <c r="N78" s="453"/>
      <c r="O78" s="453"/>
      <c r="P78" s="453"/>
      <c r="Q78" s="453"/>
      <c r="R78" s="453"/>
      <c r="S78" s="453"/>
    </row>
    <row r="79" spans="1:19" ht="63.75" x14ac:dyDescent="0.2">
      <c r="A79" s="466" t="s">
        <v>3</v>
      </c>
      <c r="B79" s="164" t="s">
        <v>157</v>
      </c>
      <c r="C79" s="184" t="s">
        <v>158</v>
      </c>
      <c r="D79" s="184" t="s">
        <v>159</v>
      </c>
      <c r="E79" s="184" t="s">
        <v>160</v>
      </c>
      <c r="F79" s="185" t="s">
        <v>130</v>
      </c>
      <c r="G79" s="183" t="s">
        <v>163</v>
      </c>
      <c r="H79" s="183" t="s">
        <v>255</v>
      </c>
      <c r="I79" s="183" t="s">
        <v>256</v>
      </c>
      <c r="K79" s="453"/>
      <c r="L79" s="453"/>
      <c r="M79" s="453"/>
      <c r="N79" s="453"/>
      <c r="O79" s="453"/>
      <c r="P79" s="453"/>
      <c r="Q79" s="453"/>
      <c r="R79" s="453"/>
      <c r="S79" s="453"/>
    </row>
    <row r="80" spans="1:19" x14ac:dyDescent="0.2">
      <c r="A80" s="182" t="s">
        <v>44</v>
      </c>
      <c r="B80" s="48">
        <f>E25-E26-E33-E35-E38-E39</f>
        <v>0</v>
      </c>
      <c r="C80" s="31">
        <f>B80*D5</f>
        <v>0</v>
      </c>
      <c r="D80" s="31">
        <v>0</v>
      </c>
      <c r="E80" s="31">
        <v>0</v>
      </c>
      <c r="F80" s="31">
        <v>0</v>
      </c>
      <c r="G80" s="50">
        <f>C80+D80*184/365+E80*181/365+F80</f>
        <v>0</v>
      </c>
      <c r="H80" s="31">
        <v>0</v>
      </c>
      <c r="I80" s="31">
        <v>0</v>
      </c>
      <c r="K80" s="453"/>
      <c r="L80" s="453"/>
      <c r="M80" s="453"/>
      <c r="N80" s="453"/>
      <c r="O80" s="453"/>
      <c r="P80" s="453"/>
      <c r="Q80" s="453"/>
      <c r="R80" s="453"/>
      <c r="S80" s="453"/>
    </row>
    <row r="81" spans="1:19" x14ac:dyDescent="0.2">
      <c r="A81" s="182" t="s">
        <v>47</v>
      </c>
      <c r="B81" s="48">
        <f>E26-E27-E28-E37</f>
        <v>0</v>
      </c>
      <c r="C81" s="31">
        <f t="shared" ref="C81:C94" si="8">B81*D6</f>
        <v>0</v>
      </c>
      <c r="D81" s="31">
        <v>0</v>
      </c>
      <c r="E81" s="31">
        <v>0</v>
      </c>
      <c r="F81" s="31">
        <v>0</v>
      </c>
      <c r="G81" s="50">
        <f t="shared" ref="G81:G94" si="9">C81+D81*184/365+E81*181/365+F81</f>
        <v>0</v>
      </c>
      <c r="H81" s="31">
        <v>0</v>
      </c>
      <c r="I81" s="31">
        <v>0</v>
      </c>
      <c r="K81" s="453"/>
      <c r="L81" s="453"/>
      <c r="M81" s="453"/>
      <c r="N81" s="453"/>
      <c r="O81" s="453"/>
      <c r="P81" s="453"/>
      <c r="Q81" s="453"/>
      <c r="R81" s="453"/>
      <c r="S81" s="453"/>
    </row>
    <row r="82" spans="1:19" x14ac:dyDescent="0.2">
      <c r="A82" s="182" t="s">
        <v>46</v>
      </c>
      <c r="B82" s="48">
        <f>E27-E29-E31</f>
        <v>0</v>
      </c>
      <c r="C82" s="31">
        <f t="shared" si="8"/>
        <v>0</v>
      </c>
      <c r="D82" s="31">
        <v>0</v>
      </c>
      <c r="E82" s="31">
        <v>0</v>
      </c>
      <c r="F82" s="31">
        <v>0</v>
      </c>
      <c r="G82" s="50">
        <f t="shared" si="9"/>
        <v>0</v>
      </c>
      <c r="H82" s="31">
        <v>0</v>
      </c>
      <c r="I82" s="31">
        <v>0</v>
      </c>
      <c r="K82" s="453"/>
      <c r="L82" s="453"/>
      <c r="M82" s="453"/>
      <c r="N82" s="453"/>
      <c r="O82" s="453"/>
      <c r="P82" s="453"/>
      <c r="Q82" s="453"/>
      <c r="R82" s="453"/>
      <c r="S82" s="453"/>
    </row>
    <row r="83" spans="1:19" x14ac:dyDescent="0.2">
      <c r="A83" s="182" t="s">
        <v>45</v>
      </c>
      <c r="B83" s="48">
        <f>E28-E32-E36</f>
        <v>0</v>
      </c>
      <c r="C83" s="31">
        <f t="shared" si="8"/>
        <v>0</v>
      </c>
      <c r="D83" s="31">
        <v>0</v>
      </c>
      <c r="E83" s="31">
        <v>0</v>
      </c>
      <c r="F83" s="31">
        <v>0</v>
      </c>
      <c r="G83" s="50">
        <f t="shared" si="9"/>
        <v>0</v>
      </c>
      <c r="H83" s="31">
        <v>0</v>
      </c>
      <c r="I83" s="31">
        <v>0</v>
      </c>
      <c r="K83" s="453"/>
      <c r="L83" s="453"/>
      <c r="M83" s="453"/>
      <c r="N83" s="453"/>
      <c r="O83" s="453"/>
      <c r="P83" s="453"/>
      <c r="Q83" s="453"/>
      <c r="R83" s="453"/>
      <c r="S83" s="453"/>
    </row>
    <row r="84" spans="1:19" x14ac:dyDescent="0.2">
      <c r="A84" s="182" t="s">
        <v>37</v>
      </c>
      <c r="B84" s="48">
        <f>E29-E30</f>
        <v>0</v>
      </c>
      <c r="C84" s="31">
        <f t="shared" si="8"/>
        <v>0</v>
      </c>
      <c r="D84" s="31">
        <v>0</v>
      </c>
      <c r="E84" s="31">
        <v>0</v>
      </c>
      <c r="F84" s="31">
        <v>0</v>
      </c>
      <c r="G84" s="50">
        <f t="shared" si="9"/>
        <v>0</v>
      </c>
      <c r="H84" s="31">
        <v>0</v>
      </c>
      <c r="I84" s="31">
        <v>0</v>
      </c>
      <c r="K84" s="453"/>
      <c r="L84" s="453"/>
      <c r="M84" s="453"/>
      <c r="N84" s="453"/>
      <c r="O84" s="453"/>
      <c r="P84" s="453"/>
      <c r="Q84" s="453"/>
      <c r="R84" s="453"/>
      <c r="S84" s="453"/>
    </row>
    <row r="85" spans="1:19" x14ac:dyDescent="0.2">
      <c r="A85" s="182" t="s">
        <v>34</v>
      </c>
      <c r="B85" s="48">
        <f>E30</f>
        <v>0</v>
      </c>
      <c r="C85" s="31">
        <f t="shared" si="8"/>
        <v>0</v>
      </c>
      <c r="D85" s="31">
        <v>0</v>
      </c>
      <c r="E85" s="31">
        <v>0</v>
      </c>
      <c r="F85" s="31">
        <v>0</v>
      </c>
      <c r="G85" s="50">
        <f t="shared" si="9"/>
        <v>0</v>
      </c>
      <c r="H85" s="31">
        <v>0</v>
      </c>
      <c r="I85" s="31">
        <v>0</v>
      </c>
      <c r="K85" s="453"/>
      <c r="L85" s="453"/>
      <c r="M85" s="453"/>
      <c r="N85" s="453"/>
      <c r="O85" s="453"/>
      <c r="P85" s="453"/>
      <c r="Q85" s="453"/>
      <c r="R85" s="453"/>
      <c r="S85" s="453"/>
    </row>
    <row r="86" spans="1:19" x14ac:dyDescent="0.2">
      <c r="A86" s="182" t="s">
        <v>35</v>
      </c>
      <c r="B86" s="48">
        <f>E31</f>
        <v>0</v>
      </c>
      <c r="C86" s="31">
        <f t="shared" si="8"/>
        <v>0</v>
      </c>
      <c r="D86" s="31">
        <v>0</v>
      </c>
      <c r="E86" s="31">
        <v>0</v>
      </c>
      <c r="F86" s="31">
        <v>0</v>
      </c>
      <c r="G86" s="50">
        <f t="shared" si="9"/>
        <v>0</v>
      </c>
      <c r="H86" s="31">
        <v>0</v>
      </c>
      <c r="I86" s="31">
        <v>0</v>
      </c>
      <c r="K86" s="453"/>
      <c r="L86" s="453"/>
      <c r="M86" s="453"/>
      <c r="N86" s="453"/>
      <c r="O86" s="453"/>
      <c r="P86" s="453"/>
      <c r="Q86" s="453"/>
      <c r="R86" s="453"/>
      <c r="S86" s="453"/>
    </row>
    <row r="87" spans="1:19" x14ac:dyDescent="0.2">
      <c r="A87" s="182" t="s">
        <v>15</v>
      </c>
      <c r="B87" s="48">
        <f>E32</f>
        <v>0</v>
      </c>
      <c r="C87" s="31">
        <f t="shared" si="8"/>
        <v>0</v>
      </c>
      <c r="D87" s="31">
        <v>0</v>
      </c>
      <c r="E87" s="31">
        <v>0</v>
      </c>
      <c r="F87" s="31">
        <v>0</v>
      </c>
      <c r="G87" s="50">
        <f t="shared" si="9"/>
        <v>0</v>
      </c>
      <c r="H87" s="31">
        <v>0</v>
      </c>
      <c r="I87" s="31">
        <v>0</v>
      </c>
      <c r="K87" s="453"/>
      <c r="L87" s="453"/>
      <c r="M87" s="453"/>
      <c r="N87" s="453"/>
      <c r="O87" s="453"/>
      <c r="P87" s="453"/>
      <c r="Q87" s="453"/>
      <c r="R87" s="453"/>
      <c r="S87" s="453"/>
    </row>
    <row r="88" spans="1:19" x14ac:dyDescent="0.2">
      <c r="A88" s="182" t="s">
        <v>114</v>
      </c>
      <c r="B88" s="48">
        <f>E33-E34</f>
        <v>0</v>
      </c>
      <c r="C88" s="31">
        <f t="shared" si="8"/>
        <v>0</v>
      </c>
      <c r="D88" s="31">
        <v>0</v>
      </c>
      <c r="E88" s="31">
        <v>0</v>
      </c>
      <c r="F88" s="31">
        <v>0</v>
      </c>
      <c r="G88" s="50">
        <f t="shared" si="9"/>
        <v>0</v>
      </c>
      <c r="H88" s="31">
        <v>0</v>
      </c>
      <c r="I88" s="31">
        <v>0</v>
      </c>
    </row>
    <row r="89" spans="1:19" x14ac:dyDescent="0.2">
      <c r="A89" s="22" t="s">
        <v>113</v>
      </c>
      <c r="B89" s="48">
        <f t="shared" ref="B89:B94" si="10">E34</f>
        <v>0</v>
      </c>
      <c r="C89" s="31">
        <f t="shared" si="8"/>
        <v>0</v>
      </c>
      <c r="D89" s="31">
        <v>0</v>
      </c>
      <c r="E89" s="31">
        <v>0</v>
      </c>
      <c r="F89" s="31">
        <v>0</v>
      </c>
      <c r="G89" s="50">
        <f t="shared" si="9"/>
        <v>0</v>
      </c>
      <c r="H89" s="31">
        <v>0</v>
      </c>
      <c r="I89" s="31">
        <v>0</v>
      </c>
    </row>
    <row r="90" spans="1:19" x14ac:dyDescent="0.2">
      <c r="A90" s="22" t="s">
        <v>20</v>
      </c>
      <c r="B90" s="48">
        <f t="shared" si="10"/>
        <v>0</v>
      </c>
      <c r="C90" s="31">
        <f t="shared" si="8"/>
        <v>0</v>
      </c>
      <c r="D90" s="31">
        <v>0</v>
      </c>
      <c r="E90" s="31">
        <v>0</v>
      </c>
      <c r="F90" s="31">
        <v>0</v>
      </c>
      <c r="G90" s="50">
        <f t="shared" si="9"/>
        <v>0</v>
      </c>
      <c r="H90" s="31">
        <v>0</v>
      </c>
      <c r="I90" s="31">
        <v>0</v>
      </c>
    </row>
    <row r="91" spans="1:19" x14ac:dyDescent="0.2">
      <c r="A91" s="22" t="s">
        <v>11</v>
      </c>
      <c r="B91" s="48">
        <f t="shared" si="10"/>
        <v>0</v>
      </c>
      <c r="C91" s="31">
        <f t="shared" si="8"/>
        <v>0</v>
      </c>
      <c r="D91" s="31">
        <v>0</v>
      </c>
      <c r="E91" s="31">
        <v>0</v>
      </c>
      <c r="F91" s="31">
        <v>0</v>
      </c>
      <c r="G91" s="50">
        <f t="shared" si="9"/>
        <v>0</v>
      </c>
      <c r="H91" s="31">
        <v>0</v>
      </c>
      <c r="I91" s="31">
        <v>0</v>
      </c>
    </row>
    <row r="92" spans="1:19" x14ac:dyDescent="0.2">
      <c r="A92" s="22" t="s">
        <v>10</v>
      </c>
      <c r="B92" s="48">
        <f t="shared" si="10"/>
        <v>0</v>
      </c>
      <c r="C92" s="31">
        <f t="shared" si="8"/>
        <v>0</v>
      </c>
      <c r="D92" s="31">
        <v>0</v>
      </c>
      <c r="E92" s="31">
        <v>0</v>
      </c>
      <c r="F92" s="31">
        <v>0</v>
      </c>
      <c r="G92" s="50">
        <f t="shared" si="9"/>
        <v>0</v>
      </c>
      <c r="H92" s="31">
        <v>0</v>
      </c>
      <c r="I92" s="31">
        <v>0</v>
      </c>
    </row>
    <row r="93" spans="1:19" x14ac:dyDescent="0.2">
      <c r="A93" s="22" t="s">
        <v>21</v>
      </c>
      <c r="B93" s="48">
        <f t="shared" si="10"/>
        <v>0</v>
      </c>
      <c r="C93" s="31">
        <f t="shared" si="8"/>
        <v>0</v>
      </c>
      <c r="D93" s="31">
        <v>0</v>
      </c>
      <c r="E93" s="31">
        <v>0</v>
      </c>
      <c r="F93" s="31">
        <v>0</v>
      </c>
      <c r="G93" s="50">
        <f t="shared" si="9"/>
        <v>0</v>
      </c>
      <c r="H93" s="31">
        <v>0</v>
      </c>
      <c r="I93" s="31">
        <v>0</v>
      </c>
    </row>
    <row r="94" spans="1:19" x14ac:dyDescent="0.2">
      <c r="A94" s="22" t="s">
        <v>50</v>
      </c>
      <c r="B94" s="48">
        <f t="shared" si="10"/>
        <v>0</v>
      </c>
      <c r="C94" s="31">
        <f t="shared" si="8"/>
        <v>0</v>
      </c>
      <c r="D94" s="31">
        <v>0</v>
      </c>
      <c r="E94" s="31">
        <v>0</v>
      </c>
      <c r="F94" s="31">
        <v>0</v>
      </c>
      <c r="G94" s="50">
        <f t="shared" si="9"/>
        <v>0</v>
      </c>
      <c r="H94" s="31">
        <v>0</v>
      </c>
      <c r="I94" s="31">
        <v>0</v>
      </c>
    </row>
    <row r="95" spans="1:19" x14ac:dyDescent="0.2">
      <c r="A95" s="67" t="s">
        <v>48</v>
      </c>
      <c r="B95" s="54">
        <f t="shared" ref="B95:I95" si="11">SUM(B80:B94)</f>
        <v>0</v>
      </c>
      <c r="C95" s="42">
        <f t="shared" si="11"/>
        <v>0</v>
      </c>
      <c r="D95" s="42">
        <f>SUM(D80:D94)</f>
        <v>0</v>
      </c>
      <c r="E95" s="42">
        <f>SUM(E80:E92)</f>
        <v>0</v>
      </c>
      <c r="F95" s="42">
        <f>SUM(F80:F94)</f>
        <v>0</v>
      </c>
      <c r="G95" s="42">
        <f>SUM(G80:G94)</f>
        <v>0</v>
      </c>
      <c r="H95" s="42">
        <f t="shared" si="11"/>
        <v>0</v>
      </c>
      <c r="I95" s="42">
        <f t="shared" si="11"/>
        <v>0</v>
      </c>
    </row>
    <row r="97" spans="1:4" ht="15.75" x14ac:dyDescent="0.25">
      <c r="A97" s="725" t="s">
        <v>127</v>
      </c>
      <c r="B97" s="725"/>
      <c r="C97" s="725"/>
      <c r="D97" s="725"/>
    </row>
    <row r="98" spans="1:4" ht="38.25" x14ac:dyDescent="0.2">
      <c r="A98" s="26" t="s">
        <v>60</v>
      </c>
      <c r="B98" s="26" t="s">
        <v>128</v>
      </c>
      <c r="C98" s="26" t="s">
        <v>205</v>
      </c>
      <c r="D98" s="26" t="s">
        <v>61</v>
      </c>
    </row>
    <row r="99" spans="1:4" x14ac:dyDescent="0.2">
      <c r="A99" s="182" t="s">
        <v>28</v>
      </c>
      <c r="B99" s="165">
        <v>0</v>
      </c>
      <c r="C99" s="50">
        <f>C6</f>
        <v>0</v>
      </c>
      <c r="D99" s="50">
        <f t="shared" ref="D99:D112" si="12">B99*C99</f>
        <v>0</v>
      </c>
    </row>
    <row r="100" spans="1:4" x14ac:dyDescent="0.2">
      <c r="A100" s="182" t="s">
        <v>33</v>
      </c>
      <c r="B100" s="165">
        <v>0</v>
      </c>
      <c r="C100" s="50">
        <f t="shared" ref="C100:C112" si="13">C7</f>
        <v>5.81</v>
      </c>
      <c r="D100" s="50">
        <f t="shared" si="12"/>
        <v>0</v>
      </c>
    </row>
    <row r="101" spans="1:4" x14ac:dyDescent="0.2">
      <c r="A101" s="182" t="s">
        <v>5</v>
      </c>
      <c r="B101" s="165">
        <v>0</v>
      </c>
      <c r="C101" s="50">
        <f t="shared" si="13"/>
        <v>0</v>
      </c>
      <c r="D101" s="50">
        <f t="shared" si="12"/>
        <v>0</v>
      </c>
    </row>
    <row r="102" spans="1:4" x14ac:dyDescent="0.2">
      <c r="A102" s="182" t="s">
        <v>8</v>
      </c>
      <c r="B102" s="165">
        <v>0</v>
      </c>
      <c r="C102" s="50">
        <f t="shared" si="13"/>
        <v>4.6399999999999997</v>
      </c>
      <c r="D102" s="50">
        <f t="shared" si="12"/>
        <v>0</v>
      </c>
    </row>
    <row r="103" spans="1:4" x14ac:dyDescent="0.2">
      <c r="A103" s="182" t="s">
        <v>34</v>
      </c>
      <c r="B103" s="165">
        <v>0</v>
      </c>
      <c r="C103" s="50">
        <f t="shared" si="13"/>
        <v>0</v>
      </c>
      <c r="D103" s="50">
        <f t="shared" si="12"/>
        <v>0</v>
      </c>
    </row>
    <row r="104" spans="1:4" x14ac:dyDescent="0.2">
      <c r="A104" s="182" t="s">
        <v>35</v>
      </c>
      <c r="B104" s="165">
        <v>0</v>
      </c>
      <c r="C104" s="50">
        <f t="shared" si="13"/>
        <v>0</v>
      </c>
      <c r="D104" s="50">
        <f t="shared" si="12"/>
        <v>0</v>
      </c>
    </row>
    <row r="105" spans="1:4" x14ac:dyDescent="0.2">
      <c r="A105" s="22" t="s">
        <v>15</v>
      </c>
      <c r="B105" s="165">
        <v>0</v>
      </c>
      <c r="C105" s="50">
        <f t="shared" si="13"/>
        <v>0</v>
      </c>
      <c r="D105" s="50">
        <f t="shared" si="12"/>
        <v>0</v>
      </c>
    </row>
    <row r="106" spans="1:4" x14ac:dyDescent="0.2">
      <c r="A106" s="22" t="s">
        <v>43</v>
      </c>
      <c r="B106" s="165">
        <v>0</v>
      </c>
      <c r="C106" s="50">
        <f t="shared" si="13"/>
        <v>0</v>
      </c>
      <c r="D106" s="50">
        <f t="shared" si="12"/>
        <v>0</v>
      </c>
    </row>
    <row r="107" spans="1:4" x14ac:dyDescent="0.2">
      <c r="A107" s="22" t="s">
        <v>113</v>
      </c>
      <c r="B107" s="165">
        <v>0</v>
      </c>
      <c r="C107" s="50">
        <f t="shared" si="13"/>
        <v>0</v>
      </c>
      <c r="D107" s="50">
        <f t="shared" si="12"/>
        <v>0</v>
      </c>
    </row>
    <row r="108" spans="1:4" x14ac:dyDescent="0.2">
      <c r="A108" s="22" t="s">
        <v>20</v>
      </c>
      <c r="B108" s="165">
        <v>0</v>
      </c>
      <c r="C108" s="50">
        <f t="shared" si="13"/>
        <v>0</v>
      </c>
      <c r="D108" s="50">
        <f t="shared" si="12"/>
        <v>0</v>
      </c>
    </row>
    <row r="109" spans="1:4" x14ac:dyDescent="0.2">
      <c r="A109" s="22" t="s">
        <v>11</v>
      </c>
      <c r="B109" s="165">
        <v>0</v>
      </c>
      <c r="C109" s="50">
        <f t="shared" si="13"/>
        <v>18.45</v>
      </c>
      <c r="D109" s="50">
        <f t="shared" si="12"/>
        <v>0</v>
      </c>
    </row>
    <row r="110" spans="1:4" x14ac:dyDescent="0.2">
      <c r="A110" s="22" t="s">
        <v>10</v>
      </c>
      <c r="B110" s="165">
        <v>0</v>
      </c>
      <c r="C110" s="50">
        <f t="shared" si="13"/>
        <v>0</v>
      </c>
      <c r="D110" s="50">
        <f t="shared" si="12"/>
        <v>0</v>
      </c>
    </row>
    <row r="111" spans="1:4" x14ac:dyDescent="0.2">
      <c r="A111" s="217" t="s">
        <v>21</v>
      </c>
      <c r="B111" s="165">
        <v>0</v>
      </c>
      <c r="C111" s="50">
        <f t="shared" si="13"/>
        <v>0</v>
      </c>
      <c r="D111" s="50">
        <f t="shared" si="12"/>
        <v>0</v>
      </c>
    </row>
    <row r="112" spans="1:4" x14ac:dyDescent="0.2">
      <c r="A112" s="217" t="s">
        <v>50</v>
      </c>
      <c r="B112" s="165">
        <v>0</v>
      </c>
      <c r="C112" s="50">
        <f t="shared" si="13"/>
        <v>0</v>
      </c>
      <c r="D112" s="50">
        <f t="shared" si="12"/>
        <v>0</v>
      </c>
    </row>
    <row r="113" spans="1:5" x14ac:dyDescent="0.2">
      <c r="A113" s="693" t="s">
        <v>48</v>
      </c>
      <c r="B113" s="182" t="s">
        <v>24</v>
      </c>
      <c r="C113" s="182"/>
      <c r="D113" s="68">
        <f>SUM(D99:D110)</f>
        <v>0</v>
      </c>
      <c r="E113" s="412" t="s">
        <v>24</v>
      </c>
    </row>
    <row r="114" spans="1:5" x14ac:dyDescent="0.2">
      <c r="A114" s="23" t="s">
        <v>206</v>
      </c>
      <c r="B114" s="21"/>
      <c r="C114" s="21"/>
      <c r="D114" s="21"/>
    </row>
  </sheetData>
  <mergeCells count="6">
    <mergeCell ref="A97:D97"/>
    <mergeCell ref="A3:B3"/>
    <mergeCell ref="A23:E23"/>
    <mergeCell ref="A41:C41"/>
    <mergeCell ref="A59:B59"/>
    <mergeCell ref="A78:B78"/>
  </mergeCells>
  <pageMargins left="0.45" right="0.45" top="0.5" bottom="0.5" header="0" footer="0"/>
  <pageSetup scale="64" orientation="portrait" horizontalDpi="200" verticalDpi="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4"/>
  <sheetViews>
    <sheetView tabSelected="1" zoomScaleNormal="100" workbookViewId="0"/>
  </sheetViews>
  <sheetFormatPr defaultRowHeight="12.75" x14ac:dyDescent="0.2"/>
  <cols>
    <col min="1" max="1" width="30.7109375" customWidth="1"/>
    <col min="2" max="15" width="15.7109375" customWidth="1"/>
  </cols>
  <sheetData>
    <row r="1" spans="1:12" ht="18.75" x14ac:dyDescent="0.3">
      <c r="A1" s="101" t="s">
        <v>348</v>
      </c>
      <c r="B1" s="374"/>
      <c r="C1" s="374"/>
      <c r="D1" s="374"/>
      <c r="G1" s="434" t="s">
        <v>24</v>
      </c>
      <c r="H1" s="374"/>
      <c r="I1" s="374"/>
      <c r="J1" s="374"/>
      <c r="K1" s="374"/>
      <c r="L1" s="374"/>
    </row>
    <row r="2" spans="1:12" x14ac:dyDescent="0.2">
      <c r="A2" s="467"/>
      <c r="B2" s="374"/>
      <c r="C2" s="374"/>
      <c r="D2" s="18" t="s">
        <v>24</v>
      </c>
      <c r="E2" s="374"/>
      <c r="F2" s="374"/>
      <c r="G2" s="374"/>
      <c r="H2" s="374"/>
      <c r="I2" s="374"/>
      <c r="J2" s="374"/>
      <c r="K2" s="374"/>
      <c r="L2" s="374"/>
    </row>
    <row r="3" spans="1:12" ht="18.75" x14ac:dyDescent="0.3">
      <c r="A3" s="468" t="s">
        <v>0</v>
      </c>
      <c r="B3" s="469"/>
      <c r="C3" s="374"/>
      <c r="D3" s="1" t="s">
        <v>24</v>
      </c>
      <c r="E3" s="374"/>
      <c r="F3" s="374"/>
      <c r="G3" s="374"/>
      <c r="H3" s="374"/>
      <c r="I3" s="374"/>
      <c r="J3" s="374"/>
      <c r="K3" s="374"/>
      <c r="L3" s="374"/>
    </row>
    <row r="4" spans="1:12" x14ac:dyDescent="0.2">
      <c r="A4" s="182" t="s">
        <v>1</v>
      </c>
      <c r="B4" s="470">
        <v>0.14699999999999999</v>
      </c>
      <c r="C4" s="374"/>
      <c r="D4" s="471" t="s">
        <v>24</v>
      </c>
      <c r="E4" s="472" t="s">
        <v>24</v>
      </c>
      <c r="F4" s="472" t="s">
        <v>24</v>
      </c>
      <c r="G4" s="472" t="s">
        <v>24</v>
      </c>
      <c r="H4" s="472" t="s">
        <v>24</v>
      </c>
      <c r="I4" s="472" t="s">
        <v>24</v>
      </c>
      <c r="J4" s="472" t="s">
        <v>24</v>
      </c>
      <c r="K4" s="374"/>
      <c r="L4" s="472" t="s">
        <v>24</v>
      </c>
    </row>
    <row r="5" spans="1:12" x14ac:dyDescent="0.2">
      <c r="A5" s="170" t="s">
        <v>2</v>
      </c>
      <c r="B5" s="381">
        <v>5.2200000000000003E-2</v>
      </c>
      <c r="C5" s="374"/>
      <c r="D5" s="473" t="s">
        <v>24</v>
      </c>
      <c r="E5" s="474" t="s">
        <v>24</v>
      </c>
      <c r="F5" s="475" t="s">
        <v>24</v>
      </c>
      <c r="G5" s="475" t="s">
        <v>24</v>
      </c>
      <c r="H5" s="475" t="s">
        <v>24</v>
      </c>
      <c r="I5" s="475" t="s">
        <v>24</v>
      </c>
      <c r="J5" s="472" t="s">
        <v>24</v>
      </c>
      <c r="K5" s="472" t="s">
        <v>24</v>
      </c>
      <c r="L5" s="474" t="s">
        <v>24</v>
      </c>
    </row>
    <row r="6" spans="1:12" x14ac:dyDescent="0.2">
      <c r="A6" s="182" t="s">
        <v>4</v>
      </c>
      <c r="B6" s="476">
        <v>1.0871</v>
      </c>
      <c r="C6" s="374"/>
      <c r="D6" s="477" t="s">
        <v>24</v>
      </c>
      <c r="E6" s="478" t="s">
        <v>24</v>
      </c>
      <c r="F6" s="479" t="s">
        <v>24</v>
      </c>
      <c r="G6" s="480" t="s">
        <v>24</v>
      </c>
      <c r="H6" s="481" t="s">
        <v>24</v>
      </c>
      <c r="I6" s="481" t="s">
        <v>24</v>
      </c>
      <c r="J6" s="481" t="s">
        <v>24</v>
      </c>
      <c r="K6" s="640" t="s">
        <v>24</v>
      </c>
      <c r="L6" s="482" t="s">
        <v>24</v>
      </c>
    </row>
    <row r="7" spans="1:12" x14ac:dyDescent="0.2">
      <c r="A7" s="182" t="s">
        <v>258</v>
      </c>
      <c r="B7" s="176">
        <v>149764.6</v>
      </c>
      <c r="C7" s="374"/>
      <c r="D7" s="431" t="s">
        <v>24</v>
      </c>
      <c r="E7" s="474" t="s">
        <v>24</v>
      </c>
      <c r="F7" s="483" t="s">
        <v>24</v>
      </c>
      <c r="G7" s="479" t="s">
        <v>24</v>
      </c>
      <c r="H7" s="479" t="s">
        <v>24</v>
      </c>
      <c r="I7" s="479" t="s">
        <v>24</v>
      </c>
      <c r="J7" s="480" t="s">
        <v>24</v>
      </c>
      <c r="K7" s="640" t="s">
        <v>24</v>
      </c>
      <c r="L7" s="474" t="s">
        <v>24</v>
      </c>
    </row>
    <row r="8" spans="1:12" x14ac:dyDescent="0.2">
      <c r="A8" s="182" t="s">
        <v>23</v>
      </c>
      <c r="B8" s="484">
        <f>B13/(G62*B6)</f>
        <v>1.0795837690590744</v>
      </c>
      <c r="C8" s="485" t="s">
        <v>24</v>
      </c>
      <c r="D8" s="486" t="s">
        <v>24</v>
      </c>
      <c r="E8" s="474" t="s">
        <v>24</v>
      </c>
      <c r="F8" s="483" t="s">
        <v>24</v>
      </c>
      <c r="G8" s="480" t="s">
        <v>24</v>
      </c>
      <c r="H8" s="480" t="s">
        <v>24</v>
      </c>
      <c r="I8" s="480" t="s">
        <v>24</v>
      </c>
      <c r="J8" s="480" t="s">
        <v>24</v>
      </c>
      <c r="K8" s="481" t="s">
        <v>24</v>
      </c>
      <c r="L8" s="474" t="s">
        <v>24</v>
      </c>
    </row>
    <row r="9" spans="1:12" x14ac:dyDescent="0.2">
      <c r="A9" s="374"/>
      <c r="B9" s="399"/>
      <c r="C9" s="374"/>
      <c r="D9" s="447" t="s">
        <v>24</v>
      </c>
      <c r="E9" s="399" t="s">
        <v>24</v>
      </c>
      <c r="F9" s="487" t="s">
        <v>24</v>
      </c>
      <c r="G9" s="399" t="s">
        <v>24</v>
      </c>
      <c r="H9" s="488" t="s">
        <v>24</v>
      </c>
      <c r="I9" s="374"/>
      <c r="J9" s="374"/>
      <c r="K9" s="374"/>
      <c r="L9" s="374" t="s">
        <v>24</v>
      </c>
    </row>
    <row r="10" spans="1:12" x14ac:dyDescent="0.2">
      <c r="A10" s="447"/>
      <c r="B10" s="489"/>
      <c r="C10" s="489" t="s">
        <v>24</v>
      </c>
      <c r="D10" s="454" t="s">
        <v>24</v>
      </c>
      <c r="E10" s="455"/>
      <c r="F10" s="438"/>
      <c r="G10" s="490" t="s">
        <v>24</v>
      </c>
      <c r="H10" s="438"/>
      <c r="I10" s="491" t="s">
        <v>24</v>
      </c>
      <c r="J10" s="492"/>
      <c r="K10" s="492"/>
      <c r="L10" s="493"/>
    </row>
    <row r="11" spans="1:12" ht="15.75" x14ac:dyDescent="0.25">
      <c r="A11" s="494" t="s">
        <v>259</v>
      </c>
      <c r="B11" s="454"/>
      <c r="C11" s="454"/>
      <c r="D11" s="454"/>
      <c r="E11" s="495" t="s">
        <v>24</v>
      </c>
      <c r="F11" s="437"/>
      <c r="G11" s="437"/>
      <c r="H11" s="437"/>
      <c r="I11" s="491" t="s">
        <v>24</v>
      </c>
      <c r="J11" s="492"/>
      <c r="K11" s="492"/>
      <c r="L11" s="493"/>
    </row>
    <row r="12" spans="1:12" ht="63.75" x14ac:dyDescent="0.2">
      <c r="A12" s="183" t="s">
        <v>3</v>
      </c>
      <c r="B12" s="183" t="s">
        <v>260</v>
      </c>
      <c r="C12" s="183" t="s">
        <v>261</v>
      </c>
      <c r="D12" s="183" t="s">
        <v>262</v>
      </c>
      <c r="E12" s="183" t="s">
        <v>263</v>
      </c>
      <c r="F12" s="183" t="s">
        <v>138</v>
      </c>
      <c r="G12" s="183" t="s">
        <v>264</v>
      </c>
      <c r="H12" s="496"/>
    </row>
    <row r="13" spans="1:12" x14ac:dyDescent="0.2">
      <c r="A13" s="182" t="s">
        <v>6</v>
      </c>
      <c r="B13" s="497">
        <f>'BRA Resource Clearing Results'!F26-'1stIA Resource Clearing Results'!D25-'2ndIA Resource Clearing Results'!D25-'3rdIA Resource Clearing Results'!D25</f>
        <v>161683.4</v>
      </c>
      <c r="C13" s="498">
        <f>('BRA Resource Clearing Results'!F26*'BRA Resource Clearing Results'!B5-'1stIA Resource Clearing Results'!D25*'1stIA Resource Clearing Results'!B5-'2ndIA Resource Clearing Results'!D25*'2ndIA Resource Clearing Results'!B5-'3rdIA Resource Clearing Results'!D25*'3rdIA Resource Clearing Results'!B5)/('BRA Resource Clearing Results'!F26-'1stIA Resource Clearing Results'!D25-'2ndIA Resource Clearing Results'!D25-'3rdIA Resource Clearing Results'!D25)</f>
        <v>141.61460458525735</v>
      </c>
      <c r="D13" s="498">
        <f>('BRA Resource Clearing Results'!F26*'BRA Resource Clearing Results'!C5-'1stIA Resource Clearing Results'!D25*'1stIA Resource Clearing Results'!C5-'2ndIA Resource Clearing Results'!D25*'2ndIA Resource Clearing Results'!C5-'3rdIA Resource Clearing Results'!D25*'3rdIA Resource Clearing Results'!C5)/('BRA Resource Clearing Results'!F26-'1stIA Resource Clearing Results'!D25-'2ndIA Resource Clearing Results'!D25-'3rdIA Resource Clearing Results'!D25)</f>
        <v>0</v>
      </c>
      <c r="E13" s="35">
        <f>'BRA Resource Clearing Results'!G65+'1stIA Resource Clearing Results'!H80+'2ndIA Resource Clearing Results'!H80+'3rdIA Resource Clearing Results'!H80</f>
        <v>3746.9479452054793</v>
      </c>
      <c r="F13" s="154">
        <f>E13/B13</f>
        <v>2.3174598908765397E-2</v>
      </c>
      <c r="G13" s="155">
        <f t="shared" ref="G13:G22" si="0">C13+D13+F13</f>
        <v>141.63777918416611</v>
      </c>
      <c r="H13" s="499"/>
    </row>
    <row r="14" spans="1:12" x14ac:dyDescent="0.2">
      <c r="A14" s="182" t="s">
        <v>28</v>
      </c>
      <c r="B14" s="497">
        <f>J42+J46+J52+(SUM(J54:J61))</f>
        <v>64111.094756703227</v>
      </c>
      <c r="C14" s="498">
        <f t="shared" ref="C14:C19" si="1">$C$13</f>
        <v>141.61460458525735</v>
      </c>
      <c r="D14" s="498">
        <f>D13+('BRA Resource Clearing Results'!F27*'BRA Resource Clearing Results'!C6-'1stIA Resource Clearing Results'!D26*'1stIA Resource Clearing Results'!C6-'2ndIA Resource Clearing Results'!D26*'2ndIA Resource Clearing Results'!C6-'3rdIA Resource Clearing Results'!D26*'3rdIA Resource Clearing Results'!C6)/('BRA Resource Clearing Results'!F27-'1stIA Resource Clearing Results'!D26-'2ndIA Resource Clearing Results'!D26-'3rdIA Resource Clearing Results'!D26)</f>
        <v>0</v>
      </c>
      <c r="E14" s="35">
        <f>'BRA Resource Clearing Results'!G66+'1stIA Resource Clearing Results'!H81+'2ndIA Resource Clearing Results'!H81+'3rdIA Resource Clearing Results'!H81</f>
        <v>0</v>
      </c>
      <c r="F14" s="154">
        <f>F13+E14/B14</f>
        <v>2.3174598908765397E-2</v>
      </c>
      <c r="G14" s="155">
        <f t="shared" si="0"/>
        <v>141.63777918416611</v>
      </c>
      <c r="H14" s="499"/>
    </row>
    <row r="15" spans="1:12" x14ac:dyDescent="0.2">
      <c r="A15" s="182" t="s">
        <v>33</v>
      </c>
      <c r="B15" s="497">
        <f>J42+J52+J54+J56+J60+J61</f>
        <v>34707.331635271657</v>
      </c>
      <c r="C15" s="498">
        <f t="shared" si="1"/>
        <v>141.61460458525735</v>
      </c>
      <c r="D15" s="498">
        <f>D14+('BRA Resource Clearing Results'!F28*'BRA Resource Clearing Results'!C7-'1stIA Resource Clearing Results'!D27*'1stIA Resource Clearing Results'!C7-'2ndIA Resource Clearing Results'!D27*'2ndIA Resource Clearing Results'!C7-'3rdIA Resource Clearing Results'!D27*'3rdIA Resource Clearing Results'!C7)/('BRA Resource Clearing Results'!F28-'1stIA Resource Clearing Results'!D27-'2ndIA Resource Clearing Results'!D27-'3rdIA Resource Clearing Results'!D27)</f>
        <v>25.470059248618259</v>
      </c>
      <c r="E15" s="35">
        <f>'BRA Resource Clearing Results'!G67+'1stIA Resource Clearing Results'!H82+'2ndIA Resource Clearing Results'!H82+'3rdIA Resource Clearing Results'!H82</f>
        <v>0</v>
      </c>
      <c r="F15" s="154">
        <f>F14+E15/B15</f>
        <v>2.3174598908765397E-2</v>
      </c>
      <c r="G15" s="155">
        <f t="shared" si="0"/>
        <v>167.10783843278438</v>
      </c>
      <c r="H15" s="499"/>
    </row>
    <row r="16" spans="1:12" x14ac:dyDescent="0.2">
      <c r="A16" s="182" t="s">
        <v>5</v>
      </c>
      <c r="B16" s="497">
        <f>J46+J58</f>
        <v>14233.608970093484</v>
      </c>
      <c r="C16" s="498">
        <f t="shared" si="1"/>
        <v>141.61460458525735</v>
      </c>
      <c r="D16" s="498">
        <f>D14+('BRA Resource Clearing Results'!F29*'BRA Resource Clearing Results'!C8-'1stIA Resource Clearing Results'!D28*'1stIA Resource Clearing Results'!C8-'2ndIA Resource Clearing Results'!D28*'2ndIA Resource Clearing Results'!C8-'3rdIA Resource Clearing Results'!D28*'3rdIA Resource Clearing Results'!C8)/('BRA Resource Clearing Results'!F29-'1stIA Resource Clearing Results'!D28-'2ndIA Resource Clearing Results'!D28-'3rdIA Resource Clearing Results'!D28)</f>
        <v>0</v>
      </c>
      <c r="E16" s="35">
        <f>'BRA Resource Clearing Results'!G68+'1stIA Resource Clearing Results'!H83+'2ndIA Resource Clearing Results'!H83+'3rdIA Resource Clearing Results'!H83</f>
        <v>0</v>
      </c>
      <c r="F16" s="154">
        <f>F14+E16/B16</f>
        <v>2.3174598908765397E-2</v>
      </c>
      <c r="G16" s="155">
        <f t="shared" si="0"/>
        <v>141.63777918416611</v>
      </c>
      <c r="H16" s="499"/>
    </row>
    <row r="17" spans="1:13" x14ac:dyDescent="0.2">
      <c r="A17" s="182" t="s">
        <v>15</v>
      </c>
      <c r="B17" s="497">
        <f>J58</f>
        <v>6742.4211356519672</v>
      </c>
      <c r="C17" s="498">
        <f t="shared" si="1"/>
        <v>141.61460458525735</v>
      </c>
      <c r="D17" s="498">
        <f>D16+('BRA Resource Clearing Results'!F33*'BRA Resource Clearing Results'!C12-'1stIA Resource Clearing Results'!D32*'1stIA Resource Clearing Results'!C12-'2ndIA Resource Clearing Results'!D32*'2ndIA Resource Clearing Results'!C12-'3rdIA Resource Clearing Results'!D32*'3rdIA Resource Clearing Results'!C12)/('BRA Resource Clearing Results'!F33-'1stIA Resource Clearing Results'!D32-'2ndIA Resource Clearing Results'!D32-'3rdIA Resource Clearing Results'!D32)</f>
        <v>0</v>
      </c>
      <c r="E17" s="35">
        <f>'BRA Resource Clearing Results'!G72+'1stIA Resource Clearing Results'!H87+'2ndIA Resource Clearing Results'!H87+'3rdIA Resource Clearing Results'!H87</f>
        <v>0</v>
      </c>
      <c r="F17" s="154">
        <f>F16+E17/B17</f>
        <v>2.3174598908765397E-2</v>
      </c>
      <c r="G17" s="155">
        <f t="shared" si="0"/>
        <v>141.63777918416611</v>
      </c>
      <c r="H17" s="499"/>
    </row>
    <row r="18" spans="1:13" x14ac:dyDescent="0.2">
      <c r="A18" s="182" t="s">
        <v>20</v>
      </c>
      <c r="B18" s="497">
        <f>J47</f>
        <v>22721.196377062159</v>
      </c>
      <c r="C18" s="498">
        <f t="shared" si="1"/>
        <v>141.61460458525735</v>
      </c>
      <c r="D18" s="498">
        <f>D13+('BRA Resource Clearing Results'!F36*'BRA Resource Clearing Results'!C15-'1stIA Resource Clearing Results'!D35*'1stIA Resource Clearing Results'!C15-'2ndIA Resource Clearing Results'!D35*'2ndIA Resource Clearing Results'!C15-'3rdIA Resource Clearing Results'!D35*'3rdIA Resource Clearing Results'!C15)/('BRA Resource Clearing Results'!F36-'1stIA Resource Clearing Results'!D35-'2ndIA Resource Clearing Results'!D35-'3rdIA Resource Clearing Results'!D35)</f>
        <v>56.26571236358199</v>
      </c>
      <c r="E18" s="35">
        <f>'BRA Resource Clearing Results'!G75+'1stIA Resource Clearing Results'!H90+'2ndIA Resource Clearing Results'!H90+'3rdIA Resource Clearing Results'!H90</f>
        <v>13.899808219178084</v>
      </c>
      <c r="F18" s="154">
        <f>F13+E18/B18</f>
        <v>2.3786354028896766E-2</v>
      </c>
      <c r="G18" s="155">
        <f t="shared" si="0"/>
        <v>197.90410330286824</v>
      </c>
      <c r="H18" s="499"/>
    </row>
    <row r="19" spans="1:13" x14ac:dyDescent="0.2">
      <c r="A19" s="182" t="s">
        <v>11</v>
      </c>
      <c r="B19" s="497">
        <f>J46</f>
        <v>7491.1878344415172</v>
      </c>
      <c r="C19" s="498">
        <f t="shared" si="1"/>
        <v>141.61460458525735</v>
      </c>
      <c r="D19" s="498">
        <f>D16+('BRA Resource Clearing Results'!F37*'BRA Resource Clearing Results'!C16-'1stIA Resource Clearing Results'!D36*'1stIA Resource Clearing Results'!C16-'2ndIA Resource Clearing Results'!D36*'2ndIA Resource Clearing Results'!C16-'3rdIA Resource Clearing Results'!D36*'3rdIA Resource Clearing Results'!C16)/('BRA Resource Clearing Results'!F37-'1stIA Resource Clearing Results'!D36-'2ndIA Resource Clearing Results'!D36-'3rdIA Resource Clearing Results'!D36)</f>
        <v>59.952687752960578</v>
      </c>
      <c r="E19" s="35">
        <f>'BRA Resource Clearing Results'!G76+'1stIA Resource Clearing Results'!H91+'2ndIA Resource Clearing Results'!H91+'3rdIA Resource Clearing Results'!H91</f>
        <v>0</v>
      </c>
      <c r="F19" s="154">
        <f>F16+E19/B19</f>
        <v>2.3174598908765397E-2</v>
      </c>
      <c r="G19" s="155">
        <f t="shared" si="0"/>
        <v>201.59046693712668</v>
      </c>
      <c r="H19" s="499"/>
    </row>
    <row r="20" spans="1:13" x14ac:dyDescent="0.2">
      <c r="A20" s="182" t="s">
        <v>10</v>
      </c>
      <c r="B20" s="497">
        <f>J59</f>
        <v>8418.3440915633728</v>
      </c>
      <c r="C20" s="498">
        <f t="shared" ref="C20:C22" si="2">$C$13</f>
        <v>141.61460458525735</v>
      </c>
      <c r="D20" s="498">
        <f>D14+('BRA Resource Clearing Results'!F38*'BRA Resource Clearing Results'!C17-'1stIA Resource Clearing Results'!D37*'1stIA Resource Clearing Results'!C17-'2ndIA Resource Clearing Results'!D37*'2ndIA Resource Clearing Results'!C17-'3rdIA Resource Clearing Results'!D37*'3rdIA Resource Clearing Results'!C17)/('BRA Resource Clearing Results'!F38-'1stIA Resource Clearing Results'!D37-'2ndIA Resource Clearing Results'!D37-'3rdIA Resource Clearing Results'!D37)</f>
        <v>0</v>
      </c>
      <c r="E20" s="35">
        <f>'BRA Resource Clearing Results'!G77+'1stIA Resource Clearing Results'!H92+'2ndIA Resource Clearing Results'!H92+'3rdIA Resource Clearing Results'!H92</f>
        <v>0</v>
      </c>
      <c r="F20" s="154">
        <f>F14+E20/B20</f>
        <v>2.3174598908765397E-2</v>
      </c>
      <c r="G20" s="155">
        <f t="shared" si="0"/>
        <v>141.63777918416611</v>
      </c>
      <c r="H20" s="499"/>
    </row>
    <row r="21" spans="1:13" x14ac:dyDescent="0.2">
      <c r="A21" s="22" t="s">
        <v>21</v>
      </c>
      <c r="B21" s="497">
        <f>J48</f>
        <v>3875.2784316662833</v>
      </c>
      <c r="C21" s="498">
        <f t="shared" si="2"/>
        <v>141.61460458525735</v>
      </c>
      <c r="D21" s="498">
        <f>D13+('BRA Resource Clearing Results'!F39*'BRA Resource Clearing Results'!C18-'1stIA Resource Clearing Results'!D38*'1stIA Resource Clearing Results'!C18-'2ndIA Resource Clearing Results'!D38*'2ndIA Resource Clearing Results'!C18-'3rdIA Resource Clearing Results'!D38*'3rdIA Resource Clearing Results'!C18)/('BRA Resource Clearing Results'!F39-'1stIA Resource Clearing Results'!D38-'2ndIA Resource Clearing Results'!D38-'3rdIA Resource Clearing Results'!D38)</f>
        <v>0</v>
      </c>
      <c r="E21" s="35">
        <f>'BRA Resource Clearing Results'!G78+'1stIA Resource Clearing Results'!H93+'2ndIA Resource Clearing Results'!H93+'3rdIA Resource Clearing Results'!H93</f>
        <v>0</v>
      </c>
      <c r="F21" s="154">
        <f>F13+E21/B21</f>
        <v>2.3174598908765397E-2</v>
      </c>
      <c r="G21" s="155">
        <f t="shared" si="0"/>
        <v>141.63777918416611</v>
      </c>
      <c r="H21" s="499"/>
    </row>
    <row r="22" spans="1:13" x14ac:dyDescent="0.2">
      <c r="A22" s="22" t="s">
        <v>50</v>
      </c>
      <c r="B22" s="497">
        <f>J49</f>
        <v>5191.1270430588393</v>
      </c>
      <c r="C22" s="498">
        <f t="shared" si="2"/>
        <v>141.61460458525735</v>
      </c>
      <c r="D22" s="498">
        <f>D13+('BRA Resource Clearing Results'!F40*'BRA Resource Clearing Results'!C19-'1stIA Resource Clearing Results'!D39*'1stIA Resource Clearing Results'!C19-'2ndIA Resource Clearing Results'!D39*'2ndIA Resource Clearing Results'!C19-'3rdIA Resource Clearing Results'!D39*'3rdIA Resource Clearing Results'!C19)/('BRA Resource Clearing Results'!F40-'1stIA Resource Clearing Results'!D39-'2ndIA Resource Clearing Results'!D39-'3rdIA Resource Clearing Results'!D39)</f>
        <v>0</v>
      </c>
      <c r="E22" s="35">
        <f>'BRA Resource Clearing Results'!G79+'1stIA Resource Clearing Results'!H94+'2ndIA Resource Clearing Results'!H94+'3rdIA Resource Clearing Results'!H94</f>
        <v>0</v>
      </c>
      <c r="F22" s="154">
        <f>F13+E22/B22</f>
        <v>2.3174598908765397E-2</v>
      </c>
      <c r="G22" s="155">
        <f t="shared" si="0"/>
        <v>141.63777918416611</v>
      </c>
      <c r="H22" s="499"/>
    </row>
    <row r="23" spans="1:13" x14ac:dyDescent="0.2">
      <c r="A23" s="23" t="s">
        <v>208</v>
      </c>
      <c r="B23" s="34"/>
      <c r="C23" s="55"/>
      <c r="D23" s="500" t="s">
        <v>24</v>
      </c>
      <c r="E23" s="243" t="s">
        <v>24</v>
      </c>
      <c r="F23" s="57"/>
      <c r="G23" s="52" t="s">
        <v>24</v>
      </c>
      <c r="H23" s="33"/>
      <c r="I23" s="33"/>
      <c r="J23" s="446"/>
      <c r="K23" s="33"/>
      <c r="L23" s="479"/>
    </row>
    <row r="24" spans="1:13" x14ac:dyDescent="0.2">
      <c r="A24" s="501" t="s">
        <v>24</v>
      </c>
      <c r="B24" s="454"/>
      <c r="C24" s="464"/>
      <c r="D24" s="464"/>
      <c r="E24" s="464"/>
      <c r="F24" s="465"/>
      <c r="H24" s="454"/>
      <c r="I24" s="454"/>
      <c r="J24" s="464"/>
      <c r="K24" s="454"/>
      <c r="L24" s="479"/>
    </row>
    <row r="25" spans="1:13" x14ac:dyDescent="0.2">
      <c r="A25" s="501"/>
      <c r="B25" s="454"/>
      <c r="C25" s="464"/>
      <c r="D25" s="464"/>
      <c r="E25" s="464"/>
      <c r="F25" s="465"/>
      <c r="H25" s="454"/>
      <c r="I25" s="454"/>
      <c r="J25" s="464"/>
      <c r="K25" s="454"/>
      <c r="L25" s="479"/>
    </row>
    <row r="26" spans="1:13" ht="31.5" x14ac:dyDescent="0.25">
      <c r="A26" s="502" t="s">
        <v>118</v>
      </c>
      <c r="B26" s="374"/>
      <c r="C26" s="374" t="s">
        <v>24</v>
      </c>
      <c r="D26" s="503" t="s">
        <v>24</v>
      </c>
      <c r="E26" s="504" t="s">
        <v>24</v>
      </c>
      <c r="F26" s="374"/>
      <c r="G26" s="374"/>
      <c r="H26" s="374"/>
      <c r="I26" s="271" t="s">
        <v>192</v>
      </c>
      <c r="J26" s="21"/>
      <c r="K26" s="201" t="s">
        <v>24</v>
      </c>
      <c r="L26" s="374"/>
    </row>
    <row r="27" spans="1:13" ht="89.25" x14ac:dyDescent="0.2">
      <c r="A27" s="186" t="s">
        <v>54</v>
      </c>
      <c r="B27" s="183" t="s">
        <v>265</v>
      </c>
      <c r="C27" s="183" t="s">
        <v>341</v>
      </c>
      <c r="D27" s="164" t="s">
        <v>267</v>
      </c>
      <c r="E27" s="164" t="s">
        <v>268</v>
      </c>
      <c r="F27" s="164" t="s">
        <v>134</v>
      </c>
      <c r="G27" s="164" t="s">
        <v>269</v>
      </c>
      <c r="H27" s="374"/>
      <c r="I27" s="192" t="s">
        <v>7</v>
      </c>
      <c r="J27" s="190" t="s">
        <v>193</v>
      </c>
      <c r="K27" s="190" t="s">
        <v>194</v>
      </c>
    </row>
    <row r="28" spans="1:13" x14ac:dyDescent="0.2">
      <c r="A28" s="182" t="s">
        <v>37</v>
      </c>
      <c r="B28" s="182"/>
      <c r="C28" s="505">
        <f>'BRA Resource Clearing Results'!D49-'1stIA Resource Clearing Results'!D65-'2ndIA Resource Clearing Results'!D65-'3rdIA Resource Clearing Results'!D65</f>
        <v>2316.3000000000002</v>
      </c>
      <c r="D28" s="35">
        <f>('BRA Resource Clearing Results'!F30*'BRA Resource Clearing Results'!C9-'1stIA Resource Clearing Results'!D29*'1stIA Resource Clearing Results'!C9-'2ndIA Resource Clearing Results'!D29*'2ndIA Resource Clearing Results'!C9-'3rdIA Resource Clearing Results'!D29*'3rdIA Resource Clearing Results'!C9)/('BRA Resource Clearing Results'!F30-'1stIA Resource Clearing Results'!D29-'2ndIA Resource Clearing Results'!D29-'3rdIA Resource Clearing Results'!D29)</f>
        <v>39.700921442599537</v>
      </c>
      <c r="E28" s="35">
        <f>'BRA Resource Clearing Results'!G69+'1stIA Resource Clearing Results'!H84+'2ndIA Resource Clearing Results'!H84+'3rdIA Resource Clearing Results'!H84</f>
        <v>0</v>
      </c>
      <c r="F28" s="182"/>
      <c r="G28" s="182"/>
      <c r="H28" s="374"/>
      <c r="I28" s="22" t="s">
        <v>11</v>
      </c>
      <c r="J28" s="269">
        <v>240</v>
      </c>
      <c r="K28" s="35">
        <f>L46*$B$6*J28*I46/F46</f>
        <v>57589.51078674633</v>
      </c>
      <c r="L28" s="412" t="s">
        <v>24</v>
      </c>
      <c r="M28" s="374" t="s">
        <v>24</v>
      </c>
    </row>
    <row r="29" spans="1:13" x14ac:dyDescent="0.2">
      <c r="A29" s="182" t="s">
        <v>34</v>
      </c>
      <c r="B29" s="182"/>
      <c r="C29" s="505">
        <f>'BRA Resource Clearing Results'!D50-'1stIA Resource Clearing Results'!D66-'2ndIA Resource Clearing Results'!D66-'3rdIA Resource Clearing Results'!D66</f>
        <v>3284.7</v>
      </c>
      <c r="D29" s="35">
        <f>D28+('BRA Resource Clearing Results'!F31*'BRA Resource Clearing Results'!C10-'1stIA Resource Clearing Results'!D30*'1stIA Resource Clearing Results'!C10-'2ndIA Resource Clearing Results'!D30*'2ndIA Resource Clearing Results'!C10-'3rdIA Resource Clearing Results'!D30*'3rdIA Resource Clearing Results'!C10)/('BRA Resource Clearing Results'!F31-'1stIA Resource Clearing Results'!D30-'2ndIA Resource Clearing Results'!D30-'3rdIA Resource Clearing Results'!D30)</f>
        <v>43.891075794595153</v>
      </c>
      <c r="E29" s="35">
        <f>'BRA Resource Clearing Results'!G70+'1stIA Resource Clearing Results'!H85+'2ndIA Resource Clearing Results'!H85+'3rdIA Resource Clearing Results'!H85</f>
        <v>0</v>
      </c>
      <c r="F29" s="182"/>
      <c r="G29" s="182"/>
      <c r="H29" s="374"/>
      <c r="I29" s="22" t="s">
        <v>17</v>
      </c>
      <c r="J29" s="269">
        <v>75</v>
      </c>
      <c r="K29" s="35">
        <f>L52*$B$6*J29*I52/F52</f>
        <v>14759.827852730299</v>
      </c>
    </row>
    <row r="30" spans="1:13" x14ac:dyDescent="0.2">
      <c r="A30" s="67" t="s">
        <v>8</v>
      </c>
      <c r="B30" s="153">
        <f>G15</f>
        <v>167.10783843278438</v>
      </c>
      <c r="C30" s="506">
        <f>C29+C28</f>
        <v>5601</v>
      </c>
      <c r="D30" s="507">
        <f>(C29*D29+C28*D28)/C30</f>
        <v>42.158232637029101</v>
      </c>
      <c r="E30" s="508">
        <f>E28+E29</f>
        <v>0</v>
      </c>
      <c r="F30" s="509">
        <f>E30/J60</f>
        <v>0</v>
      </c>
      <c r="G30" s="510">
        <f>B30+D30+F30</f>
        <v>209.26607106981348</v>
      </c>
      <c r="H30" s="412"/>
      <c r="I30" s="22" t="s">
        <v>15</v>
      </c>
      <c r="J30" s="269">
        <v>195</v>
      </c>
      <c r="K30" s="35">
        <f>L58*$B$6*J30*I58/F58</f>
        <v>32534.960372488837</v>
      </c>
      <c r="L30" s="511"/>
    </row>
    <row r="31" spans="1:13" x14ac:dyDescent="0.2">
      <c r="A31" s="182" t="s">
        <v>36</v>
      </c>
      <c r="B31" s="182"/>
      <c r="C31" s="506">
        <v>3827</v>
      </c>
      <c r="D31" s="31">
        <v>0</v>
      </c>
      <c r="E31" s="35">
        <v>0</v>
      </c>
      <c r="F31" s="182"/>
      <c r="G31" s="50"/>
      <c r="H31" s="374"/>
      <c r="I31" s="178" t="s">
        <v>195</v>
      </c>
      <c r="J31" s="270">
        <f>SUM(J28:J30)</f>
        <v>510</v>
      </c>
      <c r="K31" s="241">
        <f>SUM(K28:K30)</f>
        <v>104884.29901196546</v>
      </c>
    </row>
    <row r="32" spans="1:13" x14ac:dyDescent="0.2">
      <c r="A32" s="182" t="s">
        <v>35</v>
      </c>
      <c r="B32" s="182"/>
      <c r="C32" s="505">
        <f>'BRA Resource Clearing Results'!D51-'1stIA Resource Clearing Results'!D67-'2ndIA Resource Clearing Results'!D67-'3rdIA Resource Clearing Results'!D67</f>
        <v>1656.6</v>
      </c>
      <c r="D32" s="35">
        <f>D31+('BRA Resource Clearing Results'!F32*'BRA Resource Clearing Results'!C11-'1stIA Resource Clearing Results'!D31*'1stIA Resource Clearing Results'!C11-'2ndIA Resource Clearing Results'!D31*'2ndIA Resource Clearing Results'!C11-'3rdIA Resource Clearing Results'!D31*'3rdIA Resource Clearing Results'!C11)/('BRA Resource Clearing Results'!F32-'1stIA Resource Clearing Results'!D31-'2ndIA Resource Clearing Results'!D31-'3rdIA Resource Clearing Results'!D31)</f>
        <v>0</v>
      </c>
      <c r="E32" s="35">
        <f>'BRA Resource Clearing Results'!G71+'1stIA Resource Clearing Results'!H86+'2ndIA Resource Clearing Results'!H86+'3rdIA Resource Clearing Results'!H86</f>
        <v>0</v>
      </c>
      <c r="F32" s="182"/>
      <c r="G32" s="50"/>
      <c r="H32" s="374"/>
    </row>
    <row r="33" spans="1:13" x14ac:dyDescent="0.2">
      <c r="A33" s="67" t="s">
        <v>17</v>
      </c>
      <c r="B33" s="153">
        <f>G15</f>
        <v>167.10783843278438</v>
      </c>
      <c r="C33" s="506">
        <f>C31+C32</f>
        <v>5483.6</v>
      </c>
      <c r="D33" s="507">
        <f>(C32*D32+C31*D31)/C33</f>
        <v>0</v>
      </c>
      <c r="E33" s="508">
        <f>E31+E32</f>
        <v>0</v>
      </c>
      <c r="F33" s="509">
        <f>E33/J52</f>
        <v>0</v>
      </c>
      <c r="G33" s="510">
        <f>B33+D33+F33</f>
        <v>167.10783843278438</v>
      </c>
      <c r="H33" s="412"/>
    </row>
    <row r="34" spans="1:13" x14ac:dyDescent="0.2">
      <c r="A34" s="182" t="s">
        <v>114</v>
      </c>
      <c r="B34" s="182"/>
      <c r="C34" s="505">
        <f>'BRA Resource Clearing Results'!D53-'1stIA Resource Clearing Results'!D69-'2ndIA Resource Clearing Results'!D69-'3rdIA Resource Clearing Results'!D69</f>
        <v>7826.4000000000005</v>
      </c>
      <c r="D34" s="35">
        <f>('BRA Resource Clearing Results'!F34*'BRA Resource Clearing Results'!C13-'1stIA Resource Clearing Results'!D33*'1stIA Resource Clearing Results'!C13-'2ndIA Resource Clearing Results'!D33*'2ndIA Resource Clearing Results'!C13-'3rdIA Resource Clearing Results'!D33*'3rdIA Resource Clearing Results'!C13)/('BRA Resource Clearing Results'!F34-'1stIA Resource Clearing Results'!D33-'2ndIA Resource Clearing Results'!D33-'3rdIA Resource Clearing Results'!D33)</f>
        <v>25.824416227456148</v>
      </c>
      <c r="E34" s="35">
        <f>'BRA Resource Clearing Results'!G73+'1stIA Resource Clearing Results'!H88+'2ndIA Resource Clearing Results'!H88+'3rdIA Resource Clearing Results'!H88</f>
        <v>0</v>
      </c>
      <c r="F34" s="182"/>
      <c r="G34" s="50"/>
      <c r="H34" s="412"/>
    </row>
    <row r="35" spans="1:13" x14ac:dyDescent="0.2">
      <c r="A35" s="182" t="s">
        <v>113</v>
      </c>
      <c r="B35" s="182"/>
      <c r="C35" s="505">
        <f>'BRA Resource Clearing Results'!D54-'1stIA Resource Clearing Results'!D70-'2ndIA Resource Clearing Results'!D70-'3rdIA Resource Clearing Results'!D70</f>
        <v>1888</v>
      </c>
      <c r="D35" s="35">
        <f>D34+('BRA Resource Clearing Results'!F35*'BRA Resource Clearing Results'!C14-'1stIA Resource Clearing Results'!D34*'1stIA Resource Clearing Results'!C14-'2ndIA Resource Clearing Results'!D34*'2ndIA Resource Clearing Results'!C14-'3rdIA Resource Clearing Results'!D34*'3rdIA Resource Clearing Results'!C14)/('BRA Resource Clearing Results'!F35-'1stIA Resource Clearing Results'!D34-'2ndIA Resource Clearing Results'!D34-'3rdIA Resource Clearing Results'!D34)</f>
        <v>25.824416227456148</v>
      </c>
      <c r="E35" s="35">
        <f>'BRA Resource Clearing Results'!G74+'1stIA Resource Clearing Results'!H89+'2ndIA Resource Clearing Results'!H89+'3rdIA Resource Clearing Results'!H89</f>
        <v>0</v>
      </c>
      <c r="F35" s="182"/>
      <c r="G35" s="50"/>
      <c r="H35" s="412"/>
    </row>
    <row r="36" spans="1:13" x14ac:dyDescent="0.2">
      <c r="A36" s="67" t="s">
        <v>43</v>
      </c>
      <c r="B36" s="153">
        <f>G13</f>
        <v>141.63777918416611</v>
      </c>
      <c r="C36" s="506">
        <f>C34+C35</f>
        <v>9714.4000000000015</v>
      </c>
      <c r="D36" s="507">
        <f>(C35*D35+C34*D34)/C36</f>
        <v>25.824416227456144</v>
      </c>
      <c r="E36" s="508">
        <f>E34+E35</f>
        <v>0</v>
      </c>
      <c r="F36" s="509">
        <f>E36/J45</f>
        <v>0</v>
      </c>
      <c r="G36" s="510">
        <f>B36+D36+F36</f>
        <v>167.46219541162225</v>
      </c>
      <c r="H36" s="412"/>
    </row>
    <row r="37" spans="1:13" x14ac:dyDescent="0.2">
      <c r="A37" s="773" t="s">
        <v>270</v>
      </c>
      <c r="B37" s="773"/>
      <c r="C37" s="773"/>
      <c r="D37" s="773"/>
      <c r="E37" s="512" t="s">
        <v>24</v>
      </c>
      <c r="F37" s="513"/>
      <c r="G37" s="513"/>
      <c r="H37" s="513"/>
      <c r="I37" s="514"/>
      <c r="J37" s="514"/>
      <c r="K37" s="515"/>
      <c r="L37" s="412"/>
    </row>
    <row r="38" spans="1:13" x14ac:dyDescent="0.2">
      <c r="A38" s="501" t="s">
        <v>24</v>
      </c>
      <c r="B38" s="501"/>
      <c r="C38" s="592" t="s">
        <v>24</v>
      </c>
      <c r="D38" s="501"/>
      <c r="E38" s="501" t="s">
        <v>24</v>
      </c>
      <c r="F38" s="501" t="s">
        <v>24</v>
      </c>
      <c r="G38" s="501" t="s">
        <v>24</v>
      </c>
      <c r="H38" s="434"/>
      <c r="I38" s="434"/>
      <c r="J38" s="434"/>
      <c r="K38" s="434"/>
      <c r="L38" s="374"/>
    </row>
    <row r="39" spans="1:13" x14ac:dyDescent="0.2">
      <c r="A39" s="431"/>
      <c r="B39" s="516"/>
      <c r="C39" s="516" t="s">
        <v>24</v>
      </c>
      <c r="D39" s="516" t="s">
        <v>24</v>
      </c>
      <c r="E39" s="666"/>
      <c r="F39" s="517" t="s">
        <v>24</v>
      </c>
      <c r="G39" s="518" t="s">
        <v>24</v>
      </c>
      <c r="H39" s="518"/>
      <c r="I39" s="518"/>
      <c r="J39" s="518"/>
      <c r="K39" s="518"/>
      <c r="L39" s="519"/>
    </row>
    <row r="40" spans="1:13" ht="18.75" x14ac:dyDescent="0.3">
      <c r="A40" s="520" t="s">
        <v>271</v>
      </c>
      <c r="B40" s="3"/>
      <c r="C40" s="2"/>
      <c r="D40" s="2"/>
      <c r="E40" s="521"/>
      <c r="F40" s="521"/>
      <c r="G40" s="522"/>
      <c r="H40" s="521"/>
      <c r="I40" s="521"/>
      <c r="J40" s="521"/>
      <c r="K40" s="521"/>
    </row>
    <row r="41" spans="1:13" ht="51" x14ac:dyDescent="0.2">
      <c r="A41" s="190" t="s">
        <v>7</v>
      </c>
      <c r="B41" s="190" t="s">
        <v>27</v>
      </c>
      <c r="C41" s="190" t="s">
        <v>26</v>
      </c>
      <c r="D41" s="190" t="s">
        <v>31</v>
      </c>
      <c r="E41" s="190" t="s">
        <v>351</v>
      </c>
      <c r="F41" s="190" t="s">
        <v>22</v>
      </c>
      <c r="G41" s="190" t="s">
        <v>352</v>
      </c>
      <c r="H41" s="523" t="s">
        <v>23</v>
      </c>
      <c r="I41" s="523" t="s">
        <v>272</v>
      </c>
      <c r="J41" s="59" t="s">
        <v>273</v>
      </c>
      <c r="K41" s="524" t="s">
        <v>274</v>
      </c>
      <c r="L41" s="524" t="s">
        <v>275</v>
      </c>
      <c r="M41" s="190" t="s">
        <v>7</v>
      </c>
    </row>
    <row r="42" spans="1:13" x14ac:dyDescent="0.2">
      <c r="A42" s="182" t="s">
        <v>16</v>
      </c>
      <c r="B42" s="91" t="s">
        <v>28</v>
      </c>
      <c r="C42" s="91" t="s">
        <v>33</v>
      </c>
      <c r="D42" s="91"/>
      <c r="E42" s="525">
        <v>2400</v>
      </c>
      <c r="F42" s="526">
        <f>G42/E42</f>
        <v>0.99791666666666667</v>
      </c>
      <c r="G42" s="94">
        <v>2395</v>
      </c>
      <c r="H42" s="93">
        <f>$B$8</f>
        <v>1.0795837690590744</v>
      </c>
      <c r="I42" s="93">
        <f>H42*F42</f>
        <v>1.0773346362068681</v>
      </c>
      <c r="J42" s="528">
        <f>E42*I42*$B$6</f>
        <v>2810.8091592491669</v>
      </c>
      <c r="K42" s="251">
        <f>G15</f>
        <v>167.10783843278438</v>
      </c>
      <c r="L42" s="251">
        <v>167.68498893384771</v>
      </c>
      <c r="M42" s="529" t="s">
        <v>16</v>
      </c>
    </row>
    <row r="43" spans="1:13" x14ac:dyDescent="0.2">
      <c r="A43" s="182" t="s">
        <v>276</v>
      </c>
      <c r="B43" s="91"/>
      <c r="C43" s="91"/>
      <c r="D43" s="91"/>
      <c r="E43" s="525">
        <v>10761.6</v>
      </c>
      <c r="F43" s="526">
        <v>1.0297343121092997</v>
      </c>
      <c r="G43" s="94">
        <f>E43*F43</f>
        <v>11081.588773195439</v>
      </c>
      <c r="H43" s="93">
        <f t="shared" ref="H43:H61" si="3">$B$8</f>
        <v>1.0795837690590744</v>
      </c>
      <c r="I43" s="93">
        <f>H43*F43</f>
        <v>1.1116844497964109</v>
      </c>
      <c r="J43" s="528">
        <f t="shared" ref="J43:J61" si="4">E43*I43*$B$6</f>
        <v>13005.524518885377</v>
      </c>
      <c r="K43" s="251">
        <f>G13</f>
        <v>141.63777918416611</v>
      </c>
      <c r="L43" s="251">
        <v>142.16406348311304</v>
      </c>
      <c r="M43" s="529" t="s">
        <v>29</v>
      </c>
    </row>
    <row r="44" spans="1:13" x14ac:dyDescent="0.2">
      <c r="A44" s="182" t="s">
        <v>19</v>
      </c>
      <c r="B44" s="91" t="s">
        <v>24</v>
      </c>
      <c r="C44" s="91"/>
      <c r="D44" s="91"/>
      <c r="E44" s="525">
        <v>8620</v>
      </c>
      <c r="F44" s="526">
        <f>G44/E44</f>
        <v>0.99454756380510445</v>
      </c>
      <c r="G44" s="94">
        <v>8573</v>
      </c>
      <c r="H44" s="93">
        <f t="shared" si="3"/>
        <v>1.0795837690590744</v>
      </c>
      <c r="I44" s="93">
        <f>H44*F44</f>
        <v>1.0736974074412349</v>
      </c>
      <c r="J44" s="528">
        <f t="shared" si="4"/>
        <v>10061.405813045139</v>
      </c>
      <c r="K44" s="251">
        <f>G13</f>
        <v>141.63777918416611</v>
      </c>
      <c r="L44" s="251">
        <v>142.16406348311304</v>
      </c>
      <c r="M44" s="529" t="s">
        <v>19</v>
      </c>
    </row>
    <row r="45" spans="1:13" x14ac:dyDescent="0.2">
      <c r="A45" s="182" t="s">
        <v>43</v>
      </c>
      <c r="B45" s="91"/>
      <c r="C45" s="91"/>
      <c r="D45" s="91" t="s">
        <v>43</v>
      </c>
      <c r="E45" s="525">
        <v>11490</v>
      </c>
      <c r="F45" s="526">
        <f t="shared" ref="F45:F61" si="5">G45/E45</f>
        <v>1.0378590078328982</v>
      </c>
      <c r="G45" s="94">
        <v>11925</v>
      </c>
      <c r="H45" s="93">
        <f t="shared" si="3"/>
        <v>1.0795837690590744</v>
      </c>
      <c r="I45" s="93">
        <f t="shared" ref="I45:I61" si="6">H45*F45</f>
        <v>1.1204557394281516</v>
      </c>
      <c r="J45" s="528">
        <f t="shared" si="4"/>
        <v>13995.365020478628</v>
      </c>
      <c r="K45" s="251">
        <f>G36</f>
        <v>167.46219541162225</v>
      </c>
      <c r="L45" s="251">
        <v>167.98847971056921</v>
      </c>
      <c r="M45" s="529" t="s">
        <v>43</v>
      </c>
    </row>
    <row r="46" spans="1:13" x14ac:dyDescent="0.2">
      <c r="A46" s="182" t="s">
        <v>11</v>
      </c>
      <c r="B46" s="91" t="s">
        <v>28</v>
      </c>
      <c r="C46" s="91" t="s">
        <v>5</v>
      </c>
      <c r="D46" s="529" t="s">
        <v>11</v>
      </c>
      <c r="E46" s="525">
        <v>6330</v>
      </c>
      <c r="F46" s="526">
        <f t="shared" si="5"/>
        <v>1.0083728278041075</v>
      </c>
      <c r="G46" s="94">
        <v>6383</v>
      </c>
      <c r="H46" s="93">
        <f t="shared" si="3"/>
        <v>1.0795837690590744</v>
      </c>
      <c r="I46" s="93">
        <f t="shared" si="6"/>
        <v>1.0886229380575154</v>
      </c>
      <c r="J46" s="528">
        <f t="shared" si="4"/>
        <v>7491.1878344415172</v>
      </c>
      <c r="K46" s="251">
        <f>G19</f>
        <v>201.59046693712668</v>
      </c>
      <c r="L46" s="251">
        <v>204.45903433239633</v>
      </c>
      <c r="M46" s="529" t="s">
        <v>11</v>
      </c>
    </row>
    <row r="47" spans="1:13" x14ac:dyDescent="0.2">
      <c r="A47" s="182" t="s">
        <v>20</v>
      </c>
      <c r="B47" s="91"/>
      <c r="C47" s="91"/>
      <c r="D47" s="529" t="s">
        <v>20</v>
      </c>
      <c r="E47" s="525">
        <v>18490</v>
      </c>
      <c r="F47" s="526">
        <f t="shared" si="5"/>
        <v>1.0470524607896161</v>
      </c>
      <c r="G47" s="94">
        <v>19360</v>
      </c>
      <c r="H47" s="93">
        <f t="shared" si="3"/>
        <v>1.0795837690590744</v>
      </c>
      <c r="I47" s="93">
        <f t="shared" si="6"/>
        <v>1.1303808420218324</v>
      </c>
      <c r="J47" s="528">
        <f t="shared" si="4"/>
        <v>22721.196377062159</v>
      </c>
      <c r="K47" s="251">
        <f>G18</f>
        <v>197.90410330286824</v>
      </c>
      <c r="L47" s="251">
        <v>198.43038760181514</v>
      </c>
      <c r="M47" s="529" t="s">
        <v>20</v>
      </c>
    </row>
    <row r="48" spans="1:13" x14ac:dyDescent="0.2">
      <c r="A48" s="182" t="s">
        <v>21</v>
      </c>
      <c r="B48" s="91"/>
      <c r="C48" s="91"/>
      <c r="D48" s="529" t="s">
        <v>21</v>
      </c>
      <c r="E48" s="525">
        <v>3120</v>
      </c>
      <c r="F48" s="526">
        <f t="shared" si="5"/>
        <v>1.0583333333333333</v>
      </c>
      <c r="G48" s="94">
        <v>3302</v>
      </c>
      <c r="H48" s="93">
        <f t="shared" si="3"/>
        <v>1.0795837690590744</v>
      </c>
      <c r="I48" s="93">
        <f t="shared" si="6"/>
        <v>1.1425594889208537</v>
      </c>
      <c r="J48" s="528">
        <f t="shared" si="4"/>
        <v>3875.2784316662833</v>
      </c>
      <c r="K48" s="251">
        <f>G21</f>
        <v>141.63777918416611</v>
      </c>
      <c r="L48" s="251">
        <v>142.16406348311304</v>
      </c>
      <c r="M48" s="529" t="s">
        <v>21</v>
      </c>
    </row>
    <row r="49" spans="1:13" x14ac:dyDescent="0.2">
      <c r="A49" s="182" t="s">
        <v>277</v>
      </c>
      <c r="B49" s="91"/>
      <c r="C49" s="91"/>
      <c r="D49" s="529" t="s">
        <v>50</v>
      </c>
      <c r="E49" s="525">
        <v>4192.8</v>
      </c>
      <c r="F49" s="526">
        <v>1.0549494949494949</v>
      </c>
      <c r="G49" s="94">
        <f>E49*F49</f>
        <v>4423.1922424242421</v>
      </c>
      <c r="H49" s="93">
        <f t="shared" si="3"/>
        <v>1.0795837690590744</v>
      </c>
      <c r="I49" s="93">
        <f t="shared" si="6"/>
        <v>1.1389063519245426</v>
      </c>
      <c r="J49" s="528">
        <f t="shared" si="4"/>
        <v>5191.1270430588393</v>
      </c>
      <c r="K49" s="251">
        <f>G22</f>
        <v>141.63777918416611</v>
      </c>
      <c r="L49" s="251">
        <v>142.16406348311304</v>
      </c>
      <c r="M49" s="529" t="s">
        <v>50</v>
      </c>
    </row>
    <row r="50" spans="1:13" x14ac:dyDescent="0.2">
      <c r="A50" s="182" t="s">
        <v>42</v>
      </c>
      <c r="B50" s="91"/>
      <c r="C50" s="91"/>
      <c r="D50" s="91"/>
      <c r="E50" s="525">
        <v>2560</v>
      </c>
      <c r="F50" s="526">
        <f t="shared" si="5"/>
        <v>1.0269531249999999</v>
      </c>
      <c r="G50" s="94">
        <v>2629</v>
      </c>
      <c r="H50" s="93">
        <f t="shared" si="3"/>
        <v>1.0795837690590744</v>
      </c>
      <c r="I50" s="93">
        <f t="shared" si="6"/>
        <v>1.1086819253344946</v>
      </c>
      <c r="J50" s="528">
        <f t="shared" si="4"/>
        <v>3085.4351898396899</v>
      </c>
      <c r="K50" s="251">
        <f>G13</f>
        <v>141.63777918416611</v>
      </c>
      <c r="L50" s="251">
        <v>142.16406348311304</v>
      </c>
      <c r="M50" s="529" t="s">
        <v>42</v>
      </c>
    </row>
    <row r="51" spans="1:13" x14ac:dyDescent="0.2">
      <c r="A51" s="182" t="s">
        <v>30</v>
      </c>
      <c r="B51" s="91"/>
      <c r="C51" s="91"/>
      <c r="D51" s="91"/>
      <c r="E51" s="525">
        <v>19734.099999999999</v>
      </c>
      <c r="F51" s="526">
        <f>G51/E51</f>
        <v>0.99016423348417215</v>
      </c>
      <c r="G51" s="94">
        <v>19540</v>
      </c>
      <c r="H51" s="93">
        <f t="shared" si="3"/>
        <v>1.0795837690590744</v>
      </c>
      <c r="I51" s="93">
        <f t="shared" si="6"/>
        <v>1.068965235172332</v>
      </c>
      <c r="J51" s="528">
        <f t="shared" si="4"/>
        <v>22932.447169824103</v>
      </c>
      <c r="K51" s="251">
        <f>G13</f>
        <v>141.63777918416611</v>
      </c>
      <c r="L51" s="251">
        <v>142.16406348311304</v>
      </c>
      <c r="M51" s="529" t="s">
        <v>30</v>
      </c>
    </row>
    <row r="52" spans="1:13" x14ac:dyDescent="0.2">
      <c r="A52" s="182" t="s">
        <v>17</v>
      </c>
      <c r="B52" s="91" t="s">
        <v>28</v>
      </c>
      <c r="C52" s="91" t="s">
        <v>33</v>
      </c>
      <c r="D52" s="91" t="s">
        <v>17</v>
      </c>
      <c r="E52" s="525">
        <v>3770</v>
      </c>
      <c r="F52" s="526">
        <f t="shared" si="5"/>
        <v>0.98753315649867379</v>
      </c>
      <c r="G52" s="94">
        <v>3723</v>
      </c>
      <c r="H52" s="93">
        <f t="shared" si="3"/>
        <v>1.0795837690590744</v>
      </c>
      <c r="I52" s="93">
        <f t="shared" si="6"/>
        <v>1.0661247671636429</v>
      </c>
      <c r="J52" s="528">
        <f>E52*I52*$B$6</f>
        <v>4369.3705636261575</v>
      </c>
      <c r="K52" s="251">
        <f>G33</f>
        <v>167.10783843278438</v>
      </c>
      <c r="L52" s="251">
        <v>167.68498893384771</v>
      </c>
      <c r="M52" s="529" t="s">
        <v>17</v>
      </c>
    </row>
    <row r="53" spans="1:13" x14ac:dyDescent="0.2">
      <c r="A53" s="182" t="s">
        <v>278</v>
      </c>
      <c r="B53" s="91"/>
      <c r="C53" s="91"/>
      <c r="D53" s="91"/>
      <c r="E53" s="525">
        <v>2287.6999999999998</v>
      </c>
      <c r="F53" s="526">
        <v>1.0073170731707317</v>
      </c>
      <c r="G53" s="94">
        <f>E53*F53</f>
        <v>2304.4392682926828</v>
      </c>
      <c r="H53" s="93">
        <f t="shared" si="3"/>
        <v>1.0795837690590744</v>
      </c>
      <c r="I53" s="93">
        <f t="shared" si="6"/>
        <v>1.087483162491214</v>
      </c>
      <c r="J53" s="528">
        <f t="shared" si="4"/>
        <v>2704.5256794365432</v>
      </c>
      <c r="K53" s="251">
        <f>G13</f>
        <v>141.63777918416611</v>
      </c>
      <c r="L53" s="251">
        <v>142.16406348311304</v>
      </c>
      <c r="M53" s="529" t="s">
        <v>116</v>
      </c>
    </row>
    <row r="54" spans="1:13" x14ac:dyDescent="0.2">
      <c r="A54" s="182" t="s">
        <v>12</v>
      </c>
      <c r="B54" s="91" t="s">
        <v>28</v>
      </c>
      <c r="C54" s="91" t="s">
        <v>33</v>
      </c>
      <c r="D54" s="91"/>
      <c r="E54" s="525">
        <v>5870</v>
      </c>
      <c r="F54" s="526">
        <f t="shared" si="5"/>
        <v>0.95826235093696766</v>
      </c>
      <c r="G54" s="94">
        <v>5625</v>
      </c>
      <c r="H54" s="93">
        <f t="shared" si="3"/>
        <v>1.0795837690590744</v>
      </c>
      <c r="I54" s="93">
        <f t="shared" si="6"/>
        <v>1.0345244805719409</v>
      </c>
      <c r="J54" s="528">
        <f t="shared" si="4"/>
        <v>6601.5872738106727</v>
      </c>
      <c r="K54" s="251">
        <f>G15</f>
        <v>167.10783843278438</v>
      </c>
      <c r="L54" s="251">
        <v>167.68498893384771</v>
      </c>
      <c r="M54" s="529" t="s">
        <v>12</v>
      </c>
    </row>
    <row r="55" spans="1:13" x14ac:dyDescent="0.2">
      <c r="A55" s="182" t="s">
        <v>13</v>
      </c>
      <c r="B55" s="91" t="s">
        <v>28</v>
      </c>
      <c r="C55" s="91"/>
      <c r="D55" s="91"/>
      <c r="E55" s="525">
        <v>2920</v>
      </c>
      <c r="F55" s="526">
        <f t="shared" si="5"/>
        <v>1.0143835616438357</v>
      </c>
      <c r="G55" s="94">
        <v>2962</v>
      </c>
      <c r="H55" s="93">
        <f t="shared" si="3"/>
        <v>1.0795837690590744</v>
      </c>
      <c r="I55" s="93">
        <f t="shared" si="6"/>
        <v>1.0951120287510201</v>
      </c>
      <c r="J55" s="528">
        <f t="shared" si="4"/>
        <v>3476.249156449283</v>
      </c>
      <c r="K55" s="251">
        <f>G14</f>
        <v>141.63777918416611</v>
      </c>
      <c r="L55" s="251">
        <v>142.16406348311304</v>
      </c>
      <c r="M55" s="529" t="s">
        <v>13</v>
      </c>
    </row>
    <row r="56" spans="1:13" x14ac:dyDescent="0.2">
      <c r="A56" s="182" t="s">
        <v>9</v>
      </c>
      <c r="B56" s="91" t="s">
        <v>28</v>
      </c>
      <c r="C56" s="91" t="s">
        <v>33</v>
      </c>
      <c r="D56" s="91"/>
      <c r="E56" s="525">
        <v>7880</v>
      </c>
      <c r="F56" s="526">
        <f t="shared" si="5"/>
        <v>1.0269035532994923</v>
      </c>
      <c r="G56" s="94">
        <v>8092</v>
      </c>
      <c r="H56" s="93">
        <f t="shared" si="3"/>
        <v>1.0795837690590744</v>
      </c>
      <c r="I56" s="93">
        <f t="shared" si="6"/>
        <v>1.1086284085312221</v>
      </c>
      <c r="J56" s="528">
        <f t="shared" si="4"/>
        <v>9496.8967501646184</v>
      </c>
      <c r="K56" s="251">
        <f>G15</f>
        <v>167.10783843278438</v>
      </c>
      <c r="L56" s="251">
        <v>167.68498893384771</v>
      </c>
      <c r="M56" s="529" t="s">
        <v>9</v>
      </c>
    </row>
    <row r="57" spans="1:13" x14ac:dyDescent="0.2">
      <c r="A57" s="182" t="s">
        <v>14</v>
      </c>
      <c r="B57" s="91" t="s">
        <v>28</v>
      </c>
      <c r="C57" s="91"/>
      <c r="D57" s="91"/>
      <c r="E57" s="525">
        <v>2840</v>
      </c>
      <c r="F57" s="526">
        <f t="shared" si="5"/>
        <v>0.9827464788732394</v>
      </c>
      <c r="G57" s="94">
        <v>2791</v>
      </c>
      <c r="H57" s="93">
        <f t="shared" si="3"/>
        <v>1.0795837690590744</v>
      </c>
      <c r="I57" s="93">
        <f t="shared" si="6"/>
        <v>1.0609571476915058</v>
      </c>
      <c r="J57" s="528">
        <f t="shared" si="4"/>
        <v>3275.5609033254377</v>
      </c>
      <c r="K57" s="251">
        <f>G14</f>
        <v>141.63777918416611</v>
      </c>
      <c r="L57" s="251">
        <v>142.16406348311304</v>
      </c>
      <c r="M57" s="529" t="s">
        <v>14</v>
      </c>
    </row>
    <row r="58" spans="1:13" x14ac:dyDescent="0.2">
      <c r="A58" s="182" t="s">
        <v>15</v>
      </c>
      <c r="B58" s="91" t="s">
        <v>28</v>
      </c>
      <c r="C58" s="91" t="s">
        <v>5</v>
      </c>
      <c r="D58" s="91" t="s">
        <v>15</v>
      </c>
      <c r="E58" s="525">
        <v>5640</v>
      </c>
      <c r="F58" s="526">
        <f t="shared" si="5"/>
        <v>1.0186170212765957</v>
      </c>
      <c r="G58" s="94">
        <v>5745</v>
      </c>
      <c r="H58" s="93">
        <f t="shared" si="3"/>
        <v>1.0795837690590744</v>
      </c>
      <c r="I58" s="93">
        <f t="shared" si="6"/>
        <v>1.0996824030575145</v>
      </c>
      <c r="J58" s="528">
        <f t="shared" si="4"/>
        <v>6742.4211356519672</v>
      </c>
      <c r="K58" s="251">
        <f>G17</f>
        <v>141.63777918416611</v>
      </c>
      <c r="L58" s="251">
        <v>142.16406348311304</v>
      </c>
      <c r="M58" s="529" t="s">
        <v>15</v>
      </c>
    </row>
    <row r="59" spans="1:13" x14ac:dyDescent="0.2">
      <c r="A59" s="182" t="s">
        <v>10</v>
      </c>
      <c r="B59" s="91" t="s">
        <v>28</v>
      </c>
      <c r="C59" s="91"/>
      <c r="D59" s="529" t="s">
        <v>10</v>
      </c>
      <c r="E59" s="525">
        <f>6800+190</f>
        <v>6990</v>
      </c>
      <c r="F59" s="526">
        <f t="shared" si="5"/>
        <v>1.0261802575107297</v>
      </c>
      <c r="G59" s="94">
        <f>6986+187</f>
        <v>7173</v>
      </c>
      <c r="H59" s="93">
        <f t="shared" si="3"/>
        <v>1.0795837690590744</v>
      </c>
      <c r="I59" s="93">
        <f t="shared" si="6"/>
        <v>1.1078475501374452</v>
      </c>
      <c r="J59" s="528">
        <f t="shared" si="4"/>
        <v>8418.3440915633728</v>
      </c>
      <c r="K59" s="251">
        <f>G20</f>
        <v>141.63777918416611</v>
      </c>
      <c r="L59" s="251">
        <v>142.16406348311304</v>
      </c>
      <c r="M59" s="529" t="s">
        <v>10</v>
      </c>
    </row>
    <row r="60" spans="1:13" x14ac:dyDescent="0.2">
      <c r="A60" s="182" t="s">
        <v>8</v>
      </c>
      <c r="B60" s="91" t="s">
        <v>28</v>
      </c>
      <c r="C60" s="91" t="s">
        <v>33</v>
      </c>
      <c r="D60" s="91" t="s">
        <v>8</v>
      </c>
      <c r="E60" s="525">
        <v>9410</v>
      </c>
      <c r="F60" s="526">
        <f t="shared" si="5"/>
        <v>0.99489904357066949</v>
      </c>
      <c r="G60" s="94">
        <v>9362</v>
      </c>
      <c r="H60" s="93">
        <f t="shared" si="3"/>
        <v>1.0795837690590744</v>
      </c>
      <c r="I60" s="93">
        <f t="shared" si="6"/>
        <v>1.0740768592912917</v>
      </c>
      <c r="J60" s="528">
        <f t="shared" si="4"/>
        <v>10987.388454651649</v>
      </c>
      <c r="K60" s="251">
        <f>G30</f>
        <v>209.26607106981348</v>
      </c>
      <c r="L60" s="251">
        <v>209.88699461228009</v>
      </c>
      <c r="M60" s="529" t="s">
        <v>8</v>
      </c>
    </row>
    <row r="61" spans="1:13" x14ac:dyDescent="0.2">
      <c r="A61" s="182" t="s">
        <v>18</v>
      </c>
      <c r="B61" s="91" t="s">
        <v>28</v>
      </c>
      <c r="C61" s="91" t="s">
        <v>33</v>
      </c>
      <c r="D61" s="91"/>
      <c r="E61" s="525">
        <v>405</v>
      </c>
      <c r="F61" s="526">
        <f t="shared" si="5"/>
        <v>0.92839506172839503</v>
      </c>
      <c r="G61" s="94">
        <v>376</v>
      </c>
      <c r="H61" s="93">
        <f t="shared" si="3"/>
        <v>1.0795837690590744</v>
      </c>
      <c r="I61" s="93">
        <f t="shared" si="6"/>
        <v>1.0022802399165727</v>
      </c>
      <c r="J61" s="528">
        <f t="shared" si="4"/>
        <v>441.27943376938896</v>
      </c>
      <c r="K61" s="251">
        <f>G15</f>
        <v>167.10783843278438</v>
      </c>
      <c r="L61" s="251">
        <v>167.68498893384771</v>
      </c>
      <c r="M61" s="529" t="s">
        <v>18</v>
      </c>
    </row>
    <row r="62" spans="1:13" x14ac:dyDescent="0.2">
      <c r="A62" s="530" t="s">
        <v>67</v>
      </c>
      <c r="B62" s="23"/>
      <c r="C62" s="21"/>
      <c r="D62" s="21"/>
      <c r="E62" s="531">
        <f>SUM(E42:E61)</f>
        <v>135711.20000000001</v>
      </c>
      <c r="F62" s="532"/>
      <c r="G62" s="531">
        <f>SUM(G42:G61)</f>
        <v>137765.22028391238</v>
      </c>
      <c r="H62" s="533"/>
      <c r="I62" s="533"/>
      <c r="J62" s="534">
        <f>SUM(J42:J61)</f>
        <v>161683.39999999994</v>
      </c>
      <c r="K62" s="535" t="s">
        <v>24</v>
      </c>
      <c r="L62" s="535"/>
    </row>
    <row r="63" spans="1:13" x14ac:dyDescent="0.2">
      <c r="A63" s="97" t="s">
        <v>279</v>
      </c>
      <c r="B63" s="23"/>
      <c r="C63" s="21"/>
      <c r="D63" s="21"/>
      <c r="E63" s="536" t="s">
        <v>24</v>
      </c>
      <c r="F63" s="537"/>
      <c r="G63" s="536"/>
      <c r="H63" s="538"/>
      <c r="I63" s="60"/>
      <c r="J63" s="60"/>
      <c r="K63" s="539"/>
      <c r="L63" s="540"/>
    </row>
    <row r="64" spans="1:13" x14ac:dyDescent="0.2">
      <c r="A64" s="344" t="s">
        <v>280</v>
      </c>
      <c r="E64" s="238"/>
      <c r="G64" s="657"/>
    </row>
  </sheetData>
  <mergeCells count="1">
    <mergeCell ref="A37:D37"/>
  </mergeCells>
  <pageMargins left="0.45" right="0.45" top="0.5" bottom="0.5" header="0" footer="0"/>
  <pageSetup paperSize="17" scale="71"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7"/>
  <sheetViews>
    <sheetView zoomScaleNormal="100" workbookViewId="0"/>
  </sheetViews>
  <sheetFormatPr defaultRowHeight="12.75" x14ac:dyDescent="0.2"/>
  <cols>
    <col min="1" max="42" width="16.7109375" customWidth="1"/>
  </cols>
  <sheetData>
    <row r="1" spans="1:29" ht="18.75" x14ac:dyDescent="0.3">
      <c r="A1" s="108" t="s">
        <v>349</v>
      </c>
      <c r="B1" s="374"/>
      <c r="C1" s="374" t="s">
        <v>24</v>
      </c>
      <c r="D1" s="374"/>
      <c r="E1" s="374"/>
      <c r="F1" s="541" t="s">
        <v>24</v>
      </c>
      <c r="G1" s="374"/>
      <c r="H1" s="374"/>
      <c r="I1" s="374"/>
      <c r="J1" s="374"/>
      <c r="K1" s="374"/>
      <c r="L1" s="374"/>
      <c r="M1" s="374"/>
      <c r="N1" s="374"/>
      <c r="O1" s="374"/>
      <c r="P1" s="374"/>
      <c r="Q1" s="374"/>
      <c r="R1" s="374"/>
      <c r="S1" s="374"/>
      <c r="T1" s="374"/>
      <c r="U1" s="374"/>
      <c r="V1" s="374"/>
      <c r="W1" s="374"/>
      <c r="X1" s="374"/>
      <c r="Y1" s="374"/>
      <c r="Z1" s="374"/>
      <c r="AA1" s="374"/>
      <c r="AB1" s="374"/>
      <c r="AC1" s="374"/>
    </row>
    <row r="2" spans="1:29" ht="18.75" x14ac:dyDescent="0.3">
      <c r="A2" s="1" t="s">
        <v>24</v>
      </c>
      <c r="B2" s="374"/>
      <c r="C2" s="374" t="s">
        <v>24</v>
      </c>
      <c r="D2" s="542" t="s">
        <v>24</v>
      </c>
      <c r="E2" s="543" t="s">
        <v>24</v>
      </c>
      <c r="F2" s="374"/>
      <c r="G2" s="374"/>
      <c r="H2" s="374"/>
      <c r="I2" s="374"/>
      <c r="J2" s="374"/>
      <c r="K2" s="374"/>
      <c r="L2" s="374"/>
      <c r="M2" s="374"/>
      <c r="N2" s="374"/>
      <c r="O2" s="374"/>
      <c r="P2" s="374"/>
      <c r="Q2" s="374"/>
      <c r="R2" s="374"/>
      <c r="S2" s="374"/>
      <c r="T2" s="374"/>
      <c r="U2" s="374"/>
      <c r="V2" s="374"/>
      <c r="W2" s="374"/>
      <c r="X2" s="374"/>
      <c r="Y2" s="374"/>
      <c r="Z2" s="374"/>
      <c r="AA2" s="374"/>
      <c r="AB2" s="374"/>
      <c r="AC2" s="374"/>
    </row>
    <row r="3" spans="1:29" ht="18.75" x14ac:dyDescent="0.3">
      <c r="A3" s="544" t="s">
        <v>62</v>
      </c>
      <c r="B3" s="1"/>
      <c r="C3" s="545" t="s">
        <v>24</v>
      </c>
      <c r="D3" s="541" t="s">
        <v>24</v>
      </c>
      <c r="F3" s="432"/>
      <c r="G3" s="434"/>
      <c r="H3" s="434"/>
      <c r="I3" s="434" t="s">
        <v>24</v>
      </c>
      <c r="J3" s="374"/>
      <c r="K3" s="504"/>
      <c r="L3" s="504"/>
      <c r="AC3" s="504"/>
    </row>
    <row r="4" spans="1:29" ht="89.25" x14ac:dyDescent="0.2">
      <c r="A4" s="164" t="s">
        <v>3</v>
      </c>
      <c r="B4" s="183" t="s">
        <v>260</v>
      </c>
      <c r="C4" s="183" t="s">
        <v>282</v>
      </c>
      <c r="D4" s="183" t="s">
        <v>283</v>
      </c>
      <c r="E4" s="164" t="s">
        <v>65</v>
      </c>
      <c r="F4" s="164" t="s">
        <v>284</v>
      </c>
      <c r="G4" s="164" t="s">
        <v>73</v>
      </c>
      <c r="H4" s="164" t="s">
        <v>285</v>
      </c>
      <c r="I4" s="546" t="s">
        <v>286</v>
      </c>
      <c r="J4" s="472"/>
      <c r="M4" s="472"/>
      <c r="N4" s="472"/>
      <c r="O4" s="472"/>
      <c r="P4" s="472"/>
      <c r="Q4" s="472"/>
      <c r="R4" s="472"/>
      <c r="S4" s="472"/>
      <c r="T4" s="472"/>
      <c r="U4" s="472"/>
      <c r="V4" s="472"/>
      <c r="W4" s="472"/>
    </row>
    <row r="5" spans="1:29" x14ac:dyDescent="0.2">
      <c r="A5" s="368" t="s">
        <v>28</v>
      </c>
      <c r="B5" s="547">
        <f>'3rd IA Load Pricing Results'!B14</f>
        <v>64111.094756703227</v>
      </c>
      <c r="C5" s="548">
        <f>'BRA Resource Clearing Results'!F27-'1stIA Resource Clearing Results'!D26-'2ndIA Resource Clearing Results'!D26-'3rdIA Resource Clearing Results'!D26</f>
        <v>64591.69999999999</v>
      </c>
      <c r="D5" s="548">
        <f>B5-C5</f>
        <v>-480.60524329676264</v>
      </c>
      <c r="E5" s="113">
        <f>'3rdIA Resource Clearing Results'!D99</f>
        <v>0</v>
      </c>
      <c r="F5" s="48">
        <f t="shared" ref="F5:F16" si="0">D5-E5</f>
        <v>-480.60524329676264</v>
      </c>
      <c r="G5" s="48">
        <f>'3rd IA ICTRs'!C32</f>
        <v>0</v>
      </c>
      <c r="H5" s="48">
        <f>'3rd IA ICTRs'!C13+'3rd IA ICTRs'!C20</f>
        <v>0</v>
      </c>
      <c r="I5" s="549">
        <f>F5-G5-H5</f>
        <v>-480.60524329676264</v>
      </c>
      <c r="J5" s="665"/>
      <c r="K5" s="511"/>
      <c r="M5" s="516"/>
      <c r="N5" s="516"/>
      <c r="O5" s="516"/>
      <c r="P5" s="516"/>
      <c r="Q5" s="516"/>
      <c r="R5" s="516"/>
      <c r="S5" s="516"/>
      <c r="T5" s="516"/>
      <c r="U5" s="516"/>
      <c r="V5" s="516"/>
      <c r="W5" s="516"/>
    </row>
    <row r="6" spans="1:29" x14ac:dyDescent="0.2">
      <c r="A6" s="368" t="s">
        <v>33</v>
      </c>
      <c r="B6" s="547">
        <f>'3rd IA Load Pricing Results'!B15</f>
        <v>34707.331635271657</v>
      </c>
      <c r="C6" s="548">
        <f>'BRA Resource Clearing Results'!F28-'1stIA Resource Clearing Results'!D27-'2ndIA Resource Clearing Results'!D27-'3rdIA Resource Clearing Results'!D27</f>
        <v>29654.7</v>
      </c>
      <c r="D6" s="548">
        <v>5017.4764755894676</v>
      </c>
      <c r="E6" s="113">
        <f>'3rdIA Resource Clearing Results'!D100</f>
        <v>0</v>
      </c>
      <c r="F6" s="551">
        <f t="shared" si="0"/>
        <v>5017.4764755894676</v>
      </c>
      <c r="G6" s="48">
        <f>'3rd IA ICTRs'!D32</f>
        <v>40</v>
      </c>
      <c r="H6" s="48">
        <f>'3rd IA ICTRs'!D13+'3rd IA ICTRs'!D20</f>
        <v>948</v>
      </c>
      <c r="I6" s="549">
        <f t="shared" ref="I6:I16" si="1">F6-G6-H6</f>
        <v>4029.4764755894676</v>
      </c>
      <c r="J6" s="550" t="s">
        <v>24</v>
      </c>
      <c r="M6" s="516" t="s">
        <v>24</v>
      </c>
      <c r="N6" s="516"/>
      <c r="O6" s="516"/>
      <c r="P6" s="516"/>
      <c r="Q6" s="516"/>
      <c r="R6" s="516"/>
      <c r="S6" s="516"/>
      <c r="T6" s="516"/>
      <c r="U6" s="516"/>
      <c r="V6" s="516"/>
      <c r="W6" s="516"/>
    </row>
    <row r="7" spans="1:29" x14ac:dyDescent="0.2">
      <c r="A7" s="368" t="s">
        <v>5</v>
      </c>
      <c r="B7" s="547">
        <f>'3rd IA Load Pricing Results'!B16</f>
        <v>14233.608970093484</v>
      </c>
      <c r="C7" s="548">
        <f>'BRA Resource Clearing Results'!F29-'1stIA Resource Clearing Results'!D28-'2ndIA Resource Clearing Results'!D28-'3rdIA Resource Clearing Results'!D28</f>
        <v>8886.2000000000007</v>
      </c>
      <c r="D7" s="548">
        <f t="shared" ref="D7:D16" si="2">B7-C7</f>
        <v>5347.4089700934837</v>
      </c>
      <c r="E7" s="113">
        <f>'3rdIA Resource Clearing Results'!D101</f>
        <v>0</v>
      </c>
      <c r="F7" s="551">
        <f t="shared" si="0"/>
        <v>5347.4089700934837</v>
      </c>
      <c r="G7" s="48">
        <f>'3rd IA ICTRs'!E32</f>
        <v>0</v>
      </c>
      <c r="H7" s="48">
        <f>'3rd IA ICTRs'!E13+'3rd IA ICTRs'!E20</f>
        <v>493</v>
      </c>
      <c r="I7" s="549">
        <f t="shared" si="1"/>
        <v>4854.4089700934837</v>
      </c>
      <c r="J7" s="550" t="s">
        <v>24</v>
      </c>
      <c r="M7" s="516"/>
      <c r="N7" s="516"/>
      <c r="O7" s="516"/>
      <c r="P7" s="516"/>
      <c r="Q7" s="516"/>
      <c r="R7" s="516"/>
      <c r="S7" s="516"/>
      <c r="T7" s="516"/>
      <c r="U7" s="516"/>
      <c r="V7" s="516"/>
      <c r="W7" s="516"/>
    </row>
    <row r="8" spans="1:29" x14ac:dyDescent="0.2">
      <c r="A8" s="368" t="s">
        <v>40</v>
      </c>
      <c r="B8" s="547">
        <f>'3rd IA Load Pricing Results'!J60</f>
        <v>10987.388454651649</v>
      </c>
      <c r="C8" s="548">
        <f>'3rd IA Load Pricing Results'!C30</f>
        <v>5601</v>
      </c>
      <c r="D8" s="548">
        <v>5384.010366346497</v>
      </c>
      <c r="E8" s="44">
        <f>IF('3rdIA Resource Clearing Results'!D102+'3rdIA Resource Clearing Results'!D103=0,0,('3rdIA Resource Clearing Results'!D102+'3rdIA Resource Clearing Results'!D103)/L21)</f>
        <v>0</v>
      </c>
      <c r="F8" s="551">
        <f t="shared" si="0"/>
        <v>5384.010366346497</v>
      </c>
      <c r="G8" s="48">
        <f>('3rd IA ICTRs'!B66+'3rd IA ICTRs'!B67)/L21</f>
        <v>40.697413369067576</v>
      </c>
      <c r="H8" s="44">
        <f>('3rd IA ICTRs'!C66+'3rd IA ICTRs'!C67)/L21</f>
        <v>529.92574361404581</v>
      </c>
      <c r="I8" s="549">
        <f>F8-G8-H8</f>
        <v>4813.3872093633836</v>
      </c>
      <c r="M8" s="516"/>
      <c r="N8" s="516"/>
      <c r="O8" s="516"/>
      <c r="P8" s="516"/>
      <c r="Q8" s="516"/>
      <c r="R8" s="516"/>
      <c r="S8" s="516"/>
      <c r="T8" s="516"/>
      <c r="U8" s="516"/>
      <c r="V8" s="516"/>
      <c r="W8" s="516"/>
    </row>
    <row r="9" spans="1:29" x14ac:dyDescent="0.2">
      <c r="A9" s="368" t="s">
        <v>38</v>
      </c>
      <c r="B9" s="547">
        <f>'3rd IA Load Pricing Results'!J52</f>
        <v>4369.3705636261575</v>
      </c>
      <c r="C9" s="548">
        <f>'3rd IA Load Pricing Results'!C33</f>
        <v>5483.6</v>
      </c>
      <c r="D9" s="548">
        <f t="shared" si="2"/>
        <v>-1114.2294363738429</v>
      </c>
      <c r="E9" s="113">
        <v>0</v>
      </c>
      <c r="F9" s="553">
        <f t="shared" si="0"/>
        <v>-1114.2294363738429</v>
      </c>
      <c r="G9" s="48">
        <f>'3rd IA ICTRs'!I32</f>
        <v>0</v>
      </c>
      <c r="H9" s="44">
        <f>'3rd IA ICTRs'!I13+'3rd IA ICTRs'!I20</f>
        <v>0</v>
      </c>
      <c r="I9" s="549">
        <f t="shared" si="1"/>
        <v>-1114.2294363738429</v>
      </c>
      <c r="J9" s="550" t="s">
        <v>24</v>
      </c>
      <c r="M9" s="516"/>
      <c r="N9" s="516"/>
      <c r="O9" s="516"/>
      <c r="P9" s="516"/>
      <c r="Q9" s="516"/>
      <c r="R9" s="516"/>
      <c r="S9" s="516"/>
      <c r="T9" s="516"/>
      <c r="U9" s="516"/>
      <c r="V9" s="516"/>
      <c r="W9" s="516"/>
    </row>
    <row r="10" spans="1:29" x14ac:dyDescent="0.2">
      <c r="A10" s="368" t="s">
        <v>15</v>
      </c>
      <c r="B10" s="547">
        <f>'3rd IA Load Pricing Results'!B17</f>
        <v>6742.4211356519672</v>
      </c>
      <c r="C10" s="548">
        <f>'BRA Resource Clearing Results'!F33-'1stIA Resource Clearing Results'!D32-'2ndIA Resource Clearing Results'!D32-'3rdIA Resource Clearing Results'!D32</f>
        <v>4613.9000000000015</v>
      </c>
      <c r="D10" s="548">
        <f t="shared" si="2"/>
        <v>2128.5211356519658</v>
      </c>
      <c r="E10" s="113">
        <v>0</v>
      </c>
      <c r="F10" s="48">
        <f t="shared" si="0"/>
        <v>2128.5211356519658</v>
      </c>
      <c r="G10" s="48">
        <f>'3rd IA ICTRs'!J32</f>
        <v>0</v>
      </c>
      <c r="H10" s="48">
        <f>'3rd IA ICTRs'!J13+'3rd IA ICTRs'!J20</f>
        <v>175</v>
      </c>
      <c r="I10" s="549">
        <f t="shared" si="1"/>
        <v>1953.5211356519658</v>
      </c>
      <c r="J10" s="550" t="s">
        <v>24</v>
      </c>
      <c r="M10" s="516"/>
      <c r="N10" s="516"/>
      <c r="O10" s="516"/>
      <c r="P10" s="516"/>
      <c r="Q10" s="516"/>
      <c r="R10" s="516"/>
      <c r="S10" s="516"/>
      <c r="T10" s="516"/>
      <c r="U10" s="516"/>
      <c r="V10" s="516"/>
      <c r="W10" s="516"/>
    </row>
    <row r="11" spans="1:29" x14ac:dyDescent="0.2">
      <c r="A11" s="368" t="s">
        <v>115</v>
      </c>
      <c r="B11" s="547">
        <f>'3rd IA Load Pricing Results'!J45</f>
        <v>13995.365020478628</v>
      </c>
      <c r="C11" s="548">
        <f>'3rd IA Load Pricing Results'!C36</f>
        <v>9714.4000000000015</v>
      </c>
      <c r="D11" s="548">
        <v>4214.4820461926629</v>
      </c>
      <c r="E11" s="113">
        <v>0</v>
      </c>
      <c r="F11" s="48">
        <f t="shared" si="0"/>
        <v>4214.4820461926629</v>
      </c>
      <c r="G11" s="48">
        <v>0</v>
      </c>
      <c r="H11" s="48">
        <v>0</v>
      </c>
      <c r="I11" s="549">
        <f t="shared" si="1"/>
        <v>4214.4820461926629</v>
      </c>
      <c r="J11" s="550" t="s">
        <v>24</v>
      </c>
      <c r="M11" s="516"/>
      <c r="N11" s="516"/>
      <c r="O11" s="516"/>
      <c r="P11" s="516"/>
      <c r="Q11" s="516"/>
      <c r="R11" s="516"/>
      <c r="S11" s="516"/>
      <c r="T11" s="516"/>
      <c r="U11" s="516"/>
      <c r="V11" s="516"/>
      <c r="W11" s="516"/>
    </row>
    <row r="12" spans="1:29" x14ac:dyDescent="0.2">
      <c r="A12" s="368" t="s">
        <v>20</v>
      </c>
      <c r="B12" s="547">
        <f>'3rd IA Load Pricing Results'!B18</f>
        <v>22721.196377062159</v>
      </c>
      <c r="C12" s="548">
        <f>'BRA Resource Clearing Results'!F36-'1stIA Resource Clearing Results'!D35-'2ndIA Resource Clearing Results'!D35-'3rdIA Resource Clearing Results'!D35</f>
        <v>22073.7</v>
      </c>
      <c r="D12" s="548">
        <f t="shared" si="2"/>
        <v>647.49637706215799</v>
      </c>
      <c r="E12" s="113">
        <v>0</v>
      </c>
      <c r="F12" s="48">
        <f t="shared" si="0"/>
        <v>647.49637706215799</v>
      </c>
      <c r="G12" s="48">
        <f>'3rd IA ICTRs'!N32</f>
        <v>647.49637706215799</v>
      </c>
      <c r="H12" s="48">
        <f>'3rd IA ICTRs'!N13+'3rd IA ICTRs'!N20</f>
        <v>0</v>
      </c>
      <c r="I12" s="549">
        <f t="shared" si="1"/>
        <v>0</v>
      </c>
      <c r="J12" s="550" t="s">
        <v>24</v>
      </c>
      <c r="M12" s="516"/>
      <c r="N12" s="516"/>
      <c r="O12" s="516"/>
      <c r="P12" s="516"/>
      <c r="Q12" s="516"/>
      <c r="R12" s="516"/>
      <c r="S12" s="516"/>
      <c r="T12" s="516"/>
      <c r="U12" s="516"/>
      <c r="V12" s="516"/>
      <c r="W12" s="516"/>
    </row>
    <row r="13" spans="1:29" x14ac:dyDescent="0.2">
      <c r="A13" s="368" t="s">
        <v>11</v>
      </c>
      <c r="B13" s="547">
        <f>'3rd IA Load Pricing Results'!B19</f>
        <v>7491.1878344415172</v>
      </c>
      <c r="C13" s="548">
        <f>'BRA Resource Clearing Results'!F37-'1stIA Resource Clearing Results'!D36-'2ndIA Resource Clearing Results'!D36-'3rdIA Resource Clearing Results'!D36</f>
        <v>2001.3</v>
      </c>
      <c r="D13" s="548">
        <f t="shared" si="2"/>
        <v>5489.887834441517</v>
      </c>
      <c r="E13" s="113">
        <v>0</v>
      </c>
      <c r="F13" s="48">
        <f t="shared" si="0"/>
        <v>5489.887834441517</v>
      </c>
      <c r="G13" s="48">
        <f>'3rd IA ICTRs'!K32</f>
        <v>65.7</v>
      </c>
      <c r="H13" s="48">
        <f>'3rd IA ICTRs'!K13+'3rd IA ICTRs'!K20</f>
        <v>306</v>
      </c>
      <c r="I13" s="549">
        <f t="shared" si="1"/>
        <v>5118.1878344415172</v>
      </c>
      <c r="J13" s="550" t="s">
        <v>24</v>
      </c>
      <c r="M13" s="516"/>
      <c r="N13" s="516"/>
      <c r="O13" s="516"/>
      <c r="P13" s="516"/>
      <c r="Q13" s="516"/>
      <c r="R13" s="516"/>
      <c r="S13" s="516"/>
      <c r="T13" s="516"/>
      <c r="U13" s="516"/>
      <c r="V13" s="516"/>
      <c r="W13" s="516"/>
    </row>
    <row r="14" spans="1:29" x14ac:dyDescent="0.2">
      <c r="A14" s="368" t="s">
        <v>10</v>
      </c>
      <c r="B14" s="547">
        <f>'3rd IA Load Pricing Results'!B20</f>
        <v>8418.3440915633728</v>
      </c>
      <c r="C14" s="548">
        <f>'BRA Resource Clearing Results'!F38-'1stIA Resource Clearing Results'!D37-'2ndIA Resource Clearing Results'!D37-'3rdIA Resource Clearing Results'!D37</f>
        <v>10801.400000000001</v>
      </c>
      <c r="D14" s="548">
        <f t="shared" si="2"/>
        <v>-2383.0559084366287</v>
      </c>
      <c r="E14" s="113">
        <v>0</v>
      </c>
      <c r="F14" s="48">
        <f t="shared" si="0"/>
        <v>-2383.0559084366287</v>
      </c>
      <c r="G14" s="48">
        <v>0</v>
      </c>
      <c r="H14" s="48">
        <v>0</v>
      </c>
      <c r="I14" s="549">
        <f t="shared" si="1"/>
        <v>-2383.0559084366287</v>
      </c>
      <c r="J14" s="550" t="s">
        <v>24</v>
      </c>
      <c r="M14" s="516"/>
      <c r="N14" s="516"/>
      <c r="O14" s="516"/>
      <c r="P14" s="516"/>
      <c r="Q14" s="516"/>
      <c r="R14" s="516"/>
      <c r="S14" s="516"/>
      <c r="T14" s="516"/>
      <c r="U14" s="516"/>
      <c r="V14" s="516"/>
      <c r="W14" s="516"/>
    </row>
    <row r="15" spans="1:29" x14ac:dyDescent="0.2">
      <c r="A15" s="115" t="s">
        <v>21</v>
      </c>
      <c r="B15" s="547">
        <f>'3rd IA Load Pricing Results'!B21</f>
        <v>3875.2784316662833</v>
      </c>
      <c r="C15" s="548">
        <f>'BRA Resource Clearing Results'!F39-'1stIA Resource Clearing Results'!D38-'2ndIA Resource Clearing Results'!D38-'3rdIA Resource Clearing Results'!D38</f>
        <v>1675.1000000000001</v>
      </c>
      <c r="D15" s="548">
        <f t="shared" si="2"/>
        <v>2200.1784316662834</v>
      </c>
      <c r="E15" s="113">
        <v>0</v>
      </c>
      <c r="F15" s="48">
        <f t="shared" si="0"/>
        <v>2200.1784316662834</v>
      </c>
      <c r="G15" s="48">
        <v>0</v>
      </c>
      <c r="H15" s="48">
        <v>0</v>
      </c>
      <c r="I15" s="549">
        <f t="shared" si="1"/>
        <v>2200.1784316662834</v>
      </c>
      <c r="J15" s="550"/>
      <c r="M15" s="516"/>
      <c r="N15" s="516"/>
      <c r="O15" s="516"/>
      <c r="P15" s="516"/>
      <c r="Q15" s="516"/>
      <c r="R15" s="516"/>
      <c r="S15" s="516"/>
      <c r="T15" s="516"/>
      <c r="U15" s="516"/>
      <c r="V15" s="516"/>
      <c r="W15" s="516"/>
    </row>
    <row r="16" spans="1:29" x14ac:dyDescent="0.2">
      <c r="A16" s="554" t="s">
        <v>50</v>
      </c>
      <c r="B16" s="547">
        <f>'3rd IA Load Pricing Results'!B22</f>
        <v>5191.1270430588393</v>
      </c>
      <c r="C16" s="548">
        <f>'BRA Resource Clearing Results'!F40-'1stIA Resource Clearing Results'!D39-'2ndIA Resource Clearing Results'!D39-'3rdIA Resource Clearing Results'!D39</f>
        <v>2892.5000000000005</v>
      </c>
      <c r="D16" s="548">
        <f t="shared" si="2"/>
        <v>2298.6270430588388</v>
      </c>
      <c r="E16" s="113">
        <v>0</v>
      </c>
      <c r="F16" s="48">
        <f t="shared" si="0"/>
        <v>2298.6270430588388</v>
      </c>
      <c r="G16" s="48">
        <f>'3rd IA ICTRs'!L32</f>
        <v>155</v>
      </c>
      <c r="H16" s="48">
        <f>'3rd IA ICTRs'!L13+'3rd IA ICTRs'!L20</f>
        <v>0</v>
      </c>
      <c r="I16" s="549">
        <f t="shared" si="1"/>
        <v>2143.6270430588388</v>
      </c>
      <c r="J16" s="550"/>
      <c r="M16" s="516"/>
      <c r="N16" s="516"/>
      <c r="O16" s="516"/>
      <c r="P16" s="516"/>
      <c r="Q16" s="516"/>
      <c r="R16" s="516"/>
      <c r="S16" s="516"/>
      <c r="T16" s="516" t="s">
        <v>24</v>
      </c>
      <c r="U16" s="516"/>
      <c r="V16" s="516"/>
      <c r="W16" s="516"/>
    </row>
    <row r="17" spans="1:33" x14ac:dyDescent="0.2">
      <c r="A17" s="21" t="s">
        <v>287</v>
      </c>
      <c r="B17" s="32"/>
      <c r="C17" s="32"/>
      <c r="D17" s="55"/>
      <c r="E17" s="23"/>
      <c r="F17" s="55"/>
      <c r="G17" s="56"/>
      <c r="H17" s="555"/>
      <c r="I17" s="56"/>
      <c r="J17" s="438"/>
      <c r="K17" s="463"/>
      <c r="N17" s="516"/>
      <c r="O17" s="516"/>
      <c r="P17" s="516"/>
      <c r="Q17" s="516"/>
      <c r="R17" s="516"/>
      <c r="S17" s="516"/>
      <c r="T17" s="516" t="s">
        <v>24</v>
      </c>
      <c r="U17" s="516"/>
      <c r="V17" s="516"/>
      <c r="W17" s="516"/>
      <c r="X17" s="516"/>
      <c r="Y17" s="516"/>
      <c r="Z17" s="516"/>
      <c r="AA17" s="516"/>
      <c r="AB17" s="516"/>
    </row>
    <row r="18" spans="1:33" x14ac:dyDescent="0.2">
      <c r="A18" s="501"/>
      <c r="B18" s="15"/>
      <c r="C18" s="15"/>
      <c r="D18" s="464"/>
      <c r="E18" s="15"/>
      <c r="F18" s="464"/>
      <c r="G18" s="556"/>
      <c r="H18" s="481"/>
      <c r="I18" s="556"/>
      <c r="J18" s="438"/>
      <c r="K18" s="463"/>
      <c r="N18" s="516"/>
      <c r="O18" s="516"/>
      <c r="P18" s="516"/>
      <c r="Q18" s="516"/>
      <c r="R18" s="516"/>
      <c r="S18" s="516"/>
      <c r="T18" s="516"/>
      <c r="U18" s="516"/>
      <c r="V18" s="516"/>
      <c r="W18" s="516"/>
      <c r="X18" s="516"/>
      <c r="Y18" s="516"/>
      <c r="Z18" s="516"/>
      <c r="AA18" s="516"/>
      <c r="AB18" s="516"/>
    </row>
    <row r="19" spans="1:33" ht="14.25" x14ac:dyDescent="0.2">
      <c r="A19" s="778" t="s">
        <v>81</v>
      </c>
      <c r="B19" s="778"/>
      <c r="C19" s="778"/>
      <c r="D19" s="778"/>
      <c r="E19" s="557"/>
      <c r="F19" s="558"/>
      <c r="G19" s="558"/>
      <c r="H19" s="558"/>
      <c r="I19" s="558"/>
      <c r="J19" s="558"/>
      <c r="K19" s="558"/>
      <c r="L19" s="558"/>
      <c r="M19" s="558"/>
      <c r="N19" s="558"/>
      <c r="O19" s="558"/>
      <c r="P19" s="558"/>
      <c r="Q19" s="558"/>
      <c r="R19" s="558"/>
      <c r="S19" s="558"/>
      <c r="T19" s="558"/>
      <c r="U19" s="558"/>
      <c r="V19" s="558"/>
      <c r="W19" s="593" t="s">
        <v>24</v>
      </c>
      <c r="X19" s="558"/>
      <c r="Y19" s="558"/>
      <c r="Z19" s="558"/>
      <c r="AA19" s="558"/>
      <c r="AB19" s="558"/>
      <c r="AC19" s="558"/>
    </row>
    <row r="20" spans="1:33" ht="15" x14ac:dyDescent="0.25">
      <c r="A20" s="778"/>
      <c r="B20" s="778"/>
      <c r="C20" s="778"/>
      <c r="D20" s="778"/>
      <c r="E20" s="776" t="s">
        <v>28</v>
      </c>
      <c r="F20" s="776"/>
      <c r="G20" s="776" t="s">
        <v>33</v>
      </c>
      <c r="H20" s="776"/>
      <c r="I20" s="776" t="s">
        <v>5</v>
      </c>
      <c r="J20" s="776"/>
      <c r="K20" s="776" t="s">
        <v>40</v>
      </c>
      <c r="L20" s="776"/>
      <c r="M20" s="776" t="s">
        <v>38</v>
      </c>
      <c r="N20" s="776"/>
      <c r="O20" s="776" t="s">
        <v>15</v>
      </c>
      <c r="P20" s="776"/>
      <c r="Q20" s="776" t="s">
        <v>115</v>
      </c>
      <c r="R20" s="776"/>
      <c r="S20" s="776" t="s">
        <v>20</v>
      </c>
      <c r="T20" s="776"/>
      <c r="U20" s="776" t="s">
        <v>11</v>
      </c>
      <c r="V20" s="776"/>
      <c r="W20" s="776" t="s">
        <v>10</v>
      </c>
      <c r="X20" s="777"/>
      <c r="Y20" s="774" t="s">
        <v>21</v>
      </c>
      <c r="Z20" s="774"/>
      <c r="AA20" s="774" t="s">
        <v>50</v>
      </c>
      <c r="AB20" s="774"/>
      <c r="AC20" s="559"/>
      <c r="AD20" s="559"/>
      <c r="AE20" s="559"/>
      <c r="AF20" s="21"/>
    </row>
    <row r="21" spans="1:33" ht="45" x14ac:dyDescent="0.25">
      <c r="A21" s="779"/>
      <c r="B21" s="779"/>
      <c r="C21" s="779"/>
      <c r="D21" s="779"/>
      <c r="E21" s="560" t="s">
        <v>288</v>
      </c>
      <c r="F21" s="561">
        <f>'3rd IA Load Pricing Results'!D14</f>
        <v>0</v>
      </c>
      <c r="G21" s="560" t="s">
        <v>288</v>
      </c>
      <c r="H21" s="561">
        <f>'3rd IA Load Pricing Results'!D15-'3rd IA Load Pricing Results'!D14</f>
        <v>25.470059248618259</v>
      </c>
      <c r="I21" s="560" t="s">
        <v>288</v>
      </c>
      <c r="J21" s="561">
        <f>'3rd IA Load Pricing Results'!D16-'3rd IA Load Pricing Results'!D14</f>
        <v>0</v>
      </c>
      <c r="K21" s="560" t="s">
        <v>288</v>
      </c>
      <c r="L21" s="561">
        <f>'3rd IA Load Pricing Results'!D30</f>
        <v>42.158232637029101</v>
      </c>
      <c r="M21" s="560" t="s">
        <v>288</v>
      </c>
      <c r="N21" s="561">
        <f>'3rd IA Load Pricing Results'!D33</f>
        <v>0</v>
      </c>
      <c r="O21" s="560" t="s">
        <v>288</v>
      </c>
      <c r="P21" s="561">
        <f>'3rd IA Load Pricing Results'!D17-'3rd IA Load Pricing Results'!D16</f>
        <v>0</v>
      </c>
      <c r="Q21" s="560" t="s">
        <v>288</v>
      </c>
      <c r="R21" s="562">
        <f>'3rd IA Load Pricing Results'!D36</f>
        <v>25.824416227456144</v>
      </c>
      <c r="S21" s="560" t="s">
        <v>288</v>
      </c>
      <c r="T21" s="562">
        <f>'3rd IA Load Pricing Results'!D18</f>
        <v>56.26571236358199</v>
      </c>
      <c r="U21" s="560" t="s">
        <v>288</v>
      </c>
      <c r="V21" s="562">
        <f>'3rd IA Load Pricing Results'!D19-'3rd IA Load Pricing Results'!D16</f>
        <v>59.952687752960578</v>
      </c>
      <c r="W21" s="560" t="s">
        <v>288</v>
      </c>
      <c r="X21" s="563">
        <f>'3rd IA Load Pricing Results'!D20-'3rd IA Load Pricing Results'!D14</f>
        <v>0</v>
      </c>
      <c r="Y21" s="560" t="s">
        <v>288</v>
      </c>
      <c r="Z21" s="562">
        <f>'3rd IA Load Pricing Results'!D21</f>
        <v>0</v>
      </c>
      <c r="AA21" s="560" t="s">
        <v>288</v>
      </c>
      <c r="AB21" s="562">
        <f>'3rd IA Load Pricing Results'!D22</f>
        <v>0</v>
      </c>
      <c r="AC21" s="564"/>
      <c r="AD21" s="559"/>
      <c r="AE21" s="559"/>
      <c r="AF21" s="21"/>
    </row>
    <row r="22" spans="1:33" ht="76.5" x14ac:dyDescent="0.2">
      <c r="A22" s="565" t="s">
        <v>7</v>
      </c>
      <c r="B22" s="190" t="s">
        <v>27</v>
      </c>
      <c r="C22" s="190" t="s">
        <v>26</v>
      </c>
      <c r="D22" s="190" t="s">
        <v>31</v>
      </c>
      <c r="E22" s="190" t="s">
        <v>289</v>
      </c>
      <c r="F22" s="190" t="s">
        <v>290</v>
      </c>
      <c r="G22" s="190" t="s">
        <v>289</v>
      </c>
      <c r="H22" s="190" t="s">
        <v>290</v>
      </c>
      <c r="I22" s="190" t="s">
        <v>289</v>
      </c>
      <c r="J22" s="190" t="s">
        <v>290</v>
      </c>
      <c r="K22" s="190" t="s">
        <v>289</v>
      </c>
      <c r="L22" s="190" t="s">
        <v>290</v>
      </c>
      <c r="M22" s="190" t="s">
        <v>289</v>
      </c>
      <c r="N22" s="190" t="s">
        <v>290</v>
      </c>
      <c r="O22" s="190" t="s">
        <v>289</v>
      </c>
      <c r="P22" s="190" t="s">
        <v>290</v>
      </c>
      <c r="Q22" s="190" t="s">
        <v>289</v>
      </c>
      <c r="R22" s="190" t="s">
        <v>290</v>
      </c>
      <c r="S22" s="190" t="s">
        <v>289</v>
      </c>
      <c r="T22" s="190" t="s">
        <v>290</v>
      </c>
      <c r="U22" s="190" t="s">
        <v>289</v>
      </c>
      <c r="V22" s="190" t="s">
        <v>290</v>
      </c>
      <c r="W22" s="190" t="s">
        <v>289</v>
      </c>
      <c r="X22" s="566" t="s">
        <v>290</v>
      </c>
      <c r="Y22" s="190" t="s">
        <v>289</v>
      </c>
      <c r="Z22" s="566" t="s">
        <v>290</v>
      </c>
      <c r="AA22" s="190" t="s">
        <v>289</v>
      </c>
      <c r="AB22" s="566" t="s">
        <v>290</v>
      </c>
      <c r="AC22" s="190" t="s">
        <v>291</v>
      </c>
      <c r="AD22" s="190" t="s">
        <v>292</v>
      </c>
      <c r="AE22" s="567" t="s">
        <v>293</v>
      </c>
      <c r="AF22" s="567" t="s">
        <v>294</v>
      </c>
      <c r="AG22" s="565" t="s">
        <v>7</v>
      </c>
    </row>
    <row r="23" spans="1:33" x14ac:dyDescent="0.2">
      <c r="A23" s="22" t="s">
        <v>16</v>
      </c>
      <c r="B23" s="91" t="s">
        <v>28</v>
      </c>
      <c r="C23" s="91" t="s">
        <v>33</v>
      </c>
      <c r="D23" s="91"/>
      <c r="E23" s="142">
        <f>IF(B23="MAAC",$I$5*'3rd IA Load Pricing Results'!J42/'3rd IA Load Pricing Results'!$B$14,0)</f>
        <v>-21.071073968838608</v>
      </c>
      <c r="F23" s="568">
        <f>E23*$F$21</f>
        <v>0</v>
      </c>
      <c r="G23" s="142">
        <f>IF(C23="EMAAC",$I$6*'3rd IA Load Pricing Results'!J42/'3rd IA Load Pricing Results'!$B$15,0)</f>
        <v>326.33132110495296</v>
      </c>
      <c r="H23" s="568">
        <f t="shared" ref="H23:H33" si="3">G23*$H$21</f>
        <v>8311.6780832230215</v>
      </c>
      <c r="I23" s="142">
        <f>IF(C23="SWMAAC",$I$7*'3rd IA Load Pricing Results'!J42/'3rd IA Load Pricing Results'!$B$16,0)</f>
        <v>0</v>
      </c>
      <c r="J23" s="568">
        <f>I23*$J$21</f>
        <v>0</v>
      </c>
      <c r="K23" s="142">
        <f>IF(D23="PS",$I$8*'3rd IA Load Pricing Results'!J42/'3rd IA Load Pricing Results'!$J$60,0)</f>
        <v>0</v>
      </c>
      <c r="L23" s="568">
        <f>K23*$L$21</f>
        <v>0</v>
      </c>
      <c r="M23" s="142">
        <f>IF(D23="DPL",$I$9*'3rd IA Load Pricing Results'!J42/'3rd IA Load Pricing Results'!$J$52,0)</f>
        <v>0</v>
      </c>
      <c r="N23" s="568">
        <f>M23*$N$21</f>
        <v>0</v>
      </c>
      <c r="O23" s="142">
        <f>IF(D23="PEPCO",$I$10*'3rd IA Load Pricing Results'!J42/'3rd IA Load Pricing Results'!$J$58,0)</f>
        <v>0</v>
      </c>
      <c r="P23" s="568">
        <f>O23*$P$21</f>
        <v>0</v>
      </c>
      <c r="Q23" s="142">
        <f>IF(D23="ATSI",$I$11*'3rd IA Load Pricing Results'!J42/'3rd IA Load Pricing Results'!$J$45,0)</f>
        <v>0</v>
      </c>
      <c r="R23" s="568">
        <f>Q23*$R$21</f>
        <v>0</v>
      </c>
      <c r="S23" s="142">
        <f>IF(D23="COMED",$I$12*'3rd IA Load Pricing Results'!J42/'3rd IA Load Pricing Results'!$J$47,0)</f>
        <v>0</v>
      </c>
      <c r="T23" s="568">
        <f>S23*$T$21</f>
        <v>0</v>
      </c>
      <c r="U23" s="142">
        <f>IF(D23="BGE",$I$13*'3rd IA Load Pricing Results'!J42/'3rd IA Load Pricing Results'!$J$46,0)</f>
        <v>0</v>
      </c>
      <c r="V23" s="568">
        <f>U23*$V$21</f>
        <v>0</v>
      </c>
      <c r="W23" s="142">
        <f>IF(D23="PL",$I$14*'3rd IA Load Pricing Results'!J42/'3rd IA Load Pricing Results'!$J$59,0)</f>
        <v>0</v>
      </c>
      <c r="X23" s="569">
        <f>W23*$X$21</f>
        <v>0</v>
      </c>
      <c r="Y23" s="142">
        <f>IF(D23="DAYTON",$I$15*'3rd IA Load Pricing Results'!J42/'3rd IA Load Pricing Results'!$J$48,0)</f>
        <v>0</v>
      </c>
      <c r="Z23" s="570">
        <f>Y23*$Z$21</f>
        <v>0</v>
      </c>
      <c r="AA23" s="142">
        <f>IF(D23="DEOK",$I$16*'3rd IA Load Pricing Results'!J42/'3rd IA Load Pricing Results'!$J$49,0)</f>
        <v>0</v>
      </c>
      <c r="AB23" s="570">
        <f>AA23*$AB$21</f>
        <v>0</v>
      </c>
      <c r="AC23" s="571">
        <f>MAX(ABS(E23),ABS(G23),ABS(I23),ABS(K23),ABS(M23),ABS(O23),ABS(Q23),ABS(S23),ABS(U23),ABS(W23),ABS(Y23),ABS(AA23))</f>
        <v>326.33132110495296</v>
      </c>
      <c r="AD23" s="31">
        <f>F23+H23+J23+L23+N23+P23+R23+T23+V23+X23+Z23+AB23</f>
        <v>8311.6780832230215</v>
      </c>
      <c r="AE23" s="154">
        <f>AD23/'3rd IA Load Pricing Results'!J42</f>
        <v>2.9570410555525819</v>
      </c>
      <c r="AF23" s="154">
        <f>IF(AC23=0,0,AD23/AC23)</f>
        <v>25.470059248618256</v>
      </c>
      <c r="AG23" s="91" t="s">
        <v>16</v>
      </c>
    </row>
    <row r="24" spans="1:33" x14ac:dyDescent="0.2">
      <c r="A24" s="22" t="s">
        <v>29</v>
      </c>
      <c r="B24" s="91"/>
      <c r="C24" s="91"/>
      <c r="D24" s="91"/>
      <c r="E24" s="142">
        <f>IF(B24="MAAC",$I$5*'3rd IA Load Pricing Results'!J43/'3rd IA Load Pricing Results'!$B$14,0)</f>
        <v>0</v>
      </c>
      <c r="F24" s="568">
        <f t="shared" ref="F24:F42" si="4">E24*$F$21</f>
        <v>0</v>
      </c>
      <c r="G24" s="142">
        <f>IF(C24="EMAAC",$I$6*'3rd IA Load Pricing Results'!J43/'3rd IA Load Pricing Results'!$B$15,0)</f>
        <v>0</v>
      </c>
      <c r="H24" s="568">
        <f t="shared" si="3"/>
        <v>0</v>
      </c>
      <c r="I24" s="142">
        <f>IF(C24="SWMAAC",$I$7*'3rd IA Load Pricing Results'!J43/'3rd IA Load Pricing Results'!$B$16,0)</f>
        <v>0</v>
      </c>
      <c r="J24" s="568">
        <f t="shared" ref="J24:J42" si="5">I24*$J$21</f>
        <v>0</v>
      </c>
      <c r="K24" s="142">
        <f>IF(D24="PS",$I$8*'3rd IA Load Pricing Results'!J43/'3rd IA Load Pricing Results'!$J$60,0)</f>
        <v>0</v>
      </c>
      <c r="L24" s="568">
        <f t="shared" ref="L24:L42" si="6">K24*$L$21</f>
        <v>0</v>
      </c>
      <c r="M24" s="142">
        <f>IF(D24="DPL",$I$9*'3rd IA Load Pricing Results'!J43/'3rd IA Load Pricing Results'!$J$52,0)</f>
        <v>0</v>
      </c>
      <c r="N24" s="568">
        <f t="shared" ref="N24:N42" si="7">M24*$N$21</f>
        <v>0</v>
      </c>
      <c r="O24" s="142">
        <f>IF(D24="PEPCO",$I$10*'3rd IA Load Pricing Results'!J43/'3rd IA Load Pricing Results'!$J$58,0)</f>
        <v>0</v>
      </c>
      <c r="P24" s="568">
        <f t="shared" ref="P24:P42" si="8">O24*$P$21</f>
        <v>0</v>
      </c>
      <c r="Q24" s="142">
        <f>IF(D24="ATSI",$I$11*'3rd IA Load Pricing Results'!J43/'3rd IA Load Pricing Results'!$J$45,0)</f>
        <v>0</v>
      </c>
      <c r="R24" s="568">
        <f t="shared" ref="R24:R42" si="9">Q24*$R$21</f>
        <v>0</v>
      </c>
      <c r="S24" s="142">
        <f>IF(D24="COMED",$I$12*'3rd IA Load Pricing Results'!J43/'3rd IA Load Pricing Results'!$J$47,0)</f>
        <v>0</v>
      </c>
      <c r="T24" s="568">
        <f t="shared" ref="T24:T42" si="10">S24*$T$21</f>
        <v>0</v>
      </c>
      <c r="U24" s="142">
        <f>IF(D24="BGE",$I$13*'3rd IA Load Pricing Results'!J43/'3rd IA Load Pricing Results'!$J$46,0)</f>
        <v>0</v>
      </c>
      <c r="V24" s="568">
        <f t="shared" ref="V24:V42" si="11">U24*$V$21</f>
        <v>0</v>
      </c>
      <c r="W24" s="142">
        <f>IF(D24="PL",$I$14*'3rd IA Load Pricing Results'!J43/'3rd IA Load Pricing Results'!$J$59,0)</f>
        <v>0</v>
      </c>
      <c r="X24" s="569">
        <f t="shared" ref="X24:X42" si="12">W24*$X$21</f>
        <v>0</v>
      </c>
      <c r="Y24" s="142">
        <f>IF(D24="DAYTON",$I$15*'3rd IA Load Pricing Results'!J43/'3rd IA Load Pricing Results'!$J$48,0)</f>
        <v>0</v>
      </c>
      <c r="Z24" s="570">
        <f t="shared" ref="Z24:Z42" si="13">Y24*$Z$21</f>
        <v>0</v>
      </c>
      <c r="AA24" s="142">
        <f>IF(D24="DEOK",$I$16*'3rd IA Load Pricing Results'!J43/'3rd IA Load Pricing Results'!$J$49,0)</f>
        <v>0</v>
      </c>
      <c r="AB24" s="570">
        <f t="shared" ref="AB24:AB42" si="14">AA24*$AB$21</f>
        <v>0</v>
      </c>
      <c r="AC24" s="571">
        <f t="shared" ref="AC24:AC42" si="15">MAX(ABS(E24),ABS(G24),ABS(I24),ABS(K24),ABS(M24),ABS(O24),ABS(Q24),ABS(S24),ABS(U24),ABS(W24),ABS(Y24),ABS(AA24))</f>
        <v>0</v>
      </c>
      <c r="AD24" s="31">
        <f t="shared" ref="AD24:AD42" si="16">F24+H24+J24+L24+N24+P24+R24+T24+V24+X24+Z24+AB24</f>
        <v>0</v>
      </c>
      <c r="AE24" s="154">
        <f>AD24/'3rd IA Load Pricing Results'!J43</f>
        <v>0</v>
      </c>
      <c r="AF24" s="154">
        <f>IF(AC24=0,0,AD24/AC24)</f>
        <v>0</v>
      </c>
      <c r="AG24" s="91" t="s">
        <v>29</v>
      </c>
    </row>
    <row r="25" spans="1:33" x14ac:dyDescent="0.2">
      <c r="A25" s="22" t="s">
        <v>19</v>
      </c>
      <c r="B25" s="91" t="s">
        <v>24</v>
      </c>
      <c r="C25" s="91"/>
      <c r="D25" s="91"/>
      <c r="E25" s="142">
        <f>IF(B25="MAAC",$I$5*'3rd IA Load Pricing Results'!J44/'3rd IA Load Pricing Results'!$B$14,0)</f>
        <v>0</v>
      </c>
      <c r="F25" s="568">
        <f t="shared" si="4"/>
        <v>0</v>
      </c>
      <c r="G25" s="142">
        <f>IF(C25="EMAAC",$I$6*'3rd IA Load Pricing Results'!J44/'3rd IA Load Pricing Results'!$B$15,0)</f>
        <v>0</v>
      </c>
      <c r="H25" s="568">
        <f t="shared" si="3"/>
        <v>0</v>
      </c>
      <c r="I25" s="142">
        <f>IF(C25="SWMAAC",$I$7*'3rd IA Load Pricing Results'!J44/'3rd IA Load Pricing Results'!$B$16,0)</f>
        <v>0</v>
      </c>
      <c r="J25" s="568">
        <f t="shared" si="5"/>
        <v>0</v>
      </c>
      <c r="K25" s="142">
        <f>IF(D25="PS",$I$8*'3rd IA Load Pricing Results'!J44/'3rd IA Load Pricing Results'!$J$60,0)</f>
        <v>0</v>
      </c>
      <c r="L25" s="568">
        <f t="shared" si="6"/>
        <v>0</v>
      </c>
      <c r="M25" s="142">
        <f>IF(D25="DPL",$I$9*'3rd IA Load Pricing Results'!J44/'3rd IA Load Pricing Results'!$J$52,0)</f>
        <v>0</v>
      </c>
      <c r="N25" s="568">
        <f t="shared" si="7"/>
        <v>0</v>
      </c>
      <c r="O25" s="142">
        <f>IF(D25="PEPCO",$I$10*'3rd IA Load Pricing Results'!J44/'3rd IA Load Pricing Results'!$J$58,0)</f>
        <v>0</v>
      </c>
      <c r="P25" s="568">
        <f t="shared" si="8"/>
        <v>0</v>
      </c>
      <c r="Q25" s="142">
        <f>IF(D25="ATSI",$I$11*'3rd IA Load Pricing Results'!J44/'3rd IA Load Pricing Results'!$J$45,0)</f>
        <v>0</v>
      </c>
      <c r="R25" s="568">
        <f t="shared" si="9"/>
        <v>0</v>
      </c>
      <c r="S25" s="142">
        <f>IF(D25="COMED",$I$12*'3rd IA Load Pricing Results'!J44/'3rd IA Load Pricing Results'!$J$47,0)</f>
        <v>0</v>
      </c>
      <c r="T25" s="568">
        <f t="shared" si="10"/>
        <v>0</v>
      </c>
      <c r="U25" s="142">
        <f>IF(D25="BGE",$I$13*'3rd IA Load Pricing Results'!J44/'3rd IA Load Pricing Results'!$J$46,0)</f>
        <v>0</v>
      </c>
      <c r="V25" s="568">
        <f t="shared" si="11"/>
        <v>0</v>
      </c>
      <c r="W25" s="142">
        <f>IF(D25="PL",$I$14*'3rd IA Load Pricing Results'!J44/'3rd IA Load Pricing Results'!$J$59,0)</f>
        <v>0</v>
      </c>
      <c r="X25" s="569">
        <f t="shared" si="12"/>
        <v>0</v>
      </c>
      <c r="Y25" s="142">
        <f>IF(D25="DAYTON",$I$15*'3rd IA Load Pricing Results'!J44/'3rd IA Load Pricing Results'!$J$48,0)</f>
        <v>0</v>
      </c>
      <c r="Z25" s="570">
        <f t="shared" si="13"/>
        <v>0</v>
      </c>
      <c r="AA25" s="142">
        <f>IF(D25="DEOK",$I$16*'3rd IA Load Pricing Results'!J44/'3rd IA Load Pricing Results'!$J$49,0)</f>
        <v>0</v>
      </c>
      <c r="AB25" s="570">
        <f t="shared" si="14"/>
        <v>0</v>
      </c>
      <c r="AC25" s="571">
        <f t="shared" si="15"/>
        <v>0</v>
      </c>
      <c r="AD25" s="31">
        <f t="shared" si="16"/>
        <v>0</v>
      </c>
      <c r="AE25" s="154">
        <f>AD25/'3rd IA Load Pricing Results'!J44</f>
        <v>0</v>
      </c>
      <c r="AF25" s="154">
        <f t="shared" ref="AF25:AF40" si="17">IF(AC25=0,0,AD25/AC25)</f>
        <v>0</v>
      </c>
      <c r="AG25" s="91" t="s">
        <v>19</v>
      </c>
    </row>
    <row r="26" spans="1:33" x14ac:dyDescent="0.2">
      <c r="A26" s="22" t="s">
        <v>43</v>
      </c>
      <c r="B26" s="91"/>
      <c r="C26" s="91"/>
      <c r="D26" s="91" t="s">
        <v>43</v>
      </c>
      <c r="E26" s="142">
        <f>IF(B26="MAAC",$I$5*'3rd IA Load Pricing Results'!J45/'3rd IA Load Pricing Results'!$B$14,0)</f>
        <v>0</v>
      </c>
      <c r="F26" s="568">
        <f t="shared" si="4"/>
        <v>0</v>
      </c>
      <c r="G26" s="142">
        <f>IF(C26="EMAAC",$I$6*'3rd IA Load Pricing Results'!J45/'3rd IA Load Pricing Results'!$B$15,0)</f>
        <v>0</v>
      </c>
      <c r="H26" s="568">
        <f t="shared" si="3"/>
        <v>0</v>
      </c>
      <c r="I26" s="142">
        <f>IF(C26="SWMAAC",$I$7*'3rd IA Load Pricing Results'!J45/'3rd IA Load Pricing Results'!$B$16,0)</f>
        <v>0</v>
      </c>
      <c r="J26" s="568">
        <f t="shared" si="5"/>
        <v>0</v>
      </c>
      <c r="K26" s="142">
        <f>IF(D26="PS",$I$8*'3rd IA Load Pricing Results'!J45/'3rd IA Load Pricing Results'!$J$60,0)</f>
        <v>0</v>
      </c>
      <c r="L26" s="568">
        <f t="shared" si="6"/>
        <v>0</v>
      </c>
      <c r="M26" s="142">
        <f>IF(D26="DPL",$I$9*'3rd IA Load Pricing Results'!J45/'3rd IA Load Pricing Results'!$J$52,0)</f>
        <v>0</v>
      </c>
      <c r="N26" s="568">
        <f t="shared" si="7"/>
        <v>0</v>
      </c>
      <c r="O26" s="142">
        <f>IF(D26="PEPCO",$I$10*'3rd IA Load Pricing Results'!J45/'3rd IA Load Pricing Results'!$J$58,0)</f>
        <v>0</v>
      </c>
      <c r="P26" s="568">
        <f t="shared" si="8"/>
        <v>0</v>
      </c>
      <c r="Q26" s="142">
        <f>IF(D26="ATSI",$I$11*'3rd IA Load Pricing Results'!J45/'3rd IA Load Pricing Results'!$J$45,0)</f>
        <v>4214.4820461926629</v>
      </c>
      <c r="R26" s="568">
        <f>Q26*$R$21</f>
        <v>108836.53854402038</v>
      </c>
      <c r="S26" s="142">
        <f>IF(D26="COMED",$I$12*'3rd IA Load Pricing Results'!J45/'3rd IA Load Pricing Results'!$J$47,0)</f>
        <v>0</v>
      </c>
      <c r="T26" s="568">
        <f t="shared" si="10"/>
        <v>0</v>
      </c>
      <c r="U26" s="142">
        <f>IF(D26="BGE",$I$13*'3rd IA Load Pricing Results'!J45/'3rd IA Load Pricing Results'!$J$46,0)</f>
        <v>0</v>
      </c>
      <c r="V26" s="568">
        <f t="shared" si="11"/>
        <v>0</v>
      </c>
      <c r="W26" s="142">
        <f>IF(D26="PL",$I$14*'3rd IA Load Pricing Results'!J45/'3rd IA Load Pricing Results'!$J$59,0)</f>
        <v>0</v>
      </c>
      <c r="X26" s="569">
        <f t="shared" si="12"/>
        <v>0</v>
      </c>
      <c r="Y26" s="142">
        <f>IF(D26="DAYTON",$I$15*'3rd IA Load Pricing Results'!J45/'3rd IA Load Pricing Results'!$J$48,0)</f>
        <v>0</v>
      </c>
      <c r="Z26" s="570">
        <f t="shared" si="13"/>
        <v>0</v>
      </c>
      <c r="AA26" s="142">
        <f>IF(D26="DEOK",$I$16*'3rd IA Load Pricing Results'!J45/'3rd IA Load Pricing Results'!$J$49,0)</f>
        <v>0</v>
      </c>
      <c r="AB26" s="570">
        <f t="shared" si="14"/>
        <v>0</v>
      </c>
      <c r="AC26" s="571">
        <f t="shared" si="15"/>
        <v>4214.4820461926629</v>
      </c>
      <c r="AD26" s="31">
        <f t="shared" si="16"/>
        <v>108836.53854402038</v>
      </c>
      <c r="AE26" s="154">
        <f>AD26/'3rd IA Load Pricing Results'!J45</f>
        <v>7.776613070453398</v>
      </c>
      <c r="AF26" s="154">
        <f>IF(AC26=0,0,AD26/AC26)</f>
        <v>25.824416227456144</v>
      </c>
      <c r="AG26" s="91" t="s">
        <v>43</v>
      </c>
    </row>
    <row r="27" spans="1:33" x14ac:dyDescent="0.2">
      <c r="A27" s="22" t="s">
        <v>11</v>
      </c>
      <c r="B27" s="91" t="s">
        <v>28</v>
      </c>
      <c r="C27" s="91" t="s">
        <v>5</v>
      </c>
      <c r="D27" s="91" t="s">
        <v>11</v>
      </c>
      <c r="E27" s="142">
        <f>IF(B27="MAAC",$I$5*'3rd IA Load Pricing Results'!J46/'3rd IA Load Pricing Results'!$B$14,0)</f>
        <v>-56.157271458495543</v>
      </c>
      <c r="F27" s="568">
        <f t="shared" si="4"/>
        <v>0</v>
      </c>
      <c r="G27" s="142">
        <f>IF(C27="EMAAC",$I$6*'3rd IA Load Pricing Results'!J46/'3rd IA Load Pricing Results'!$B$15,0)</f>
        <v>0</v>
      </c>
      <c r="H27" s="568">
        <f t="shared" si="3"/>
        <v>0</v>
      </c>
      <c r="I27" s="142">
        <f>IF(C27="SWMAAC",$I$7*'3rd IA Load Pricing Results'!J46/'3rd IA Load Pricing Results'!$B$16,0)</f>
        <v>2554.8888898504874</v>
      </c>
      <c r="J27" s="568">
        <f t="shared" si="5"/>
        <v>0</v>
      </c>
      <c r="K27" s="142">
        <f>IF(D27="PS",$I$8*'3rd IA Load Pricing Results'!J46/'3rd IA Load Pricing Results'!$J$60,0)</f>
        <v>0</v>
      </c>
      <c r="L27" s="568">
        <f t="shared" si="6"/>
        <v>0</v>
      </c>
      <c r="M27" s="142">
        <f>IF(D27="DPL",$I$9*'3rd IA Load Pricing Results'!J46/'3rd IA Load Pricing Results'!$J$52,0)</f>
        <v>0</v>
      </c>
      <c r="N27" s="568">
        <f t="shared" si="7"/>
        <v>0</v>
      </c>
      <c r="O27" s="142">
        <f>IF(D27="PEPCO",$I$10*'3rd IA Load Pricing Results'!J46/'3rd IA Load Pricing Results'!$J$58,0)</f>
        <v>0</v>
      </c>
      <c r="P27" s="568">
        <f t="shared" si="8"/>
        <v>0</v>
      </c>
      <c r="Q27" s="142">
        <f>IF(D27="ATSI",$I$11*'3rd IA Load Pricing Results'!J46/'3rd IA Load Pricing Results'!$J$45,0)</f>
        <v>0</v>
      </c>
      <c r="R27" s="568">
        <f t="shared" si="9"/>
        <v>0</v>
      </c>
      <c r="S27" s="142">
        <f>IF(D27="COMED",$I$12*'3rd IA Load Pricing Results'!J46/'3rd IA Load Pricing Results'!$J$47,0)</f>
        <v>0</v>
      </c>
      <c r="T27" s="568">
        <f t="shared" si="10"/>
        <v>0</v>
      </c>
      <c r="U27" s="142">
        <f>IF(D27="BGE",$I$13*'3rd IA Load Pricing Results'!J46/'3rd IA Load Pricing Results'!$J$46,0)</f>
        <v>5118.1878344415172</v>
      </c>
      <c r="V27" s="568">
        <f>U27*$V$21</f>
        <v>306849.11709927378</v>
      </c>
      <c r="W27" s="142">
        <f>IF(D27="PL",$I$14*'3rd IA Load Pricing Results'!J46/'3rd IA Load Pricing Results'!$J$59,0)</f>
        <v>0</v>
      </c>
      <c r="X27" s="569">
        <f t="shared" si="12"/>
        <v>0</v>
      </c>
      <c r="Y27" s="142">
        <f>IF(D27="DAYTON",$I$15*'3rd IA Load Pricing Results'!J46/'3rd IA Load Pricing Results'!$J$48,0)</f>
        <v>0</v>
      </c>
      <c r="Z27" s="570">
        <f t="shared" si="13"/>
        <v>0</v>
      </c>
      <c r="AA27" s="142">
        <f>IF(D27="DEOK",$I$16*'3rd IA Load Pricing Results'!J46/'3rd IA Load Pricing Results'!$J$49,0)</f>
        <v>0</v>
      </c>
      <c r="AB27" s="570">
        <f t="shared" si="14"/>
        <v>0</v>
      </c>
      <c r="AC27" s="571">
        <f t="shared" si="15"/>
        <v>5118.1878344415172</v>
      </c>
      <c r="AD27" s="31">
        <f t="shared" si="16"/>
        <v>306849.11709927378</v>
      </c>
      <c r="AE27" s="154">
        <f>AD27/'3rd IA Load Pricing Results'!J46</f>
        <v>40.961343365134027</v>
      </c>
      <c r="AF27" s="154">
        <f>IF(AC27=0,0,AD27/AC27)</f>
        <v>59.952687752960578</v>
      </c>
      <c r="AG27" s="91" t="s">
        <v>11</v>
      </c>
    </row>
    <row r="28" spans="1:33" x14ac:dyDescent="0.2">
      <c r="A28" s="22" t="s">
        <v>20</v>
      </c>
      <c r="B28" s="91"/>
      <c r="C28" s="91"/>
      <c r="D28" s="91" t="s">
        <v>20</v>
      </c>
      <c r="E28" s="142">
        <f>IF(B28="MAAC",$I$5*'3rd IA Load Pricing Results'!J47/'3rd IA Load Pricing Results'!$B$14,0)</f>
        <v>0</v>
      </c>
      <c r="F28" s="568">
        <f t="shared" si="4"/>
        <v>0</v>
      </c>
      <c r="G28" s="142">
        <f>IF(C28="EMAAC",$I$6*'3rd IA Load Pricing Results'!J47/'3rd IA Load Pricing Results'!$B$15,0)</f>
        <v>0</v>
      </c>
      <c r="H28" s="568">
        <f t="shared" si="3"/>
        <v>0</v>
      </c>
      <c r="I28" s="142">
        <f>IF(C28="SWMAAC",$I$7*'3rd IA Load Pricing Results'!J47/'3rd IA Load Pricing Results'!$B$16,0)</f>
        <v>0</v>
      </c>
      <c r="J28" s="568">
        <f t="shared" si="5"/>
        <v>0</v>
      </c>
      <c r="K28" s="142">
        <f>IF(D28="PS",$I$8*'3rd IA Load Pricing Results'!J47/'3rd IA Load Pricing Results'!$J$60,0)</f>
        <v>0</v>
      </c>
      <c r="L28" s="568">
        <f t="shared" si="6"/>
        <v>0</v>
      </c>
      <c r="M28" s="142">
        <f>IF(D28="DPL",$I$9*'3rd IA Load Pricing Results'!J47/'3rd IA Load Pricing Results'!$J$52,0)</f>
        <v>0</v>
      </c>
      <c r="N28" s="568">
        <f t="shared" si="7"/>
        <v>0</v>
      </c>
      <c r="O28" s="142">
        <f>IF(D28="PEPCO",$I$10*'3rd IA Load Pricing Results'!J47/'3rd IA Load Pricing Results'!$J$58,0)</f>
        <v>0</v>
      </c>
      <c r="P28" s="568">
        <f t="shared" si="8"/>
        <v>0</v>
      </c>
      <c r="Q28" s="142">
        <f>IF(D28="ATSI",$I$11*'3rd IA Load Pricing Results'!J47/'3rd IA Load Pricing Results'!$J$45,0)</f>
        <v>0</v>
      </c>
      <c r="R28" s="568">
        <f t="shared" si="9"/>
        <v>0</v>
      </c>
      <c r="S28" s="142">
        <f>IF(D28="COMED",$I$12*'3rd IA Load Pricing Results'!J47/'3rd IA Load Pricing Results'!$J$47,0)</f>
        <v>0</v>
      </c>
      <c r="T28" s="568">
        <f t="shared" si="10"/>
        <v>0</v>
      </c>
      <c r="U28" s="142">
        <f>IF(D28="BGE",$I$13*'3rd IA Load Pricing Results'!J47/'3rd IA Load Pricing Results'!$J$46,0)</f>
        <v>0</v>
      </c>
      <c r="V28" s="568">
        <f t="shared" si="11"/>
        <v>0</v>
      </c>
      <c r="W28" s="142">
        <f>IF(D28="PL",$I$14*'3rd IA Load Pricing Results'!J47/'3rd IA Load Pricing Results'!$J$59,0)</f>
        <v>0</v>
      </c>
      <c r="X28" s="569">
        <f t="shared" si="12"/>
        <v>0</v>
      </c>
      <c r="Y28" s="142">
        <f>IF(D28="DAYTON",$I$15*'3rd IA Load Pricing Results'!J47/'3rd IA Load Pricing Results'!$J$48,0)</f>
        <v>0</v>
      </c>
      <c r="Z28" s="570">
        <f t="shared" si="13"/>
        <v>0</v>
      </c>
      <c r="AA28" s="142">
        <f>IF(D28="DEOK",$I$16*'3rd IA Load Pricing Results'!J47/'3rd IA Load Pricing Results'!$J$49,0)</f>
        <v>0</v>
      </c>
      <c r="AB28" s="570">
        <f t="shared" si="14"/>
        <v>0</v>
      </c>
      <c r="AC28" s="571">
        <f t="shared" si="15"/>
        <v>0</v>
      </c>
      <c r="AD28" s="31">
        <f t="shared" si="16"/>
        <v>0</v>
      </c>
      <c r="AE28" s="154">
        <f>AD28/'3rd IA Load Pricing Results'!J47</f>
        <v>0</v>
      </c>
      <c r="AF28" s="154">
        <f t="shared" si="17"/>
        <v>0</v>
      </c>
      <c r="AG28" s="91" t="s">
        <v>20</v>
      </c>
    </row>
    <row r="29" spans="1:33" x14ac:dyDescent="0.2">
      <c r="A29" s="22" t="s">
        <v>21</v>
      </c>
      <c r="B29" s="91"/>
      <c r="C29" s="91"/>
      <c r="D29" s="91" t="s">
        <v>21</v>
      </c>
      <c r="E29" s="142">
        <f>IF(B29="MAAC",$I$5*'3rd IA Load Pricing Results'!J48/'3rd IA Load Pricing Results'!$B$14,0)</f>
        <v>0</v>
      </c>
      <c r="F29" s="568">
        <f t="shared" si="4"/>
        <v>0</v>
      </c>
      <c r="G29" s="142">
        <f>IF(C29="EMAAC",$I$6*'3rd IA Load Pricing Results'!J48/'3rd IA Load Pricing Results'!$B$15,0)</f>
        <v>0</v>
      </c>
      <c r="H29" s="568">
        <f t="shared" si="3"/>
        <v>0</v>
      </c>
      <c r="I29" s="142">
        <f>IF(C29="SWMAAC",$I$7*'3rd IA Load Pricing Results'!J48/'3rd IA Load Pricing Results'!$B$16,0)</f>
        <v>0</v>
      </c>
      <c r="J29" s="568">
        <f t="shared" si="5"/>
        <v>0</v>
      </c>
      <c r="K29" s="142">
        <f>IF(D29="PS",$I$8*'3rd IA Load Pricing Results'!J48/'3rd IA Load Pricing Results'!$J$60,0)</f>
        <v>0</v>
      </c>
      <c r="L29" s="568">
        <f t="shared" si="6"/>
        <v>0</v>
      </c>
      <c r="M29" s="142">
        <f>IF(D29="DPL",$I$9*'3rd IA Load Pricing Results'!J48/'3rd IA Load Pricing Results'!$J$52,0)</f>
        <v>0</v>
      </c>
      <c r="N29" s="568">
        <f t="shared" si="7"/>
        <v>0</v>
      </c>
      <c r="O29" s="142">
        <f>IF(D29="PEPCO",$I$10*'3rd IA Load Pricing Results'!J48/'3rd IA Load Pricing Results'!$J$58,0)</f>
        <v>0</v>
      </c>
      <c r="P29" s="568">
        <f t="shared" si="8"/>
        <v>0</v>
      </c>
      <c r="Q29" s="142">
        <f>IF(D29="ATSI",$I$11*'3rd IA Load Pricing Results'!J48/'3rd IA Load Pricing Results'!$J$45,0)</f>
        <v>0</v>
      </c>
      <c r="R29" s="568">
        <f t="shared" si="9"/>
        <v>0</v>
      </c>
      <c r="S29" s="142">
        <f>IF(D29="COMED",$I$12*'3rd IA Load Pricing Results'!J48/'3rd IA Load Pricing Results'!$J$47,0)</f>
        <v>0</v>
      </c>
      <c r="T29" s="568">
        <f t="shared" si="10"/>
        <v>0</v>
      </c>
      <c r="U29" s="142">
        <f>IF(D29="BGE",$I$13*'3rd IA Load Pricing Results'!J48/'3rd IA Load Pricing Results'!$J$46,0)</f>
        <v>0</v>
      </c>
      <c r="V29" s="568">
        <f t="shared" si="11"/>
        <v>0</v>
      </c>
      <c r="W29" s="142">
        <f>IF(D29="PL",$I$14*'3rd IA Load Pricing Results'!J48/'3rd IA Load Pricing Results'!$J$59,0)</f>
        <v>0</v>
      </c>
      <c r="X29" s="569">
        <f t="shared" si="12"/>
        <v>0</v>
      </c>
      <c r="Y29" s="142">
        <f>IF(D29="DAYTON",$I$15*'3rd IA Load Pricing Results'!J48/'3rd IA Load Pricing Results'!$J$48,0)</f>
        <v>2200.1784316662834</v>
      </c>
      <c r="Z29" s="570">
        <f>Y29*$Z$21</f>
        <v>0</v>
      </c>
      <c r="AA29" s="142">
        <f>IF(D29="DEOK",$I$16*'3rd IA Load Pricing Results'!J48/'3rd IA Load Pricing Results'!$J$49,0)</f>
        <v>0</v>
      </c>
      <c r="AB29" s="570">
        <f t="shared" si="14"/>
        <v>0</v>
      </c>
      <c r="AC29" s="571">
        <f t="shared" si="15"/>
        <v>2200.1784316662834</v>
      </c>
      <c r="AD29" s="31">
        <f t="shared" si="16"/>
        <v>0</v>
      </c>
      <c r="AE29" s="154">
        <f>AD29/'3rd IA Load Pricing Results'!J48</f>
        <v>0</v>
      </c>
      <c r="AF29" s="154">
        <f t="shared" si="17"/>
        <v>0</v>
      </c>
      <c r="AG29" s="91" t="s">
        <v>21</v>
      </c>
    </row>
    <row r="30" spans="1:33" x14ac:dyDescent="0.2">
      <c r="A30" s="22" t="s">
        <v>50</v>
      </c>
      <c r="B30" s="91"/>
      <c r="C30" s="91"/>
      <c r="D30" s="91" t="s">
        <v>50</v>
      </c>
      <c r="E30" s="142">
        <f>IF(B30="MAAC",$I$5*'3rd IA Load Pricing Results'!J49/'3rd IA Load Pricing Results'!$B$14,0)</f>
        <v>0</v>
      </c>
      <c r="F30" s="568">
        <f t="shared" si="4"/>
        <v>0</v>
      </c>
      <c r="G30" s="142">
        <f>IF(C30="EMAAC",$I$6*'3rd IA Load Pricing Results'!J49/'3rd IA Load Pricing Results'!$B$15,0)</f>
        <v>0</v>
      </c>
      <c r="H30" s="568">
        <f t="shared" si="3"/>
        <v>0</v>
      </c>
      <c r="I30" s="142">
        <f>IF(C30="SWMAAC",$I$7*'3rd IA Load Pricing Results'!J49/'3rd IA Load Pricing Results'!$B$16,0)</f>
        <v>0</v>
      </c>
      <c r="J30" s="568">
        <f t="shared" si="5"/>
        <v>0</v>
      </c>
      <c r="K30" s="142">
        <f>IF(D30="PS",$I$8*'3rd IA Load Pricing Results'!J49/'3rd IA Load Pricing Results'!$J$60,0)</f>
        <v>0</v>
      </c>
      <c r="L30" s="568">
        <f t="shared" si="6"/>
        <v>0</v>
      </c>
      <c r="M30" s="142">
        <f>IF(D30="DPL",$I$9*'3rd IA Load Pricing Results'!J49/'3rd IA Load Pricing Results'!$J$52,0)</f>
        <v>0</v>
      </c>
      <c r="N30" s="568">
        <f t="shared" si="7"/>
        <v>0</v>
      </c>
      <c r="O30" s="142">
        <f>IF(D30="PEPCO",$I$10*'3rd IA Load Pricing Results'!J49/'3rd IA Load Pricing Results'!$J$58,0)</f>
        <v>0</v>
      </c>
      <c r="P30" s="568">
        <f t="shared" si="8"/>
        <v>0</v>
      </c>
      <c r="Q30" s="142">
        <f>IF(D30="ATSI",$I$11*'3rd IA Load Pricing Results'!J49/'3rd IA Load Pricing Results'!$J$45,0)</f>
        <v>0</v>
      </c>
      <c r="R30" s="568">
        <f t="shared" si="9"/>
        <v>0</v>
      </c>
      <c r="S30" s="142">
        <f>IF(D30="COMED",$I$12*'3rd IA Load Pricing Results'!J49/'3rd IA Load Pricing Results'!$J$47,0)</f>
        <v>0</v>
      </c>
      <c r="T30" s="568">
        <f t="shared" si="10"/>
        <v>0</v>
      </c>
      <c r="U30" s="142">
        <f>IF(D30="BGE",$I$13*'3rd IA Load Pricing Results'!J49/'3rd IA Load Pricing Results'!$J$46,0)</f>
        <v>0</v>
      </c>
      <c r="V30" s="568">
        <f t="shared" si="11"/>
        <v>0</v>
      </c>
      <c r="W30" s="142">
        <f>IF(D30="PL",$I$14*'3rd IA Load Pricing Results'!J49/'3rd IA Load Pricing Results'!$J$59,0)</f>
        <v>0</v>
      </c>
      <c r="X30" s="569">
        <f t="shared" si="12"/>
        <v>0</v>
      </c>
      <c r="Y30" s="142">
        <f>IF(D30="DAYTON",$I$15*'3rd IA Load Pricing Results'!J49/'3rd IA Load Pricing Results'!$J$48,0)</f>
        <v>0</v>
      </c>
      <c r="Z30" s="570">
        <f t="shared" si="13"/>
        <v>0</v>
      </c>
      <c r="AA30" s="142">
        <f>IF(D30="DEOK",$I$16*'3rd IA Load Pricing Results'!J49/'3rd IA Load Pricing Results'!$J$49,0)</f>
        <v>2143.6270430588388</v>
      </c>
      <c r="AB30" s="570">
        <f>AA30*$AB$21</f>
        <v>0</v>
      </c>
      <c r="AC30" s="571">
        <f t="shared" si="15"/>
        <v>2143.6270430588388</v>
      </c>
      <c r="AD30" s="31">
        <f t="shared" si="16"/>
        <v>0</v>
      </c>
      <c r="AE30" s="154">
        <f>AD30/'3rd IA Load Pricing Results'!J49</f>
        <v>0</v>
      </c>
      <c r="AF30" s="154">
        <f>IF(AC30=0,0,AD30/AC30)</f>
        <v>0</v>
      </c>
      <c r="AG30" s="91" t="s">
        <v>50</v>
      </c>
    </row>
    <row r="31" spans="1:33" x14ac:dyDescent="0.2">
      <c r="A31" s="22" t="s">
        <v>42</v>
      </c>
      <c r="B31" s="91"/>
      <c r="C31" s="91"/>
      <c r="D31" s="91"/>
      <c r="E31" s="142">
        <f>IF(B31="MAAC",$I$5*'3rd IA Load Pricing Results'!J50/'3rd IA Load Pricing Results'!$B$14,0)</f>
        <v>0</v>
      </c>
      <c r="F31" s="568">
        <f t="shared" si="4"/>
        <v>0</v>
      </c>
      <c r="G31" s="142">
        <f>IF(C31="EMAAC",$I$6*'3rd IA Load Pricing Results'!J50/'3rd IA Load Pricing Results'!$B$15,0)</f>
        <v>0</v>
      </c>
      <c r="H31" s="568">
        <f t="shared" si="3"/>
        <v>0</v>
      </c>
      <c r="I31" s="142">
        <f>IF(C31="SWMAAC",$I$7*'3rd IA Load Pricing Results'!J50/'3rd IA Load Pricing Results'!$B$16,0)</f>
        <v>0</v>
      </c>
      <c r="J31" s="568">
        <f t="shared" si="5"/>
        <v>0</v>
      </c>
      <c r="K31" s="142">
        <f>IF(D31="PS",$I$8*'3rd IA Load Pricing Results'!J50/'3rd IA Load Pricing Results'!$J$60,0)</f>
        <v>0</v>
      </c>
      <c r="L31" s="568">
        <f t="shared" si="6"/>
        <v>0</v>
      </c>
      <c r="M31" s="142">
        <f>IF(D31="DPL",$I$9*'3rd IA Load Pricing Results'!J50/'3rd IA Load Pricing Results'!$J$52,0)</f>
        <v>0</v>
      </c>
      <c r="N31" s="568">
        <f t="shared" si="7"/>
        <v>0</v>
      </c>
      <c r="O31" s="142">
        <f>IF(D31="PEPCO",$I$10*'3rd IA Load Pricing Results'!J50/'3rd IA Load Pricing Results'!$J$58,0)</f>
        <v>0</v>
      </c>
      <c r="P31" s="568">
        <f t="shared" si="8"/>
        <v>0</v>
      </c>
      <c r="Q31" s="142">
        <f>IF(D31="ATSI",$I$11*'3rd IA Load Pricing Results'!J50/'3rd IA Load Pricing Results'!$J$45,0)</f>
        <v>0</v>
      </c>
      <c r="R31" s="568">
        <f t="shared" si="9"/>
        <v>0</v>
      </c>
      <c r="S31" s="142">
        <f>IF(D31="COMED",$I$12*'3rd IA Load Pricing Results'!J50/'3rd IA Load Pricing Results'!$J$47,0)</f>
        <v>0</v>
      </c>
      <c r="T31" s="568">
        <f t="shared" si="10"/>
        <v>0</v>
      </c>
      <c r="U31" s="142">
        <f>IF(D31="BGE",$I$13*'3rd IA Load Pricing Results'!J50/'3rd IA Load Pricing Results'!$J$46,0)</f>
        <v>0</v>
      </c>
      <c r="V31" s="568">
        <f t="shared" si="11"/>
        <v>0</v>
      </c>
      <c r="W31" s="142">
        <f>IF(D31="PL",$I$14*'3rd IA Load Pricing Results'!J50/'3rd IA Load Pricing Results'!$J$59,0)</f>
        <v>0</v>
      </c>
      <c r="X31" s="569">
        <f t="shared" si="12"/>
        <v>0</v>
      </c>
      <c r="Y31" s="142">
        <f>IF(D31="DAYTON",$I$15*'3rd IA Load Pricing Results'!J50/'3rd IA Load Pricing Results'!$J$48,0)</f>
        <v>0</v>
      </c>
      <c r="Z31" s="570">
        <f t="shared" si="13"/>
        <v>0</v>
      </c>
      <c r="AA31" s="142">
        <f>IF(D31="DEOK",$I$16*'3rd IA Load Pricing Results'!J50/'3rd IA Load Pricing Results'!$J$49,0)</f>
        <v>0</v>
      </c>
      <c r="AB31" s="570">
        <f t="shared" si="14"/>
        <v>0</v>
      </c>
      <c r="AC31" s="571">
        <f t="shared" si="15"/>
        <v>0</v>
      </c>
      <c r="AD31" s="31">
        <f t="shared" si="16"/>
        <v>0</v>
      </c>
      <c r="AE31" s="154">
        <f>AD31/'3rd IA Load Pricing Results'!J50</f>
        <v>0</v>
      </c>
      <c r="AF31" s="154">
        <f t="shared" si="17"/>
        <v>0</v>
      </c>
      <c r="AG31" s="91" t="s">
        <v>42</v>
      </c>
    </row>
    <row r="32" spans="1:33" x14ac:dyDescent="0.2">
      <c r="A32" s="22" t="s">
        <v>30</v>
      </c>
      <c r="B32" s="91"/>
      <c r="C32" s="91"/>
      <c r="D32" s="91"/>
      <c r="E32" s="142">
        <f>IF(B32="MAAC",$I$5*'3rd IA Load Pricing Results'!J51/'3rd IA Load Pricing Results'!$B$14,0)</f>
        <v>0</v>
      </c>
      <c r="F32" s="568">
        <f t="shared" si="4"/>
        <v>0</v>
      </c>
      <c r="G32" s="142">
        <f>IF(C32="EMAAC",$I$6*'3rd IA Load Pricing Results'!J51/'3rd IA Load Pricing Results'!$B$15,0)</f>
        <v>0</v>
      </c>
      <c r="H32" s="568">
        <f t="shared" si="3"/>
        <v>0</v>
      </c>
      <c r="I32" s="142">
        <f>IF(C32="SWMAAC",$I$7*'3rd IA Load Pricing Results'!J51/'3rd IA Load Pricing Results'!$B$16,0)</f>
        <v>0</v>
      </c>
      <c r="J32" s="568">
        <f t="shared" si="5"/>
        <v>0</v>
      </c>
      <c r="K32" s="142">
        <f>IF(D32="PS",$I$8*'3rd IA Load Pricing Results'!J51/'3rd IA Load Pricing Results'!$J$60,0)</f>
        <v>0</v>
      </c>
      <c r="L32" s="568">
        <f t="shared" si="6"/>
        <v>0</v>
      </c>
      <c r="M32" s="142">
        <f>IF(D32="DPL",$I$9*'3rd IA Load Pricing Results'!J51/'3rd IA Load Pricing Results'!$J$52,0)</f>
        <v>0</v>
      </c>
      <c r="N32" s="568">
        <f t="shared" si="7"/>
        <v>0</v>
      </c>
      <c r="O32" s="142">
        <f>IF(D32="PEPCO",$I$10*'3rd IA Load Pricing Results'!J51/'3rd IA Load Pricing Results'!$J$58,0)</f>
        <v>0</v>
      </c>
      <c r="P32" s="568">
        <f t="shared" si="8"/>
        <v>0</v>
      </c>
      <c r="Q32" s="142">
        <f>IF(D32="ATSI",$I$11*'3rd IA Load Pricing Results'!J51/'3rd IA Load Pricing Results'!$J$45,0)</f>
        <v>0</v>
      </c>
      <c r="R32" s="568">
        <f t="shared" si="9"/>
        <v>0</v>
      </c>
      <c r="S32" s="142">
        <f>IF(D32="COMED",$I$12*'3rd IA Load Pricing Results'!J51/'3rd IA Load Pricing Results'!$J$47,0)</f>
        <v>0</v>
      </c>
      <c r="T32" s="568">
        <f t="shared" si="10"/>
        <v>0</v>
      </c>
      <c r="U32" s="142">
        <f>IF(D32="BGE",$I$13*'3rd IA Load Pricing Results'!J51/'3rd IA Load Pricing Results'!$J$46,0)</f>
        <v>0</v>
      </c>
      <c r="V32" s="568">
        <f t="shared" si="11"/>
        <v>0</v>
      </c>
      <c r="W32" s="142">
        <f>IF(D32="PL",$I$14*'3rd IA Load Pricing Results'!J51/'3rd IA Load Pricing Results'!$J$59,0)</f>
        <v>0</v>
      </c>
      <c r="X32" s="569">
        <f t="shared" si="12"/>
        <v>0</v>
      </c>
      <c r="Y32" s="142">
        <f>IF(D32="DAYTON",$I$15*'3rd IA Load Pricing Results'!J51/'3rd IA Load Pricing Results'!$J$48,0)</f>
        <v>0</v>
      </c>
      <c r="Z32" s="570">
        <f t="shared" si="13"/>
        <v>0</v>
      </c>
      <c r="AA32" s="142">
        <f>IF(D32="DEOK",$I$16*'3rd IA Load Pricing Results'!J51/'3rd IA Load Pricing Results'!$J$49,0)</f>
        <v>0</v>
      </c>
      <c r="AB32" s="570">
        <f t="shared" si="14"/>
        <v>0</v>
      </c>
      <c r="AC32" s="571">
        <f t="shared" si="15"/>
        <v>0</v>
      </c>
      <c r="AD32" s="31">
        <f t="shared" si="16"/>
        <v>0</v>
      </c>
      <c r="AE32" s="154">
        <f>AD32/'3rd IA Load Pricing Results'!J51</f>
        <v>0</v>
      </c>
      <c r="AF32" s="154">
        <f t="shared" si="17"/>
        <v>0</v>
      </c>
      <c r="AG32" s="91" t="s">
        <v>30</v>
      </c>
    </row>
    <row r="33" spans="1:33" x14ac:dyDescent="0.2">
      <c r="A33" s="22" t="s">
        <v>17</v>
      </c>
      <c r="B33" s="91" t="s">
        <v>28</v>
      </c>
      <c r="C33" s="91" t="s">
        <v>33</v>
      </c>
      <c r="D33" s="91" t="s">
        <v>17</v>
      </c>
      <c r="E33" s="142">
        <f>IF(B33="MAAC",$I$5*'3rd IA Load Pricing Results'!J52/'3rd IA Load Pricing Results'!$B$14,0)</f>
        <v>-32.754742541121551</v>
      </c>
      <c r="F33" s="568">
        <f t="shared" si="4"/>
        <v>0</v>
      </c>
      <c r="G33" s="142">
        <f>IF(C33="EMAAC",$I$6*'3rd IA Load Pricing Results'!J52/'3rd IA Load Pricing Results'!$B$15,0)</f>
        <v>507.27829163830467</v>
      </c>
      <c r="H33" s="568">
        <f t="shared" si="3"/>
        <v>12920.408143565472</v>
      </c>
      <c r="I33" s="142">
        <f>IF(C33="SWMAAC",$I$7*'3rd IA Load Pricing Results'!J52/'3rd IA Load Pricing Results'!$B$16,0)</f>
        <v>0</v>
      </c>
      <c r="J33" s="568">
        <f t="shared" si="5"/>
        <v>0</v>
      </c>
      <c r="K33" s="142">
        <f>IF(D33="PS",$I$8*'3rd IA Load Pricing Results'!J52/'3rd IA Load Pricing Results'!$J$60,0)</f>
        <v>0</v>
      </c>
      <c r="L33" s="568">
        <f t="shared" si="6"/>
        <v>0</v>
      </c>
      <c r="M33" s="142">
        <f>IF(D33="DPL",$I$9*'3rd IA Load Pricing Results'!J52/'3rd IA Load Pricing Results'!$J$52,0)</f>
        <v>-1114.2294363738429</v>
      </c>
      <c r="N33" s="568">
        <f>M33*$N$21</f>
        <v>0</v>
      </c>
      <c r="O33" s="142">
        <f>IF(D33="PEPCO",$I$10*'3rd IA Load Pricing Results'!J52/'3rd IA Load Pricing Results'!$J$58,0)</f>
        <v>0</v>
      </c>
      <c r="P33" s="568">
        <f t="shared" si="8"/>
        <v>0</v>
      </c>
      <c r="Q33" s="142">
        <f>IF(D33="ATSI",$I$11*'3rd IA Load Pricing Results'!J52/'3rd IA Load Pricing Results'!$J$45,0)</f>
        <v>0</v>
      </c>
      <c r="R33" s="568">
        <f t="shared" si="9"/>
        <v>0</v>
      </c>
      <c r="S33" s="142">
        <f>IF(D33="COMED",$I$12*'3rd IA Load Pricing Results'!J52/'3rd IA Load Pricing Results'!$J$47,0)</f>
        <v>0</v>
      </c>
      <c r="T33" s="568">
        <f t="shared" si="10"/>
        <v>0</v>
      </c>
      <c r="U33" s="142">
        <f>IF(D33="BGE",$I$13*'3rd IA Load Pricing Results'!J52/'3rd IA Load Pricing Results'!$J$46,0)</f>
        <v>0</v>
      </c>
      <c r="V33" s="568">
        <f t="shared" si="11"/>
        <v>0</v>
      </c>
      <c r="W33" s="142">
        <f>IF(D33="PL",$I$14*'3rd IA Load Pricing Results'!J52/'3rd IA Load Pricing Results'!$J$59,0)</f>
        <v>0</v>
      </c>
      <c r="X33" s="569">
        <f t="shared" si="12"/>
        <v>0</v>
      </c>
      <c r="Y33" s="142">
        <f>IF(D33="DAYTON",$I$15*'3rd IA Load Pricing Results'!J52/'3rd IA Load Pricing Results'!$J$48,0)</f>
        <v>0</v>
      </c>
      <c r="Z33" s="570">
        <f t="shared" si="13"/>
        <v>0</v>
      </c>
      <c r="AA33" s="142">
        <f>IF(D33="DEOK",$I$16*'3rd IA Load Pricing Results'!J52/'3rd IA Load Pricing Results'!$J$49,0)</f>
        <v>0</v>
      </c>
      <c r="AB33" s="570">
        <f t="shared" si="14"/>
        <v>0</v>
      </c>
      <c r="AC33" s="571">
        <f t="shared" si="15"/>
        <v>1114.2294363738429</v>
      </c>
      <c r="AD33" s="31">
        <f t="shared" si="16"/>
        <v>12920.408143565472</v>
      </c>
      <c r="AE33" s="154">
        <f>AD33/'3rd IA Load Pricing Results'!J52</f>
        <v>2.9570410555525819</v>
      </c>
      <c r="AF33" s="154">
        <f t="shared" si="17"/>
        <v>11.595823734125846</v>
      </c>
      <c r="AG33" s="91" t="s">
        <v>17</v>
      </c>
    </row>
    <row r="34" spans="1:33" x14ac:dyDescent="0.2">
      <c r="A34" s="22" t="s">
        <v>116</v>
      </c>
      <c r="B34" s="91"/>
      <c r="C34" s="91"/>
      <c r="D34" s="91"/>
      <c r="E34" s="142">
        <f>IF(B34="MAAC",$I$5*'3rd IA Load Pricing Results'!J53/'3rd IA Load Pricing Results'!$B$14,0)</f>
        <v>0</v>
      </c>
      <c r="F34" s="568">
        <f t="shared" si="4"/>
        <v>0</v>
      </c>
      <c r="G34" s="142">
        <f>IF(C34="EMAAC",$I$6*'3rd IA Load Pricing Results'!J53/'3rd IA Load Pricing Results'!$B$15,0)</f>
        <v>0</v>
      </c>
      <c r="H34" s="568">
        <f t="shared" ref="H34:H40" si="18">G34*$H$21</f>
        <v>0</v>
      </c>
      <c r="I34" s="142">
        <f>IF(C34="SWMAAC",$I$7*'3rd IA Load Pricing Results'!J53/'3rd IA Load Pricing Results'!$B$16,0)</f>
        <v>0</v>
      </c>
      <c r="J34" s="568">
        <f t="shared" si="5"/>
        <v>0</v>
      </c>
      <c r="K34" s="142">
        <f>IF(D34="PS",$I$8*'3rd IA Load Pricing Results'!J53/'3rd IA Load Pricing Results'!$J$60,0)</f>
        <v>0</v>
      </c>
      <c r="L34" s="568">
        <f t="shared" si="6"/>
        <v>0</v>
      </c>
      <c r="M34" s="142">
        <f>IF(D34="DPL",$I$9*'3rd IA Load Pricing Results'!J53/'3rd IA Load Pricing Results'!$J$52,0)</f>
        <v>0</v>
      </c>
      <c r="N34" s="568">
        <f t="shared" si="7"/>
        <v>0</v>
      </c>
      <c r="O34" s="142">
        <f>IF(D34="PEPCO",$I$10*'3rd IA Load Pricing Results'!J53/'3rd IA Load Pricing Results'!$J$58,0)</f>
        <v>0</v>
      </c>
      <c r="P34" s="568">
        <f t="shared" si="8"/>
        <v>0</v>
      </c>
      <c r="Q34" s="142">
        <f>IF(D34="ATSI",$I$11*'3rd IA Load Pricing Results'!J53/'3rd IA Load Pricing Results'!$J$45,0)</f>
        <v>0</v>
      </c>
      <c r="R34" s="568">
        <f t="shared" si="9"/>
        <v>0</v>
      </c>
      <c r="S34" s="142">
        <f>IF(D34="COMED",$I$12*'3rd IA Load Pricing Results'!J53/'3rd IA Load Pricing Results'!$J$47,0)</f>
        <v>0</v>
      </c>
      <c r="T34" s="568">
        <f t="shared" si="10"/>
        <v>0</v>
      </c>
      <c r="U34" s="142">
        <f>IF(D34="BGE",$I$13*'3rd IA Load Pricing Results'!J53/'3rd IA Load Pricing Results'!$J$46,0)</f>
        <v>0</v>
      </c>
      <c r="V34" s="568">
        <f t="shared" si="11"/>
        <v>0</v>
      </c>
      <c r="W34" s="142">
        <f>IF(D34="PL",$I$14*'3rd IA Load Pricing Results'!J53/'3rd IA Load Pricing Results'!$J$59,0)</f>
        <v>0</v>
      </c>
      <c r="X34" s="569">
        <f t="shared" si="12"/>
        <v>0</v>
      </c>
      <c r="Y34" s="142">
        <f>IF(D34="DAYTON",$I$15*'3rd IA Load Pricing Results'!J53/'3rd IA Load Pricing Results'!$J$48,0)</f>
        <v>0</v>
      </c>
      <c r="Z34" s="570">
        <f t="shared" si="13"/>
        <v>0</v>
      </c>
      <c r="AA34" s="142">
        <f>IF(D34="DEOK",$I$16*'3rd IA Load Pricing Results'!J53/'3rd IA Load Pricing Results'!$J$49,0)</f>
        <v>0</v>
      </c>
      <c r="AB34" s="570">
        <f t="shared" si="14"/>
        <v>0</v>
      </c>
      <c r="AC34" s="571">
        <f t="shared" si="15"/>
        <v>0</v>
      </c>
      <c r="AD34" s="31">
        <f t="shared" si="16"/>
        <v>0</v>
      </c>
      <c r="AE34" s="154">
        <f>AD34/'3rd IA Load Pricing Results'!J53</f>
        <v>0</v>
      </c>
      <c r="AF34" s="154">
        <f>IF(AC34=0,0,AD34/AC34)</f>
        <v>0</v>
      </c>
      <c r="AG34" s="91" t="s">
        <v>116</v>
      </c>
    </row>
    <row r="35" spans="1:33" x14ac:dyDescent="0.2">
      <c r="A35" s="22" t="s">
        <v>12</v>
      </c>
      <c r="B35" s="91" t="s">
        <v>28</v>
      </c>
      <c r="C35" s="91" t="s">
        <v>33</v>
      </c>
      <c r="D35" s="91"/>
      <c r="E35" s="142">
        <f>IF(B35="MAAC",$I$5*'3rd IA Load Pricing Results'!J54/'3rd IA Load Pricing Results'!$B$14,0)</f>
        <v>-49.488430511364157</v>
      </c>
      <c r="F35" s="568">
        <f t="shared" si="4"/>
        <v>0</v>
      </c>
      <c r="G35" s="142">
        <f>IF(C35="EMAAC",$I$6*'3rd IA Load Pricing Results'!J54/'3rd IA Load Pricing Results'!$B$15,0)</f>
        <v>766.43577503772872</v>
      </c>
      <c r="H35" s="568">
        <f>G35*$H$21</f>
        <v>19521.164600471606</v>
      </c>
      <c r="I35" s="142">
        <f>IF(C35="SWMAAC",$I$7*'3rd IA Load Pricing Results'!J54/'3rd IA Load Pricing Results'!$B$16,0)</f>
        <v>0</v>
      </c>
      <c r="J35" s="568">
        <f t="shared" si="5"/>
        <v>0</v>
      </c>
      <c r="K35" s="142">
        <f>IF(D35="PS",$I$8*'3rd IA Load Pricing Results'!J54/'3rd IA Load Pricing Results'!$J$60,0)</f>
        <v>0</v>
      </c>
      <c r="L35" s="568">
        <f t="shared" si="6"/>
        <v>0</v>
      </c>
      <c r="M35" s="142">
        <f>IF(D35="DPL",$I$9*'3rd IA Load Pricing Results'!J54/'3rd IA Load Pricing Results'!$J$52,0)</f>
        <v>0</v>
      </c>
      <c r="N35" s="568">
        <f t="shared" si="7"/>
        <v>0</v>
      </c>
      <c r="O35" s="142">
        <f>IF(D35="PEPCO",$I$10*'3rd IA Load Pricing Results'!J54/'3rd IA Load Pricing Results'!$J$58,0)</f>
        <v>0</v>
      </c>
      <c r="P35" s="568">
        <f t="shared" si="8"/>
        <v>0</v>
      </c>
      <c r="Q35" s="142">
        <f>IF(D35="ATSI",$I$11*'3rd IA Load Pricing Results'!J54/'3rd IA Load Pricing Results'!$J$45,0)</f>
        <v>0</v>
      </c>
      <c r="R35" s="568">
        <f t="shared" si="9"/>
        <v>0</v>
      </c>
      <c r="S35" s="142">
        <f>IF(D35="COMED",$I$12*'3rd IA Load Pricing Results'!J54/'3rd IA Load Pricing Results'!$J$47,0)</f>
        <v>0</v>
      </c>
      <c r="T35" s="568">
        <f t="shared" si="10"/>
        <v>0</v>
      </c>
      <c r="U35" s="142">
        <f>IF(D35="BGE",$I$13*'3rd IA Load Pricing Results'!J54/'3rd IA Load Pricing Results'!$J$46,0)</f>
        <v>0</v>
      </c>
      <c r="V35" s="568">
        <f t="shared" si="11"/>
        <v>0</v>
      </c>
      <c r="W35" s="142">
        <f>IF(D35="PL",$I$14*'3rd IA Load Pricing Results'!J54/'3rd IA Load Pricing Results'!$J$59,0)</f>
        <v>0</v>
      </c>
      <c r="X35" s="569">
        <f t="shared" si="12"/>
        <v>0</v>
      </c>
      <c r="Y35" s="142">
        <f>IF(D35="DAYTON",$I$15*'3rd IA Load Pricing Results'!J54/'3rd IA Load Pricing Results'!$J$48,0)</f>
        <v>0</v>
      </c>
      <c r="Z35" s="570">
        <f t="shared" si="13"/>
        <v>0</v>
      </c>
      <c r="AA35" s="142">
        <f>IF(D35="DEOK",$I$16*'3rd IA Load Pricing Results'!J54/'3rd IA Load Pricing Results'!$J$49,0)</f>
        <v>0</v>
      </c>
      <c r="AB35" s="570">
        <f t="shared" si="14"/>
        <v>0</v>
      </c>
      <c r="AC35" s="571">
        <f t="shared" si="15"/>
        <v>766.43577503772872</v>
      </c>
      <c r="AD35" s="31">
        <f t="shared" si="16"/>
        <v>19521.164600471606</v>
      </c>
      <c r="AE35" s="154">
        <f>AD35/'3rd IA Load Pricing Results'!J54</f>
        <v>2.9570410555525823</v>
      </c>
      <c r="AF35" s="154">
        <f t="shared" si="17"/>
        <v>25.470059248618259</v>
      </c>
      <c r="AG35" s="91" t="s">
        <v>12</v>
      </c>
    </row>
    <row r="36" spans="1:33" x14ac:dyDescent="0.2">
      <c r="A36" s="22" t="s">
        <v>13</v>
      </c>
      <c r="B36" s="91" t="s">
        <v>28</v>
      </c>
      <c r="C36" s="91"/>
      <c r="D36" s="91"/>
      <c r="E36" s="142">
        <f>IF(B36="MAAC",$I$5*'3rd IA Load Pricing Results'!J55/'3rd IA Load Pricing Results'!$B$14,0)</f>
        <v>-26.059507764384115</v>
      </c>
      <c r="F36" s="568">
        <f t="shared" si="4"/>
        <v>0</v>
      </c>
      <c r="G36" s="142">
        <f>IF(C36="EMAAC",$I$6*'3rd IA Load Pricing Results'!J55/'3rd IA Load Pricing Results'!$B$15,0)</f>
        <v>0</v>
      </c>
      <c r="H36" s="568">
        <f t="shared" si="18"/>
        <v>0</v>
      </c>
      <c r="I36" s="142">
        <f>IF(C36="SWMAAC",$I$7*'3rd IA Load Pricing Results'!J55/'3rd IA Load Pricing Results'!$B$16,0)</f>
        <v>0</v>
      </c>
      <c r="J36" s="568">
        <f t="shared" si="5"/>
        <v>0</v>
      </c>
      <c r="K36" s="142">
        <f>IF(D36="PS",$I$8*'3rd IA Load Pricing Results'!J55/'3rd IA Load Pricing Results'!$J$60,0)</f>
        <v>0</v>
      </c>
      <c r="L36" s="568">
        <f t="shared" si="6"/>
        <v>0</v>
      </c>
      <c r="M36" s="142">
        <f>IF(D36="DPL",$I$9*'3rd IA Load Pricing Results'!J55/'3rd IA Load Pricing Results'!$J$52,0)</f>
        <v>0</v>
      </c>
      <c r="N36" s="568">
        <f t="shared" si="7"/>
        <v>0</v>
      </c>
      <c r="O36" s="142">
        <f>IF(D36="PEPCO",$I$10*'3rd IA Load Pricing Results'!J55/'3rd IA Load Pricing Results'!$J$58,0)</f>
        <v>0</v>
      </c>
      <c r="P36" s="568">
        <f t="shared" si="8"/>
        <v>0</v>
      </c>
      <c r="Q36" s="142">
        <f>IF(D36="ATSI",$I$11*'3rd IA Load Pricing Results'!J55/'3rd IA Load Pricing Results'!$J$45,0)</f>
        <v>0</v>
      </c>
      <c r="R36" s="568">
        <f t="shared" si="9"/>
        <v>0</v>
      </c>
      <c r="S36" s="142">
        <f>IF(D36="COMED",$I$12*'3rd IA Load Pricing Results'!J55/'3rd IA Load Pricing Results'!$J$47,0)</f>
        <v>0</v>
      </c>
      <c r="T36" s="568">
        <f t="shared" si="10"/>
        <v>0</v>
      </c>
      <c r="U36" s="142">
        <f>IF(D36="BGE",$I$13*'3rd IA Load Pricing Results'!J55/'3rd IA Load Pricing Results'!$J$46,0)</f>
        <v>0</v>
      </c>
      <c r="V36" s="568">
        <f t="shared" si="11"/>
        <v>0</v>
      </c>
      <c r="W36" s="142">
        <f>IF(D36="PL",$I$14*'3rd IA Load Pricing Results'!J55/'3rd IA Load Pricing Results'!$J$59,0)</f>
        <v>0</v>
      </c>
      <c r="X36" s="569">
        <f t="shared" si="12"/>
        <v>0</v>
      </c>
      <c r="Y36" s="142">
        <f>IF(D36="DAYTON",$I$15*'3rd IA Load Pricing Results'!J55/'3rd IA Load Pricing Results'!$J$48,0)</f>
        <v>0</v>
      </c>
      <c r="Z36" s="570">
        <f t="shared" si="13"/>
        <v>0</v>
      </c>
      <c r="AA36" s="142">
        <f>IF(D36="DEOK",$I$16*'3rd IA Load Pricing Results'!J55/'3rd IA Load Pricing Results'!$J$49,0)</f>
        <v>0</v>
      </c>
      <c r="AB36" s="570">
        <f t="shared" si="14"/>
        <v>0</v>
      </c>
      <c r="AC36" s="571">
        <f t="shared" si="15"/>
        <v>26.059507764384115</v>
      </c>
      <c r="AD36" s="31">
        <f t="shared" si="16"/>
        <v>0</v>
      </c>
      <c r="AE36" s="154">
        <f>AD36/'3rd IA Load Pricing Results'!J55</f>
        <v>0</v>
      </c>
      <c r="AF36" s="572">
        <f t="shared" si="17"/>
        <v>0</v>
      </c>
      <c r="AG36" s="91" t="s">
        <v>13</v>
      </c>
    </row>
    <row r="37" spans="1:33" x14ac:dyDescent="0.2">
      <c r="A37" s="22" t="s">
        <v>9</v>
      </c>
      <c r="B37" s="91" t="s">
        <v>28</v>
      </c>
      <c r="C37" s="91" t="s">
        <v>33</v>
      </c>
      <c r="D37" s="91"/>
      <c r="E37" s="142">
        <f>IF(B37="MAAC",$I$5*'3rd IA Load Pricing Results'!J56/'3rd IA Load Pricing Results'!$B$14,0)</f>
        <v>-71.192956390748236</v>
      </c>
      <c r="F37" s="568">
        <f t="shared" si="4"/>
        <v>0</v>
      </c>
      <c r="G37" s="142">
        <f>IF(C37="EMAAC",$I$6*'3rd IA Load Pricing Results'!J56/'3rd IA Load Pricing Results'!$B$15,0)</f>
        <v>1102.5774740631648</v>
      </c>
      <c r="H37" s="568">
        <f>G37*$H$21</f>
        <v>28082.713590580668</v>
      </c>
      <c r="I37" s="142">
        <f>IF(C37="SWMAAC",$I$7*'3rd IA Load Pricing Results'!J56/'3rd IA Load Pricing Results'!$B$16,0)</f>
        <v>0</v>
      </c>
      <c r="J37" s="568">
        <f t="shared" si="5"/>
        <v>0</v>
      </c>
      <c r="K37" s="142">
        <f>IF(D37="PS",$I$8*'3rd IA Load Pricing Results'!J56/'3rd IA Load Pricing Results'!$J$60,0)</f>
        <v>0</v>
      </c>
      <c r="L37" s="568">
        <f t="shared" si="6"/>
        <v>0</v>
      </c>
      <c r="M37" s="142">
        <f>IF(D37="DPL",$I$9*'3rd IA Load Pricing Results'!J56/'3rd IA Load Pricing Results'!$J$52,0)</f>
        <v>0</v>
      </c>
      <c r="N37" s="568">
        <f t="shared" si="7"/>
        <v>0</v>
      </c>
      <c r="O37" s="142">
        <f>IF(D37="PEPCO",$I$10*'3rd IA Load Pricing Results'!J56/'3rd IA Load Pricing Results'!$J$58,0)</f>
        <v>0</v>
      </c>
      <c r="P37" s="568">
        <f t="shared" si="8"/>
        <v>0</v>
      </c>
      <c r="Q37" s="142">
        <f>IF(D37="ATSI",$I$11*'3rd IA Load Pricing Results'!J56/'3rd IA Load Pricing Results'!$J$45,0)</f>
        <v>0</v>
      </c>
      <c r="R37" s="568">
        <f t="shared" si="9"/>
        <v>0</v>
      </c>
      <c r="S37" s="142">
        <f>IF(D37="COMED",$I$12*'3rd IA Load Pricing Results'!J56/'3rd IA Load Pricing Results'!$J$47,0)</f>
        <v>0</v>
      </c>
      <c r="T37" s="568">
        <f t="shared" si="10"/>
        <v>0</v>
      </c>
      <c r="U37" s="142">
        <f>IF(D37="BGE",$I$13*'3rd IA Load Pricing Results'!J56/'3rd IA Load Pricing Results'!$J$46,0)</f>
        <v>0</v>
      </c>
      <c r="V37" s="568">
        <f t="shared" si="11"/>
        <v>0</v>
      </c>
      <c r="W37" s="142">
        <f>IF(D37="PL",$I$14*'3rd IA Load Pricing Results'!J56/'3rd IA Load Pricing Results'!$J$59,0)</f>
        <v>0</v>
      </c>
      <c r="X37" s="569">
        <f>W37*$X$21</f>
        <v>0</v>
      </c>
      <c r="Y37" s="142">
        <f>IF(D37="DAYTON",$I$15*'3rd IA Load Pricing Results'!J56/'3rd IA Load Pricing Results'!$J$48,0)</f>
        <v>0</v>
      </c>
      <c r="Z37" s="570">
        <f t="shared" si="13"/>
        <v>0</v>
      </c>
      <c r="AA37" s="142">
        <f>IF(D37="DEOK",$I$16*'3rd IA Load Pricing Results'!J56/'3rd IA Load Pricing Results'!$J$49,0)</f>
        <v>0</v>
      </c>
      <c r="AB37" s="570">
        <f t="shared" si="14"/>
        <v>0</v>
      </c>
      <c r="AC37" s="571">
        <f t="shared" si="15"/>
        <v>1102.5774740631648</v>
      </c>
      <c r="AD37" s="31">
        <f>F37+H37+J37+L37+N37+P37+R37+T37+V37+X37+Z37+AB37</f>
        <v>28082.713590580668</v>
      </c>
      <c r="AE37" s="154">
        <f>AD37/'3rd IA Load Pricing Results'!J56</f>
        <v>2.9570410555525819</v>
      </c>
      <c r="AF37" s="154">
        <f t="shared" si="17"/>
        <v>25.470059248618259</v>
      </c>
      <c r="AG37" s="91" t="s">
        <v>9</v>
      </c>
    </row>
    <row r="38" spans="1:33" x14ac:dyDescent="0.2">
      <c r="A38" s="22" t="s">
        <v>14</v>
      </c>
      <c r="B38" s="91" t="s">
        <v>28</v>
      </c>
      <c r="C38" s="91"/>
      <c r="D38" s="91"/>
      <c r="E38" s="142">
        <f>IF(B38="MAAC",$I$5*'3rd IA Load Pricing Results'!J57/'3rd IA Load Pricing Results'!$B$14,0)</f>
        <v>-24.55505947683864</v>
      </c>
      <c r="F38" s="568">
        <f t="shared" si="4"/>
        <v>0</v>
      </c>
      <c r="G38" s="142">
        <f>IF(C38="EMAAC",$I$6*'3rd IA Load Pricing Results'!J57/'3rd IA Load Pricing Results'!$B$15,0)</f>
        <v>0</v>
      </c>
      <c r="H38" s="568">
        <f t="shared" si="18"/>
        <v>0</v>
      </c>
      <c r="I38" s="142">
        <f>IF(C38="SWMAAC",$I$7*'3rd IA Load Pricing Results'!J57/'3rd IA Load Pricing Results'!$B$16,0)</f>
        <v>0</v>
      </c>
      <c r="J38" s="568">
        <f t="shared" si="5"/>
        <v>0</v>
      </c>
      <c r="K38" s="142">
        <f>IF(D38="PS",$I$8*'3rd IA Load Pricing Results'!J57/'3rd IA Load Pricing Results'!$J$60,0)</f>
        <v>0</v>
      </c>
      <c r="L38" s="568">
        <f t="shared" si="6"/>
        <v>0</v>
      </c>
      <c r="M38" s="142">
        <f>IF(D38="DPL",$I$9*'3rd IA Load Pricing Results'!J57/'3rd IA Load Pricing Results'!$J$52,0)</f>
        <v>0</v>
      </c>
      <c r="N38" s="568">
        <f t="shared" si="7"/>
        <v>0</v>
      </c>
      <c r="O38" s="142">
        <f>IF(D38="PEPCO",$I$10*'3rd IA Load Pricing Results'!J57/'3rd IA Load Pricing Results'!$J$58,0)</f>
        <v>0</v>
      </c>
      <c r="P38" s="568">
        <f t="shared" si="8"/>
        <v>0</v>
      </c>
      <c r="Q38" s="142">
        <f>IF(D38="ATSI",$I$11*'3rd IA Load Pricing Results'!J57/'3rd IA Load Pricing Results'!$J$45,0)</f>
        <v>0</v>
      </c>
      <c r="R38" s="568">
        <f t="shared" si="9"/>
        <v>0</v>
      </c>
      <c r="S38" s="142">
        <f>IF(D38="COMED",$I$12*'3rd IA Load Pricing Results'!J57/'3rd IA Load Pricing Results'!$J$47,0)</f>
        <v>0</v>
      </c>
      <c r="T38" s="568">
        <f t="shared" si="10"/>
        <v>0</v>
      </c>
      <c r="U38" s="142">
        <f>IF(D38="BGE",$I$13*'3rd IA Load Pricing Results'!J57/'3rd IA Load Pricing Results'!$J$46,0)</f>
        <v>0</v>
      </c>
      <c r="V38" s="568">
        <f t="shared" si="11"/>
        <v>0</v>
      </c>
      <c r="W38" s="142">
        <f>IF(D38="PL",$I$14*'3rd IA Load Pricing Results'!J57/'3rd IA Load Pricing Results'!$J$59,0)</f>
        <v>0</v>
      </c>
      <c r="X38" s="569">
        <f t="shared" si="12"/>
        <v>0</v>
      </c>
      <c r="Y38" s="142">
        <f>IF(D38="DAYTON",$I$15*'3rd IA Load Pricing Results'!J57/'3rd IA Load Pricing Results'!$J$48,0)</f>
        <v>0</v>
      </c>
      <c r="Z38" s="570">
        <f t="shared" si="13"/>
        <v>0</v>
      </c>
      <c r="AA38" s="142">
        <f>IF(D38="DEOK",$I$16*'3rd IA Load Pricing Results'!J57/'3rd IA Load Pricing Results'!$J$49,0)</f>
        <v>0</v>
      </c>
      <c r="AB38" s="570">
        <f t="shared" si="14"/>
        <v>0</v>
      </c>
      <c r="AC38" s="571">
        <f t="shared" si="15"/>
        <v>24.55505947683864</v>
      </c>
      <c r="AD38" s="31">
        <f t="shared" si="16"/>
        <v>0</v>
      </c>
      <c r="AE38" s="154">
        <f>AD38/'3rd IA Load Pricing Results'!J57</f>
        <v>0</v>
      </c>
      <c r="AF38" s="572">
        <f t="shared" si="17"/>
        <v>0</v>
      </c>
      <c r="AG38" s="91" t="s">
        <v>14</v>
      </c>
    </row>
    <row r="39" spans="1:33" x14ac:dyDescent="0.2">
      <c r="A39" s="22" t="s">
        <v>15</v>
      </c>
      <c r="B39" s="91" t="s">
        <v>28</v>
      </c>
      <c r="C39" s="91" t="s">
        <v>5</v>
      </c>
      <c r="D39" s="91" t="s">
        <v>15</v>
      </c>
      <c r="E39" s="142">
        <f>IF(B39="MAAC",$I$5*'3rd IA Load Pricing Results'!J58/'3rd IA Load Pricing Results'!$B$14,0)</f>
        <v>-50.544183695606584</v>
      </c>
      <c r="F39" s="568">
        <f t="shared" si="4"/>
        <v>0</v>
      </c>
      <c r="G39" s="142">
        <f>IF(C39="EMAAC",$I$6*'3rd IA Load Pricing Results'!J58/'3rd IA Load Pricing Results'!$B$15,0)</f>
        <v>0</v>
      </c>
      <c r="H39" s="568">
        <f t="shared" si="18"/>
        <v>0</v>
      </c>
      <c r="I39" s="142">
        <f>IF(C39="SWMAAC",$I$7*'3rd IA Load Pricing Results'!J58/'3rd IA Load Pricing Results'!$B$16,0)</f>
        <v>2299.5200802429963</v>
      </c>
      <c r="J39" s="568">
        <f t="shared" si="5"/>
        <v>0</v>
      </c>
      <c r="K39" s="142">
        <f>IF(D39="PS",$I$8*'3rd IA Load Pricing Results'!J58/'3rd IA Load Pricing Results'!$J$60,0)</f>
        <v>0</v>
      </c>
      <c r="L39" s="568">
        <f t="shared" si="6"/>
        <v>0</v>
      </c>
      <c r="M39" s="142">
        <f>IF(D39="DPL",$I$9*'3rd IA Load Pricing Results'!J58/'3rd IA Load Pricing Results'!$J$52,0)</f>
        <v>0</v>
      </c>
      <c r="N39" s="568">
        <f t="shared" si="7"/>
        <v>0</v>
      </c>
      <c r="O39" s="142">
        <f>IF(D39="PEPCO",$I$10*'3rd IA Load Pricing Results'!J58/'3rd IA Load Pricing Results'!$J$58,0)</f>
        <v>1953.5211356519658</v>
      </c>
      <c r="P39" s="568">
        <f>O39*$P$21</f>
        <v>0</v>
      </c>
      <c r="Q39" s="142">
        <f>IF(D39="ATSI",$I$11*'3rd IA Load Pricing Results'!J58/'3rd IA Load Pricing Results'!$J$45,0)</f>
        <v>0</v>
      </c>
      <c r="R39" s="568">
        <f t="shared" si="9"/>
        <v>0</v>
      </c>
      <c r="S39" s="142">
        <f>IF(D39="COMED",$I$12*'3rd IA Load Pricing Results'!J58/'3rd IA Load Pricing Results'!$J$47,0)</f>
        <v>0</v>
      </c>
      <c r="T39" s="568">
        <f t="shared" si="10"/>
        <v>0</v>
      </c>
      <c r="U39" s="142">
        <f>IF(D39="BGE",$I$13*'3rd IA Load Pricing Results'!J58/'3rd IA Load Pricing Results'!$J$46,0)</f>
        <v>0</v>
      </c>
      <c r="V39" s="568">
        <f t="shared" si="11"/>
        <v>0</v>
      </c>
      <c r="W39" s="142">
        <f>IF(D39="PL",$I$14*'3rd IA Load Pricing Results'!J58/'3rd IA Load Pricing Results'!$J$59,0)</f>
        <v>0</v>
      </c>
      <c r="X39" s="569">
        <f t="shared" si="12"/>
        <v>0</v>
      </c>
      <c r="Y39" s="142">
        <f>IF(D39="DAYTON",$I$15*'3rd IA Load Pricing Results'!J58/'3rd IA Load Pricing Results'!$J$48,0)</f>
        <v>0</v>
      </c>
      <c r="Z39" s="570">
        <f t="shared" si="13"/>
        <v>0</v>
      </c>
      <c r="AA39" s="142">
        <f>IF(D39="DEOK",$I$16*'3rd IA Load Pricing Results'!J58/'3rd IA Load Pricing Results'!$J$49,0)</f>
        <v>0</v>
      </c>
      <c r="AB39" s="570">
        <f t="shared" si="14"/>
        <v>0</v>
      </c>
      <c r="AC39" s="571">
        <f t="shared" si="15"/>
        <v>2299.5200802429963</v>
      </c>
      <c r="AD39" s="31">
        <f t="shared" si="16"/>
        <v>0</v>
      </c>
      <c r="AE39" s="154">
        <f>AD39/'3rd IA Load Pricing Results'!J58</f>
        <v>0</v>
      </c>
      <c r="AF39" s="154">
        <f t="shared" si="17"/>
        <v>0</v>
      </c>
      <c r="AG39" s="91" t="s">
        <v>15</v>
      </c>
    </row>
    <row r="40" spans="1:33" x14ac:dyDescent="0.2">
      <c r="A40" s="22" t="s">
        <v>10</v>
      </c>
      <c r="B40" s="91" t="s">
        <v>28</v>
      </c>
      <c r="C40" s="91"/>
      <c r="D40" s="91" t="s">
        <v>10</v>
      </c>
      <c r="E40" s="142">
        <f>IF(B40="MAAC",$I$5*'3rd IA Load Pricing Results'!J59/'3rd IA Load Pricing Results'!$B$14,0)</f>
        <v>-63.10764658809159</v>
      </c>
      <c r="F40" s="568">
        <f t="shared" si="4"/>
        <v>0</v>
      </c>
      <c r="G40" s="142">
        <f>IF(C40="EMAAC",$I$6*'3rd IA Load Pricing Results'!J59/'3rd IA Load Pricing Results'!$B$15,0)</f>
        <v>0</v>
      </c>
      <c r="H40" s="568">
        <f t="shared" si="18"/>
        <v>0</v>
      </c>
      <c r="I40" s="142">
        <f>IF(C40="SWMAAC",$I$7*'3rd IA Load Pricing Results'!J59/'3rd IA Load Pricing Results'!$B$16,0)</f>
        <v>0</v>
      </c>
      <c r="J40" s="568">
        <f t="shared" si="5"/>
        <v>0</v>
      </c>
      <c r="K40" s="142">
        <f>IF(D40="PS",$I$8*'3rd IA Load Pricing Results'!J59/'3rd IA Load Pricing Results'!$J$60,0)</f>
        <v>0</v>
      </c>
      <c r="L40" s="568">
        <f t="shared" si="6"/>
        <v>0</v>
      </c>
      <c r="M40" s="142">
        <f>IF(D40="DPL",$I$9*'3rd IA Load Pricing Results'!J59/'3rd IA Load Pricing Results'!$J$52,0)</f>
        <v>0</v>
      </c>
      <c r="N40" s="568">
        <f t="shared" si="7"/>
        <v>0</v>
      </c>
      <c r="O40" s="142">
        <f>IF(D40="PEPCO",$I$10*'3rd IA Load Pricing Results'!J59/'3rd IA Load Pricing Results'!$J$58,0)</f>
        <v>0</v>
      </c>
      <c r="P40" s="568">
        <f t="shared" si="8"/>
        <v>0</v>
      </c>
      <c r="Q40" s="142">
        <f>IF(D40="ATSI",$I$11*'3rd IA Load Pricing Results'!J59/'3rd IA Load Pricing Results'!$J$45,0)</f>
        <v>0</v>
      </c>
      <c r="R40" s="568">
        <f t="shared" si="9"/>
        <v>0</v>
      </c>
      <c r="S40" s="142">
        <f>IF(D40="COMED",$I$12*'3rd IA Load Pricing Results'!J59/'3rd IA Load Pricing Results'!$J$47,0)</f>
        <v>0</v>
      </c>
      <c r="T40" s="568">
        <f t="shared" si="10"/>
        <v>0</v>
      </c>
      <c r="U40" s="142">
        <f>IF(D40="BGE",$I$13*'3rd IA Load Pricing Results'!J59/'3rd IA Load Pricing Results'!$J$46,0)</f>
        <v>0</v>
      </c>
      <c r="V40" s="568">
        <f t="shared" si="11"/>
        <v>0</v>
      </c>
      <c r="W40" s="142">
        <f>IF(D40="PL",$I$14*'3rd IA Load Pricing Results'!J59/'3rd IA Load Pricing Results'!$J$59,0)</f>
        <v>-2383.0559084366287</v>
      </c>
      <c r="X40" s="569">
        <f t="shared" si="12"/>
        <v>0</v>
      </c>
      <c r="Y40" s="142">
        <f>IF(D40="DAYTON",$I$15*'3rd IA Load Pricing Results'!J59/'3rd IA Load Pricing Results'!$J$48,0)</f>
        <v>0</v>
      </c>
      <c r="Z40" s="570">
        <f t="shared" si="13"/>
        <v>0</v>
      </c>
      <c r="AA40" s="142">
        <f>IF(D40="DEOK",$I$16*'3rd IA Load Pricing Results'!J59/'3rd IA Load Pricing Results'!$J$49,0)</f>
        <v>0</v>
      </c>
      <c r="AB40" s="570">
        <f t="shared" si="14"/>
        <v>0</v>
      </c>
      <c r="AC40" s="571">
        <f t="shared" si="15"/>
        <v>2383.0559084366287</v>
      </c>
      <c r="AD40" s="31">
        <f t="shared" si="16"/>
        <v>0</v>
      </c>
      <c r="AE40" s="154">
        <f>AD40/'3rd IA Load Pricing Results'!J59</f>
        <v>0</v>
      </c>
      <c r="AF40" s="572">
        <f t="shared" si="17"/>
        <v>0</v>
      </c>
      <c r="AG40" s="91" t="s">
        <v>10</v>
      </c>
    </row>
    <row r="41" spans="1:33" x14ac:dyDescent="0.2">
      <c r="A41" s="22" t="s">
        <v>8</v>
      </c>
      <c r="B41" s="91" t="s">
        <v>28</v>
      </c>
      <c r="C41" s="91" t="s">
        <v>33</v>
      </c>
      <c r="D41" s="91" t="s">
        <v>8</v>
      </c>
      <c r="E41" s="142">
        <f>IF(B41="MAAC",$I$5*'3rd IA Load Pricing Results'!J60/'3rd IA Load Pricing Results'!$B$14,0)</f>
        <v>-82.366344257313997</v>
      </c>
      <c r="F41" s="568">
        <f t="shared" si="4"/>
        <v>0</v>
      </c>
      <c r="G41" s="142">
        <f>IF(C41="EMAAC",$I$6*'3rd IA Load Pricing Results'!J60/'3rd IA Load Pricing Results'!$B$15,0)</f>
        <v>1275.6216401605718</v>
      </c>
      <c r="H41" s="568">
        <f>G41*$H$21</f>
        <v>32490.158753709366</v>
      </c>
      <c r="I41" s="142">
        <f>IF(C41="SWMAAC",$I$7*'3rd IA Load Pricing Results'!J60/'3rd IA Load Pricing Results'!$B$16,0)</f>
        <v>0</v>
      </c>
      <c r="J41" s="568">
        <f t="shared" si="5"/>
        <v>0</v>
      </c>
      <c r="K41" s="142">
        <f>IF(D41="PS",$I$8*'3rd IA Load Pricing Results'!J60/'3rd IA Load Pricing Results'!$J$60,0)</f>
        <v>4813.3872093633836</v>
      </c>
      <c r="L41" s="568">
        <f>K41*$L$21</f>
        <v>202923.89774444181</v>
      </c>
      <c r="M41" s="142">
        <f>IF(D41="DPL",$I$9*'3rd IA Load Pricing Results'!J60/'3rd IA Load Pricing Results'!$J$52,0)</f>
        <v>0</v>
      </c>
      <c r="N41" s="568">
        <f t="shared" si="7"/>
        <v>0</v>
      </c>
      <c r="O41" s="142">
        <f>IF(D41="PEPCO",$I$10*'3rd IA Load Pricing Results'!J60/'3rd IA Load Pricing Results'!$J$58,0)</f>
        <v>0</v>
      </c>
      <c r="P41" s="568">
        <f t="shared" si="8"/>
        <v>0</v>
      </c>
      <c r="Q41" s="142">
        <f>IF(D41="ATSI",$I$11*'3rd IA Load Pricing Results'!J60/'3rd IA Load Pricing Results'!$J$45,0)</f>
        <v>0</v>
      </c>
      <c r="R41" s="568">
        <f t="shared" si="9"/>
        <v>0</v>
      </c>
      <c r="S41" s="142">
        <f>IF(D41="COMED",$I$12*'3rd IA Load Pricing Results'!J60/'3rd IA Load Pricing Results'!$J$47,0)</f>
        <v>0</v>
      </c>
      <c r="T41" s="568">
        <f t="shared" si="10"/>
        <v>0</v>
      </c>
      <c r="U41" s="142">
        <f>IF(D41="BGE",$I$13*'3rd IA Load Pricing Results'!J60/'3rd IA Load Pricing Results'!$J$46,0)</f>
        <v>0</v>
      </c>
      <c r="V41" s="568">
        <f t="shared" si="11"/>
        <v>0</v>
      </c>
      <c r="W41" s="142">
        <f>IF(D41="PL",$I$14*'3rd IA Load Pricing Results'!J60/'3rd IA Load Pricing Results'!$J$59,0)</f>
        <v>0</v>
      </c>
      <c r="X41" s="569">
        <f t="shared" si="12"/>
        <v>0</v>
      </c>
      <c r="Y41" s="142">
        <f>IF(D41="DAYTON",$I$15*'3rd IA Load Pricing Results'!J60/'3rd IA Load Pricing Results'!$J$48,0)</f>
        <v>0</v>
      </c>
      <c r="Z41" s="570">
        <f t="shared" si="13"/>
        <v>0</v>
      </c>
      <c r="AA41" s="142">
        <f>IF(D41="DEOK",$I$16*'3rd IA Load Pricing Results'!J60/'3rd IA Load Pricing Results'!$J$49,0)</f>
        <v>0</v>
      </c>
      <c r="AB41" s="570">
        <f t="shared" si="14"/>
        <v>0</v>
      </c>
      <c r="AC41" s="571">
        <f t="shared" si="15"/>
        <v>4813.3872093633836</v>
      </c>
      <c r="AD41" s="31">
        <f t="shared" si="16"/>
        <v>235414.05649815119</v>
      </c>
      <c r="AE41" s="154">
        <f>AD41/'3rd IA Load Pricing Results'!J60</f>
        <v>21.425842680431096</v>
      </c>
      <c r="AF41" s="154">
        <f>IF(AC41=0,0,AD41/AC41)</f>
        <v>48.908190066281193</v>
      </c>
      <c r="AG41" s="91" t="s">
        <v>8</v>
      </c>
    </row>
    <row r="42" spans="1:33" x14ac:dyDescent="0.2">
      <c r="A42" s="22" t="s">
        <v>18</v>
      </c>
      <c r="B42" s="91" t="s">
        <v>28</v>
      </c>
      <c r="C42" s="91" t="s">
        <v>33</v>
      </c>
      <c r="D42" s="91"/>
      <c r="E42" s="142">
        <f>IF(B42="MAAC",$I$5*'3rd IA Load Pricing Results'!J61/'3rd IA Load Pricing Results'!$B$14,0)</f>
        <v>-3.3080266439596304</v>
      </c>
      <c r="F42" s="568">
        <f t="shared" si="4"/>
        <v>0</v>
      </c>
      <c r="G42" s="142">
        <f>IF(C42="EMAAC",$I$6*'3rd IA Load Pricing Results'!J61/'3rd IA Load Pricing Results'!$B$15,0)</f>
        <v>51.231973584744168</v>
      </c>
      <c r="H42" s="568">
        <f>G42*$H$21</f>
        <v>1304.8814026270795</v>
      </c>
      <c r="I42" s="142">
        <f>IF(C42="SWMAAC",$I$7*'3rd IA Load Pricing Results'!J61/'3rd IA Load Pricing Results'!$B$16,0)</f>
        <v>0</v>
      </c>
      <c r="J42" s="568">
        <f t="shared" si="5"/>
        <v>0</v>
      </c>
      <c r="K42" s="142">
        <f>IF(D42="PS",$I$8*'3rd IA Load Pricing Results'!J61/'3rd IA Load Pricing Results'!$J$60,0)</f>
        <v>0</v>
      </c>
      <c r="L42" s="568">
        <f t="shared" si="6"/>
        <v>0</v>
      </c>
      <c r="M42" s="142">
        <f>IF(D42="DPL",$I$9*'3rd IA Load Pricing Results'!J61/'3rd IA Load Pricing Results'!$J$52,0)</f>
        <v>0</v>
      </c>
      <c r="N42" s="568">
        <f t="shared" si="7"/>
        <v>0</v>
      </c>
      <c r="O42" s="142">
        <f>IF(D42="PEPCO",$I$10*'3rd IA Load Pricing Results'!J61/'3rd IA Load Pricing Results'!$J$58,0)</f>
        <v>0</v>
      </c>
      <c r="P42" s="568">
        <f t="shared" si="8"/>
        <v>0</v>
      </c>
      <c r="Q42" s="142">
        <f>IF(D42="ATSI",$I$11*'3rd IA Load Pricing Results'!J61/'3rd IA Load Pricing Results'!$J$45,0)</f>
        <v>0</v>
      </c>
      <c r="R42" s="568">
        <f t="shared" si="9"/>
        <v>0</v>
      </c>
      <c r="S42" s="142">
        <f>IF(D42="COMED",$I$12*'3rd IA Load Pricing Results'!J61/'3rd IA Load Pricing Results'!$J$47,0)</f>
        <v>0</v>
      </c>
      <c r="T42" s="568">
        <f t="shared" si="10"/>
        <v>0</v>
      </c>
      <c r="U42" s="142">
        <f>IF(D42="BGE",$I$13*'3rd IA Load Pricing Results'!J61/'3rd IA Load Pricing Results'!$J$46,0)</f>
        <v>0</v>
      </c>
      <c r="V42" s="568">
        <f t="shared" si="11"/>
        <v>0</v>
      </c>
      <c r="W42" s="142">
        <f>IF(D42="PL",$I$14*'3rd IA Load Pricing Results'!J61/'3rd IA Load Pricing Results'!$J$59,0)</f>
        <v>0</v>
      </c>
      <c r="X42" s="569">
        <f t="shared" si="12"/>
        <v>0</v>
      </c>
      <c r="Y42" s="142">
        <f>IF(D42="DAYTON",$I$15*'3rd IA Load Pricing Results'!J61/'3rd IA Load Pricing Results'!$J$48,0)</f>
        <v>0</v>
      </c>
      <c r="Z42" s="570">
        <f t="shared" si="13"/>
        <v>0</v>
      </c>
      <c r="AA42" s="142">
        <f>IF(D42="DEOK",$I$16*'3rd IA Load Pricing Results'!J61/'3rd IA Load Pricing Results'!$J$49,0)</f>
        <v>0</v>
      </c>
      <c r="AB42" s="570">
        <f t="shared" si="14"/>
        <v>0</v>
      </c>
      <c r="AC42" s="571">
        <f t="shared" si="15"/>
        <v>51.231973584744168</v>
      </c>
      <c r="AD42" s="31">
        <f t="shared" si="16"/>
        <v>1304.8814026270795</v>
      </c>
      <c r="AE42" s="154">
        <f>AD42/'3rd IA Load Pricing Results'!J61</f>
        <v>2.9570410555525819</v>
      </c>
      <c r="AF42" s="154">
        <f>IF(AC42=0,0,AD42/AC42)</f>
        <v>25.470059248618259</v>
      </c>
      <c r="AG42" s="91" t="s">
        <v>18</v>
      </c>
    </row>
    <row r="43" spans="1:33" x14ac:dyDescent="0.2">
      <c r="A43" s="775" t="s">
        <v>66</v>
      </c>
      <c r="B43" s="775"/>
      <c r="C43" s="775"/>
      <c r="D43" s="775"/>
      <c r="E43" s="573">
        <f t="shared" ref="E43:Y43" si="19">SUM(E23:E42)</f>
        <v>-480.60524329676269</v>
      </c>
      <c r="F43" s="574">
        <f>SUM(F23:F42)</f>
        <v>0</v>
      </c>
      <c r="G43" s="573">
        <f t="shared" si="19"/>
        <v>4029.4764755894666</v>
      </c>
      <c r="H43" s="574">
        <f>SUM(H23:H42)</f>
        <v>102631.00457417722</v>
      </c>
      <c r="I43" s="573">
        <f t="shared" si="19"/>
        <v>4854.4089700934837</v>
      </c>
      <c r="J43" s="574">
        <f>SUM(J23:J42)</f>
        <v>0</v>
      </c>
      <c r="K43" s="573">
        <f>SUM(K23:K42)</f>
        <v>4813.3872093633836</v>
      </c>
      <c r="L43" s="574">
        <f>SUM(L23:L42)</f>
        <v>202923.89774444181</v>
      </c>
      <c r="M43" s="573">
        <f>SUM(M23:M42)</f>
        <v>-1114.2294363738429</v>
      </c>
      <c r="N43" s="574">
        <f>SUM(N23:N42)</f>
        <v>0</v>
      </c>
      <c r="O43" s="573">
        <f t="shared" si="19"/>
        <v>1953.5211356519658</v>
      </c>
      <c r="P43" s="574">
        <f>SUM(P23:P42)</f>
        <v>0</v>
      </c>
      <c r="Q43" s="573">
        <f t="shared" si="19"/>
        <v>4214.4820461926629</v>
      </c>
      <c r="R43" s="574">
        <f>SUM(R23:R42)</f>
        <v>108836.53854402038</v>
      </c>
      <c r="S43" s="573">
        <f t="shared" si="19"/>
        <v>0</v>
      </c>
      <c r="T43" s="574">
        <f>SUM(T23:T42)</f>
        <v>0</v>
      </c>
      <c r="U43" s="573">
        <f t="shared" si="19"/>
        <v>5118.1878344415172</v>
      </c>
      <c r="V43" s="574">
        <f>SUM(V23:V42)</f>
        <v>306849.11709927378</v>
      </c>
      <c r="W43" s="573">
        <f t="shared" si="19"/>
        <v>-2383.0559084366287</v>
      </c>
      <c r="X43" s="575">
        <f>SUM(X23:X42)</f>
        <v>0</v>
      </c>
      <c r="Y43" s="573">
        <f t="shared" si="19"/>
        <v>2200.1784316662834</v>
      </c>
      <c r="Z43" s="576">
        <f>SUM(Z23:Z42)</f>
        <v>0</v>
      </c>
      <c r="AA43" s="573">
        <f>SUM(AA23:AA42)</f>
        <v>2143.6270430588388</v>
      </c>
      <c r="AB43" s="576">
        <f>SUM(AB23:AB42)</f>
        <v>0</v>
      </c>
      <c r="AC43" s="571"/>
      <c r="AD43" s="574">
        <f>SUM(AD23:AD42)</f>
        <v>721240.55796191317</v>
      </c>
      <c r="AE43" s="577"/>
      <c r="AF43" s="577"/>
    </row>
    <row r="44" spans="1:33" x14ac:dyDescent="0.2">
      <c r="A44" s="23" t="s">
        <v>67</v>
      </c>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52"/>
      <c r="AE44" s="21"/>
      <c r="AF44" s="21"/>
    </row>
    <row r="45" spans="1:33" x14ac:dyDescent="0.2">
      <c r="A45" s="23" t="s">
        <v>295</v>
      </c>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52" t="s">
        <v>24</v>
      </c>
      <c r="AE45" s="21"/>
      <c r="AF45" s="21"/>
    </row>
    <row r="46" spans="1:33" x14ac:dyDescent="0.2">
      <c r="A46" s="23" t="s">
        <v>296</v>
      </c>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row>
    <row r="47" spans="1:33" x14ac:dyDescent="0.2">
      <c r="A47" s="23" t="s">
        <v>297</v>
      </c>
    </row>
  </sheetData>
  <mergeCells count="14">
    <mergeCell ref="AA20:AB20"/>
    <mergeCell ref="A43:D43"/>
    <mergeCell ref="O20:P20"/>
    <mergeCell ref="Q20:R20"/>
    <mergeCell ref="S20:T20"/>
    <mergeCell ref="U20:V20"/>
    <mergeCell ref="W20:X20"/>
    <mergeCell ref="Y20:Z20"/>
    <mergeCell ref="A19:D21"/>
    <mergeCell ref="E20:F20"/>
    <mergeCell ref="G20:H20"/>
    <mergeCell ref="I20:J20"/>
    <mergeCell ref="K20:L20"/>
    <mergeCell ref="M20:N20"/>
  </mergeCells>
  <pageMargins left="0.45" right="0.45" top="0.5" bottom="0.5" header="0" footer="0"/>
  <pageSetup paperSize="17" scale="37" orientation="landscape" horizontalDpi="200" verticalDpi="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7"/>
  <sheetViews>
    <sheetView zoomScaleNormal="100" workbookViewId="0"/>
  </sheetViews>
  <sheetFormatPr defaultRowHeight="12.75" x14ac:dyDescent="0.2"/>
  <cols>
    <col min="1" max="1" width="55.7109375" customWidth="1"/>
    <col min="2" max="17" width="15.7109375" customWidth="1"/>
  </cols>
  <sheetData>
    <row r="1" spans="1:14" ht="18.75" x14ac:dyDescent="0.3">
      <c r="A1" s="101" t="s">
        <v>350</v>
      </c>
      <c r="B1" s="11" t="s">
        <v>24</v>
      </c>
    </row>
    <row r="2" spans="1:14" ht="19.5" thickBot="1" x14ac:dyDescent="0.35">
      <c r="A2" s="3"/>
      <c r="C2" s="11"/>
      <c r="E2" s="399"/>
      <c r="F2" s="399"/>
      <c r="G2" s="399"/>
      <c r="H2" s="374" t="s">
        <v>24</v>
      </c>
      <c r="N2" s="11"/>
    </row>
    <row r="3" spans="1:14" ht="13.5" customHeight="1" thickBot="1" x14ac:dyDescent="0.25">
      <c r="A3" s="755" t="s">
        <v>58</v>
      </c>
      <c r="B3" s="21"/>
      <c r="C3" s="139" t="s">
        <v>120</v>
      </c>
      <c r="D3" s="21"/>
      <c r="E3" s="21"/>
      <c r="F3" s="21"/>
      <c r="G3" s="21"/>
      <c r="H3" s="21"/>
      <c r="I3" s="139" t="s">
        <v>120</v>
      </c>
      <c r="J3" s="21"/>
      <c r="K3" s="21"/>
      <c r="L3" s="21"/>
      <c r="M3" s="21"/>
      <c r="N3" s="139" t="s">
        <v>120</v>
      </c>
    </row>
    <row r="4" spans="1:14" ht="13.5" customHeight="1" thickBot="1" x14ac:dyDescent="0.25">
      <c r="A4" s="756"/>
      <c r="B4" s="204" t="s">
        <v>28</v>
      </c>
      <c r="C4" s="204" t="s">
        <v>28</v>
      </c>
      <c r="D4" s="205" t="s">
        <v>33</v>
      </c>
      <c r="E4" s="205" t="s">
        <v>5</v>
      </c>
      <c r="F4" s="205" t="s">
        <v>8</v>
      </c>
      <c r="G4" s="205" t="s">
        <v>34</v>
      </c>
      <c r="H4" s="205" t="s">
        <v>35</v>
      </c>
      <c r="I4" s="205" t="s">
        <v>35</v>
      </c>
      <c r="J4" s="205" t="s">
        <v>15</v>
      </c>
      <c r="K4" s="205" t="s">
        <v>11</v>
      </c>
      <c r="L4" s="205" t="s">
        <v>50</v>
      </c>
      <c r="M4" s="205" t="s">
        <v>20</v>
      </c>
      <c r="N4" s="205" t="s">
        <v>20</v>
      </c>
    </row>
    <row r="5" spans="1:14" ht="26.25" thickBot="1" x14ac:dyDescent="0.25">
      <c r="A5" s="273" t="s">
        <v>91</v>
      </c>
      <c r="B5" s="349" t="s">
        <v>101</v>
      </c>
      <c r="C5" s="349" t="s">
        <v>121</v>
      </c>
      <c r="D5" s="350" t="s">
        <v>122</v>
      </c>
      <c r="E5" s="350" t="s">
        <v>122</v>
      </c>
      <c r="F5" s="350" t="s">
        <v>122</v>
      </c>
      <c r="G5" s="350" t="s">
        <v>122</v>
      </c>
      <c r="H5" s="350" t="s">
        <v>101</v>
      </c>
      <c r="I5" s="350" t="s">
        <v>121</v>
      </c>
      <c r="J5" s="350" t="s">
        <v>122</v>
      </c>
      <c r="K5" s="350" t="s">
        <v>122</v>
      </c>
      <c r="L5" s="350" t="s">
        <v>122</v>
      </c>
      <c r="M5" s="350" t="s">
        <v>122</v>
      </c>
      <c r="N5" s="350" t="s">
        <v>122</v>
      </c>
    </row>
    <row r="6" spans="1:14" x14ac:dyDescent="0.2">
      <c r="A6" s="206" t="s">
        <v>139</v>
      </c>
      <c r="B6" s="352"/>
      <c r="C6" s="352"/>
      <c r="D6" s="353"/>
      <c r="E6" s="353"/>
      <c r="F6" s="353"/>
      <c r="G6" s="353"/>
      <c r="H6" s="353"/>
      <c r="I6" s="353"/>
      <c r="J6" s="353"/>
      <c r="K6" s="353"/>
      <c r="L6" s="353"/>
      <c r="M6" s="353"/>
      <c r="N6" s="353"/>
    </row>
    <row r="7" spans="1:14" x14ac:dyDescent="0.2">
      <c r="A7" s="207" t="s">
        <v>85</v>
      </c>
      <c r="B7" s="187">
        <v>160</v>
      </c>
      <c r="C7" s="188">
        <v>0</v>
      </c>
      <c r="D7" s="188">
        <v>0</v>
      </c>
      <c r="E7" s="188">
        <v>0</v>
      </c>
      <c r="F7" s="188">
        <v>0</v>
      </c>
      <c r="G7" s="188">
        <v>0</v>
      </c>
      <c r="H7" s="188">
        <v>0</v>
      </c>
      <c r="I7" s="188">
        <v>0</v>
      </c>
      <c r="J7" s="188">
        <v>0</v>
      </c>
      <c r="K7" s="188">
        <v>0</v>
      </c>
      <c r="L7" s="188">
        <v>0</v>
      </c>
      <c r="M7" s="188">
        <v>0</v>
      </c>
      <c r="N7" s="188">
        <v>0</v>
      </c>
    </row>
    <row r="8" spans="1:14" ht="25.5" x14ac:dyDescent="0.2">
      <c r="A8" s="207" t="s">
        <v>86</v>
      </c>
      <c r="B8" s="187">
        <v>106</v>
      </c>
      <c r="C8" s="188">
        <v>0</v>
      </c>
      <c r="D8" s="188">
        <v>0</v>
      </c>
      <c r="E8" s="188">
        <v>0</v>
      </c>
      <c r="F8" s="188">
        <v>0</v>
      </c>
      <c r="G8" s="188">
        <v>0</v>
      </c>
      <c r="H8" s="188">
        <v>0</v>
      </c>
      <c r="I8" s="188">
        <v>0</v>
      </c>
      <c r="J8" s="188">
        <v>0</v>
      </c>
      <c r="K8" s="188">
        <v>0</v>
      </c>
      <c r="L8" s="188">
        <v>0</v>
      </c>
      <c r="M8" s="188">
        <v>0</v>
      </c>
      <c r="N8" s="188">
        <v>0</v>
      </c>
    </row>
    <row r="9" spans="1:14" x14ac:dyDescent="0.2">
      <c r="A9" s="207" t="s">
        <v>89</v>
      </c>
      <c r="B9" s="187">
        <v>117</v>
      </c>
      <c r="C9" s="188">
        <v>0</v>
      </c>
      <c r="D9" s="188">
        <v>0</v>
      </c>
      <c r="E9" s="188">
        <v>0</v>
      </c>
      <c r="F9" s="188">
        <v>0</v>
      </c>
      <c r="G9" s="188">
        <v>0</v>
      </c>
      <c r="H9" s="188">
        <v>0</v>
      </c>
      <c r="I9" s="188">
        <v>0</v>
      </c>
      <c r="J9" s="188">
        <v>0</v>
      </c>
      <c r="K9" s="188">
        <v>0</v>
      </c>
      <c r="L9" s="188">
        <v>0</v>
      </c>
      <c r="M9" s="188">
        <v>0</v>
      </c>
      <c r="N9" s="188">
        <v>0</v>
      </c>
    </row>
    <row r="10" spans="1:14" ht="25.5" x14ac:dyDescent="0.2">
      <c r="A10" s="207" t="s">
        <v>90</v>
      </c>
      <c r="B10" s="187">
        <v>0</v>
      </c>
      <c r="C10" s="188">
        <v>0</v>
      </c>
      <c r="D10" s="188">
        <v>898</v>
      </c>
      <c r="E10" s="188">
        <v>0</v>
      </c>
      <c r="F10" s="188">
        <v>68.900000000000006</v>
      </c>
      <c r="G10" s="188">
        <v>105.5</v>
      </c>
      <c r="H10" s="188">
        <v>0</v>
      </c>
      <c r="I10" s="188">
        <v>0</v>
      </c>
      <c r="J10" s="188">
        <v>0</v>
      </c>
      <c r="K10" s="188">
        <v>0</v>
      </c>
      <c r="L10" s="188">
        <v>0</v>
      </c>
      <c r="M10" s="188">
        <v>0</v>
      </c>
      <c r="N10" s="188">
        <v>0</v>
      </c>
    </row>
    <row r="11" spans="1:14" x14ac:dyDescent="0.2">
      <c r="A11" s="207" t="s">
        <v>117</v>
      </c>
      <c r="B11" s="187">
        <v>339</v>
      </c>
      <c r="C11" s="188">
        <v>0</v>
      </c>
      <c r="D11" s="188">
        <v>0</v>
      </c>
      <c r="E11" s="188">
        <v>0</v>
      </c>
      <c r="F11" s="188">
        <v>0</v>
      </c>
      <c r="G11" s="188">
        <v>0</v>
      </c>
      <c r="H11" s="188">
        <v>0</v>
      </c>
      <c r="I11" s="188">
        <v>0</v>
      </c>
      <c r="J11" s="188">
        <v>0</v>
      </c>
      <c r="K11" s="188">
        <v>0</v>
      </c>
      <c r="L11" s="188">
        <v>0</v>
      </c>
      <c r="M11" s="188">
        <v>0</v>
      </c>
      <c r="N11" s="188">
        <v>0</v>
      </c>
    </row>
    <row r="12" spans="1:14" ht="25.5" x14ac:dyDescent="0.2">
      <c r="A12" s="207" t="s">
        <v>140</v>
      </c>
      <c r="B12" s="187">
        <v>0</v>
      </c>
      <c r="C12" s="188">
        <v>0</v>
      </c>
      <c r="D12" s="188">
        <v>0</v>
      </c>
      <c r="E12" s="188">
        <v>256</v>
      </c>
      <c r="F12" s="188">
        <v>0</v>
      </c>
      <c r="G12" s="188">
        <v>0</v>
      </c>
      <c r="H12" s="188">
        <v>0</v>
      </c>
      <c r="I12" s="188">
        <v>0</v>
      </c>
      <c r="J12" s="188">
        <v>0</v>
      </c>
      <c r="K12" s="188">
        <v>0</v>
      </c>
      <c r="L12" s="188">
        <v>0</v>
      </c>
      <c r="M12" s="188">
        <v>0</v>
      </c>
      <c r="N12" s="188">
        <v>0</v>
      </c>
    </row>
    <row r="13" spans="1:14" ht="13.5" thickBot="1" x14ac:dyDescent="0.25">
      <c r="A13" s="328" t="s">
        <v>198</v>
      </c>
      <c r="B13" s="329">
        <f>SUM(B7:B12)</f>
        <v>722</v>
      </c>
      <c r="C13" s="329">
        <f>SUM(C7:C12)</f>
        <v>0</v>
      </c>
      <c r="D13" s="354">
        <f>SUM(D7:D12)</f>
        <v>898</v>
      </c>
      <c r="E13" s="354">
        <f t="shared" ref="E13:N13" si="0">SUM(E7:E12)</f>
        <v>256</v>
      </c>
      <c r="F13" s="354">
        <f>SUM(F7:F12)</f>
        <v>68.900000000000006</v>
      </c>
      <c r="G13" s="354">
        <f t="shared" si="0"/>
        <v>105.5</v>
      </c>
      <c r="H13" s="354">
        <f t="shared" si="0"/>
        <v>0</v>
      </c>
      <c r="I13" s="354">
        <f t="shared" si="0"/>
        <v>0</v>
      </c>
      <c r="J13" s="354">
        <f t="shared" si="0"/>
        <v>0</v>
      </c>
      <c r="K13" s="354">
        <f t="shared" si="0"/>
        <v>0</v>
      </c>
      <c r="L13" s="354">
        <f t="shared" si="0"/>
        <v>0</v>
      </c>
      <c r="M13" s="354">
        <f t="shared" si="0"/>
        <v>0</v>
      </c>
      <c r="N13" s="354">
        <f t="shared" si="0"/>
        <v>0</v>
      </c>
    </row>
    <row r="14" spans="1:14" x14ac:dyDescent="0.2">
      <c r="A14" s="206" t="s">
        <v>136</v>
      </c>
      <c r="B14" s="355" t="s">
        <v>24</v>
      </c>
      <c r="C14" s="355" t="s">
        <v>24</v>
      </c>
      <c r="D14" s="356"/>
      <c r="E14" s="356"/>
      <c r="F14" s="356"/>
      <c r="G14" s="356"/>
      <c r="H14" s="356"/>
      <c r="I14" s="356"/>
      <c r="J14" s="356"/>
      <c r="K14" s="356"/>
      <c r="L14" s="356"/>
      <c r="M14" s="356"/>
      <c r="N14" s="356"/>
    </row>
    <row r="15" spans="1:14" ht="25.5" x14ac:dyDescent="0.2">
      <c r="A15" s="207" t="s">
        <v>149</v>
      </c>
      <c r="B15" s="187">
        <v>16</v>
      </c>
      <c r="C15" s="188">
        <v>0</v>
      </c>
      <c r="D15" s="188">
        <v>0</v>
      </c>
      <c r="E15" s="188">
        <v>237</v>
      </c>
      <c r="F15" s="188">
        <v>0</v>
      </c>
      <c r="G15" s="188">
        <v>0</v>
      </c>
      <c r="H15" s="188">
        <v>0</v>
      </c>
      <c r="I15" s="188">
        <v>0</v>
      </c>
      <c r="J15" s="188">
        <v>0</v>
      </c>
      <c r="K15" s="188">
        <v>124</v>
      </c>
      <c r="L15" s="188">
        <v>0</v>
      </c>
      <c r="M15" s="188">
        <v>0</v>
      </c>
      <c r="N15" s="188">
        <v>0</v>
      </c>
    </row>
    <row r="16" spans="1:14" ht="25.5" x14ac:dyDescent="0.2">
      <c r="A16" s="207" t="s">
        <v>112</v>
      </c>
      <c r="B16" s="187">
        <v>0</v>
      </c>
      <c r="C16" s="188">
        <v>0</v>
      </c>
      <c r="D16" s="188">
        <v>0</v>
      </c>
      <c r="E16" s="188">
        <v>0</v>
      </c>
      <c r="F16" s="188">
        <v>340.2</v>
      </c>
      <c r="G16" s="188">
        <v>494.5</v>
      </c>
      <c r="H16" s="188">
        <v>0</v>
      </c>
      <c r="I16" s="188">
        <v>0</v>
      </c>
      <c r="J16" s="188">
        <v>0</v>
      </c>
      <c r="K16" s="188">
        <v>0</v>
      </c>
      <c r="L16" s="188">
        <v>0</v>
      </c>
      <c r="M16" s="188">
        <v>0</v>
      </c>
      <c r="N16" s="188">
        <v>0</v>
      </c>
    </row>
    <row r="17" spans="1:14" ht="25.5" x14ac:dyDescent="0.2">
      <c r="A17" s="207" t="s">
        <v>87</v>
      </c>
      <c r="B17" s="187">
        <v>0</v>
      </c>
      <c r="C17" s="188">
        <v>0</v>
      </c>
      <c r="D17" s="188">
        <v>0</v>
      </c>
      <c r="E17" s="188">
        <v>0</v>
      </c>
      <c r="F17" s="188">
        <v>90.3</v>
      </c>
      <c r="G17" s="188">
        <v>0</v>
      </c>
      <c r="H17" s="188">
        <v>0</v>
      </c>
      <c r="I17" s="188">
        <v>0</v>
      </c>
      <c r="J17" s="188">
        <v>0</v>
      </c>
      <c r="K17" s="188">
        <v>0</v>
      </c>
      <c r="L17" s="188">
        <v>0</v>
      </c>
      <c r="M17" s="188">
        <v>0</v>
      </c>
      <c r="N17" s="188">
        <v>0</v>
      </c>
    </row>
    <row r="18" spans="1:14" ht="25.5" x14ac:dyDescent="0.2">
      <c r="A18" s="207" t="s">
        <v>151</v>
      </c>
      <c r="B18" s="187">
        <v>0</v>
      </c>
      <c r="C18" s="188">
        <v>0</v>
      </c>
      <c r="D18" s="188">
        <v>0</v>
      </c>
      <c r="E18" s="188">
        <v>0</v>
      </c>
      <c r="F18" s="188">
        <v>0</v>
      </c>
      <c r="G18" s="188">
        <v>0</v>
      </c>
      <c r="H18" s="188">
        <v>0</v>
      </c>
      <c r="I18" s="188">
        <v>0</v>
      </c>
      <c r="J18" s="188">
        <v>0</v>
      </c>
      <c r="K18" s="188">
        <v>182</v>
      </c>
      <c r="L18" s="188">
        <v>0</v>
      </c>
      <c r="M18" s="188">
        <v>0</v>
      </c>
      <c r="N18" s="188">
        <v>0</v>
      </c>
    </row>
    <row r="19" spans="1:14" ht="63.75" x14ac:dyDescent="0.2">
      <c r="A19" s="357" t="s">
        <v>167</v>
      </c>
      <c r="B19" s="187">
        <v>0</v>
      </c>
      <c r="C19" s="189">
        <v>0</v>
      </c>
      <c r="D19" s="188">
        <v>50</v>
      </c>
      <c r="E19" s="188">
        <v>0</v>
      </c>
      <c r="F19" s="188">
        <v>0</v>
      </c>
      <c r="G19" s="188">
        <v>0</v>
      </c>
      <c r="H19" s="188">
        <v>0</v>
      </c>
      <c r="I19" s="188">
        <v>0</v>
      </c>
      <c r="J19" s="188">
        <v>175</v>
      </c>
      <c r="K19" s="188">
        <v>0</v>
      </c>
      <c r="L19" s="188">
        <v>0</v>
      </c>
      <c r="M19" s="188">
        <v>0</v>
      </c>
      <c r="N19" s="188">
        <v>0</v>
      </c>
    </row>
    <row r="20" spans="1:14" ht="13.5" thickBot="1" x14ac:dyDescent="0.25">
      <c r="A20" s="328" t="s">
        <v>92</v>
      </c>
      <c r="B20" s="329">
        <f>SUM(B15:B19)</f>
        <v>16</v>
      </c>
      <c r="C20" s="329">
        <f>SUM(C15:C18)</f>
        <v>0</v>
      </c>
      <c r="D20" s="354">
        <f t="shared" ref="D20:N20" si="1">SUM(D15:D19)</f>
        <v>50</v>
      </c>
      <c r="E20" s="354">
        <f t="shared" si="1"/>
        <v>237</v>
      </c>
      <c r="F20" s="354">
        <f>SUM(F15:F19)</f>
        <v>430.5</v>
      </c>
      <c r="G20" s="354">
        <f t="shared" si="1"/>
        <v>494.5</v>
      </c>
      <c r="H20" s="354">
        <f t="shared" si="1"/>
        <v>0</v>
      </c>
      <c r="I20" s="354">
        <f t="shared" si="1"/>
        <v>0</v>
      </c>
      <c r="J20" s="354">
        <f t="shared" si="1"/>
        <v>175</v>
      </c>
      <c r="K20" s="354">
        <f t="shared" si="1"/>
        <v>306</v>
      </c>
      <c r="L20" s="354">
        <f t="shared" si="1"/>
        <v>0</v>
      </c>
      <c r="M20" s="354">
        <f t="shared" si="1"/>
        <v>0</v>
      </c>
      <c r="N20" s="354">
        <f t="shared" si="1"/>
        <v>0</v>
      </c>
    </row>
    <row r="21" spans="1:14" x14ac:dyDescent="0.2">
      <c r="A21" s="206" t="s">
        <v>74</v>
      </c>
      <c r="B21" s="360"/>
      <c r="C21" s="360"/>
      <c r="D21" s="361"/>
      <c r="E21" s="361"/>
      <c r="F21" s="361"/>
      <c r="G21" s="361"/>
      <c r="H21" s="361"/>
      <c r="I21" s="361"/>
      <c r="J21" s="361"/>
      <c r="K21" s="361"/>
      <c r="L21" s="361"/>
      <c r="M21" s="361"/>
      <c r="N21" s="361"/>
    </row>
    <row r="22" spans="1:14" ht="25.5" x14ac:dyDescent="0.2">
      <c r="A22" s="207" t="s">
        <v>88</v>
      </c>
      <c r="B22" s="187">
        <v>159</v>
      </c>
      <c r="C22" s="188">
        <v>0</v>
      </c>
      <c r="D22" s="188">
        <v>0</v>
      </c>
      <c r="E22" s="188">
        <v>0</v>
      </c>
      <c r="F22" s="188">
        <v>0</v>
      </c>
      <c r="G22" s="188">
        <v>0</v>
      </c>
      <c r="H22" s="188">
        <v>0</v>
      </c>
      <c r="I22" s="188">
        <v>0</v>
      </c>
      <c r="J22" s="188">
        <v>0</v>
      </c>
      <c r="K22" s="188">
        <v>0</v>
      </c>
      <c r="L22" s="188">
        <v>0</v>
      </c>
      <c r="M22" s="188">
        <v>0</v>
      </c>
      <c r="N22" s="188">
        <v>0</v>
      </c>
    </row>
    <row r="23" spans="1:14" ht="25.5" x14ac:dyDescent="0.2">
      <c r="A23" s="207" t="s">
        <v>152</v>
      </c>
      <c r="B23" s="187">
        <v>0</v>
      </c>
      <c r="C23" s="188">
        <v>0</v>
      </c>
      <c r="D23" s="188">
        <v>0</v>
      </c>
      <c r="E23" s="188">
        <v>0</v>
      </c>
      <c r="F23" s="188">
        <v>0</v>
      </c>
      <c r="G23" s="188">
        <v>0</v>
      </c>
      <c r="H23" s="188">
        <v>37</v>
      </c>
      <c r="I23" s="188">
        <v>0</v>
      </c>
      <c r="J23" s="188">
        <v>0</v>
      </c>
      <c r="K23" s="188">
        <v>0</v>
      </c>
      <c r="L23" s="188">
        <v>0</v>
      </c>
      <c r="M23" s="188">
        <v>0</v>
      </c>
      <c r="N23" s="188">
        <v>0</v>
      </c>
    </row>
    <row r="24" spans="1:14" ht="25.5" x14ac:dyDescent="0.2">
      <c r="A24" s="207" t="s">
        <v>165</v>
      </c>
      <c r="B24" s="187">
        <v>0</v>
      </c>
      <c r="C24" s="188">
        <v>0</v>
      </c>
      <c r="D24" s="188">
        <v>0</v>
      </c>
      <c r="E24" s="189">
        <v>0</v>
      </c>
      <c r="F24" s="189">
        <v>0</v>
      </c>
      <c r="G24" s="189">
        <v>0</v>
      </c>
      <c r="H24" s="189">
        <v>35</v>
      </c>
      <c r="I24" s="188">
        <v>0</v>
      </c>
      <c r="J24" s="189">
        <v>0</v>
      </c>
      <c r="K24" s="188">
        <v>0</v>
      </c>
      <c r="L24" s="188">
        <v>0</v>
      </c>
      <c r="M24" s="188">
        <v>0</v>
      </c>
      <c r="N24" s="188">
        <v>0</v>
      </c>
    </row>
    <row r="25" spans="1:14" ht="25.5" x14ac:dyDescent="0.2">
      <c r="A25" s="207" t="s">
        <v>164</v>
      </c>
      <c r="B25" s="187">
        <v>0</v>
      </c>
      <c r="C25" s="188">
        <v>0</v>
      </c>
      <c r="D25" s="188">
        <v>0</v>
      </c>
      <c r="E25" s="189">
        <v>0</v>
      </c>
      <c r="F25" s="189">
        <v>0</v>
      </c>
      <c r="G25" s="189">
        <v>0</v>
      </c>
      <c r="H25" s="189">
        <v>0</v>
      </c>
      <c r="I25" s="188">
        <v>0</v>
      </c>
      <c r="J25" s="189">
        <v>0</v>
      </c>
      <c r="K25" s="188">
        <v>0</v>
      </c>
      <c r="L25" s="188">
        <v>155</v>
      </c>
      <c r="M25" s="188">
        <v>0</v>
      </c>
      <c r="N25" s="188">
        <v>0</v>
      </c>
    </row>
    <row r="26" spans="1:14" x14ac:dyDescent="0.2">
      <c r="A26" s="207" t="s">
        <v>153</v>
      </c>
      <c r="B26" s="187">
        <v>733</v>
      </c>
      <c r="C26" s="188">
        <v>0</v>
      </c>
      <c r="D26" s="188">
        <v>0</v>
      </c>
      <c r="E26" s="189">
        <v>0</v>
      </c>
      <c r="F26" s="189">
        <v>0</v>
      </c>
      <c r="G26" s="189">
        <v>0</v>
      </c>
      <c r="H26" s="189">
        <v>0</v>
      </c>
      <c r="I26" s="188">
        <v>0</v>
      </c>
      <c r="J26" s="189">
        <v>0</v>
      </c>
      <c r="K26" s="188">
        <v>0</v>
      </c>
      <c r="L26" s="188">
        <v>0</v>
      </c>
      <c r="M26" s="188">
        <v>0</v>
      </c>
      <c r="N26" s="188">
        <v>0</v>
      </c>
    </row>
    <row r="27" spans="1:14" x14ac:dyDescent="0.2">
      <c r="A27" s="207" t="s">
        <v>150</v>
      </c>
      <c r="B27" s="187">
        <v>0</v>
      </c>
      <c r="C27" s="188">
        <v>0</v>
      </c>
      <c r="D27" s="188">
        <v>0</v>
      </c>
      <c r="E27" s="189">
        <v>0</v>
      </c>
      <c r="F27" s="189">
        <v>0</v>
      </c>
      <c r="G27" s="189">
        <v>0</v>
      </c>
      <c r="H27" s="189">
        <v>0</v>
      </c>
      <c r="I27" s="189">
        <v>0</v>
      </c>
      <c r="J27" s="189">
        <v>0</v>
      </c>
      <c r="K27" s="188">
        <v>65.7</v>
      </c>
      <c r="L27" s="188">
        <v>0</v>
      </c>
      <c r="M27" s="188">
        <v>0</v>
      </c>
      <c r="N27" s="188">
        <v>0</v>
      </c>
    </row>
    <row r="28" spans="1:14" x14ac:dyDescent="0.2">
      <c r="A28" s="207" t="s">
        <v>166</v>
      </c>
      <c r="B28" s="187">
        <v>0</v>
      </c>
      <c r="C28" s="188">
        <v>0</v>
      </c>
      <c r="D28" s="188">
        <v>0</v>
      </c>
      <c r="E28" s="189">
        <v>0</v>
      </c>
      <c r="F28" s="189">
        <v>41</v>
      </c>
      <c r="G28" s="189">
        <v>21</v>
      </c>
      <c r="H28" s="189">
        <v>0</v>
      </c>
      <c r="I28" s="189">
        <v>0</v>
      </c>
      <c r="J28" s="189">
        <v>0</v>
      </c>
      <c r="K28" s="188">
        <v>0</v>
      </c>
      <c r="L28" s="188">
        <v>0</v>
      </c>
      <c r="M28" s="188">
        <v>0</v>
      </c>
      <c r="N28" s="188">
        <v>0</v>
      </c>
    </row>
    <row r="29" spans="1:14" x14ac:dyDescent="0.2">
      <c r="A29" s="207" t="s">
        <v>176</v>
      </c>
      <c r="B29" s="187">
        <v>665</v>
      </c>
      <c r="C29" s="188">
        <v>0</v>
      </c>
      <c r="D29" s="188">
        <v>40</v>
      </c>
      <c r="E29" s="189">
        <v>0</v>
      </c>
      <c r="F29" s="189">
        <v>0</v>
      </c>
      <c r="G29" s="189">
        <v>0</v>
      </c>
      <c r="H29" s="189">
        <v>0</v>
      </c>
      <c r="I29" s="189">
        <v>0</v>
      </c>
      <c r="J29" s="189">
        <v>0</v>
      </c>
      <c r="K29" s="188">
        <v>0</v>
      </c>
      <c r="L29" s="188">
        <v>0</v>
      </c>
      <c r="M29" s="188">
        <v>0</v>
      </c>
      <c r="N29" s="188">
        <v>0</v>
      </c>
    </row>
    <row r="30" spans="1:14" x14ac:dyDescent="0.2">
      <c r="A30" s="375" t="s">
        <v>220</v>
      </c>
      <c r="B30" s="376">
        <v>0</v>
      </c>
      <c r="C30" s="377">
        <v>0</v>
      </c>
      <c r="D30" s="378">
        <v>0</v>
      </c>
      <c r="E30" s="377">
        <v>0</v>
      </c>
      <c r="F30" s="377">
        <v>0</v>
      </c>
      <c r="G30" s="377">
        <v>0</v>
      </c>
      <c r="H30" s="377">
        <v>0</v>
      </c>
      <c r="I30" s="377">
        <v>0</v>
      </c>
      <c r="J30" s="377">
        <v>0</v>
      </c>
      <c r="K30" s="378">
        <v>0</v>
      </c>
      <c r="L30" s="378">
        <v>0</v>
      </c>
      <c r="M30" s="378">
        <v>1097</v>
      </c>
      <c r="N30" s="378">
        <f>'3rd IA CTRs'!F12*M30/M32</f>
        <v>516.20895758516519</v>
      </c>
    </row>
    <row r="31" spans="1:14" x14ac:dyDescent="0.2">
      <c r="A31" s="641" t="s">
        <v>336</v>
      </c>
      <c r="B31" s="642">
        <v>0</v>
      </c>
      <c r="C31" s="643">
        <v>0</v>
      </c>
      <c r="D31" s="644">
        <v>0</v>
      </c>
      <c r="E31" s="643">
        <v>0</v>
      </c>
      <c r="F31" s="643">
        <v>0</v>
      </c>
      <c r="G31" s="643">
        <v>0</v>
      </c>
      <c r="H31" s="643">
        <v>0</v>
      </c>
      <c r="I31" s="643">
        <v>0</v>
      </c>
      <c r="J31" s="643">
        <v>0</v>
      </c>
      <c r="K31" s="644">
        <v>0</v>
      </c>
      <c r="L31" s="644">
        <v>0</v>
      </c>
      <c r="M31" s="644">
        <v>279</v>
      </c>
      <c r="N31" s="644">
        <f>'3rd IA CTRs'!F12*M31/M32</f>
        <v>131.2874194769928</v>
      </c>
    </row>
    <row r="32" spans="1:14" ht="13.5" thickBot="1" x14ac:dyDescent="0.25">
      <c r="A32" s="328" t="s">
        <v>79</v>
      </c>
      <c r="B32" s="329">
        <f>SUM(B22:B31)</f>
        <v>1557</v>
      </c>
      <c r="C32" s="329">
        <f t="shared" ref="C32:N32" si="2">SUM(C22:C31)</f>
        <v>0</v>
      </c>
      <c r="D32" s="329">
        <f t="shared" si="2"/>
        <v>40</v>
      </c>
      <c r="E32" s="329">
        <f t="shared" si="2"/>
        <v>0</v>
      </c>
      <c r="F32" s="329">
        <f t="shared" si="2"/>
        <v>41</v>
      </c>
      <c r="G32" s="329">
        <f t="shared" si="2"/>
        <v>21</v>
      </c>
      <c r="H32" s="329">
        <f t="shared" si="2"/>
        <v>72</v>
      </c>
      <c r="I32" s="329">
        <f t="shared" si="2"/>
        <v>0</v>
      </c>
      <c r="J32" s="329">
        <f t="shared" si="2"/>
        <v>0</v>
      </c>
      <c r="K32" s="329">
        <f t="shared" si="2"/>
        <v>65.7</v>
      </c>
      <c r="L32" s="329">
        <f t="shared" si="2"/>
        <v>155</v>
      </c>
      <c r="M32" s="329">
        <f t="shared" si="2"/>
        <v>1376</v>
      </c>
      <c r="N32" s="329">
        <f t="shared" si="2"/>
        <v>647.49637706215799</v>
      </c>
    </row>
    <row r="33" spans="1:14" x14ac:dyDescent="0.2">
      <c r="A33" s="358"/>
      <c r="B33" s="351"/>
      <c r="C33" s="351"/>
      <c r="D33" s="359"/>
      <c r="E33" s="359"/>
      <c r="F33" s="359"/>
      <c r="G33" s="359"/>
      <c r="H33" s="359"/>
      <c r="I33" s="359"/>
      <c r="J33" s="359"/>
      <c r="K33" s="359"/>
      <c r="L33" s="359"/>
      <c r="M33" s="359"/>
      <c r="N33" s="359"/>
    </row>
    <row r="34" spans="1:14" ht="13.5" thickBot="1" x14ac:dyDescent="0.25">
      <c r="A34" s="328" t="s">
        <v>80</v>
      </c>
      <c r="B34" s="329">
        <f>B13+B20+B32</f>
        <v>2295</v>
      </c>
      <c r="C34" s="329">
        <f t="shared" ref="C34:N34" si="3">C13+C20+C32</f>
        <v>0</v>
      </c>
      <c r="D34" s="330">
        <f t="shared" si="3"/>
        <v>988</v>
      </c>
      <c r="E34" s="330">
        <f>E13+E20+E32</f>
        <v>493</v>
      </c>
      <c r="F34" s="330">
        <f t="shared" si="3"/>
        <v>540.4</v>
      </c>
      <c r="G34" s="330">
        <f t="shared" si="3"/>
        <v>621</v>
      </c>
      <c r="H34" s="330">
        <f t="shared" si="3"/>
        <v>72</v>
      </c>
      <c r="I34" s="330">
        <f t="shared" si="3"/>
        <v>0</v>
      </c>
      <c r="J34" s="330">
        <f t="shared" si="3"/>
        <v>175</v>
      </c>
      <c r="K34" s="330">
        <f t="shared" si="3"/>
        <v>371.7</v>
      </c>
      <c r="L34" s="330">
        <f t="shared" si="3"/>
        <v>155</v>
      </c>
      <c r="M34" s="330">
        <f t="shared" si="3"/>
        <v>1376</v>
      </c>
      <c r="N34" s="330">
        <f t="shared" si="3"/>
        <v>647.49637706215799</v>
      </c>
    </row>
    <row r="35" spans="1:14" ht="12.75" customHeight="1" x14ac:dyDescent="0.2">
      <c r="A35" s="347" t="s">
        <v>104</v>
      </c>
      <c r="B35" s="379"/>
      <c r="C35" s="379"/>
      <c r="D35" s="379"/>
      <c r="E35" s="379"/>
      <c r="F35" s="379"/>
      <c r="G35" s="379"/>
      <c r="H35" s="379"/>
      <c r="I35" s="379"/>
      <c r="J35" s="379"/>
      <c r="K35" s="379"/>
      <c r="L35" s="379"/>
      <c r="M35" s="149"/>
    </row>
    <row r="36" spans="1:14" x14ac:dyDescent="0.2">
      <c r="A36" s="23"/>
      <c r="B36" s="150"/>
      <c r="C36" s="150"/>
      <c r="D36" s="40"/>
      <c r="E36" s="149"/>
      <c r="F36" s="149"/>
      <c r="G36" s="149"/>
      <c r="H36" s="149"/>
      <c r="I36" s="149"/>
      <c r="J36" s="34"/>
      <c r="K36" s="149"/>
      <c r="L36" s="149"/>
    </row>
    <row r="37" spans="1:14" x14ac:dyDescent="0.2">
      <c r="A37" s="344"/>
      <c r="B37" s="344"/>
      <c r="C37" s="344"/>
      <c r="D37" s="344"/>
      <c r="E37" s="344"/>
      <c r="F37" s="344"/>
      <c r="G37" s="344"/>
      <c r="H37" s="21"/>
      <c r="I37" s="664"/>
      <c r="J37" s="664"/>
      <c r="K37" s="664"/>
      <c r="L37" s="664"/>
    </row>
    <row r="38" spans="1:14" ht="13.5" thickBot="1" x14ac:dyDescent="0.25">
      <c r="A38" s="778" t="s">
        <v>299</v>
      </c>
      <c r="B38" s="344"/>
      <c r="C38" s="344"/>
      <c r="D38" s="344"/>
      <c r="E38" s="344"/>
      <c r="F38" s="344"/>
      <c r="G38" s="344"/>
      <c r="H38" s="21"/>
      <c r="I38" s="664"/>
      <c r="J38" s="664"/>
      <c r="K38" s="664"/>
      <c r="L38" s="664"/>
    </row>
    <row r="39" spans="1:14" ht="13.5" thickBot="1" x14ac:dyDescent="0.25">
      <c r="A39" s="778"/>
      <c r="B39" s="578" t="s">
        <v>28</v>
      </c>
      <c r="C39" s="578" t="s">
        <v>33</v>
      </c>
      <c r="D39" s="578" t="s">
        <v>5</v>
      </c>
      <c r="E39" s="578" t="s">
        <v>8</v>
      </c>
      <c r="F39" s="578" t="s">
        <v>34</v>
      </c>
      <c r="G39" s="578" t="s">
        <v>35</v>
      </c>
      <c r="H39" s="578" t="s">
        <v>15</v>
      </c>
      <c r="I39" s="578" t="s">
        <v>11</v>
      </c>
      <c r="J39" s="578" t="s">
        <v>50</v>
      </c>
      <c r="K39" s="578" t="s">
        <v>20</v>
      </c>
      <c r="L39" s="21"/>
    </row>
    <row r="40" spans="1:14" ht="13.5" thickBot="1" x14ac:dyDescent="0.25">
      <c r="A40" s="594" t="s">
        <v>300</v>
      </c>
      <c r="B40" s="595">
        <f>'3rd IA Load Pricing Results'!D14</f>
        <v>0</v>
      </c>
      <c r="C40" s="596">
        <f>'3rd IA Load Pricing Results'!D15-'3rd IA Load Pricing Results'!D14</f>
        <v>25.470059248618259</v>
      </c>
      <c r="D40" s="596">
        <f>'3rd IA Load Pricing Results'!D16-'3rd IA Load Pricing Results'!D14</f>
        <v>0</v>
      </c>
      <c r="E40" s="586">
        <f>'3rd IA Load Pricing Results'!D28</f>
        <v>39.700921442599537</v>
      </c>
      <c r="F40" s="586">
        <f>'3rd IA Load Pricing Results'!D29-'3rd IA Load Pricing Results'!D28</f>
        <v>4.1901543519956164</v>
      </c>
      <c r="G40" s="586">
        <f>'3rd IA Load Pricing Results'!D32</f>
        <v>0</v>
      </c>
      <c r="H40" s="596">
        <f>'3rd IA Load Pricing Results'!D17-'3rd IA Load Pricing Results'!D16</f>
        <v>0</v>
      </c>
      <c r="I40" s="596">
        <f>'3rd IA Load Pricing Results'!D19-'3rd IA Load Pricing Results'!D16</f>
        <v>59.952687752960578</v>
      </c>
      <c r="J40" s="596">
        <f>'3rd IA Load Pricing Results'!D22</f>
        <v>0</v>
      </c>
      <c r="K40" s="597">
        <f>'3rd IA Load Pricing Results'!D18</f>
        <v>56.26571236358199</v>
      </c>
      <c r="L40" s="21"/>
    </row>
    <row r="41" spans="1:14" ht="13.5" thickBot="1" x14ac:dyDescent="0.25">
      <c r="A41" s="602" t="s">
        <v>301</v>
      </c>
      <c r="B41" s="780" t="s">
        <v>302</v>
      </c>
      <c r="C41" s="781"/>
      <c r="D41" s="781"/>
      <c r="E41" s="781"/>
      <c r="F41" s="781"/>
      <c r="G41" s="781"/>
      <c r="H41" s="781"/>
      <c r="I41" s="781"/>
      <c r="J41" s="781"/>
      <c r="K41" s="782"/>
      <c r="L41" s="21"/>
    </row>
    <row r="42" spans="1:14" x14ac:dyDescent="0.2">
      <c r="A42" s="606" t="s">
        <v>303</v>
      </c>
      <c r="B42" s="603">
        <f t="shared" ref="B42:B47" si="4">C7*$B$40</f>
        <v>0</v>
      </c>
      <c r="C42" s="579">
        <f t="shared" ref="C42:C47" si="5">D7*$C$40</f>
        <v>0</v>
      </c>
      <c r="D42" s="579">
        <f t="shared" ref="D42:D47" si="6">E7*$D$40</f>
        <v>0</v>
      </c>
      <c r="E42" s="579">
        <f t="shared" ref="E42:E47" si="7">F7*$E$40</f>
        <v>0</v>
      </c>
      <c r="F42" s="579">
        <f t="shared" ref="F42:F47" si="8">G7*$F$40</f>
        <v>0</v>
      </c>
      <c r="G42" s="579">
        <f t="shared" ref="G42:G47" si="9">I7*$G$40</f>
        <v>0</v>
      </c>
      <c r="H42" s="579">
        <f t="shared" ref="H42:H47" si="10">J7*$H$40</f>
        <v>0</v>
      </c>
      <c r="I42" s="579">
        <f t="shared" ref="I42:I47" si="11">K7*$I$40</f>
        <v>0</v>
      </c>
      <c r="J42" s="598">
        <f t="shared" ref="J42:J47" si="12">L7*$J$40</f>
        <v>0</v>
      </c>
      <c r="K42" s="580">
        <f t="shared" ref="K42:K47" si="13">M7*$K$40</f>
        <v>0</v>
      </c>
      <c r="L42" s="21"/>
    </row>
    <row r="43" spans="1:14" x14ac:dyDescent="0.2">
      <c r="A43" s="607" t="s">
        <v>304</v>
      </c>
      <c r="B43" s="604">
        <f t="shared" si="4"/>
        <v>0</v>
      </c>
      <c r="C43" s="581">
        <f t="shared" si="5"/>
        <v>0</v>
      </c>
      <c r="D43" s="581">
        <f t="shared" si="6"/>
        <v>0</v>
      </c>
      <c r="E43" s="581">
        <f t="shared" si="7"/>
        <v>0</v>
      </c>
      <c r="F43" s="581">
        <f t="shared" si="8"/>
        <v>0</v>
      </c>
      <c r="G43" s="581">
        <f t="shared" si="9"/>
        <v>0</v>
      </c>
      <c r="H43" s="581">
        <f t="shared" si="10"/>
        <v>0</v>
      </c>
      <c r="I43" s="581">
        <f t="shared" si="11"/>
        <v>0</v>
      </c>
      <c r="J43" s="599">
        <f t="shared" si="12"/>
        <v>0</v>
      </c>
      <c r="K43" s="582">
        <f t="shared" si="13"/>
        <v>0</v>
      </c>
      <c r="L43" s="21"/>
    </row>
    <row r="44" spans="1:14" x14ac:dyDescent="0.2">
      <c r="A44" s="607" t="s">
        <v>305</v>
      </c>
      <c r="B44" s="604">
        <f t="shared" si="4"/>
        <v>0</v>
      </c>
      <c r="C44" s="581">
        <f t="shared" si="5"/>
        <v>0</v>
      </c>
      <c r="D44" s="581">
        <f t="shared" si="6"/>
        <v>0</v>
      </c>
      <c r="E44" s="581">
        <f t="shared" si="7"/>
        <v>0</v>
      </c>
      <c r="F44" s="581">
        <f t="shared" si="8"/>
        <v>0</v>
      </c>
      <c r="G44" s="581">
        <f t="shared" si="9"/>
        <v>0</v>
      </c>
      <c r="H44" s="581">
        <f t="shared" si="10"/>
        <v>0</v>
      </c>
      <c r="I44" s="581">
        <f t="shared" si="11"/>
        <v>0</v>
      </c>
      <c r="J44" s="599">
        <f t="shared" si="12"/>
        <v>0</v>
      </c>
      <c r="K44" s="582">
        <f t="shared" si="13"/>
        <v>0</v>
      </c>
      <c r="L44" s="21"/>
    </row>
    <row r="45" spans="1:14" x14ac:dyDescent="0.2">
      <c r="A45" s="607" t="s">
        <v>306</v>
      </c>
      <c r="B45" s="604">
        <f t="shared" si="4"/>
        <v>0</v>
      </c>
      <c r="C45" s="581">
        <f>D10*$C$40</f>
        <v>22872.113205259197</v>
      </c>
      <c r="D45" s="581">
        <f t="shared" si="6"/>
        <v>0</v>
      </c>
      <c r="E45" s="581">
        <f>F10*$E$40</f>
        <v>2735.3934873951084</v>
      </c>
      <c r="F45" s="581">
        <f>G10*$F$40</f>
        <v>442.06128413553751</v>
      </c>
      <c r="G45" s="581">
        <f t="shared" si="9"/>
        <v>0</v>
      </c>
      <c r="H45" s="581">
        <f t="shared" si="10"/>
        <v>0</v>
      </c>
      <c r="I45" s="581">
        <f t="shared" si="11"/>
        <v>0</v>
      </c>
      <c r="J45" s="599">
        <f t="shared" si="12"/>
        <v>0</v>
      </c>
      <c r="K45" s="582">
        <f t="shared" si="13"/>
        <v>0</v>
      </c>
      <c r="L45" s="21"/>
    </row>
    <row r="46" spans="1:14" x14ac:dyDescent="0.2">
      <c r="A46" s="607" t="s">
        <v>307</v>
      </c>
      <c r="B46" s="604">
        <f t="shared" si="4"/>
        <v>0</v>
      </c>
      <c r="C46" s="581">
        <f t="shared" si="5"/>
        <v>0</v>
      </c>
      <c r="D46" s="581">
        <f t="shared" si="6"/>
        <v>0</v>
      </c>
      <c r="E46" s="581">
        <f t="shared" si="7"/>
        <v>0</v>
      </c>
      <c r="F46" s="581">
        <f t="shared" si="8"/>
        <v>0</v>
      </c>
      <c r="G46" s="581">
        <f t="shared" si="9"/>
        <v>0</v>
      </c>
      <c r="H46" s="581">
        <f t="shared" si="10"/>
        <v>0</v>
      </c>
      <c r="I46" s="581">
        <f t="shared" si="11"/>
        <v>0</v>
      </c>
      <c r="J46" s="599">
        <f t="shared" si="12"/>
        <v>0</v>
      </c>
      <c r="K46" s="582">
        <f t="shared" si="13"/>
        <v>0</v>
      </c>
      <c r="L46" s="21"/>
    </row>
    <row r="47" spans="1:14" x14ac:dyDescent="0.2">
      <c r="A47" s="607" t="s">
        <v>308</v>
      </c>
      <c r="B47" s="604">
        <f t="shared" si="4"/>
        <v>0</v>
      </c>
      <c r="C47" s="581">
        <f t="shared" si="5"/>
        <v>0</v>
      </c>
      <c r="D47" s="581">
        <f t="shared" si="6"/>
        <v>0</v>
      </c>
      <c r="E47" s="581">
        <f t="shared" si="7"/>
        <v>0</v>
      </c>
      <c r="F47" s="581">
        <f t="shared" si="8"/>
        <v>0</v>
      </c>
      <c r="G47" s="581">
        <f t="shared" si="9"/>
        <v>0</v>
      </c>
      <c r="H47" s="581">
        <f t="shared" si="10"/>
        <v>0</v>
      </c>
      <c r="I47" s="581">
        <f t="shared" si="11"/>
        <v>0</v>
      </c>
      <c r="J47" s="599">
        <f t="shared" si="12"/>
        <v>0</v>
      </c>
      <c r="K47" s="582">
        <f t="shared" si="13"/>
        <v>0</v>
      </c>
      <c r="L47" s="21"/>
    </row>
    <row r="48" spans="1:14" x14ac:dyDescent="0.2">
      <c r="A48" s="607" t="s">
        <v>309</v>
      </c>
      <c r="B48" s="604">
        <f>C15*$B$40</f>
        <v>0</v>
      </c>
      <c r="C48" s="581">
        <f>D15*$C$40</f>
        <v>0</v>
      </c>
      <c r="D48" s="581">
        <f>E15*$D$40</f>
        <v>0</v>
      </c>
      <c r="E48" s="581">
        <f>F15*$E$40</f>
        <v>0</v>
      </c>
      <c r="F48" s="581">
        <f>G15*$F$40</f>
        <v>0</v>
      </c>
      <c r="G48" s="581">
        <f>I15*$G$40</f>
        <v>0</v>
      </c>
      <c r="H48" s="581">
        <f>J15*$H$40</f>
        <v>0</v>
      </c>
      <c r="I48" s="581">
        <f>K15*$I$40</f>
        <v>7434.1332813671115</v>
      </c>
      <c r="J48" s="599">
        <f>L15*$J$40</f>
        <v>0</v>
      </c>
      <c r="K48" s="582">
        <f>M15*$K$40</f>
        <v>0</v>
      </c>
      <c r="L48" s="21"/>
    </row>
    <row r="49" spans="1:12" x14ac:dyDescent="0.2">
      <c r="A49" s="607" t="s">
        <v>310</v>
      </c>
      <c r="B49" s="604">
        <f>C16*$B$40</f>
        <v>0</v>
      </c>
      <c r="C49" s="581">
        <f>D16*$C$40</f>
        <v>0</v>
      </c>
      <c r="D49" s="581">
        <f>E16*$D$40</f>
        <v>0</v>
      </c>
      <c r="E49" s="581">
        <f>F16*$E$40</f>
        <v>13506.253474772362</v>
      </c>
      <c r="F49" s="581">
        <f>G16*$F$40</f>
        <v>2072.0313270618321</v>
      </c>
      <c r="G49" s="581">
        <f>I16*$G$40</f>
        <v>0</v>
      </c>
      <c r="H49" s="581">
        <f>J16*$H$40</f>
        <v>0</v>
      </c>
      <c r="I49" s="581">
        <f>K16*$I$40</f>
        <v>0</v>
      </c>
      <c r="J49" s="599">
        <f>L16*$J$40</f>
        <v>0</v>
      </c>
      <c r="K49" s="582">
        <f>M16*$K$40</f>
        <v>0</v>
      </c>
      <c r="L49" s="21"/>
    </row>
    <row r="50" spans="1:12" x14ac:dyDescent="0.2">
      <c r="A50" s="607" t="s">
        <v>311</v>
      </c>
      <c r="B50" s="604">
        <f>C17*$B$40</f>
        <v>0</v>
      </c>
      <c r="C50" s="581">
        <f>D17*$C$40</f>
        <v>0</v>
      </c>
      <c r="D50" s="581">
        <f>E17*$D$40</f>
        <v>0</v>
      </c>
      <c r="E50" s="581">
        <f>F17*$E$40</f>
        <v>3584.9932062667381</v>
      </c>
      <c r="F50" s="581">
        <f>G17*$F$40</f>
        <v>0</v>
      </c>
      <c r="G50" s="581">
        <f>I17*$G$40</f>
        <v>0</v>
      </c>
      <c r="H50" s="581">
        <f>J17*$H$40</f>
        <v>0</v>
      </c>
      <c r="I50" s="581">
        <f>K17*$I$40</f>
        <v>0</v>
      </c>
      <c r="J50" s="599">
        <f>L17*$J$40</f>
        <v>0</v>
      </c>
      <c r="K50" s="582">
        <f>M17*$K$40</f>
        <v>0</v>
      </c>
      <c r="L50" s="21"/>
    </row>
    <row r="51" spans="1:12" x14ac:dyDescent="0.2">
      <c r="A51" s="607" t="s">
        <v>312</v>
      </c>
      <c r="B51" s="604">
        <f>C18*$B$40</f>
        <v>0</v>
      </c>
      <c r="C51" s="581">
        <f>D18*$C$40</f>
        <v>0</v>
      </c>
      <c r="D51" s="581">
        <f>E18*$D$40</f>
        <v>0</v>
      </c>
      <c r="E51" s="581">
        <f t="shared" ref="E51" si="14">F18*$E$40</f>
        <v>0</v>
      </c>
      <c r="F51" s="581">
        <f>G18*$F$40</f>
        <v>0</v>
      </c>
      <c r="G51" s="581">
        <f>I18*$G$40</f>
        <v>0</v>
      </c>
      <c r="H51" s="581">
        <f>J18*$H$40</f>
        <v>0</v>
      </c>
      <c r="I51" s="581">
        <f>K18*$I$40</f>
        <v>10911.389171038825</v>
      </c>
      <c r="J51" s="599">
        <f>L18*$J$40</f>
        <v>0</v>
      </c>
      <c r="K51" s="582">
        <f>M18*$K$40</f>
        <v>0</v>
      </c>
      <c r="L51" s="21"/>
    </row>
    <row r="52" spans="1:12" ht="13.5" thickBot="1" x14ac:dyDescent="0.25">
      <c r="A52" s="608" t="s">
        <v>313</v>
      </c>
      <c r="B52" s="605">
        <f>C19*$B$40</f>
        <v>0</v>
      </c>
      <c r="C52" s="583">
        <f>D19*$C$40</f>
        <v>1273.5029624309129</v>
      </c>
      <c r="D52" s="583">
        <f>E19*$D$40</f>
        <v>0</v>
      </c>
      <c r="E52" s="583">
        <f>F19*$E$40</f>
        <v>0</v>
      </c>
      <c r="F52" s="583">
        <f>G19*$F$40</f>
        <v>0</v>
      </c>
      <c r="G52" s="583">
        <f>H19*$G$40</f>
        <v>0</v>
      </c>
      <c r="H52" s="583">
        <f>I19*$H$40</f>
        <v>0</v>
      </c>
      <c r="I52" s="583">
        <f>K19*$I$40</f>
        <v>0</v>
      </c>
      <c r="J52" s="600">
        <f>K19*$J$40</f>
        <v>0</v>
      </c>
      <c r="K52" s="584">
        <f>L19*$K$40</f>
        <v>0</v>
      </c>
      <c r="L52" s="21"/>
    </row>
    <row r="53" spans="1:12" ht="13.5" thickBot="1" x14ac:dyDescent="0.25">
      <c r="A53" s="585" t="s">
        <v>314</v>
      </c>
      <c r="B53" s="586">
        <f t="shared" ref="B53:K53" si="15">SUM(B42:B52)</f>
        <v>0</v>
      </c>
      <c r="C53" s="586">
        <f t="shared" si="15"/>
        <v>24145.61616769011</v>
      </c>
      <c r="D53" s="586">
        <f t="shared" si="15"/>
        <v>0</v>
      </c>
      <c r="E53" s="586">
        <f t="shared" si="15"/>
        <v>19826.640168434209</v>
      </c>
      <c r="F53" s="586">
        <f t="shared" si="15"/>
        <v>2514.0926111973695</v>
      </c>
      <c r="G53" s="586">
        <f t="shared" si="15"/>
        <v>0</v>
      </c>
      <c r="H53" s="586">
        <f t="shared" si="15"/>
        <v>0</v>
      </c>
      <c r="I53" s="586">
        <f>SUM(I42:I52)</f>
        <v>18345.522452405938</v>
      </c>
      <c r="J53" s="601">
        <f t="shared" si="15"/>
        <v>0</v>
      </c>
      <c r="K53" s="587">
        <f t="shared" si="15"/>
        <v>0</v>
      </c>
      <c r="L53" s="21"/>
    </row>
    <row r="54" spans="1:12" x14ac:dyDescent="0.2">
      <c r="A54" s="143" t="s">
        <v>67</v>
      </c>
      <c r="B54" s="588"/>
      <c r="C54" s="141"/>
      <c r="D54" s="141"/>
      <c r="E54" s="21"/>
      <c r="F54" s="21"/>
      <c r="G54" s="21"/>
      <c r="H54" s="21"/>
      <c r="I54" s="21"/>
      <c r="J54" s="21"/>
      <c r="K54" s="21"/>
      <c r="L54" s="21"/>
    </row>
    <row r="55" spans="1:12" x14ac:dyDescent="0.2">
      <c r="A55" s="143" t="s">
        <v>315</v>
      </c>
      <c r="B55" s="588"/>
      <c r="C55" s="141"/>
      <c r="D55" s="141"/>
      <c r="E55" s="21"/>
      <c r="F55" s="21"/>
      <c r="G55" s="21"/>
      <c r="H55" s="21"/>
      <c r="I55" s="21"/>
      <c r="J55" s="21"/>
      <c r="K55" s="21"/>
      <c r="L55" s="21"/>
    </row>
    <row r="56" spans="1:12" x14ac:dyDescent="0.2">
      <c r="A56" s="121" t="s">
        <v>316</v>
      </c>
      <c r="B56" s="588"/>
      <c r="C56" s="141"/>
      <c r="D56" s="141"/>
      <c r="E56" s="21"/>
      <c r="F56" s="21"/>
      <c r="G56" s="21"/>
      <c r="H56" s="21"/>
      <c r="I56" s="21"/>
      <c r="J56" s="21"/>
      <c r="K56" s="21"/>
      <c r="L56" s="21"/>
    </row>
    <row r="57" spans="1:12" x14ac:dyDescent="0.2">
      <c r="A57" s="121" t="s">
        <v>317</v>
      </c>
      <c r="B57" s="588"/>
      <c r="C57" s="141"/>
      <c r="D57" s="141"/>
      <c r="E57" s="21"/>
      <c r="F57" s="21"/>
      <c r="G57" s="21"/>
      <c r="H57" s="21"/>
      <c r="I57" s="21"/>
      <c r="J57" s="21"/>
      <c r="K57" s="21"/>
      <c r="L57" s="21"/>
    </row>
    <row r="58" spans="1:12" x14ac:dyDescent="0.2">
      <c r="A58" s="121" t="s">
        <v>318</v>
      </c>
      <c r="B58" s="588"/>
      <c r="C58" s="141"/>
      <c r="D58" s="141"/>
      <c r="E58" s="21"/>
      <c r="F58" s="21"/>
      <c r="G58" s="21"/>
      <c r="H58" s="21"/>
      <c r="I58" s="21"/>
      <c r="J58" s="21"/>
      <c r="K58" s="21"/>
      <c r="L58" s="21"/>
    </row>
    <row r="59" spans="1:12" x14ac:dyDescent="0.2">
      <c r="A59" s="264"/>
      <c r="B59" s="588"/>
      <c r="C59" s="141"/>
      <c r="D59" s="141"/>
      <c r="E59" s="21"/>
      <c r="F59" s="21"/>
      <c r="G59" s="21"/>
      <c r="H59" s="21"/>
      <c r="I59" s="21"/>
      <c r="J59" s="21"/>
      <c r="K59" s="21"/>
      <c r="L59" s="21"/>
    </row>
    <row r="60" spans="1:12" ht="13.5" thickBot="1" x14ac:dyDescent="0.25">
      <c r="A60" s="21"/>
      <c r="B60" s="21"/>
      <c r="C60" s="21"/>
      <c r="D60" s="21"/>
      <c r="E60" s="21"/>
      <c r="F60" s="21"/>
      <c r="G60" s="21"/>
      <c r="H60" s="21"/>
      <c r="I60" s="21"/>
      <c r="J60" s="21"/>
      <c r="K60" s="21"/>
      <c r="L60" s="21"/>
    </row>
    <row r="61" spans="1:12" ht="16.5" thickBot="1" x14ac:dyDescent="0.3">
      <c r="A61" s="159" t="s">
        <v>59</v>
      </c>
      <c r="B61" s="21"/>
      <c r="C61" s="21"/>
      <c r="D61" s="21"/>
      <c r="E61" s="21"/>
      <c r="F61" s="21"/>
      <c r="G61" s="21"/>
      <c r="H61" s="21"/>
      <c r="I61" s="21"/>
      <c r="J61" s="21"/>
      <c r="K61" s="21"/>
      <c r="L61" s="21"/>
    </row>
    <row r="62" spans="1:12" ht="77.25" thickBot="1" x14ac:dyDescent="0.25">
      <c r="A62" s="331" t="s">
        <v>3</v>
      </c>
      <c r="B62" s="332" t="s">
        <v>76</v>
      </c>
      <c r="C62" s="333" t="s">
        <v>100</v>
      </c>
      <c r="D62" s="29"/>
      <c r="E62" s="21"/>
      <c r="F62" s="21"/>
      <c r="G62" s="21"/>
      <c r="H62" s="21"/>
      <c r="I62" s="21"/>
      <c r="J62" s="21"/>
      <c r="K62" s="21"/>
      <c r="L62" s="21"/>
    </row>
    <row r="63" spans="1:12" x14ac:dyDescent="0.2">
      <c r="A63" s="336" t="s">
        <v>28</v>
      </c>
      <c r="B63" s="589">
        <f>C32*B40</f>
        <v>0</v>
      </c>
      <c r="C63" s="282">
        <f>B53</f>
        <v>0</v>
      </c>
      <c r="D63" s="21"/>
      <c r="E63" s="52" t="s">
        <v>24</v>
      </c>
      <c r="F63" s="21"/>
      <c r="G63" s="21"/>
      <c r="H63" s="21"/>
      <c r="I63" s="21"/>
      <c r="J63" s="21"/>
      <c r="K63" s="21"/>
      <c r="L63" s="21"/>
    </row>
    <row r="64" spans="1:12" x14ac:dyDescent="0.2">
      <c r="A64" s="47" t="s">
        <v>33</v>
      </c>
      <c r="B64" s="50">
        <f>D32*C40</f>
        <v>1018.8023699447303</v>
      </c>
      <c r="C64" s="51">
        <f>C53</f>
        <v>24145.61616769011</v>
      </c>
      <c r="D64" s="52"/>
      <c r="E64" s="21"/>
      <c r="F64" s="21"/>
      <c r="G64" s="21"/>
      <c r="H64" s="21"/>
      <c r="I64" s="21"/>
      <c r="J64" s="21"/>
      <c r="K64" s="21"/>
      <c r="L64" s="21"/>
    </row>
    <row r="65" spans="1:12" x14ac:dyDescent="0.2">
      <c r="A65" s="47" t="s">
        <v>5</v>
      </c>
      <c r="B65" s="50">
        <f>E32*D40</f>
        <v>0</v>
      </c>
      <c r="C65" s="51">
        <f>D53</f>
        <v>0</v>
      </c>
      <c r="D65" s="21"/>
      <c r="E65" s="21"/>
      <c r="F65" s="21"/>
      <c r="G65" s="21"/>
      <c r="H65" s="21"/>
      <c r="I65" s="21"/>
      <c r="J65" s="21"/>
      <c r="K65" s="21"/>
      <c r="L65" s="21"/>
    </row>
    <row r="66" spans="1:12" x14ac:dyDescent="0.2">
      <c r="A66" s="144" t="s">
        <v>8</v>
      </c>
      <c r="B66" s="50">
        <f>F32*E40</f>
        <v>1627.737779146581</v>
      </c>
      <c r="C66" s="51">
        <f>E53</f>
        <v>19826.640168434209</v>
      </c>
      <c r="D66" s="21"/>
      <c r="E66" s="52" t="s">
        <v>24</v>
      </c>
      <c r="F66" s="21" t="s">
        <v>24</v>
      </c>
      <c r="G66" s="79" t="s">
        <v>24</v>
      </c>
      <c r="H66" s="21"/>
      <c r="I66" s="21"/>
      <c r="J66" s="21"/>
      <c r="K66" s="21"/>
      <c r="L66" s="21"/>
    </row>
    <row r="67" spans="1:12" x14ac:dyDescent="0.2">
      <c r="A67" s="144" t="s">
        <v>34</v>
      </c>
      <c r="B67" s="50">
        <f>G32*F40</f>
        <v>87.993241391907944</v>
      </c>
      <c r="C67" s="51">
        <f>F53</f>
        <v>2514.0926111973695</v>
      </c>
      <c r="D67" s="21"/>
      <c r="E67" s="52" t="s">
        <v>24</v>
      </c>
      <c r="F67" s="21"/>
      <c r="G67" s="79" t="s">
        <v>24</v>
      </c>
      <c r="H67" s="21"/>
      <c r="I67" s="21"/>
      <c r="J67" s="21"/>
      <c r="K67" s="21"/>
      <c r="L67" s="21"/>
    </row>
    <row r="68" spans="1:12" x14ac:dyDescent="0.2">
      <c r="A68" s="144" t="s">
        <v>35</v>
      </c>
      <c r="B68" s="50">
        <f>I32*G40</f>
        <v>0</v>
      </c>
      <c r="C68" s="51">
        <f>G53</f>
        <v>0</v>
      </c>
      <c r="D68" s="21"/>
      <c r="E68" s="21"/>
      <c r="F68" s="21"/>
      <c r="G68" s="79" t="s">
        <v>24</v>
      </c>
      <c r="H68" s="21"/>
      <c r="I68" s="21"/>
      <c r="J68" s="21"/>
      <c r="K68" s="21"/>
      <c r="L68" s="21"/>
    </row>
    <row r="69" spans="1:12" x14ac:dyDescent="0.2">
      <c r="A69" s="144" t="s">
        <v>15</v>
      </c>
      <c r="B69" s="50">
        <f>J32*H40</f>
        <v>0</v>
      </c>
      <c r="C69" s="51">
        <f>H53</f>
        <v>0</v>
      </c>
      <c r="D69" s="21"/>
      <c r="E69" s="21"/>
      <c r="F69" s="21"/>
      <c r="G69" s="21"/>
      <c r="H69" s="21"/>
      <c r="I69" s="21"/>
      <c r="J69" s="21"/>
      <c r="K69" s="21"/>
      <c r="L69" s="21"/>
    </row>
    <row r="70" spans="1:12" x14ac:dyDescent="0.2">
      <c r="A70" s="144" t="s">
        <v>11</v>
      </c>
      <c r="B70" s="50">
        <f>K32*I40</f>
        <v>3938.8915853695103</v>
      </c>
      <c r="C70" s="51">
        <f>I53</f>
        <v>18345.522452405938</v>
      </c>
      <c r="D70" s="21"/>
      <c r="E70" s="21"/>
      <c r="F70" s="21"/>
      <c r="G70" s="21"/>
      <c r="H70" s="21"/>
      <c r="I70" s="21"/>
      <c r="J70" s="21"/>
      <c r="K70" s="21"/>
      <c r="L70" s="21"/>
    </row>
    <row r="71" spans="1:12" x14ac:dyDescent="0.2">
      <c r="A71" s="144" t="s">
        <v>50</v>
      </c>
      <c r="B71" s="609">
        <f>L32*J40</f>
        <v>0</v>
      </c>
      <c r="C71" s="145">
        <f>J53</f>
        <v>0</v>
      </c>
      <c r="D71" s="21"/>
      <c r="E71" s="21"/>
      <c r="F71" s="21"/>
      <c r="G71" s="21"/>
      <c r="H71" s="21"/>
      <c r="I71" s="21"/>
      <c r="J71" s="21"/>
      <c r="K71" s="21"/>
      <c r="L71" s="21"/>
    </row>
    <row r="72" spans="1:12" ht="13.5" thickBot="1" x14ac:dyDescent="0.25">
      <c r="A72" s="337" t="s">
        <v>20</v>
      </c>
      <c r="B72" s="590">
        <f>N32*K40</f>
        <v>36431.844908240811</v>
      </c>
      <c r="C72" s="285">
        <f>K53</f>
        <v>0</v>
      </c>
      <c r="D72" s="52"/>
      <c r="E72" s="21"/>
      <c r="F72" s="21"/>
      <c r="G72" s="21"/>
      <c r="H72" s="21"/>
      <c r="I72" s="21"/>
      <c r="J72" s="21"/>
      <c r="K72" s="21"/>
      <c r="L72" s="21"/>
    </row>
    <row r="73" spans="1:12" ht="13.5" thickBot="1" x14ac:dyDescent="0.25">
      <c r="A73" s="334" t="s">
        <v>48</v>
      </c>
      <c r="B73" s="591">
        <f>SUM(B63:B72)</f>
        <v>43105.269884093541</v>
      </c>
      <c r="C73" s="335">
        <f>SUM(C63:C72)</f>
        <v>64831.871399727628</v>
      </c>
      <c r="D73" s="21"/>
      <c r="E73" s="21"/>
      <c r="F73" s="21"/>
      <c r="G73" s="21"/>
      <c r="H73" s="21"/>
      <c r="I73" s="21"/>
      <c r="J73" s="21"/>
      <c r="K73" s="21"/>
      <c r="L73" s="21"/>
    </row>
    <row r="75" spans="1:12" x14ac:dyDescent="0.2">
      <c r="A75" s="660" t="s">
        <v>24</v>
      </c>
      <c r="B75" s="661" t="s">
        <v>24</v>
      </c>
      <c r="C75" s="662" t="s">
        <v>24</v>
      </c>
    </row>
    <row r="76" spans="1:12" x14ac:dyDescent="0.2">
      <c r="A76" s="663"/>
      <c r="B76" s="661" t="s">
        <v>24</v>
      </c>
      <c r="C76" s="662" t="s">
        <v>24</v>
      </c>
    </row>
    <row r="77" spans="1:12" x14ac:dyDescent="0.2">
      <c r="A77" s="663"/>
      <c r="B77" s="661" t="s">
        <v>24</v>
      </c>
      <c r="C77" s="663"/>
    </row>
  </sheetData>
  <mergeCells count="3">
    <mergeCell ref="A3:A4"/>
    <mergeCell ref="A38:A39"/>
    <mergeCell ref="B41:K41"/>
  </mergeCells>
  <pageMargins left="0.45" right="0.45" top="0.5" bottom="0.5" header="0" footer="0"/>
  <pageSetup scale="4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workbookViewId="0"/>
  </sheetViews>
  <sheetFormatPr defaultRowHeight="12.75" x14ac:dyDescent="0.2"/>
  <cols>
    <col min="1" max="23" width="15.7109375" customWidth="1"/>
    <col min="24" max="24" width="5.7109375" customWidth="1"/>
    <col min="25" max="30" width="15.7109375" customWidth="1"/>
  </cols>
  <sheetData>
    <row r="1" spans="1:18" ht="18.75" x14ac:dyDescent="0.2">
      <c r="A1" s="417" t="s">
        <v>366</v>
      </c>
      <c r="B1" s="418"/>
      <c r="C1" s="418"/>
      <c r="D1" s="418"/>
      <c r="E1" s="418"/>
      <c r="F1" s="418"/>
      <c r="G1" s="418"/>
      <c r="H1" s="418"/>
      <c r="I1" s="418"/>
      <c r="J1" s="418"/>
      <c r="K1" s="419" t="s">
        <v>24</v>
      </c>
      <c r="L1" s="418"/>
      <c r="M1" s="418"/>
      <c r="N1" s="418"/>
      <c r="O1" s="418"/>
      <c r="P1" s="418"/>
      <c r="Q1" s="418"/>
      <c r="R1" s="418"/>
    </row>
    <row r="2" spans="1:18" ht="15.75" x14ac:dyDescent="0.2">
      <c r="A2" s="418" t="s">
        <v>24</v>
      </c>
      <c r="B2" s="419" t="s">
        <v>24</v>
      </c>
      <c r="C2" s="418"/>
      <c r="D2" s="418"/>
      <c r="E2" s="418"/>
      <c r="F2" s="418"/>
      <c r="G2" s="418"/>
      <c r="H2" s="418"/>
      <c r="I2" s="418"/>
      <c r="J2" s="418"/>
      <c r="K2" s="418"/>
      <c r="L2" s="418"/>
      <c r="M2" s="418"/>
      <c r="N2" s="418"/>
      <c r="O2" s="418"/>
      <c r="P2" s="418"/>
      <c r="Q2" s="418"/>
      <c r="R2" s="418"/>
    </row>
    <row r="3" spans="1:18" x14ac:dyDescent="0.2">
      <c r="A3" s="60" t="s">
        <v>24</v>
      </c>
      <c r="B3" s="420"/>
      <c r="C3" s="420"/>
      <c r="D3" s="420"/>
      <c r="E3" s="420"/>
      <c r="F3" s="420"/>
      <c r="G3" s="420"/>
      <c r="H3" s="420"/>
      <c r="I3" s="420"/>
      <c r="J3" s="420"/>
      <c r="K3" s="420"/>
      <c r="L3" s="420"/>
      <c r="M3" s="420"/>
      <c r="N3" s="420"/>
      <c r="O3" s="420"/>
      <c r="P3" s="420"/>
      <c r="Q3" s="420"/>
      <c r="R3" s="420"/>
    </row>
    <row r="4" spans="1:18" x14ac:dyDescent="0.2">
      <c r="A4" s="707" t="s">
        <v>7</v>
      </c>
      <c r="B4" s="708" t="s">
        <v>108</v>
      </c>
      <c r="C4" s="709"/>
      <c r="D4" s="709"/>
      <c r="E4" s="710"/>
      <c r="F4" s="711" t="s">
        <v>226</v>
      </c>
      <c r="G4" s="712"/>
      <c r="H4" s="712"/>
      <c r="I4" s="713"/>
      <c r="J4" s="714" t="s">
        <v>337</v>
      </c>
      <c r="K4" s="715"/>
      <c r="L4" s="715"/>
      <c r="M4" s="716"/>
      <c r="N4" s="717" t="s">
        <v>353</v>
      </c>
      <c r="O4" s="718"/>
      <c r="P4" s="718"/>
      <c r="Q4" s="719"/>
      <c r="R4" s="707" t="s">
        <v>7</v>
      </c>
    </row>
    <row r="5" spans="1:18" ht="51" x14ac:dyDescent="0.2">
      <c r="A5" s="707"/>
      <c r="B5" s="421" t="s">
        <v>227</v>
      </c>
      <c r="C5" s="421" t="s">
        <v>228</v>
      </c>
      <c r="D5" s="421" t="s">
        <v>110</v>
      </c>
      <c r="E5" s="421" t="s">
        <v>229</v>
      </c>
      <c r="F5" s="422" t="s">
        <v>230</v>
      </c>
      <c r="G5" s="422" t="s">
        <v>231</v>
      </c>
      <c r="H5" s="422" t="s">
        <v>232</v>
      </c>
      <c r="I5" s="422" t="s">
        <v>233</v>
      </c>
      <c r="J5" s="646" t="s">
        <v>230</v>
      </c>
      <c r="K5" s="646" t="s">
        <v>231</v>
      </c>
      <c r="L5" s="646" t="s">
        <v>232</v>
      </c>
      <c r="M5" s="646" t="s">
        <v>233</v>
      </c>
      <c r="N5" s="667" t="s">
        <v>362</v>
      </c>
      <c r="O5" s="667" t="s">
        <v>363</v>
      </c>
      <c r="P5" s="667" t="s">
        <v>364</v>
      </c>
      <c r="Q5" s="667" t="s">
        <v>365</v>
      </c>
      <c r="R5" s="707"/>
    </row>
    <row r="6" spans="1:18" x14ac:dyDescent="0.2">
      <c r="A6" s="423" t="s">
        <v>16</v>
      </c>
      <c r="B6" s="424">
        <f>Summary!B65</f>
        <v>2687.1426610722606</v>
      </c>
      <c r="C6" s="425">
        <f>Summary!C65</f>
        <v>166.31462250957347</v>
      </c>
      <c r="D6" s="425">
        <f>Summary!D65</f>
        <v>3.2308126362159371</v>
      </c>
      <c r="E6" s="425">
        <f>Summary!E65</f>
        <v>163.08380987335752</v>
      </c>
      <c r="F6" s="426">
        <f>Summary!F65</f>
        <v>2706.9797800256101</v>
      </c>
      <c r="G6" s="427">
        <f>Summary!G65</f>
        <v>166.16582428735515</v>
      </c>
      <c r="H6" s="427">
        <f>Summary!H65</f>
        <v>3.3751227698570743</v>
      </c>
      <c r="I6" s="427">
        <f>Summary!I65</f>
        <v>162.79070151749806</v>
      </c>
      <c r="J6" s="649">
        <f>Summary!J65</f>
        <v>2896.2555615447422</v>
      </c>
      <c r="K6" s="650">
        <f>Summary!K65</f>
        <v>168.33514627006906</v>
      </c>
      <c r="L6" s="650">
        <f>Summary!L65</f>
        <v>3.4433259968909371</v>
      </c>
      <c r="M6" s="650">
        <f>Summary!M65</f>
        <v>164.89182027317813</v>
      </c>
      <c r="N6" s="700">
        <f>Summary!N65</f>
        <v>2810.8091592491669</v>
      </c>
      <c r="O6" s="668">
        <f>Summary!O65</f>
        <v>167.68498893384771</v>
      </c>
      <c r="P6" s="668">
        <f>Summary!P65</f>
        <v>2.9570410555525819</v>
      </c>
      <c r="Q6" s="668">
        <f>Summary!Q65</f>
        <v>164.72794787829511</v>
      </c>
      <c r="R6" s="423" t="s">
        <v>16</v>
      </c>
    </row>
    <row r="7" spans="1:18" x14ac:dyDescent="0.2">
      <c r="A7" s="423" t="s">
        <v>234</v>
      </c>
      <c r="B7" s="424">
        <f>Summary!B66</f>
        <v>12707.663822194674</v>
      </c>
      <c r="C7" s="425">
        <f>Summary!C66</f>
        <v>140.53287236670766</v>
      </c>
      <c r="D7" s="425">
        <f>Summary!D66</f>
        <v>0</v>
      </c>
      <c r="E7" s="425">
        <f>Summary!E66</f>
        <v>140.53287236670766</v>
      </c>
      <c r="F7" s="426">
        <f>Summary!F66</f>
        <v>12935.622333200543</v>
      </c>
      <c r="G7" s="427">
        <f>Summary!G66</f>
        <v>140.45355654820597</v>
      </c>
      <c r="H7" s="427">
        <f>Summary!H66</f>
        <v>0</v>
      </c>
      <c r="I7" s="427">
        <f>Summary!I66</f>
        <v>140.45355654820597</v>
      </c>
      <c r="J7" s="649">
        <f>Summary!J66</f>
        <v>12384.184263129784</v>
      </c>
      <c r="K7" s="650">
        <f>Summary!K66</f>
        <v>142.71348641844651</v>
      </c>
      <c r="L7" s="650">
        <f>Summary!L66</f>
        <v>0</v>
      </c>
      <c r="M7" s="650">
        <f>Summary!M66</f>
        <v>142.71348641844651</v>
      </c>
      <c r="N7" s="700">
        <f>Summary!N66</f>
        <v>13005.524518885377</v>
      </c>
      <c r="O7" s="668">
        <f>Summary!O66</f>
        <v>142.16406348311304</v>
      </c>
      <c r="P7" s="668">
        <f>Summary!P66</f>
        <v>0</v>
      </c>
      <c r="Q7" s="668">
        <f>Summary!Q66</f>
        <v>142.16406348311304</v>
      </c>
      <c r="R7" s="423" t="s">
        <v>234</v>
      </c>
    </row>
    <row r="8" spans="1:18" x14ac:dyDescent="0.2">
      <c r="A8" s="423" t="s">
        <v>19</v>
      </c>
      <c r="B8" s="424">
        <f>Summary!B67</f>
        <v>10317.789541777458</v>
      </c>
      <c r="C8" s="425">
        <f>Summary!C67</f>
        <v>140.53287236670766</v>
      </c>
      <c r="D8" s="425">
        <f>Summary!D67</f>
        <v>0</v>
      </c>
      <c r="E8" s="425">
        <f>Summary!E67</f>
        <v>140.53287236670766</v>
      </c>
      <c r="F8" s="426">
        <f>Summary!F67</f>
        <v>10113.707326929592</v>
      </c>
      <c r="G8" s="427">
        <f>Summary!G67</f>
        <v>140.45355654820597</v>
      </c>
      <c r="H8" s="427">
        <f>Summary!H67</f>
        <v>0</v>
      </c>
      <c r="I8" s="427">
        <f>Summary!I67</f>
        <v>140.45355654820597</v>
      </c>
      <c r="J8" s="649">
        <f>Summary!J67</f>
        <v>9912.7864911670185</v>
      </c>
      <c r="K8" s="650">
        <f>Summary!K67</f>
        <v>142.71348641844651</v>
      </c>
      <c r="L8" s="650">
        <f>Summary!L67</f>
        <v>0</v>
      </c>
      <c r="M8" s="650">
        <f>Summary!M67</f>
        <v>142.71348641844651</v>
      </c>
      <c r="N8" s="700">
        <f>Summary!N67</f>
        <v>10061.405813045139</v>
      </c>
      <c r="O8" s="668">
        <f>Summary!O67</f>
        <v>142.16406348311304</v>
      </c>
      <c r="P8" s="668">
        <f>Summary!P67</f>
        <v>0</v>
      </c>
      <c r="Q8" s="668">
        <f>Summary!Q67</f>
        <v>142.16406348311304</v>
      </c>
      <c r="R8" s="423" t="s">
        <v>19</v>
      </c>
    </row>
    <row r="9" spans="1:18" x14ac:dyDescent="0.2">
      <c r="A9" s="423" t="s">
        <v>43</v>
      </c>
      <c r="B9" s="424">
        <f>Summary!B68</f>
        <v>14464.93085838898</v>
      </c>
      <c r="C9" s="425">
        <f>Summary!C68</f>
        <v>171.86287236670768</v>
      </c>
      <c r="D9" s="425">
        <f>Summary!D68</f>
        <v>13.868071182447979</v>
      </c>
      <c r="E9" s="425">
        <f>Summary!E68</f>
        <v>157.9948011842597</v>
      </c>
      <c r="F9" s="426">
        <f>Summary!F68</f>
        <v>14427.078222091504</v>
      </c>
      <c r="G9" s="427">
        <f>Summary!G68</f>
        <v>169.38981835657307</v>
      </c>
      <c r="H9" s="427">
        <f>Summary!H68</f>
        <v>11.42851775155399</v>
      </c>
      <c r="I9" s="427">
        <f>Summary!I68</f>
        <v>157.96130060501909</v>
      </c>
      <c r="J9" s="649">
        <f>Summary!J68</f>
        <v>13978.660978954209</v>
      </c>
      <c r="K9" s="650">
        <f>Summary!K68</f>
        <v>168.48855155766364</v>
      </c>
      <c r="L9" s="650">
        <f>Summary!L68</f>
        <v>7.7056954492100092</v>
      </c>
      <c r="M9" s="650">
        <f>Summary!M68</f>
        <v>160.78285610845364</v>
      </c>
      <c r="N9" s="700">
        <f>Summary!N68</f>
        <v>13995.365020478628</v>
      </c>
      <c r="O9" s="668">
        <f>Summary!O68</f>
        <v>167.98847971056921</v>
      </c>
      <c r="P9" s="668">
        <f>Summary!P68</f>
        <v>7.776613070453398</v>
      </c>
      <c r="Q9" s="668">
        <f>Summary!Q68</f>
        <v>160.2118666401158</v>
      </c>
      <c r="R9" s="423" t="s">
        <v>43</v>
      </c>
    </row>
    <row r="10" spans="1:18" x14ac:dyDescent="0.2">
      <c r="A10" s="423" t="s">
        <v>11</v>
      </c>
      <c r="B10" s="424">
        <f>Summary!B69</f>
        <v>7435.0489746999383</v>
      </c>
      <c r="C10" s="425">
        <f>Summary!C69</f>
        <v>203.18757461207053</v>
      </c>
      <c r="D10" s="425">
        <f>Summary!D69</f>
        <v>41.570221558208367</v>
      </c>
      <c r="E10" s="425">
        <f>Summary!E69</f>
        <v>161.61735305386216</v>
      </c>
      <c r="F10" s="426">
        <f>Summary!F69</f>
        <v>7412.5817419299901</v>
      </c>
      <c r="G10" s="427">
        <f>Summary!G69</f>
        <v>202.77241313890946</v>
      </c>
      <c r="H10" s="427">
        <f>Summary!H69</f>
        <v>41.042356190606988</v>
      </c>
      <c r="I10" s="427">
        <f>Summary!I69</f>
        <v>161.73005694830246</v>
      </c>
      <c r="J10" s="649">
        <f>Summary!J69</f>
        <v>7316.9183990515812</v>
      </c>
      <c r="K10" s="650">
        <f>Summary!K69</f>
        <v>205.08565375114651</v>
      </c>
      <c r="L10" s="650">
        <f>Summary!L69</f>
        <v>40.509020312824006</v>
      </c>
      <c r="M10" s="650">
        <f>Summary!M69</f>
        <v>164.57663343832252</v>
      </c>
      <c r="N10" s="700">
        <f>Summary!N69</f>
        <v>7491.1878344415172</v>
      </c>
      <c r="O10" s="668">
        <f>Summary!O69</f>
        <v>204.45903433239633</v>
      </c>
      <c r="P10" s="668">
        <f>Summary!P69</f>
        <v>40.961343365134027</v>
      </c>
      <c r="Q10" s="668">
        <f>Summary!Q69</f>
        <v>163.49769096726232</v>
      </c>
      <c r="R10" s="423" t="s">
        <v>11</v>
      </c>
    </row>
    <row r="11" spans="1:18" x14ac:dyDescent="0.2">
      <c r="A11" s="423" t="s">
        <v>20</v>
      </c>
      <c r="B11" s="424">
        <f>Summary!B70</f>
        <v>24982.975399171821</v>
      </c>
      <c r="C11" s="425">
        <f>Summary!C70</f>
        <v>196.08342873791634</v>
      </c>
      <c r="D11" s="425">
        <f>Summary!D70</f>
        <v>2.7768921561798634</v>
      </c>
      <c r="E11" s="425">
        <f>Summary!E70</f>
        <v>193.30653658173648</v>
      </c>
      <c r="F11" s="426">
        <f>Summary!F70</f>
        <v>24662.552805562045</v>
      </c>
      <c r="G11" s="427">
        <f>Summary!G70</f>
        <v>195.55460394377488</v>
      </c>
      <c r="H11" s="427">
        <f>Summary!H70</f>
        <v>1.6668132795416537</v>
      </c>
      <c r="I11" s="427">
        <f>Summary!I70</f>
        <v>193.88779066423322</v>
      </c>
      <c r="J11" s="649">
        <f>Summary!J70</f>
        <v>23149.93981920716</v>
      </c>
      <c r="K11" s="650">
        <f>Summary!K70</f>
        <v>198.71089721533468</v>
      </c>
      <c r="L11" s="650">
        <f>Summary!L70</f>
        <v>2.7499424807867452E-16</v>
      </c>
      <c r="M11" s="650">
        <f>Summary!M70</f>
        <v>198.71089721533468</v>
      </c>
      <c r="N11" s="700">
        <f>Summary!N70</f>
        <v>22721.196377062159</v>
      </c>
      <c r="O11" s="668">
        <f>Summary!O70</f>
        <v>198.43038760181514</v>
      </c>
      <c r="P11" s="668">
        <f>Summary!P70</f>
        <v>0</v>
      </c>
      <c r="Q11" s="668">
        <f>Summary!Q70</f>
        <v>198.43038760181514</v>
      </c>
      <c r="R11" s="423" t="s">
        <v>20</v>
      </c>
    </row>
    <row r="12" spans="1:18" x14ac:dyDescent="0.2">
      <c r="A12" s="423" t="s">
        <v>21</v>
      </c>
      <c r="B12" s="424">
        <f>Summary!B71</f>
        <v>3786.2166091018162</v>
      </c>
      <c r="C12" s="425">
        <f>Summary!C71</f>
        <v>140.53287236670766</v>
      </c>
      <c r="D12" s="425">
        <f>Summary!D71</f>
        <v>0</v>
      </c>
      <c r="E12" s="425">
        <f>Summary!E71</f>
        <v>140.53287236670766</v>
      </c>
      <c r="F12" s="426">
        <f>Summary!F71</f>
        <v>3775.9557917744769</v>
      </c>
      <c r="G12" s="427">
        <f>Summary!G71</f>
        <v>140.45355654820597</v>
      </c>
      <c r="H12" s="427">
        <f>Summary!H71</f>
        <v>0</v>
      </c>
      <c r="I12" s="427">
        <f>Summary!I71</f>
        <v>140.45355654820597</v>
      </c>
      <c r="J12" s="649">
        <f>Summary!J71</f>
        <v>3599.9191218220481</v>
      </c>
      <c r="K12" s="650">
        <f>Summary!K71</f>
        <v>142.71348641844651</v>
      </c>
      <c r="L12" s="650">
        <f>Summary!L71</f>
        <v>0</v>
      </c>
      <c r="M12" s="650">
        <f>Summary!M71</f>
        <v>142.71348641844651</v>
      </c>
      <c r="N12" s="700">
        <f>Summary!N71</f>
        <v>3875.2784316662833</v>
      </c>
      <c r="O12" s="668">
        <f>Summary!O71</f>
        <v>142.16406348311304</v>
      </c>
      <c r="P12" s="668">
        <f>Summary!P71</f>
        <v>0</v>
      </c>
      <c r="Q12" s="668">
        <f>Summary!Q71</f>
        <v>142.16406348311304</v>
      </c>
      <c r="R12" s="423" t="s">
        <v>21</v>
      </c>
    </row>
    <row r="13" spans="1:18" x14ac:dyDescent="0.2">
      <c r="A13" s="423" t="s">
        <v>235</v>
      </c>
      <c r="B13" s="424">
        <f>Summary!B72</f>
        <v>5189.8018450111103</v>
      </c>
      <c r="C13" s="425">
        <f>Summary!C72</f>
        <v>140.53287236670766</v>
      </c>
      <c r="D13" s="425">
        <f>Summary!D72</f>
        <v>0</v>
      </c>
      <c r="E13" s="425">
        <f>Summary!E72</f>
        <v>140.53287236670766</v>
      </c>
      <c r="F13" s="426">
        <f>Summary!F72</f>
        <v>5167.0319928498348</v>
      </c>
      <c r="G13" s="427">
        <f>Summary!G72</f>
        <v>140.45355654820597</v>
      </c>
      <c r="H13" s="427">
        <f>Summary!H72</f>
        <v>0</v>
      </c>
      <c r="I13" s="427">
        <f>Summary!I72</f>
        <v>140.45355654820597</v>
      </c>
      <c r="J13" s="649">
        <f>Summary!J72</f>
        <v>5027.8478099634722</v>
      </c>
      <c r="K13" s="650">
        <f>Summary!K72</f>
        <v>142.71348641844651</v>
      </c>
      <c r="L13" s="650">
        <f>Summary!L72</f>
        <v>0</v>
      </c>
      <c r="M13" s="650">
        <f>Summary!M72</f>
        <v>142.71348641844651</v>
      </c>
      <c r="N13" s="700">
        <f>Summary!N72</f>
        <v>5191.1270430588393</v>
      </c>
      <c r="O13" s="668">
        <f>Summary!O72</f>
        <v>142.16406348311304</v>
      </c>
      <c r="P13" s="668">
        <f>Summary!P72</f>
        <v>0</v>
      </c>
      <c r="Q13" s="668">
        <f>Summary!Q72</f>
        <v>142.16406348311304</v>
      </c>
      <c r="R13" s="423" t="s">
        <v>235</v>
      </c>
    </row>
    <row r="14" spans="1:18" x14ac:dyDescent="0.2">
      <c r="A14" s="423" t="s">
        <v>42</v>
      </c>
      <c r="B14" s="424">
        <f>Summary!B73</f>
        <v>3194.7657980859112</v>
      </c>
      <c r="C14" s="425">
        <f>Summary!C73</f>
        <v>140.53287236670766</v>
      </c>
      <c r="D14" s="425">
        <f>Summary!D73</f>
        <v>0</v>
      </c>
      <c r="E14" s="425">
        <f>Summary!E73</f>
        <v>140.53287236670766</v>
      </c>
      <c r="F14" s="426">
        <f>Summary!F73</f>
        <v>3201.0738402205952</v>
      </c>
      <c r="G14" s="427">
        <f>Summary!G73</f>
        <v>140.45355654820597</v>
      </c>
      <c r="H14" s="427">
        <f>Summary!H73</f>
        <v>0</v>
      </c>
      <c r="I14" s="427">
        <f>Summary!I73</f>
        <v>140.45355654820597</v>
      </c>
      <c r="J14" s="649">
        <f>Summary!J73</f>
        <v>3151.7031733428908</v>
      </c>
      <c r="K14" s="650">
        <f>Summary!K73</f>
        <v>142.71348641844651</v>
      </c>
      <c r="L14" s="650">
        <f>Summary!L73</f>
        <v>0</v>
      </c>
      <c r="M14" s="650">
        <f>Summary!M73</f>
        <v>142.71348641844651</v>
      </c>
      <c r="N14" s="700">
        <f>Summary!N73</f>
        <v>3085.4351898396899</v>
      </c>
      <c r="O14" s="668">
        <f>Summary!O73</f>
        <v>142.16406348311304</v>
      </c>
      <c r="P14" s="668">
        <f>Summary!P73</f>
        <v>0</v>
      </c>
      <c r="Q14" s="668">
        <f>Summary!Q73</f>
        <v>142.16406348311304</v>
      </c>
      <c r="R14" s="423" t="s">
        <v>42</v>
      </c>
    </row>
    <row r="15" spans="1:18" x14ac:dyDescent="0.2">
      <c r="A15" s="423" t="s">
        <v>30</v>
      </c>
      <c r="B15" s="424">
        <f>Summary!B74</f>
        <v>22505.401923105201</v>
      </c>
      <c r="C15" s="425">
        <f>Summary!C74</f>
        <v>140.53287236670766</v>
      </c>
      <c r="D15" s="425">
        <f>Summary!D74</f>
        <v>0</v>
      </c>
      <c r="E15" s="425">
        <f>Summary!E74</f>
        <v>140.53287236670766</v>
      </c>
      <c r="F15" s="426">
        <f>Summary!F74</f>
        <v>22461.375475783432</v>
      </c>
      <c r="G15" s="427">
        <f>Summary!G74</f>
        <v>140.45355654820597</v>
      </c>
      <c r="H15" s="427">
        <f>Summary!H74</f>
        <v>0</v>
      </c>
      <c r="I15" s="427">
        <f>Summary!I74</f>
        <v>140.45355654820597</v>
      </c>
      <c r="J15" s="649">
        <f>Summary!J74</f>
        <v>22792.786213822714</v>
      </c>
      <c r="K15" s="650">
        <f>Summary!K74</f>
        <v>142.71348641844651</v>
      </c>
      <c r="L15" s="650">
        <f>Summary!L74</f>
        <v>0</v>
      </c>
      <c r="M15" s="650">
        <f>Summary!M74</f>
        <v>142.71348641844651</v>
      </c>
      <c r="N15" s="700">
        <f>Summary!N74</f>
        <v>22932.447169824103</v>
      </c>
      <c r="O15" s="668">
        <f>Summary!O74</f>
        <v>142.16406348311304</v>
      </c>
      <c r="P15" s="668">
        <f>Summary!P74</f>
        <v>0</v>
      </c>
      <c r="Q15" s="668">
        <f>Summary!Q74</f>
        <v>142.16406348311304</v>
      </c>
      <c r="R15" s="423" t="s">
        <v>30</v>
      </c>
    </row>
    <row r="16" spans="1:18" x14ac:dyDescent="0.2">
      <c r="A16" s="423" t="s">
        <v>17</v>
      </c>
      <c r="B16" s="424">
        <f>Summary!B75</f>
        <v>4373.0103271175967</v>
      </c>
      <c r="C16" s="425">
        <f>Summary!C75</f>
        <v>166.31462250957347</v>
      </c>
      <c r="D16" s="425">
        <f>Summary!D75</f>
        <v>3.2308126362159366</v>
      </c>
      <c r="E16" s="425">
        <f>Summary!E75</f>
        <v>163.08380987335752</v>
      </c>
      <c r="F16" s="426">
        <f>Summary!F75</f>
        <v>4375.4253624375888</v>
      </c>
      <c r="G16" s="427">
        <f>Summary!G75</f>
        <v>166.16582428735515</v>
      </c>
      <c r="H16" s="427">
        <f>Summary!H75</f>
        <v>3.3751227698570747</v>
      </c>
      <c r="I16" s="427">
        <f>Summary!I75</f>
        <v>162.79070151749806</v>
      </c>
      <c r="J16" s="649">
        <f>Summary!J75</f>
        <v>4510.5425527691496</v>
      </c>
      <c r="K16" s="650">
        <f>Summary!K75</f>
        <v>168.33514627006906</v>
      </c>
      <c r="L16" s="650">
        <f>Summary!L75</f>
        <v>3.4433259968909367</v>
      </c>
      <c r="M16" s="650">
        <f>Summary!M75</f>
        <v>164.89182027317813</v>
      </c>
      <c r="N16" s="700">
        <f>Summary!N75</f>
        <v>4369.3705636261575</v>
      </c>
      <c r="O16" s="668">
        <f>Summary!O75</f>
        <v>167.68498893384771</v>
      </c>
      <c r="P16" s="668">
        <f>Summary!P75</f>
        <v>2.9570410555525819</v>
      </c>
      <c r="Q16" s="668">
        <f>Summary!Q75</f>
        <v>164.72794787829511</v>
      </c>
      <c r="R16" s="423" t="s">
        <v>17</v>
      </c>
    </row>
    <row r="17" spans="1:18" x14ac:dyDescent="0.2">
      <c r="A17" s="423" t="s">
        <v>236</v>
      </c>
      <c r="B17" s="424">
        <f>Summary!B76</f>
        <v>2534.7030381935297</v>
      </c>
      <c r="C17" s="425">
        <f>Summary!C76</f>
        <v>140.53287236670766</v>
      </c>
      <c r="D17" s="425">
        <f>Summary!D76</f>
        <v>0</v>
      </c>
      <c r="E17" s="425">
        <f>Summary!E76</f>
        <v>140.53287236670766</v>
      </c>
      <c r="F17" s="426">
        <f>Summary!F76</f>
        <v>2566.9025943607708</v>
      </c>
      <c r="G17" s="427">
        <f>Summary!G76</f>
        <v>140.45355654820597</v>
      </c>
      <c r="H17" s="427">
        <f>Summary!H76</f>
        <v>0</v>
      </c>
      <c r="I17" s="427">
        <f>Summary!I76</f>
        <v>140.45355654820597</v>
      </c>
      <c r="J17" s="649">
        <f>Summary!J76</f>
        <v>2573.5692823066306</v>
      </c>
      <c r="K17" s="650">
        <f>Summary!K76</f>
        <v>142.71348641844651</v>
      </c>
      <c r="L17" s="650">
        <f>Summary!L76</f>
        <v>0</v>
      </c>
      <c r="M17" s="650">
        <f>Summary!M76</f>
        <v>142.71348641844651</v>
      </c>
      <c r="N17" s="700">
        <f>Summary!N76</f>
        <v>2704.5256794365432</v>
      </c>
      <c r="O17" s="668">
        <f>Summary!O76</f>
        <v>142.16406348311304</v>
      </c>
      <c r="P17" s="668">
        <f>Summary!P76</f>
        <v>0</v>
      </c>
      <c r="Q17" s="668">
        <f>Summary!Q76</f>
        <v>142.16406348311304</v>
      </c>
      <c r="R17" s="423" t="s">
        <v>236</v>
      </c>
    </row>
    <row r="18" spans="1:18" x14ac:dyDescent="0.2">
      <c r="A18" s="423" t="s">
        <v>12</v>
      </c>
      <c r="B18" s="424">
        <f>Summary!B77</f>
        <v>6538.5585721758307</v>
      </c>
      <c r="C18" s="425">
        <f>Summary!C77</f>
        <v>166.31462250957347</v>
      </c>
      <c r="D18" s="425">
        <f>Summary!D77</f>
        <v>3.2308126362159379</v>
      </c>
      <c r="E18" s="425">
        <f>Summary!E77</f>
        <v>163.08380987335752</v>
      </c>
      <c r="F18" s="426">
        <f>Summary!F77</f>
        <v>6605.8736673462327</v>
      </c>
      <c r="G18" s="427">
        <f>Summary!G77</f>
        <v>166.16582428735515</v>
      </c>
      <c r="H18" s="427">
        <f>Summary!H77</f>
        <v>3.3751227698570747</v>
      </c>
      <c r="I18" s="427">
        <f>Summary!I77</f>
        <v>162.79070151749806</v>
      </c>
      <c r="J18" s="649">
        <f>Summary!J77</f>
        <v>6659.3773242378293</v>
      </c>
      <c r="K18" s="650">
        <f>Summary!K77</f>
        <v>168.33514627006906</v>
      </c>
      <c r="L18" s="650">
        <f>Summary!L77</f>
        <v>3.4433259968909367</v>
      </c>
      <c r="M18" s="650">
        <f>Summary!M77</f>
        <v>164.89182027317813</v>
      </c>
      <c r="N18" s="700">
        <f>Summary!N77</f>
        <v>6601.5872738106727</v>
      </c>
      <c r="O18" s="668">
        <f>Summary!O77</f>
        <v>167.68498893384771</v>
      </c>
      <c r="P18" s="668">
        <f>Summary!P77</f>
        <v>2.9570410555525823</v>
      </c>
      <c r="Q18" s="668">
        <f>Summary!Q77</f>
        <v>164.72794787829511</v>
      </c>
      <c r="R18" s="423" t="s">
        <v>12</v>
      </c>
    </row>
    <row r="19" spans="1:18" x14ac:dyDescent="0.2">
      <c r="A19" s="423" t="s">
        <v>13</v>
      </c>
      <c r="B19" s="424">
        <f>Summary!B78</f>
        <v>3337.9714078397619</v>
      </c>
      <c r="C19" s="425">
        <f>Summary!C78</f>
        <v>140.53287236670766</v>
      </c>
      <c r="D19" s="425">
        <f>Summary!D78</f>
        <v>0</v>
      </c>
      <c r="E19" s="425">
        <f>Summary!E78</f>
        <v>140.53287236670766</v>
      </c>
      <c r="F19" s="426">
        <f>Summary!F78</f>
        <v>3377.8705300060051</v>
      </c>
      <c r="G19" s="427">
        <f>Summary!G78</f>
        <v>140.45355654820597</v>
      </c>
      <c r="H19" s="427">
        <f>Summary!H78</f>
        <v>0</v>
      </c>
      <c r="I19" s="427">
        <f>Summary!I78</f>
        <v>140.45355654820597</v>
      </c>
      <c r="J19" s="649">
        <f>Summary!J78</f>
        <v>3389.411367655056</v>
      </c>
      <c r="K19" s="650">
        <f>Summary!K78</f>
        <v>142.71348641844651</v>
      </c>
      <c r="L19" s="650">
        <f>Summary!L78</f>
        <v>0</v>
      </c>
      <c r="M19" s="650">
        <f>Summary!M78</f>
        <v>142.71348641844651</v>
      </c>
      <c r="N19" s="700">
        <f>Summary!N78</f>
        <v>3476.249156449283</v>
      </c>
      <c r="O19" s="668">
        <f>Summary!O78</f>
        <v>142.16406348311304</v>
      </c>
      <c r="P19" s="668">
        <f>Summary!P78</f>
        <v>0</v>
      </c>
      <c r="Q19" s="668">
        <f>Summary!Q78</f>
        <v>142.16406348311304</v>
      </c>
      <c r="R19" s="423" t="s">
        <v>13</v>
      </c>
    </row>
    <row r="20" spans="1:18" x14ac:dyDescent="0.2">
      <c r="A20" s="423" t="s">
        <v>9</v>
      </c>
      <c r="B20" s="424">
        <f>Summary!B79</f>
        <v>9722.84591101146</v>
      </c>
      <c r="C20" s="425">
        <f>Summary!C79</f>
        <v>166.31462250957347</v>
      </c>
      <c r="D20" s="425">
        <f>Summary!D79</f>
        <v>3.2308126362159371</v>
      </c>
      <c r="E20" s="425">
        <f>Summary!E79</f>
        <v>163.08380987335752</v>
      </c>
      <c r="F20" s="426">
        <f>Summary!F79</f>
        <v>9854.9519067800866</v>
      </c>
      <c r="G20" s="427">
        <f>Summary!G79</f>
        <v>166.16582428735515</v>
      </c>
      <c r="H20" s="427">
        <f>Summary!H79</f>
        <v>3.3751227698570738</v>
      </c>
      <c r="I20" s="427">
        <f>Summary!I79</f>
        <v>162.79070151749806</v>
      </c>
      <c r="J20" s="649">
        <f>Summary!J79</f>
        <v>9483.4925880062437</v>
      </c>
      <c r="K20" s="650">
        <f>Summary!K79</f>
        <v>168.33514627006906</v>
      </c>
      <c r="L20" s="650">
        <f>Summary!L79</f>
        <v>3.4433259968909375</v>
      </c>
      <c r="M20" s="650">
        <f>Summary!M79</f>
        <v>164.89182027317813</v>
      </c>
      <c r="N20" s="700">
        <f>Summary!N79</f>
        <v>9496.8967501646184</v>
      </c>
      <c r="O20" s="668">
        <f>Summary!O79</f>
        <v>167.68498893384771</v>
      </c>
      <c r="P20" s="668">
        <f>Summary!P79</f>
        <v>2.9570410555525819</v>
      </c>
      <c r="Q20" s="668">
        <f>Summary!Q79</f>
        <v>164.72794787829511</v>
      </c>
      <c r="R20" s="423" t="s">
        <v>9</v>
      </c>
    </row>
    <row r="21" spans="1:18" x14ac:dyDescent="0.2">
      <c r="A21" s="423" t="s">
        <v>14</v>
      </c>
      <c r="B21" s="424">
        <f>Summary!B80</f>
        <v>3206.4085305862245</v>
      </c>
      <c r="C21" s="425">
        <f>Summary!C80</f>
        <v>140.53287236670766</v>
      </c>
      <c r="D21" s="425">
        <f>Summary!D80</f>
        <v>0</v>
      </c>
      <c r="E21" s="425">
        <f>Summary!E80</f>
        <v>140.53287236670766</v>
      </c>
      <c r="F21" s="426">
        <f>Summary!F80</f>
        <v>3225.661459329825</v>
      </c>
      <c r="G21" s="427">
        <f>Summary!G80</f>
        <v>140.45355654820597</v>
      </c>
      <c r="H21" s="427">
        <f>Summary!H80</f>
        <v>0</v>
      </c>
      <c r="I21" s="427">
        <f>Summary!I80</f>
        <v>140.45355654820597</v>
      </c>
      <c r="J21" s="649">
        <f>Summary!J80</f>
        <v>3188.3646361472543</v>
      </c>
      <c r="K21" s="650">
        <f>Summary!K80</f>
        <v>142.71348641844651</v>
      </c>
      <c r="L21" s="650">
        <f>Summary!L80</f>
        <v>0</v>
      </c>
      <c r="M21" s="650">
        <f>Summary!M80</f>
        <v>142.71348641844651</v>
      </c>
      <c r="N21" s="700">
        <f>Summary!N80</f>
        <v>3275.5609033254377</v>
      </c>
      <c r="O21" s="668">
        <f>Summary!O80</f>
        <v>142.16406348311304</v>
      </c>
      <c r="P21" s="668">
        <f>Summary!P80</f>
        <v>0</v>
      </c>
      <c r="Q21" s="668">
        <f>Summary!Q80</f>
        <v>142.16406348311304</v>
      </c>
      <c r="R21" s="423" t="s">
        <v>14</v>
      </c>
    </row>
    <row r="22" spans="1:18" x14ac:dyDescent="0.2">
      <c r="A22" s="423" t="s">
        <v>15</v>
      </c>
      <c r="B22" s="424">
        <f>Summary!B81</f>
        <v>7116.0381041913588</v>
      </c>
      <c r="C22" s="425">
        <f>Summary!C81</f>
        <v>140.53287236670766</v>
      </c>
      <c r="D22" s="425">
        <f>Summary!D81</f>
        <v>0</v>
      </c>
      <c r="E22" s="425">
        <f>Summary!E81</f>
        <v>140.53287236670766</v>
      </c>
      <c r="F22" s="426">
        <f>Summary!F81</f>
        <v>7164.3638728272945</v>
      </c>
      <c r="G22" s="427">
        <f>Summary!G81</f>
        <v>140.45355654820597</v>
      </c>
      <c r="H22" s="427">
        <f>Summary!H81</f>
        <v>0</v>
      </c>
      <c r="I22" s="427">
        <f>Summary!I81</f>
        <v>140.45355654820597</v>
      </c>
      <c r="J22" s="649">
        <f>Summary!J81</f>
        <v>6936.112237019157</v>
      </c>
      <c r="K22" s="650">
        <f>Summary!K81</f>
        <v>142.71348641844651</v>
      </c>
      <c r="L22" s="650">
        <f>Summary!L81</f>
        <v>0</v>
      </c>
      <c r="M22" s="650">
        <f>Summary!M81</f>
        <v>142.71348641844651</v>
      </c>
      <c r="N22" s="700">
        <f>Summary!N81</f>
        <v>6742.4211356519672</v>
      </c>
      <c r="O22" s="668">
        <f>Summary!O81</f>
        <v>142.16406348311304</v>
      </c>
      <c r="P22" s="668">
        <f>Summary!P81</f>
        <v>0</v>
      </c>
      <c r="Q22" s="668">
        <f>Summary!Q81</f>
        <v>142.16406348311304</v>
      </c>
      <c r="R22" s="423" t="s">
        <v>15</v>
      </c>
    </row>
    <row r="23" spans="1:18" x14ac:dyDescent="0.2">
      <c r="A23" s="423" t="s">
        <v>10</v>
      </c>
      <c r="B23" s="424">
        <f>Summary!B82</f>
        <v>8183.6766744700699</v>
      </c>
      <c r="C23" s="425">
        <f>Summary!C82</f>
        <v>140.53287236670766</v>
      </c>
      <c r="D23" s="425">
        <f>Summary!D82</f>
        <v>0</v>
      </c>
      <c r="E23" s="425">
        <f>Summary!E82</f>
        <v>140.53287236670766</v>
      </c>
      <c r="F23" s="426">
        <f>Summary!F82</f>
        <v>8249.7316306489811</v>
      </c>
      <c r="G23" s="427">
        <f>Summary!G82</f>
        <v>140.45355654820597</v>
      </c>
      <c r="H23" s="427">
        <f>Summary!H82</f>
        <v>0</v>
      </c>
      <c r="I23" s="427">
        <f>Summary!I82</f>
        <v>140.45355654820597</v>
      </c>
      <c r="J23" s="649">
        <f>Summary!J82</f>
        <v>8287.8558494510235</v>
      </c>
      <c r="K23" s="650">
        <f>Summary!K82</f>
        <v>142.71348641844651</v>
      </c>
      <c r="L23" s="650">
        <f>Summary!L82</f>
        <v>0</v>
      </c>
      <c r="M23" s="650">
        <f>Summary!M82</f>
        <v>142.71348641844651</v>
      </c>
      <c r="N23" s="700">
        <f>Summary!N82</f>
        <v>8418.3440915633728</v>
      </c>
      <c r="O23" s="668">
        <f>Summary!O82</f>
        <v>142.16406348311304</v>
      </c>
      <c r="P23" s="668">
        <f>Summary!P82</f>
        <v>0</v>
      </c>
      <c r="Q23" s="668">
        <f>Summary!Q82</f>
        <v>142.16406348311304</v>
      </c>
      <c r="R23" s="423" t="s">
        <v>10</v>
      </c>
    </row>
    <row r="24" spans="1:18" x14ac:dyDescent="0.2">
      <c r="A24" s="423" t="s">
        <v>8</v>
      </c>
      <c r="B24" s="424">
        <f>Summary!B83</f>
        <v>10901.090440043145</v>
      </c>
      <c r="C24" s="425">
        <f>Summary!C83</f>
        <v>204.91658280618464</v>
      </c>
      <c r="D24" s="425">
        <f>Summary!D83</f>
        <v>20.883478892537909</v>
      </c>
      <c r="E24" s="425">
        <f>Summary!E83</f>
        <v>184.03310391364673</v>
      </c>
      <c r="F24" s="426">
        <f>Summary!F83</f>
        <v>11007.057487898252</v>
      </c>
      <c r="G24" s="427">
        <f>Summary!G83</f>
        <v>207.02611619664347</v>
      </c>
      <c r="H24" s="427">
        <f>Summary!H83</f>
        <v>21.863823010390895</v>
      </c>
      <c r="I24" s="427">
        <f>Summary!I83</f>
        <v>185.16229318625258</v>
      </c>
      <c r="J24" s="649">
        <f>Summary!J83</f>
        <v>11275.173754090478</v>
      </c>
      <c r="K24" s="650">
        <f>Summary!K83</f>
        <v>210.73938114623658</v>
      </c>
      <c r="L24" s="650">
        <f>Summary!L83</f>
        <v>22.717069211891182</v>
      </c>
      <c r="M24" s="650">
        <f>Summary!M83</f>
        <v>188.0223119343454</v>
      </c>
      <c r="N24" s="700">
        <f>Summary!N83</f>
        <v>10987.388454651649</v>
      </c>
      <c r="O24" s="668">
        <f>Summary!O83</f>
        <v>209.88699461228009</v>
      </c>
      <c r="P24" s="668">
        <f>Summary!P83</f>
        <v>21.425842680431096</v>
      </c>
      <c r="Q24" s="668">
        <f>Summary!Q83</f>
        <v>188.461151931849</v>
      </c>
      <c r="R24" s="423" t="s">
        <v>8</v>
      </c>
    </row>
    <row r="25" spans="1:18" x14ac:dyDescent="0.2">
      <c r="A25" s="423" t="s">
        <v>18</v>
      </c>
      <c r="B25" s="424">
        <f>Summary!B84</f>
        <v>441.259561761866</v>
      </c>
      <c r="C25" s="425">
        <f>Summary!C84</f>
        <v>166.31462250957347</v>
      </c>
      <c r="D25" s="425">
        <f>Summary!D84</f>
        <v>3.2308126362159371</v>
      </c>
      <c r="E25" s="425">
        <f>Summary!E84</f>
        <v>163.08380987335752</v>
      </c>
      <c r="F25" s="426">
        <f>Summary!F84</f>
        <v>449.60217799733311</v>
      </c>
      <c r="G25" s="427">
        <f>Summary!G84</f>
        <v>166.16582428735515</v>
      </c>
      <c r="H25" s="427">
        <f>Summary!H84</f>
        <v>3.3751227698570747</v>
      </c>
      <c r="I25" s="427">
        <f>Summary!I84</f>
        <v>162.79070151749806</v>
      </c>
      <c r="J25" s="649">
        <f>Summary!J84</f>
        <v>449.39857631155661</v>
      </c>
      <c r="K25" s="650">
        <f>Summary!K84</f>
        <v>168.33514627006906</v>
      </c>
      <c r="L25" s="650">
        <f>Summary!L84</f>
        <v>3.4433259968909371</v>
      </c>
      <c r="M25" s="650">
        <f>Summary!M84</f>
        <v>164.89182027317813</v>
      </c>
      <c r="N25" s="700">
        <f>Summary!N84</f>
        <v>441.27943376938896</v>
      </c>
      <c r="O25" s="668">
        <f>Summary!O84</f>
        <v>167.68498893384771</v>
      </c>
      <c r="P25" s="668">
        <f>Summary!P84</f>
        <v>2.9570410555525819</v>
      </c>
      <c r="Q25" s="668">
        <f>Summary!Q84</f>
        <v>164.72794787829511</v>
      </c>
      <c r="R25" s="423" t="s">
        <v>18</v>
      </c>
    </row>
    <row r="26" spans="1:18" x14ac:dyDescent="0.2">
      <c r="A26" s="24"/>
      <c r="B26" s="428">
        <f>SUM(B6:B25)</f>
        <v>163627.29999999999</v>
      </c>
      <c r="C26" s="429"/>
      <c r="D26" s="429"/>
      <c r="E26" s="429"/>
      <c r="F26" s="430">
        <f>SUM(F6:F25)</f>
        <v>163741.39999999997</v>
      </c>
      <c r="G26" s="429"/>
      <c r="H26" s="429"/>
      <c r="I26" s="429"/>
      <c r="J26" s="656">
        <f>SUM(J6:J25)</f>
        <v>160964.30000000002</v>
      </c>
      <c r="K26" s="429"/>
      <c r="L26" s="429"/>
      <c r="M26" s="429"/>
      <c r="N26" s="701">
        <f>SUM(N6:N25)</f>
        <v>161683.39999999994</v>
      </c>
      <c r="O26" s="429"/>
      <c r="P26" s="429"/>
      <c r="Q26" s="429"/>
    </row>
    <row r="27" spans="1:18" x14ac:dyDescent="0.2">
      <c r="A27" s="25" t="s">
        <v>237</v>
      </c>
      <c r="B27" s="21"/>
      <c r="C27" s="21"/>
      <c r="D27" s="21"/>
      <c r="E27" s="21"/>
      <c r="F27" s="21"/>
      <c r="G27" s="21"/>
      <c r="H27" s="21"/>
      <c r="I27" s="21"/>
      <c r="J27" s="21"/>
      <c r="K27" s="21"/>
      <c r="L27" s="21"/>
      <c r="M27" s="21"/>
      <c r="N27" s="21"/>
      <c r="O27" s="21"/>
      <c r="P27" s="21"/>
      <c r="Q27" s="21"/>
    </row>
    <row r="29" spans="1:18" ht="15.75" x14ac:dyDescent="0.25">
      <c r="A29" s="163" t="s">
        <v>346</v>
      </c>
    </row>
  </sheetData>
  <mergeCells count="6">
    <mergeCell ref="A4:A5"/>
    <mergeCell ref="B4:E4"/>
    <mergeCell ref="F4:I4"/>
    <mergeCell ref="R4:R5"/>
    <mergeCell ref="J4:M4"/>
    <mergeCell ref="N4:Q4"/>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7"/>
  <sheetViews>
    <sheetView workbookViewId="0">
      <pane xSplit="1" topLeftCell="B1" activePane="topRight" state="frozen"/>
      <selection pane="topRight"/>
    </sheetView>
  </sheetViews>
  <sheetFormatPr defaultRowHeight="12.75" x14ac:dyDescent="0.2"/>
  <cols>
    <col min="1" max="21" width="16.7109375" customWidth="1"/>
    <col min="22" max="22" width="12.7109375" customWidth="1"/>
  </cols>
  <sheetData>
    <row r="1" spans="1:18" ht="18.75" x14ac:dyDescent="0.3">
      <c r="A1" s="611" t="s">
        <v>367</v>
      </c>
      <c r="B1" s="611"/>
      <c r="C1" s="611"/>
      <c r="D1" s="611"/>
      <c r="E1" s="611"/>
      <c r="F1" s="611"/>
      <c r="G1" s="611"/>
      <c r="H1" s="163"/>
      <c r="I1" s="163"/>
      <c r="J1" s="163"/>
      <c r="K1" s="163"/>
      <c r="L1" s="163"/>
      <c r="M1" s="163"/>
      <c r="N1" s="163"/>
      <c r="O1" s="163"/>
      <c r="P1" s="163"/>
      <c r="Q1" s="163"/>
      <c r="R1" s="163"/>
    </row>
    <row r="2" spans="1:18" x14ac:dyDescent="0.2">
      <c r="A2" s="21"/>
      <c r="B2" s="21"/>
      <c r="C2" s="21"/>
      <c r="D2" s="21"/>
      <c r="E2" s="21"/>
      <c r="F2" s="21"/>
      <c r="G2" s="21"/>
      <c r="H2" s="21"/>
      <c r="I2" s="21"/>
      <c r="J2" s="21"/>
      <c r="K2" s="21"/>
      <c r="L2" s="21"/>
      <c r="M2" s="21"/>
      <c r="N2" s="21"/>
      <c r="O2" s="21"/>
      <c r="P2" s="21"/>
      <c r="Q2" s="21"/>
      <c r="R2" s="21"/>
    </row>
    <row r="3" spans="1:18" ht="15.75" x14ac:dyDescent="0.2">
      <c r="A3" s="612" t="s">
        <v>322</v>
      </c>
      <c r="B3" s="420"/>
      <c r="C3" s="420"/>
      <c r="D3" s="420"/>
      <c r="E3" s="420"/>
      <c r="F3" s="151"/>
      <c r="G3" s="151"/>
      <c r="H3" s="151"/>
      <c r="I3" s="151"/>
      <c r="J3" s="151"/>
      <c r="K3" s="151"/>
      <c r="L3" s="151"/>
      <c r="M3" s="151"/>
      <c r="N3" s="151"/>
      <c r="O3" s="151"/>
      <c r="P3" s="151"/>
      <c r="Q3" s="151"/>
      <c r="R3" s="151"/>
    </row>
    <row r="4" spans="1:18" ht="25.5" x14ac:dyDescent="0.2">
      <c r="A4" s="613" t="s">
        <v>3</v>
      </c>
      <c r="B4" s="614" t="s">
        <v>108</v>
      </c>
      <c r="C4" s="422" t="s">
        <v>226</v>
      </c>
      <c r="D4" s="646" t="s">
        <v>337</v>
      </c>
      <c r="E4" s="667" t="s">
        <v>353</v>
      </c>
    </row>
    <row r="5" spans="1:18" x14ac:dyDescent="0.2">
      <c r="A5" s="615" t="s">
        <v>6</v>
      </c>
      <c r="B5" s="616">
        <f>'BRA Resource Clearing Results'!D5</f>
        <v>140</v>
      </c>
      <c r="C5" s="617">
        <f>'1stIA Resource Clearing Results'!D5</f>
        <v>23</v>
      </c>
      <c r="D5" s="647">
        <f>'2ndIA Resource Clearing Results'!D5</f>
        <v>10.26</v>
      </c>
      <c r="E5" s="696">
        <f>'3rdIA Resource Clearing Results'!D5</f>
        <v>20.55</v>
      </c>
    </row>
    <row r="6" spans="1:18" x14ac:dyDescent="0.2">
      <c r="A6" s="615" t="s">
        <v>28</v>
      </c>
      <c r="B6" s="616">
        <f>'BRA Resource Clearing Results'!D6</f>
        <v>140</v>
      </c>
      <c r="C6" s="617">
        <f>'1stIA Resource Clearing Results'!D6</f>
        <v>23</v>
      </c>
      <c r="D6" s="647">
        <f>'2ndIA Resource Clearing Results'!D6</f>
        <v>10.26</v>
      </c>
      <c r="E6" s="696">
        <f>'3rdIA Resource Clearing Results'!D6</f>
        <v>20.55</v>
      </c>
    </row>
    <row r="7" spans="1:18" x14ac:dyDescent="0.2">
      <c r="A7" s="615" t="s">
        <v>33</v>
      </c>
      <c r="B7" s="616">
        <f>'BRA Resource Clearing Results'!D7</f>
        <v>165.73</v>
      </c>
      <c r="C7" s="617">
        <f>'1stIA Resource Clearing Results'!D7</f>
        <v>25</v>
      </c>
      <c r="D7" s="647">
        <f>'2ndIA Resource Clearing Results'!D7</f>
        <v>15.370000000000001</v>
      </c>
      <c r="E7" s="696">
        <f>'3rdIA Resource Clearing Results'!D7</f>
        <v>26.36</v>
      </c>
    </row>
    <row r="8" spans="1:18" x14ac:dyDescent="0.2">
      <c r="A8" s="615" t="s">
        <v>5</v>
      </c>
      <c r="B8" s="616">
        <f>'BRA Resource Clearing Results'!D8</f>
        <v>140</v>
      </c>
      <c r="C8" s="617">
        <f>'1stIA Resource Clearing Results'!D8</f>
        <v>23</v>
      </c>
      <c r="D8" s="647">
        <f>'2ndIA Resource Clearing Results'!D8</f>
        <v>10.26</v>
      </c>
      <c r="E8" s="696">
        <f>'3rdIA Resource Clearing Results'!D8</f>
        <v>20.55</v>
      </c>
    </row>
    <row r="9" spans="1:18" x14ac:dyDescent="0.2">
      <c r="A9" s="615" t="s">
        <v>8</v>
      </c>
      <c r="B9" s="616">
        <f>'BRA Resource Clearing Results'!D9</f>
        <v>204.29</v>
      </c>
      <c r="C9" s="617">
        <f>'1stIA Resource Clearing Results'!D9</f>
        <v>45</v>
      </c>
      <c r="D9" s="647">
        <f>'2ndIA Resource Clearing Results'!D9</f>
        <v>125</v>
      </c>
      <c r="E9" s="696">
        <f>'3rdIA Resource Clearing Results'!D9</f>
        <v>31</v>
      </c>
    </row>
    <row r="10" spans="1:18" x14ac:dyDescent="0.2">
      <c r="A10" s="615" t="s">
        <v>34</v>
      </c>
      <c r="B10" s="616">
        <f>'BRA Resource Clearing Results'!D10</f>
        <v>204.29</v>
      </c>
      <c r="C10" s="617">
        <f>'1stIA Resource Clearing Results'!D10</f>
        <v>219</v>
      </c>
      <c r="D10" s="647">
        <f>'2ndIA Resource Clearing Results'!D10</f>
        <v>125</v>
      </c>
      <c r="E10" s="696">
        <f>'3rdIA Resource Clearing Results'!D10</f>
        <v>31</v>
      </c>
    </row>
    <row r="11" spans="1:18" x14ac:dyDescent="0.2">
      <c r="A11" s="615" t="s">
        <v>35</v>
      </c>
      <c r="B11" s="616">
        <f>'BRA Resource Clearing Results'!D11</f>
        <v>165.73</v>
      </c>
      <c r="C11" s="617">
        <f>'1stIA Resource Clearing Results'!D11</f>
        <v>25</v>
      </c>
      <c r="D11" s="647">
        <f>'2ndIA Resource Clearing Results'!D11</f>
        <v>15.370000000000001</v>
      </c>
      <c r="E11" s="696">
        <f>'3rdIA Resource Clearing Results'!D11</f>
        <v>26.36</v>
      </c>
    </row>
    <row r="12" spans="1:18" x14ac:dyDescent="0.2">
      <c r="A12" s="615" t="s">
        <v>15</v>
      </c>
      <c r="B12" s="616">
        <f>'BRA Resource Clearing Results'!D12</f>
        <v>140</v>
      </c>
      <c r="C12" s="617">
        <f>'1stIA Resource Clearing Results'!D12</f>
        <v>23</v>
      </c>
      <c r="D12" s="647">
        <f>'2ndIA Resource Clearing Results'!D12</f>
        <v>10.26</v>
      </c>
      <c r="E12" s="696">
        <f>'3rdIA Resource Clearing Results'!D12</f>
        <v>20.55</v>
      </c>
    </row>
    <row r="13" spans="1:18" x14ac:dyDescent="0.2">
      <c r="A13" s="615" t="s">
        <v>43</v>
      </c>
      <c r="B13" s="616">
        <f>'BRA Resource Clearing Results'!D13</f>
        <v>171.32999999999998</v>
      </c>
      <c r="C13" s="617">
        <f>'1stIA Resource Clearing Results'!D13</f>
        <v>23</v>
      </c>
      <c r="D13" s="647">
        <f>'2ndIA Resource Clearing Results'!D13</f>
        <v>10.26</v>
      </c>
      <c r="E13" s="696">
        <f>'3rdIA Resource Clearing Results'!D13</f>
        <v>20.55</v>
      </c>
    </row>
    <row r="14" spans="1:18" x14ac:dyDescent="0.2">
      <c r="A14" s="615" t="s">
        <v>113</v>
      </c>
      <c r="B14" s="616">
        <f>'BRA Resource Clearing Results'!D14</f>
        <v>171.32999999999998</v>
      </c>
      <c r="C14" s="617">
        <f>'1stIA Resource Clearing Results'!D14</f>
        <v>23</v>
      </c>
      <c r="D14" s="647">
        <f>'2ndIA Resource Clearing Results'!D14</f>
        <v>10.26</v>
      </c>
      <c r="E14" s="696">
        <f>'3rdIA Resource Clearing Results'!D14</f>
        <v>20.55</v>
      </c>
    </row>
    <row r="15" spans="1:18" x14ac:dyDescent="0.2">
      <c r="A15" s="615" t="s">
        <v>20</v>
      </c>
      <c r="B15" s="616">
        <f>'BRA Resource Clearing Results'!D15</f>
        <v>195.55</v>
      </c>
      <c r="C15" s="617">
        <f>'1stIA Resource Clearing Results'!D15</f>
        <v>23</v>
      </c>
      <c r="D15" s="647">
        <f>'2ndIA Resource Clearing Results'!D15</f>
        <v>10.26</v>
      </c>
      <c r="E15" s="696">
        <f>'3rdIA Resource Clearing Results'!D15</f>
        <v>20.55</v>
      </c>
    </row>
    <row r="16" spans="1:18" x14ac:dyDescent="0.2">
      <c r="A16" s="615" t="s">
        <v>11</v>
      </c>
      <c r="B16" s="616">
        <f>'BRA Resource Clearing Results'!D16</f>
        <v>200.3</v>
      </c>
      <c r="C16" s="617">
        <f>'1stIA Resource Clearing Results'!D16</f>
        <v>60</v>
      </c>
      <c r="D16" s="647">
        <f>'2ndIA Resource Clearing Results'!D16</f>
        <v>70</v>
      </c>
      <c r="E16" s="696">
        <f>'3rdIA Resource Clearing Results'!D16</f>
        <v>39</v>
      </c>
    </row>
    <row r="17" spans="1:18" x14ac:dyDescent="0.2">
      <c r="A17" s="615" t="s">
        <v>10</v>
      </c>
      <c r="B17" s="616">
        <f>'BRA Resource Clearing Results'!D17</f>
        <v>140</v>
      </c>
      <c r="C17" s="617">
        <f>'1stIA Resource Clearing Results'!D17</f>
        <v>23</v>
      </c>
      <c r="D17" s="647">
        <f>'2ndIA Resource Clearing Results'!D17</f>
        <v>10.26</v>
      </c>
      <c r="E17" s="696">
        <f>'3rdIA Resource Clearing Results'!D17</f>
        <v>20.55</v>
      </c>
    </row>
    <row r="18" spans="1:18" x14ac:dyDescent="0.2">
      <c r="A18" s="615" t="s">
        <v>21</v>
      </c>
      <c r="B18" s="616">
        <f>'BRA Resource Clearing Results'!D18</f>
        <v>140</v>
      </c>
      <c r="C18" s="617">
        <f>'1stIA Resource Clearing Results'!D18</f>
        <v>23</v>
      </c>
      <c r="D18" s="647">
        <f>'2ndIA Resource Clearing Results'!D18</f>
        <v>10.26</v>
      </c>
      <c r="E18" s="696">
        <f>'3rdIA Resource Clearing Results'!D18</f>
        <v>20.55</v>
      </c>
    </row>
    <row r="19" spans="1:18" x14ac:dyDescent="0.2">
      <c r="A19" s="615" t="s">
        <v>50</v>
      </c>
      <c r="B19" s="616">
        <f>'BRA Resource Clearing Results'!D19</f>
        <v>140</v>
      </c>
      <c r="C19" s="617">
        <f>'1stIA Resource Clearing Results'!D19</f>
        <v>23</v>
      </c>
      <c r="D19" s="647">
        <f>'2ndIA Resource Clearing Results'!D19</f>
        <v>10.26</v>
      </c>
      <c r="E19" s="696">
        <f>'3rdIA Resource Clearing Results'!D19</f>
        <v>20.55</v>
      </c>
    </row>
    <row r="20" spans="1:18" x14ac:dyDescent="0.2">
      <c r="A20" s="215" t="s">
        <v>24</v>
      </c>
      <c r="B20" s="215"/>
      <c r="C20" s="215"/>
      <c r="D20" s="118"/>
      <c r="E20" s="118"/>
      <c r="F20" s="118"/>
      <c r="G20" s="118"/>
      <c r="H20" s="118"/>
      <c r="I20" s="118"/>
      <c r="J20" s="118"/>
      <c r="K20" s="118"/>
      <c r="L20" s="118"/>
      <c r="M20" s="118"/>
      <c r="N20" s="118"/>
      <c r="O20" s="118"/>
      <c r="P20" s="118"/>
      <c r="Q20" s="118"/>
      <c r="R20" s="118"/>
    </row>
    <row r="21" spans="1:18" ht="15.75" x14ac:dyDescent="0.2">
      <c r="A21" s="612" t="s">
        <v>323</v>
      </c>
      <c r="B21" s="151"/>
      <c r="C21" s="151"/>
      <c r="D21" s="151"/>
      <c r="E21" s="151"/>
      <c r="F21" s="21"/>
      <c r="G21" s="21"/>
      <c r="H21" s="21"/>
      <c r="I21" s="21"/>
      <c r="J21" s="21"/>
      <c r="K21" s="21"/>
      <c r="L21" s="21"/>
      <c r="M21" s="21"/>
      <c r="N21" s="21"/>
      <c r="O21" s="21"/>
      <c r="P21" s="21"/>
      <c r="Q21" s="21"/>
      <c r="R21" s="118"/>
    </row>
    <row r="22" spans="1:18" ht="25.5" x14ac:dyDescent="0.2">
      <c r="A22" s="720" t="s">
        <v>3</v>
      </c>
      <c r="B22" s="614" t="s">
        <v>108</v>
      </c>
      <c r="C22" s="422" t="s">
        <v>226</v>
      </c>
      <c r="D22" s="646" t="s">
        <v>337</v>
      </c>
      <c r="E22" s="667" t="s">
        <v>353</v>
      </c>
    </row>
    <row r="23" spans="1:18" ht="38.25" x14ac:dyDescent="0.2">
      <c r="A23" s="720"/>
      <c r="B23" s="614" t="s">
        <v>324</v>
      </c>
      <c r="C23" s="422" t="s">
        <v>325</v>
      </c>
      <c r="D23" s="646" t="s">
        <v>325</v>
      </c>
      <c r="E23" s="667" t="s">
        <v>325</v>
      </c>
    </row>
    <row r="24" spans="1:18" x14ac:dyDescent="0.2">
      <c r="A24" s="615" t="s">
        <v>6</v>
      </c>
      <c r="B24" s="619">
        <f>'BRA Resource Clearing Results'!F26</f>
        <v>163627.29999999999</v>
      </c>
      <c r="C24" s="620">
        <f>'1stIA Resource Clearing Results'!D25</f>
        <v>-114.09999999999991</v>
      </c>
      <c r="D24" s="655">
        <f>'2ndIA Resource Clearing Results'!D25</f>
        <v>2777.1000000000004</v>
      </c>
      <c r="E24" s="697">
        <f>'3rdIA Resource Clearing Results'!D25</f>
        <v>-719.10000000000036</v>
      </c>
    </row>
    <row r="25" spans="1:18" x14ac:dyDescent="0.2">
      <c r="A25" s="615" t="s">
        <v>28</v>
      </c>
      <c r="B25" s="619">
        <f>'BRA Resource Clearing Results'!F27</f>
        <v>67365.899999999994</v>
      </c>
      <c r="C25" s="620">
        <f>'1stIA Resource Clearing Results'!D26</f>
        <v>112.10000000000002</v>
      </c>
      <c r="D25" s="655">
        <f>'2ndIA Resource Clearing Results'!D26</f>
        <v>2602.8999999999996</v>
      </c>
      <c r="E25" s="697">
        <f>'3rdIA Resource Clearing Results'!D26</f>
        <v>59.200000000000045</v>
      </c>
    </row>
    <row r="26" spans="1:18" x14ac:dyDescent="0.2">
      <c r="A26" s="615" t="s">
        <v>33</v>
      </c>
      <c r="B26" s="619">
        <f>'BRA Resource Clearing Results'!F28</f>
        <v>29288.5</v>
      </c>
      <c r="C26" s="620">
        <f>'1stIA Resource Clearing Results'!D27</f>
        <v>-85.1</v>
      </c>
      <c r="D26" s="655">
        <f>'2ndIA Resource Clearing Results'!D27</f>
        <v>-127.9</v>
      </c>
      <c r="E26" s="697">
        <f>'3rdIA Resource Clearing Results'!D27</f>
        <v>-153.20000000000005</v>
      </c>
    </row>
    <row r="27" spans="1:18" x14ac:dyDescent="0.2">
      <c r="A27" s="615" t="s">
        <v>5</v>
      </c>
      <c r="B27" s="619">
        <f>'BRA Resource Clearing Results'!F29</f>
        <v>10106.700000000001</v>
      </c>
      <c r="C27" s="620">
        <f>'1stIA Resource Clearing Results'!D28</f>
        <v>266.89999999999998</v>
      </c>
      <c r="D27" s="655">
        <f>'2ndIA Resource Clearing Results'!D28</f>
        <v>853.5</v>
      </c>
      <c r="E27" s="697">
        <f>'3rdIA Resource Clearing Results'!D28</f>
        <v>100.09999999999997</v>
      </c>
    </row>
    <row r="28" spans="1:18" x14ac:dyDescent="0.2">
      <c r="A28" s="615" t="s">
        <v>8</v>
      </c>
      <c r="B28" s="619">
        <f>'BRA Resource Clearing Results'!F30</f>
        <v>5367.6</v>
      </c>
      <c r="C28" s="620">
        <f>'1stIA Resource Clearing Results'!D29</f>
        <v>-79.100000000000009</v>
      </c>
      <c r="D28" s="655">
        <f>'2ndIA Resource Clearing Results'!D29</f>
        <v>-124.69999999999999</v>
      </c>
      <c r="E28" s="697">
        <f>'3rdIA Resource Clearing Results'!D29</f>
        <v>-29.600000000000023</v>
      </c>
    </row>
    <row r="29" spans="1:18" x14ac:dyDescent="0.2">
      <c r="A29" s="615" t="s">
        <v>34</v>
      </c>
      <c r="B29" s="619">
        <f>'BRA Resource Clearing Results'!F31</f>
        <v>3133.3</v>
      </c>
      <c r="C29" s="620">
        <f>'1stIA Resource Clearing Results'!D30</f>
        <v>-79.099999999999994</v>
      </c>
      <c r="D29" s="655">
        <f>'2ndIA Resource Clearing Results'!D30</f>
        <v>-40.099999999999994</v>
      </c>
      <c r="E29" s="697">
        <f>'3rdIA Resource Clearing Results'!D30</f>
        <v>-32.200000000000017</v>
      </c>
    </row>
    <row r="30" spans="1:18" x14ac:dyDescent="0.2">
      <c r="A30" s="615" t="s">
        <v>35</v>
      </c>
      <c r="B30" s="619">
        <f>'BRA Resource Clearing Results'!F32</f>
        <v>1673.8</v>
      </c>
      <c r="C30" s="620">
        <f>'1stIA Resource Clearing Results'!D31</f>
        <v>-6.8000000000000007</v>
      </c>
      <c r="D30" s="655">
        <f>'2ndIA Resource Clearing Results'!D31</f>
        <v>-31.199999999999996</v>
      </c>
      <c r="E30" s="697">
        <f>'3rdIA Resource Clearing Results'!D31</f>
        <v>55.2</v>
      </c>
    </row>
    <row r="31" spans="1:18" x14ac:dyDescent="0.2">
      <c r="A31" s="615" t="s">
        <v>15</v>
      </c>
      <c r="B31" s="619">
        <f>'BRA Resource Clearing Results'!F33</f>
        <v>5948.8</v>
      </c>
      <c r="C31" s="620">
        <f>'1stIA Resource Clearing Results'!D32</f>
        <v>295.89999999999998</v>
      </c>
      <c r="D31" s="655">
        <f>'2ndIA Resource Clearing Results'!D32</f>
        <v>907.59999999999991</v>
      </c>
      <c r="E31" s="697">
        <f>'3rdIA Resource Clearing Results'!D32</f>
        <v>131.39999999999998</v>
      </c>
    </row>
    <row r="32" spans="1:18" x14ac:dyDescent="0.2">
      <c r="A32" s="615" t="s">
        <v>43</v>
      </c>
      <c r="B32" s="619">
        <f>'BRA Resource Clearing Results'!F34</f>
        <v>8007.3</v>
      </c>
      <c r="C32" s="620">
        <f>'1stIA Resource Clearing Results'!D33</f>
        <v>-662.4</v>
      </c>
      <c r="D32" s="655">
        <f>'2ndIA Resource Clearing Results'!D33</f>
        <v>-1063.3</v>
      </c>
      <c r="E32" s="697">
        <f>'3rdIA Resource Clearing Results'!D33</f>
        <v>18.599999999999909</v>
      </c>
    </row>
    <row r="33" spans="1:18" x14ac:dyDescent="0.2">
      <c r="A33" s="615" t="s">
        <v>113</v>
      </c>
      <c r="B33" s="619">
        <f>'BRA Resource Clearing Results'!F35</f>
        <v>1248</v>
      </c>
      <c r="C33" s="620">
        <f>'1stIA Resource Clearing Results'!D34</f>
        <v>-221.9</v>
      </c>
      <c r="D33" s="655">
        <f>'2ndIA Resource Clearing Results'!D34</f>
        <v>-597.5</v>
      </c>
      <c r="E33" s="697">
        <f>'3rdIA Resource Clearing Results'!D34</f>
        <v>179.39999999999998</v>
      </c>
    </row>
    <row r="34" spans="1:18" x14ac:dyDescent="0.2">
      <c r="A34" s="615" t="s">
        <v>20</v>
      </c>
      <c r="B34" s="619">
        <f>'BRA Resource Clearing Results'!F36</f>
        <v>22358.1</v>
      </c>
      <c r="C34" s="620">
        <f>'1stIA Resource Clearing Results'!D35</f>
        <v>-182.39999999999998</v>
      </c>
      <c r="D34" s="655">
        <f>'2ndIA Resource Clearing Results'!D35</f>
        <v>360.80000000000007</v>
      </c>
      <c r="E34" s="697">
        <f>'3rdIA Resource Clearing Results'!D35</f>
        <v>106</v>
      </c>
    </row>
    <row r="35" spans="1:18" x14ac:dyDescent="0.2">
      <c r="A35" s="615" t="s">
        <v>11</v>
      </c>
      <c r="B35" s="619">
        <f>'BRA Resource Clearing Results'!F37</f>
        <v>1937.7</v>
      </c>
      <c r="C35" s="620">
        <f>'1stIA Resource Clearing Results'!D36</f>
        <v>-29.000000000000004</v>
      </c>
      <c r="D35" s="655">
        <f>'2ndIA Resource Clearing Results'!D36</f>
        <v>-34.6</v>
      </c>
      <c r="E35" s="697">
        <f>'3rdIA Resource Clearing Results'!D36</f>
        <v>0</v>
      </c>
    </row>
    <row r="36" spans="1:18" x14ac:dyDescent="0.2">
      <c r="A36" s="615" t="s">
        <v>10</v>
      </c>
      <c r="B36" s="619">
        <f>'BRA Resource Clearing Results'!F38</f>
        <v>11233.1</v>
      </c>
      <c r="C36" s="620">
        <f>'1stIA Resource Clearing Results'!D37</f>
        <v>20.3</v>
      </c>
      <c r="D36" s="655">
        <f>'2ndIA Resource Clearing Results'!D37</f>
        <v>326</v>
      </c>
      <c r="E36" s="697">
        <f>'3rdIA Resource Clearing Results'!D37</f>
        <v>85.4</v>
      </c>
    </row>
    <row r="37" spans="1:18" x14ac:dyDescent="0.2">
      <c r="A37" s="615" t="s">
        <v>21</v>
      </c>
      <c r="B37" s="619">
        <f>'BRA Resource Clearing Results'!F39</f>
        <v>1636.7</v>
      </c>
      <c r="C37" s="620">
        <f>'1stIA Resource Clearing Results'!D38</f>
        <v>13</v>
      </c>
      <c r="D37" s="655">
        <f>'2ndIA Resource Clearing Results'!D38</f>
        <v>-9.5000000000000018</v>
      </c>
      <c r="E37" s="697">
        <f>'3rdIA Resource Clearing Results'!D38</f>
        <v>-41.900000000000006</v>
      </c>
    </row>
    <row r="38" spans="1:18" x14ac:dyDescent="0.2">
      <c r="A38" s="615" t="s">
        <v>50</v>
      </c>
      <c r="B38" s="619">
        <f>'BRA Resource Clearing Results'!F40</f>
        <v>2733.3</v>
      </c>
      <c r="C38" s="620">
        <f>'1stIA Resource Clearing Results'!D39</f>
        <v>-70</v>
      </c>
      <c r="D38" s="655">
        <f>'2ndIA Resource Clearing Results'!D39</f>
        <v>-3.7999999999999972</v>
      </c>
      <c r="E38" s="697">
        <f>'3rdIA Resource Clearing Results'!D39</f>
        <v>-85.399999999999991</v>
      </c>
    </row>
    <row r="39" spans="1:18" x14ac:dyDescent="0.2">
      <c r="A39" s="25" t="s">
        <v>326</v>
      </c>
      <c r="B39" s="621"/>
      <c r="C39" s="621"/>
      <c r="D39" s="621"/>
      <c r="E39" s="621"/>
      <c r="F39" s="621"/>
      <c r="G39" s="621"/>
      <c r="H39" s="621"/>
      <c r="I39" s="621"/>
      <c r="J39" s="621"/>
      <c r="K39" s="621"/>
      <c r="L39" s="621"/>
      <c r="M39" s="621"/>
      <c r="N39" s="621"/>
      <c r="O39" s="621"/>
      <c r="P39" s="621"/>
      <c r="Q39" s="621"/>
      <c r="R39" s="21"/>
    </row>
    <row r="40" spans="1:18" x14ac:dyDescent="0.2">
      <c r="A40" s="25" t="s">
        <v>327</v>
      </c>
      <c r="B40" s="621"/>
      <c r="C40" s="621"/>
      <c r="D40" s="621"/>
      <c r="E40" s="621"/>
      <c r="F40" s="621"/>
      <c r="G40" s="621"/>
      <c r="H40" s="621"/>
      <c r="I40" s="621"/>
      <c r="J40" s="621"/>
      <c r="K40" s="621"/>
      <c r="L40" s="621"/>
      <c r="M40" s="621"/>
      <c r="N40" s="621"/>
      <c r="O40" s="621"/>
      <c r="P40" s="621"/>
      <c r="Q40" s="621"/>
      <c r="R40" s="420"/>
    </row>
    <row r="41" spans="1:18" x14ac:dyDescent="0.2">
      <c r="A41" s="25"/>
      <c r="B41" s="621"/>
      <c r="C41" s="621"/>
      <c r="D41" s="621"/>
      <c r="E41" s="621"/>
      <c r="F41" s="621"/>
      <c r="G41" s="621"/>
      <c r="H41" s="621"/>
      <c r="I41" s="621"/>
      <c r="J41" s="621"/>
      <c r="K41" s="621"/>
      <c r="L41" s="621"/>
      <c r="M41" s="621"/>
      <c r="N41" s="621"/>
      <c r="O41" s="621"/>
      <c r="P41" s="621"/>
      <c r="Q41" s="621"/>
      <c r="R41" s="420"/>
    </row>
    <row r="42" spans="1:18" ht="15.75" x14ac:dyDescent="0.2">
      <c r="A42" s="612" t="s">
        <v>328</v>
      </c>
      <c r="B42" s="622"/>
      <c r="C42" s="622"/>
      <c r="D42" s="622"/>
      <c r="E42" s="622"/>
      <c r="F42" s="618"/>
      <c r="G42" s="618"/>
      <c r="H42" s="618"/>
      <c r="I42" s="622"/>
      <c r="J42" s="622"/>
      <c r="K42" s="622"/>
      <c r="L42" s="622"/>
      <c r="M42" s="622"/>
      <c r="N42" s="622"/>
      <c r="O42" s="622"/>
      <c r="P42" s="622"/>
      <c r="Q42" s="622"/>
      <c r="R42" s="420"/>
    </row>
    <row r="43" spans="1:18" ht="25.5" x14ac:dyDescent="0.2">
      <c r="A43" s="623" t="s">
        <v>3</v>
      </c>
      <c r="B43" s="624" t="s">
        <v>108</v>
      </c>
      <c r="C43" s="625" t="s">
        <v>329</v>
      </c>
      <c r="D43" s="654" t="s">
        <v>338</v>
      </c>
      <c r="E43" s="698" t="s">
        <v>361</v>
      </c>
    </row>
    <row r="44" spans="1:18" x14ac:dyDescent="0.2">
      <c r="A44" s="626" t="s">
        <v>6</v>
      </c>
      <c r="B44" s="721"/>
      <c r="C44" s="620">
        <f>'1stIA Resource Clearing Results'!D43</f>
        <v>114.1</v>
      </c>
      <c r="D44" s="655">
        <f>'2ndIA Resource Clearing Results'!D43</f>
        <v>-2777.1</v>
      </c>
      <c r="E44" s="697">
        <f>'3rdIA Resource Clearing Results'!D43</f>
        <v>719.1</v>
      </c>
    </row>
    <row r="45" spans="1:18" x14ac:dyDescent="0.2">
      <c r="A45" s="626" t="s">
        <v>28</v>
      </c>
      <c r="B45" s="721"/>
      <c r="C45" s="620">
        <f>'1stIA Resource Clearing Results'!D44</f>
        <v>114.1</v>
      </c>
      <c r="D45" s="655">
        <f>'2ndIA Resource Clearing Results'!D44</f>
        <v>163.69999999999999</v>
      </c>
      <c r="E45" s="697">
        <f>'3rdIA Resource Clearing Results'!D44</f>
        <v>266.2</v>
      </c>
    </row>
    <row r="46" spans="1:18" x14ac:dyDescent="0.2">
      <c r="A46" s="626" t="s">
        <v>33</v>
      </c>
      <c r="B46" s="721"/>
      <c r="C46" s="620">
        <f>'1stIA Resource Clearing Results'!D45</f>
        <v>85.1</v>
      </c>
      <c r="D46" s="655">
        <f>'2ndIA Resource Clearing Results'!D45</f>
        <v>127.9</v>
      </c>
      <c r="E46" s="697">
        <f>'3rdIA Resource Clearing Results'!D45</f>
        <v>153.19999999999999</v>
      </c>
    </row>
    <row r="47" spans="1:18" x14ac:dyDescent="0.2">
      <c r="A47" s="626" t="s">
        <v>5</v>
      </c>
      <c r="B47" s="721"/>
      <c r="C47" s="620">
        <f>'1stIA Resource Clearing Results'!D46</f>
        <v>29</v>
      </c>
      <c r="D47" s="655">
        <f>'2ndIA Resource Clearing Results'!D46</f>
        <v>35.799999999999997</v>
      </c>
      <c r="E47" s="697">
        <f>'3rdIA Resource Clearing Results'!D46</f>
        <v>39.299999999999997</v>
      </c>
    </row>
    <row r="48" spans="1:18" x14ac:dyDescent="0.2">
      <c r="A48" s="626" t="s">
        <v>8</v>
      </c>
      <c r="B48" s="721"/>
      <c r="C48" s="620">
        <f>'1stIA Resource Clearing Results'!D47</f>
        <v>79.099999999999994</v>
      </c>
      <c r="D48" s="655">
        <f>'2ndIA Resource Clearing Results'!D47</f>
        <v>124.7</v>
      </c>
      <c r="E48" s="697">
        <f>'3rdIA Resource Clearing Results'!D47</f>
        <v>29.6</v>
      </c>
    </row>
    <row r="49" spans="1:18" x14ac:dyDescent="0.2">
      <c r="A49" s="626" t="s">
        <v>34</v>
      </c>
      <c r="B49" s="721"/>
      <c r="C49" s="620">
        <f>'1stIA Resource Clearing Results'!D48</f>
        <v>79.099999999999994</v>
      </c>
      <c r="D49" s="655">
        <f>'2ndIA Resource Clearing Results'!D48</f>
        <v>38</v>
      </c>
      <c r="E49" s="697">
        <f>'3rdIA Resource Clearing Results'!D48</f>
        <v>28.8</v>
      </c>
    </row>
    <row r="50" spans="1:18" x14ac:dyDescent="0.2">
      <c r="A50" s="626" t="s">
        <v>35</v>
      </c>
      <c r="B50" s="721"/>
      <c r="C50" s="620">
        <f>'1stIA Resource Clearing Results'!D49</f>
        <v>0</v>
      </c>
      <c r="D50" s="655">
        <f>'2ndIA Resource Clearing Results'!D49</f>
        <v>0</v>
      </c>
      <c r="E50" s="697">
        <f>'3rdIA Resource Clearing Results'!D49</f>
        <v>10.1</v>
      </c>
    </row>
    <row r="51" spans="1:18" x14ac:dyDescent="0.2">
      <c r="A51" s="626" t="s">
        <v>15</v>
      </c>
      <c r="B51" s="721"/>
      <c r="C51" s="620">
        <f>'1stIA Resource Clearing Results'!D50</f>
        <v>0</v>
      </c>
      <c r="D51" s="655">
        <f>'2ndIA Resource Clearing Results'!D50</f>
        <v>1.2</v>
      </c>
      <c r="E51" s="697">
        <f>'3rdIA Resource Clearing Results'!D50</f>
        <v>39.299999999999997</v>
      </c>
    </row>
    <row r="52" spans="1:18" x14ac:dyDescent="0.2">
      <c r="A52" s="626" t="s">
        <v>43</v>
      </c>
      <c r="B52" s="721"/>
      <c r="C52" s="620">
        <f>'1stIA Resource Clearing Results'!D51</f>
        <v>0</v>
      </c>
      <c r="D52" s="655">
        <f>'2ndIA Resource Clearing Results'!D51</f>
        <v>-529.29999999999995</v>
      </c>
      <c r="E52" s="697">
        <f>'3rdIA Resource Clearing Results'!D51</f>
        <v>89.9</v>
      </c>
    </row>
    <row r="53" spans="1:18" x14ac:dyDescent="0.2">
      <c r="A53" s="615" t="s">
        <v>113</v>
      </c>
      <c r="B53" s="721"/>
      <c r="C53" s="620">
        <f>'1stIA Resource Clearing Results'!D52</f>
        <v>0</v>
      </c>
      <c r="D53" s="655">
        <f>'2ndIA Resource Clearing Results'!D52</f>
        <v>0</v>
      </c>
      <c r="E53" s="697">
        <f>'3rdIA Resource Clearing Results'!D52</f>
        <v>22</v>
      </c>
    </row>
    <row r="54" spans="1:18" x14ac:dyDescent="0.2">
      <c r="A54" s="615" t="s">
        <v>20</v>
      </c>
      <c r="B54" s="721"/>
      <c r="C54" s="620">
        <f>'1stIA Resource Clearing Results'!D53</f>
        <v>0</v>
      </c>
      <c r="D54" s="655">
        <f>'2ndIA Resource Clearing Results'!D53</f>
        <v>-1386.7</v>
      </c>
      <c r="E54" s="697">
        <f>'3rdIA Resource Clearing Results'!D53</f>
        <v>26.900000000000006</v>
      </c>
    </row>
    <row r="55" spans="1:18" x14ac:dyDescent="0.2">
      <c r="A55" s="615" t="s">
        <v>11</v>
      </c>
      <c r="B55" s="721"/>
      <c r="C55" s="620">
        <f>'1stIA Resource Clearing Results'!D54</f>
        <v>29</v>
      </c>
      <c r="D55" s="655">
        <f>'2ndIA Resource Clearing Results'!D54</f>
        <v>34.6</v>
      </c>
      <c r="E55" s="697">
        <f>'3rdIA Resource Clearing Results'!D54</f>
        <v>0</v>
      </c>
    </row>
    <row r="56" spans="1:18" x14ac:dyDescent="0.2">
      <c r="A56" s="615" t="s">
        <v>10</v>
      </c>
      <c r="B56" s="721"/>
      <c r="C56" s="620">
        <f>'1stIA Resource Clearing Results'!D55</f>
        <v>0</v>
      </c>
      <c r="D56" s="655">
        <f>'2ndIA Resource Clearing Results'!D55</f>
        <v>0</v>
      </c>
      <c r="E56" s="697">
        <f>'3rdIA Resource Clearing Results'!D55</f>
        <v>44.7</v>
      </c>
    </row>
    <row r="57" spans="1:18" x14ac:dyDescent="0.2">
      <c r="A57" s="615" t="s">
        <v>21</v>
      </c>
      <c r="B57" s="721"/>
      <c r="C57" s="620">
        <f>'1stIA Resource Clearing Results'!D56</f>
        <v>0</v>
      </c>
      <c r="D57" s="655">
        <f>'2ndIA Resource Clearing Results'!D56</f>
        <v>-209.8</v>
      </c>
      <c r="E57" s="697">
        <f>'3rdIA Resource Clearing Results'!D56</f>
        <v>27.6</v>
      </c>
    </row>
    <row r="58" spans="1:18" x14ac:dyDescent="0.2">
      <c r="A58" s="615" t="s">
        <v>50</v>
      </c>
      <c r="B58" s="722"/>
      <c r="C58" s="620">
        <f>'1stIA Resource Clearing Results'!D57</f>
        <v>0</v>
      </c>
      <c r="D58" s="655">
        <f>'2ndIA Resource Clearing Results'!D57</f>
        <v>-57.5</v>
      </c>
      <c r="E58" s="697">
        <f>'3rdIA Resource Clearing Results'!D57</f>
        <v>20.7</v>
      </c>
    </row>
    <row r="59" spans="1:18" x14ac:dyDescent="0.2">
      <c r="A59" s="25" t="s">
        <v>330</v>
      </c>
      <c r="B59" s="621"/>
      <c r="C59" s="621"/>
      <c r="D59" s="621"/>
      <c r="E59" s="621"/>
      <c r="F59" s="621"/>
      <c r="G59" s="621"/>
      <c r="H59" s="621"/>
      <c r="I59" s="621"/>
      <c r="J59" s="621"/>
      <c r="K59" s="621"/>
      <c r="L59" s="621"/>
      <c r="M59" s="621"/>
      <c r="N59" s="621"/>
      <c r="O59" s="621"/>
      <c r="P59" s="621"/>
      <c r="Q59" s="621"/>
      <c r="R59" s="420"/>
    </row>
    <row r="60" spans="1:18" x14ac:dyDescent="0.2">
      <c r="A60" s="25" t="s">
        <v>331</v>
      </c>
      <c r="B60" s="621"/>
      <c r="C60" s="621"/>
      <c r="D60" s="621"/>
      <c r="E60" s="621"/>
      <c r="F60" s="621"/>
      <c r="G60" s="621"/>
      <c r="H60" s="621"/>
      <c r="I60" s="621"/>
      <c r="J60" s="621"/>
      <c r="K60" s="621"/>
      <c r="L60" s="621"/>
      <c r="M60" s="621"/>
      <c r="N60" s="621"/>
      <c r="O60" s="621"/>
      <c r="P60" s="621"/>
      <c r="Q60" s="621"/>
      <c r="R60" s="420"/>
    </row>
    <row r="61" spans="1:18" ht="15.75" x14ac:dyDescent="0.2">
      <c r="A61" s="612"/>
      <c r="B61" s="420"/>
      <c r="C61" s="420"/>
      <c r="D61" s="420"/>
      <c r="E61" s="420"/>
      <c r="F61" s="420"/>
      <c r="G61" s="420"/>
      <c r="H61" s="420"/>
      <c r="I61" s="420"/>
      <c r="J61" s="420"/>
      <c r="K61" s="420"/>
      <c r="L61" s="420"/>
      <c r="M61" s="420"/>
      <c r="N61" s="420"/>
      <c r="O61" s="420"/>
      <c r="P61" s="420"/>
      <c r="Q61" s="420"/>
      <c r="R61" s="420"/>
    </row>
    <row r="62" spans="1:18" ht="15.75" x14ac:dyDescent="0.2">
      <c r="A62" s="612" t="s">
        <v>109</v>
      </c>
      <c r="B62" s="420"/>
      <c r="C62" s="420"/>
      <c r="D62" s="420"/>
      <c r="E62" s="420"/>
      <c r="F62" s="420"/>
      <c r="G62" s="420"/>
      <c r="H62" s="420"/>
      <c r="I62" s="420"/>
      <c r="J62" s="420"/>
      <c r="K62" s="420"/>
      <c r="L62" s="420"/>
      <c r="M62" s="420"/>
      <c r="N62" s="420"/>
      <c r="O62" s="420"/>
      <c r="P62" s="420"/>
      <c r="Q62" s="420"/>
      <c r="R62" s="420"/>
    </row>
    <row r="63" spans="1:18" x14ac:dyDescent="0.2">
      <c r="A63" s="707" t="s">
        <v>7</v>
      </c>
      <c r="B63" s="708" t="s">
        <v>108</v>
      </c>
      <c r="C63" s="709"/>
      <c r="D63" s="709"/>
      <c r="E63" s="710"/>
      <c r="F63" s="711" t="s">
        <v>226</v>
      </c>
      <c r="G63" s="712"/>
      <c r="H63" s="712"/>
      <c r="I63" s="713"/>
      <c r="J63" s="714" t="s">
        <v>337</v>
      </c>
      <c r="K63" s="715"/>
      <c r="L63" s="715"/>
      <c r="M63" s="716"/>
      <c r="N63" s="717" t="s">
        <v>353</v>
      </c>
      <c r="O63" s="718"/>
      <c r="P63" s="718"/>
      <c r="Q63" s="719"/>
      <c r="R63" s="707" t="s">
        <v>7</v>
      </c>
    </row>
    <row r="64" spans="1:18" ht="51" x14ac:dyDescent="0.2">
      <c r="A64" s="707"/>
      <c r="B64" s="627" t="s">
        <v>227</v>
      </c>
      <c r="C64" s="627" t="s">
        <v>202</v>
      </c>
      <c r="D64" s="627" t="s">
        <v>110</v>
      </c>
      <c r="E64" s="627" t="s">
        <v>111</v>
      </c>
      <c r="F64" s="422" t="s">
        <v>230</v>
      </c>
      <c r="G64" s="422" t="s">
        <v>231</v>
      </c>
      <c r="H64" s="422" t="s">
        <v>232</v>
      </c>
      <c r="I64" s="628" t="s">
        <v>233</v>
      </c>
      <c r="J64" s="646" t="s">
        <v>230</v>
      </c>
      <c r="K64" s="646" t="s">
        <v>231</v>
      </c>
      <c r="L64" s="646" t="s">
        <v>232</v>
      </c>
      <c r="M64" s="648" t="s">
        <v>233</v>
      </c>
      <c r="N64" s="667" t="s">
        <v>230</v>
      </c>
      <c r="O64" s="667" t="s">
        <v>231</v>
      </c>
      <c r="P64" s="667" t="s">
        <v>232</v>
      </c>
      <c r="Q64" s="694" t="s">
        <v>233</v>
      </c>
      <c r="R64" s="707"/>
    </row>
    <row r="65" spans="1:18" x14ac:dyDescent="0.2">
      <c r="A65" s="423" t="s">
        <v>16</v>
      </c>
      <c r="B65" s="424">
        <f>'BRA Load Pricing Results'!J40</f>
        <v>2687.1426610722606</v>
      </c>
      <c r="C65" s="425">
        <f>'BRA Load Pricing Results'!L40</f>
        <v>166.31462250957347</v>
      </c>
      <c r="D65" s="425">
        <f>'BRA CTRs'!AE23</f>
        <v>3.2308126362159371</v>
      </c>
      <c r="E65" s="425">
        <f>C65-D65</f>
        <v>163.08380987335752</v>
      </c>
      <c r="F65" s="426">
        <f>'1st IA Load Pricing Results'!J42</f>
        <v>2706.9797800256101</v>
      </c>
      <c r="G65" s="427">
        <f>'1st IA Load Pricing Results'!L42</f>
        <v>166.16582428735515</v>
      </c>
      <c r="H65" s="629">
        <f>'1st IA CTRs'!AE23</f>
        <v>3.3751227698570743</v>
      </c>
      <c r="I65" s="630">
        <f>G65-H65</f>
        <v>162.79070151749806</v>
      </c>
      <c r="J65" s="649">
        <f>'2nd IA Load Pricing Results'!J42</f>
        <v>2896.2555615447422</v>
      </c>
      <c r="K65" s="650">
        <f>'2nd IA Load Pricing Results'!L42</f>
        <v>168.33514627006906</v>
      </c>
      <c r="L65" s="651">
        <f>'2nd IA CTRs'!AE23</f>
        <v>3.4433259968909371</v>
      </c>
      <c r="M65" s="652">
        <f>K65-L65</f>
        <v>164.89182027317813</v>
      </c>
      <c r="N65" s="702">
        <f>'3rd IA Load Pricing Results'!J42</f>
        <v>2810.8091592491669</v>
      </c>
      <c r="O65" s="695">
        <f>'3rd IA Load Pricing Results'!L42</f>
        <v>167.68498893384771</v>
      </c>
      <c r="P65" s="695">
        <f>'3rd IA CTRs'!AE23</f>
        <v>2.9570410555525819</v>
      </c>
      <c r="Q65" s="695">
        <f>O65-P65</f>
        <v>164.72794787829511</v>
      </c>
      <c r="R65" s="423" t="s">
        <v>16</v>
      </c>
    </row>
    <row r="66" spans="1:18" x14ac:dyDescent="0.2">
      <c r="A66" s="423" t="s">
        <v>332</v>
      </c>
      <c r="B66" s="424">
        <f>'BRA Load Pricing Results'!J41</f>
        <v>12707.663822194674</v>
      </c>
      <c r="C66" s="425">
        <f>'BRA Load Pricing Results'!L41</f>
        <v>140.53287236670766</v>
      </c>
      <c r="D66" s="425">
        <f>'BRA CTRs'!AE24</f>
        <v>0</v>
      </c>
      <c r="E66" s="631">
        <f>C66-D66</f>
        <v>140.53287236670766</v>
      </c>
      <c r="F66" s="426">
        <f>'1st IA Load Pricing Results'!J43</f>
        <v>12935.622333200543</v>
      </c>
      <c r="G66" s="427">
        <f>'1st IA Load Pricing Results'!L43</f>
        <v>140.45355654820597</v>
      </c>
      <c r="H66" s="629">
        <f>'1st IA CTRs'!AE24</f>
        <v>0</v>
      </c>
      <c r="I66" s="630">
        <f>G66-H66</f>
        <v>140.45355654820597</v>
      </c>
      <c r="J66" s="649">
        <f>'2nd IA Load Pricing Results'!J43</f>
        <v>12384.184263129784</v>
      </c>
      <c r="K66" s="650">
        <f>'2nd IA Load Pricing Results'!L43</f>
        <v>142.71348641844651</v>
      </c>
      <c r="L66" s="651">
        <f>'2nd IA CTRs'!AE24</f>
        <v>0</v>
      </c>
      <c r="M66" s="652">
        <f>K66-L66</f>
        <v>142.71348641844651</v>
      </c>
      <c r="N66" s="702">
        <f>'3rd IA Load Pricing Results'!J43</f>
        <v>13005.524518885377</v>
      </c>
      <c r="O66" s="695">
        <f>'3rd IA Load Pricing Results'!L43</f>
        <v>142.16406348311304</v>
      </c>
      <c r="P66" s="695">
        <f>'3rd IA CTRs'!AE24</f>
        <v>0</v>
      </c>
      <c r="Q66" s="695">
        <f t="shared" ref="Q66:Q84" si="0">O66-P66</f>
        <v>142.16406348311304</v>
      </c>
      <c r="R66" s="423" t="s">
        <v>332</v>
      </c>
    </row>
    <row r="67" spans="1:18" x14ac:dyDescent="0.2">
      <c r="A67" s="423" t="s">
        <v>19</v>
      </c>
      <c r="B67" s="424">
        <f>'BRA Load Pricing Results'!J42</f>
        <v>10317.789541777458</v>
      </c>
      <c r="C67" s="425">
        <f>'BRA Load Pricing Results'!L42</f>
        <v>140.53287236670766</v>
      </c>
      <c r="D67" s="425">
        <f>'BRA CTRs'!AE25</f>
        <v>0</v>
      </c>
      <c r="E67" s="631">
        <f>C67-D67</f>
        <v>140.53287236670766</v>
      </c>
      <c r="F67" s="426">
        <f>'1st IA Load Pricing Results'!J44</f>
        <v>10113.707326929592</v>
      </c>
      <c r="G67" s="427">
        <f>'1st IA Load Pricing Results'!L44</f>
        <v>140.45355654820597</v>
      </c>
      <c r="H67" s="629">
        <f>'1st IA CTRs'!AE25</f>
        <v>0</v>
      </c>
      <c r="I67" s="630">
        <f>G67-H67</f>
        <v>140.45355654820597</v>
      </c>
      <c r="J67" s="649">
        <f>'2nd IA Load Pricing Results'!J44</f>
        <v>9912.7864911670185</v>
      </c>
      <c r="K67" s="650">
        <f>'2nd IA Load Pricing Results'!L44</f>
        <v>142.71348641844651</v>
      </c>
      <c r="L67" s="651">
        <f>'2nd IA CTRs'!AE25</f>
        <v>0</v>
      </c>
      <c r="M67" s="652">
        <f>K67-L67</f>
        <v>142.71348641844651</v>
      </c>
      <c r="N67" s="702">
        <f>'3rd IA Load Pricing Results'!J44</f>
        <v>10061.405813045139</v>
      </c>
      <c r="O67" s="695">
        <f>'3rd IA Load Pricing Results'!L44</f>
        <v>142.16406348311304</v>
      </c>
      <c r="P67" s="695">
        <f>'3rd IA CTRs'!AE25</f>
        <v>0</v>
      </c>
      <c r="Q67" s="695">
        <f t="shared" si="0"/>
        <v>142.16406348311304</v>
      </c>
      <c r="R67" s="423" t="s">
        <v>19</v>
      </c>
    </row>
    <row r="68" spans="1:18" x14ac:dyDescent="0.2">
      <c r="A68" s="423" t="s">
        <v>43</v>
      </c>
      <c r="B68" s="424">
        <f>'BRA Load Pricing Results'!J43</f>
        <v>14464.93085838898</v>
      </c>
      <c r="C68" s="425">
        <f>'BRA Load Pricing Results'!L43</f>
        <v>171.86287236670768</v>
      </c>
      <c r="D68" s="425">
        <f>'BRA CTRs'!AE26</f>
        <v>13.868071182447979</v>
      </c>
      <c r="E68" s="631">
        <f>C68-D68</f>
        <v>157.9948011842597</v>
      </c>
      <c r="F68" s="426">
        <f>'1st IA Load Pricing Results'!J45</f>
        <v>14427.078222091504</v>
      </c>
      <c r="G68" s="427">
        <f>'1st IA Load Pricing Results'!L45</f>
        <v>169.38981835657307</v>
      </c>
      <c r="H68" s="629">
        <f>'1st IA CTRs'!AE26</f>
        <v>11.42851775155399</v>
      </c>
      <c r="I68" s="630">
        <f>G68-H68</f>
        <v>157.96130060501909</v>
      </c>
      <c r="J68" s="649">
        <f>'2nd IA Load Pricing Results'!J45</f>
        <v>13978.660978954209</v>
      </c>
      <c r="K68" s="650">
        <f>'2nd IA Load Pricing Results'!L45</f>
        <v>168.48855155766364</v>
      </c>
      <c r="L68" s="651">
        <f>'2nd IA CTRs'!AE26</f>
        <v>7.7056954492100092</v>
      </c>
      <c r="M68" s="652">
        <f>K68-L68</f>
        <v>160.78285610845364</v>
      </c>
      <c r="N68" s="702">
        <f>'3rd IA Load Pricing Results'!J45</f>
        <v>13995.365020478628</v>
      </c>
      <c r="O68" s="695">
        <f>'3rd IA Load Pricing Results'!L45</f>
        <v>167.98847971056921</v>
      </c>
      <c r="P68" s="695">
        <f>'3rd IA CTRs'!AE26</f>
        <v>7.776613070453398</v>
      </c>
      <c r="Q68" s="695">
        <f t="shared" si="0"/>
        <v>160.2118666401158</v>
      </c>
      <c r="R68" s="423" t="s">
        <v>43</v>
      </c>
    </row>
    <row r="69" spans="1:18" x14ac:dyDescent="0.2">
      <c r="A69" s="423" t="s">
        <v>11</v>
      </c>
      <c r="B69" s="424">
        <f>'BRA Load Pricing Results'!J44</f>
        <v>7435.0489746999383</v>
      </c>
      <c r="C69" s="425">
        <f>'BRA Load Pricing Results'!L44</f>
        <v>203.18757461207053</v>
      </c>
      <c r="D69" s="425">
        <f>'BRA CTRs'!AE27</f>
        <v>41.570221558208367</v>
      </c>
      <c r="E69" s="631">
        <f t="shared" ref="E69:E83" si="1">C69-D69</f>
        <v>161.61735305386216</v>
      </c>
      <c r="F69" s="426">
        <f>'1st IA Load Pricing Results'!J46</f>
        <v>7412.5817419299901</v>
      </c>
      <c r="G69" s="427">
        <f>'1st IA Load Pricing Results'!L46</f>
        <v>202.77241313890946</v>
      </c>
      <c r="H69" s="629">
        <f>'1st IA CTRs'!AE27</f>
        <v>41.042356190606988</v>
      </c>
      <c r="I69" s="630">
        <f t="shared" ref="I69:I83" si="2">G69-H69</f>
        <v>161.73005694830246</v>
      </c>
      <c r="J69" s="649">
        <f>'2nd IA Load Pricing Results'!J46</f>
        <v>7316.9183990515812</v>
      </c>
      <c r="K69" s="650">
        <f>'2nd IA Load Pricing Results'!L46</f>
        <v>205.08565375114651</v>
      </c>
      <c r="L69" s="651">
        <f>'2nd IA CTRs'!AE27</f>
        <v>40.509020312824006</v>
      </c>
      <c r="M69" s="652">
        <f t="shared" ref="M69:M83" si="3">K69-L69</f>
        <v>164.57663343832252</v>
      </c>
      <c r="N69" s="702">
        <f>'3rd IA Load Pricing Results'!J46</f>
        <v>7491.1878344415172</v>
      </c>
      <c r="O69" s="695">
        <f>'3rd IA Load Pricing Results'!L46</f>
        <v>204.45903433239633</v>
      </c>
      <c r="P69" s="695">
        <f>'3rd IA CTRs'!AE27</f>
        <v>40.961343365134027</v>
      </c>
      <c r="Q69" s="695">
        <f t="shared" si="0"/>
        <v>163.49769096726232</v>
      </c>
      <c r="R69" s="423" t="s">
        <v>11</v>
      </c>
    </row>
    <row r="70" spans="1:18" x14ac:dyDescent="0.2">
      <c r="A70" s="423" t="s">
        <v>20</v>
      </c>
      <c r="B70" s="424">
        <f>'BRA Load Pricing Results'!J45</f>
        <v>24982.975399171821</v>
      </c>
      <c r="C70" s="425">
        <f>'BRA Load Pricing Results'!L45</f>
        <v>196.08342873791634</v>
      </c>
      <c r="D70" s="425">
        <f>'BRA CTRs'!AE28</f>
        <v>2.7768921561798634</v>
      </c>
      <c r="E70" s="631">
        <f t="shared" si="1"/>
        <v>193.30653658173648</v>
      </c>
      <c r="F70" s="426">
        <f>'1st IA Load Pricing Results'!J47</f>
        <v>24662.552805562045</v>
      </c>
      <c r="G70" s="427">
        <f>'1st IA Load Pricing Results'!L47</f>
        <v>195.55460394377488</v>
      </c>
      <c r="H70" s="629">
        <f>'1st IA CTRs'!AE28</f>
        <v>1.6668132795416537</v>
      </c>
      <c r="I70" s="630">
        <f t="shared" si="2"/>
        <v>193.88779066423322</v>
      </c>
      <c r="J70" s="649">
        <f>'2nd IA Load Pricing Results'!J47</f>
        <v>23149.93981920716</v>
      </c>
      <c r="K70" s="650">
        <f>'2nd IA Load Pricing Results'!L47</f>
        <v>198.71089721533468</v>
      </c>
      <c r="L70" s="651">
        <f>'2nd IA CTRs'!AE28</f>
        <v>2.7499424807867452E-16</v>
      </c>
      <c r="M70" s="652">
        <f t="shared" si="3"/>
        <v>198.71089721533468</v>
      </c>
      <c r="N70" s="702">
        <f>'3rd IA Load Pricing Results'!J47</f>
        <v>22721.196377062159</v>
      </c>
      <c r="O70" s="695">
        <f>'3rd IA Load Pricing Results'!L47</f>
        <v>198.43038760181514</v>
      </c>
      <c r="P70" s="695">
        <f>'3rd IA CTRs'!AE28</f>
        <v>0</v>
      </c>
      <c r="Q70" s="695">
        <f t="shared" si="0"/>
        <v>198.43038760181514</v>
      </c>
      <c r="R70" s="423" t="s">
        <v>20</v>
      </c>
    </row>
    <row r="71" spans="1:18" x14ac:dyDescent="0.2">
      <c r="A71" s="423" t="s">
        <v>21</v>
      </c>
      <c r="B71" s="424">
        <f>'BRA Load Pricing Results'!J46</f>
        <v>3786.2166091018162</v>
      </c>
      <c r="C71" s="425">
        <f>'BRA Load Pricing Results'!L46</f>
        <v>140.53287236670766</v>
      </c>
      <c r="D71" s="425">
        <f>'BRA CTRs'!AE29</f>
        <v>0</v>
      </c>
      <c r="E71" s="631">
        <f t="shared" si="1"/>
        <v>140.53287236670766</v>
      </c>
      <c r="F71" s="426">
        <f>'1st IA Load Pricing Results'!J48</f>
        <v>3775.9557917744769</v>
      </c>
      <c r="G71" s="427">
        <f>'1st IA Load Pricing Results'!L48</f>
        <v>140.45355654820597</v>
      </c>
      <c r="H71" s="629">
        <f>'1st IA CTRs'!AE29</f>
        <v>0</v>
      </c>
      <c r="I71" s="630">
        <f t="shared" si="2"/>
        <v>140.45355654820597</v>
      </c>
      <c r="J71" s="649">
        <f>'2nd IA Load Pricing Results'!J48</f>
        <v>3599.9191218220481</v>
      </c>
      <c r="K71" s="650">
        <f>'2nd IA Load Pricing Results'!L48</f>
        <v>142.71348641844651</v>
      </c>
      <c r="L71" s="651">
        <f>'2nd IA CTRs'!AE29</f>
        <v>0</v>
      </c>
      <c r="M71" s="652">
        <f t="shared" si="3"/>
        <v>142.71348641844651</v>
      </c>
      <c r="N71" s="702">
        <f>'3rd IA Load Pricing Results'!J48</f>
        <v>3875.2784316662833</v>
      </c>
      <c r="O71" s="695">
        <f>'3rd IA Load Pricing Results'!L48</f>
        <v>142.16406348311304</v>
      </c>
      <c r="P71" s="695">
        <f>'3rd IA CTRs'!AE29</f>
        <v>0</v>
      </c>
      <c r="Q71" s="695">
        <f t="shared" si="0"/>
        <v>142.16406348311304</v>
      </c>
      <c r="R71" s="423" t="s">
        <v>21</v>
      </c>
    </row>
    <row r="72" spans="1:18" x14ac:dyDescent="0.2">
      <c r="A72" s="423" t="s">
        <v>333</v>
      </c>
      <c r="B72" s="424">
        <f>'BRA Load Pricing Results'!J47</f>
        <v>5189.8018450111103</v>
      </c>
      <c r="C72" s="425">
        <f>'BRA Load Pricing Results'!L47</f>
        <v>140.53287236670766</v>
      </c>
      <c r="D72" s="425">
        <f>'BRA CTRs'!AE30</f>
        <v>0</v>
      </c>
      <c r="E72" s="631">
        <f t="shared" si="1"/>
        <v>140.53287236670766</v>
      </c>
      <c r="F72" s="426">
        <f>'1st IA Load Pricing Results'!J49</f>
        <v>5167.0319928498348</v>
      </c>
      <c r="G72" s="427">
        <f>'1st IA Load Pricing Results'!L49</f>
        <v>140.45355654820597</v>
      </c>
      <c r="H72" s="629">
        <f>'1st IA CTRs'!AE30</f>
        <v>0</v>
      </c>
      <c r="I72" s="630">
        <f t="shared" si="2"/>
        <v>140.45355654820597</v>
      </c>
      <c r="J72" s="649">
        <f>'2nd IA Load Pricing Results'!J49</f>
        <v>5027.8478099634722</v>
      </c>
      <c r="K72" s="650">
        <f>'2nd IA Load Pricing Results'!L49</f>
        <v>142.71348641844651</v>
      </c>
      <c r="L72" s="651">
        <f>'2nd IA CTRs'!AE30</f>
        <v>0</v>
      </c>
      <c r="M72" s="652">
        <f t="shared" si="3"/>
        <v>142.71348641844651</v>
      </c>
      <c r="N72" s="702">
        <f>'3rd IA Load Pricing Results'!J49</f>
        <v>5191.1270430588393</v>
      </c>
      <c r="O72" s="695">
        <f>'3rd IA Load Pricing Results'!L49</f>
        <v>142.16406348311304</v>
      </c>
      <c r="P72" s="695">
        <f>'3rd IA CTRs'!AE30</f>
        <v>0</v>
      </c>
      <c r="Q72" s="695">
        <f t="shared" si="0"/>
        <v>142.16406348311304</v>
      </c>
      <c r="R72" s="423" t="s">
        <v>333</v>
      </c>
    </row>
    <row r="73" spans="1:18" x14ac:dyDescent="0.2">
      <c r="A73" s="423" t="s">
        <v>42</v>
      </c>
      <c r="B73" s="424">
        <f>'BRA Load Pricing Results'!J48</f>
        <v>3194.7657980859112</v>
      </c>
      <c r="C73" s="425">
        <f>'BRA Load Pricing Results'!L48</f>
        <v>140.53287236670766</v>
      </c>
      <c r="D73" s="425">
        <f>'BRA CTRs'!AE31</f>
        <v>0</v>
      </c>
      <c r="E73" s="631">
        <f t="shared" si="1"/>
        <v>140.53287236670766</v>
      </c>
      <c r="F73" s="426">
        <f>'1st IA Load Pricing Results'!J50</f>
        <v>3201.0738402205952</v>
      </c>
      <c r="G73" s="427">
        <f>'1st IA Load Pricing Results'!L50</f>
        <v>140.45355654820597</v>
      </c>
      <c r="H73" s="629">
        <f>'1st IA CTRs'!AE31</f>
        <v>0</v>
      </c>
      <c r="I73" s="630">
        <f t="shared" si="2"/>
        <v>140.45355654820597</v>
      </c>
      <c r="J73" s="649">
        <f>'2nd IA Load Pricing Results'!J50</f>
        <v>3151.7031733428908</v>
      </c>
      <c r="K73" s="650">
        <f>'2nd IA Load Pricing Results'!L50</f>
        <v>142.71348641844651</v>
      </c>
      <c r="L73" s="651">
        <f>'2nd IA CTRs'!AE31</f>
        <v>0</v>
      </c>
      <c r="M73" s="652">
        <f t="shared" si="3"/>
        <v>142.71348641844651</v>
      </c>
      <c r="N73" s="702">
        <f>'3rd IA Load Pricing Results'!J50</f>
        <v>3085.4351898396899</v>
      </c>
      <c r="O73" s="695">
        <f>'3rd IA Load Pricing Results'!L50</f>
        <v>142.16406348311304</v>
      </c>
      <c r="P73" s="695">
        <f>'3rd IA CTRs'!AE31</f>
        <v>0</v>
      </c>
      <c r="Q73" s="695">
        <f t="shared" si="0"/>
        <v>142.16406348311304</v>
      </c>
      <c r="R73" s="423" t="s">
        <v>42</v>
      </c>
    </row>
    <row r="74" spans="1:18" x14ac:dyDescent="0.2">
      <c r="A74" s="423" t="s">
        <v>30</v>
      </c>
      <c r="B74" s="424">
        <f>'BRA Load Pricing Results'!J49</f>
        <v>22505.401923105201</v>
      </c>
      <c r="C74" s="425">
        <f>'BRA Load Pricing Results'!L49</f>
        <v>140.53287236670766</v>
      </c>
      <c r="D74" s="425">
        <f>'BRA CTRs'!AE32</f>
        <v>0</v>
      </c>
      <c r="E74" s="631">
        <f t="shared" si="1"/>
        <v>140.53287236670766</v>
      </c>
      <c r="F74" s="426">
        <f>'1st IA Load Pricing Results'!J51</f>
        <v>22461.375475783432</v>
      </c>
      <c r="G74" s="427">
        <f>'1st IA Load Pricing Results'!L51</f>
        <v>140.45355654820597</v>
      </c>
      <c r="H74" s="629">
        <f>'1st IA CTRs'!AE32</f>
        <v>0</v>
      </c>
      <c r="I74" s="630">
        <f t="shared" si="2"/>
        <v>140.45355654820597</v>
      </c>
      <c r="J74" s="649">
        <f>'2nd IA Load Pricing Results'!J51</f>
        <v>22792.786213822714</v>
      </c>
      <c r="K74" s="650">
        <f>'2nd IA Load Pricing Results'!L51</f>
        <v>142.71348641844651</v>
      </c>
      <c r="L74" s="651">
        <f>'2nd IA CTRs'!AE32</f>
        <v>0</v>
      </c>
      <c r="M74" s="652">
        <f t="shared" si="3"/>
        <v>142.71348641844651</v>
      </c>
      <c r="N74" s="702">
        <f>'3rd IA Load Pricing Results'!J51</f>
        <v>22932.447169824103</v>
      </c>
      <c r="O74" s="695">
        <f>'3rd IA Load Pricing Results'!L51</f>
        <v>142.16406348311304</v>
      </c>
      <c r="P74" s="695">
        <f>'3rd IA CTRs'!AE32</f>
        <v>0</v>
      </c>
      <c r="Q74" s="695">
        <f t="shared" si="0"/>
        <v>142.16406348311304</v>
      </c>
      <c r="R74" s="423" t="s">
        <v>30</v>
      </c>
    </row>
    <row r="75" spans="1:18" x14ac:dyDescent="0.2">
      <c r="A75" s="423" t="s">
        <v>17</v>
      </c>
      <c r="B75" s="424">
        <f>'BRA Load Pricing Results'!J50</f>
        <v>4373.0103271175967</v>
      </c>
      <c r="C75" s="425">
        <f>'BRA Load Pricing Results'!L50</f>
        <v>166.31462250957347</v>
      </c>
      <c r="D75" s="425">
        <f>'BRA CTRs'!AE33</f>
        <v>3.2308126362159366</v>
      </c>
      <c r="E75" s="631">
        <f t="shared" si="1"/>
        <v>163.08380987335752</v>
      </c>
      <c r="F75" s="426">
        <f>'1st IA Load Pricing Results'!J52</f>
        <v>4375.4253624375888</v>
      </c>
      <c r="G75" s="427">
        <f>'1st IA Load Pricing Results'!L52</f>
        <v>166.16582428735515</v>
      </c>
      <c r="H75" s="629">
        <f>'1st IA CTRs'!AE33</f>
        <v>3.3751227698570747</v>
      </c>
      <c r="I75" s="630">
        <f t="shared" si="2"/>
        <v>162.79070151749806</v>
      </c>
      <c r="J75" s="649">
        <f>'2nd IA Load Pricing Results'!J52</f>
        <v>4510.5425527691496</v>
      </c>
      <c r="K75" s="650">
        <f>'2nd IA Load Pricing Results'!L52</f>
        <v>168.33514627006906</v>
      </c>
      <c r="L75" s="651">
        <f>'2nd IA CTRs'!AE33</f>
        <v>3.4433259968909367</v>
      </c>
      <c r="M75" s="652">
        <f t="shared" si="3"/>
        <v>164.89182027317813</v>
      </c>
      <c r="N75" s="702">
        <f>'3rd IA Load Pricing Results'!J52</f>
        <v>4369.3705636261575</v>
      </c>
      <c r="O75" s="695">
        <f>'3rd IA Load Pricing Results'!L52</f>
        <v>167.68498893384771</v>
      </c>
      <c r="P75" s="695">
        <f>'3rd IA CTRs'!AE33</f>
        <v>2.9570410555525819</v>
      </c>
      <c r="Q75" s="695">
        <f t="shared" si="0"/>
        <v>164.72794787829511</v>
      </c>
      <c r="R75" s="423" t="s">
        <v>17</v>
      </c>
    </row>
    <row r="76" spans="1:18" x14ac:dyDescent="0.2">
      <c r="A76" s="423" t="s">
        <v>334</v>
      </c>
      <c r="B76" s="424">
        <f>'BRA Load Pricing Results'!J51</f>
        <v>2534.7030381935297</v>
      </c>
      <c r="C76" s="425">
        <f>'BRA Load Pricing Results'!L51</f>
        <v>140.53287236670766</v>
      </c>
      <c r="D76" s="425">
        <f>'BRA CTRs'!AE34</f>
        <v>0</v>
      </c>
      <c r="E76" s="631">
        <f t="shared" si="1"/>
        <v>140.53287236670766</v>
      </c>
      <c r="F76" s="426">
        <f>'1st IA Load Pricing Results'!J53</f>
        <v>2566.9025943607708</v>
      </c>
      <c r="G76" s="427">
        <f>'1st IA Load Pricing Results'!L53</f>
        <v>140.45355654820597</v>
      </c>
      <c r="H76" s="629">
        <f>'1st IA CTRs'!AE34</f>
        <v>0</v>
      </c>
      <c r="I76" s="630">
        <f t="shared" si="2"/>
        <v>140.45355654820597</v>
      </c>
      <c r="J76" s="649">
        <f>'2nd IA Load Pricing Results'!J53</f>
        <v>2573.5692823066306</v>
      </c>
      <c r="K76" s="650">
        <f>'2nd IA Load Pricing Results'!L53</f>
        <v>142.71348641844651</v>
      </c>
      <c r="L76" s="651">
        <f>'2nd IA CTRs'!AE34</f>
        <v>0</v>
      </c>
      <c r="M76" s="652">
        <f t="shared" si="3"/>
        <v>142.71348641844651</v>
      </c>
      <c r="N76" s="702">
        <f>'3rd IA Load Pricing Results'!J53</f>
        <v>2704.5256794365432</v>
      </c>
      <c r="O76" s="695">
        <f>'3rd IA Load Pricing Results'!L53</f>
        <v>142.16406348311304</v>
      </c>
      <c r="P76" s="695">
        <f>'3rd IA CTRs'!AE34</f>
        <v>0</v>
      </c>
      <c r="Q76" s="695">
        <f t="shared" si="0"/>
        <v>142.16406348311304</v>
      </c>
      <c r="R76" s="423" t="s">
        <v>334</v>
      </c>
    </row>
    <row r="77" spans="1:18" x14ac:dyDescent="0.2">
      <c r="A77" s="423" t="s">
        <v>12</v>
      </c>
      <c r="B77" s="424">
        <f>'BRA Load Pricing Results'!J52</f>
        <v>6538.5585721758307</v>
      </c>
      <c r="C77" s="425">
        <f>'BRA Load Pricing Results'!L52</f>
        <v>166.31462250957347</v>
      </c>
      <c r="D77" s="425">
        <f>'BRA CTRs'!AE35</f>
        <v>3.2308126362159379</v>
      </c>
      <c r="E77" s="631">
        <f t="shared" si="1"/>
        <v>163.08380987335752</v>
      </c>
      <c r="F77" s="426">
        <f>'1st IA Load Pricing Results'!J54</f>
        <v>6605.8736673462327</v>
      </c>
      <c r="G77" s="427">
        <f>'1st IA Load Pricing Results'!L54</f>
        <v>166.16582428735515</v>
      </c>
      <c r="H77" s="629">
        <f>'1st IA CTRs'!AE35</f>
        <v>3.3751227698570747</v>
      </c>
      <c r="I77" s="630">
        <f t="shared" si="2"/>
        <v>162.79070151749806</v>
      </c>
      <c r="J77" s="649">
        <f>'2nd IA Load Pricing Results'!J54</f>
        <v>6659.3773242378293</v>
      </c>
      <c r="K77" s="650">
        <f>'2nd IA Load Pricing Results'!L54</f>
        <v>168.33514627006906</v>
      </c>
      <c r="L77" s="651">
        <f>'2nd IA CTRs'!AE35</f>
        <v>3.4433259968909367</v>
      </c>
      <c r="M77" s="652">
        <f t="shared" si="3"/>
        <v>164.89182027317813</v>
      </c>
      <c r="N77" s="702">
        <f>'3rd IA Load Pricing Results'!J54</f>
        <v>6601.5872738106727</v>
      </c>
      <c r="O77" s="695">
        <f>'3rd IA Load Pricing Results'!L54</f>
        <v>167.68498893384771</v>
      </c>
      <c r="P77" s="695">
        <f>'3rd IA CTRs'!AE35</f>
        <v>2.9570410555525823</v>
      </c>
      <c r="Q77" s="695">
        <f t="shared" si="0"/>
        <v>164.72794787829511</v>
      </c>
      <c r="R77" s="423" t="s">
        <v>12</v>
      </c>
    </row>
    <row r="78" spans="1:18" x14ac:dyDescent="0.2">
      <c r="A78" s="423" t="s">
        <v>13</v>
      </c>
      <c r="B78" s="424">
        <f>'BRA Load Pricing Results'!J53</f>
        <v>3337.9714078397619</v>
      </c>
      <c r="C78" s="425">
        <f>'BRA Load Pricing Results'!L53</f>
        <v>140.53287236670766</v>
      </c>
      <c r="D78" s="425">
        <f>'BRA CTRs'!AE36</f>
        <v>0</v>
      </c>
      <c r="E78" s="631">
        <f t="shared" si="1"/>
        <v>140.53287236670766</v>
      </c>
      <c r="F78" s="426">
        <f>'1st IA Load Pricing Results'!J55</f>
        <v>3377.8705300060051</v>
      </c>
      <c r="G78" s="427">
        <f>'1st IA Load Pricing Results'!L55</f>
        <v>140.45355654820597</v>
      </c>
      <c r="H78" s="629">
        <f>'1st IA CTRs'!AE36</f>
        <v>0</v>
      </c>
      <c r="I78" s="630">
        <f t="shared" si="2"/>
        <v>140.45355654820597</v>
      </c>
      <c r="J78" s="649">
        <f>'2nd IA Load Pricing Results'!J55</f>
        <v>3389.411367655056</v>
      </c>
      <c r="K78" s="650">
        <f>'2nd IA Load Pricing Results'!L55</f>
        <v>142.71348641844651</v>
      </c>
      <c r="L78" s="651">
        <f>'2nd IA CTRs'!AE36</f>
        <v>0</v>
      </c>
      <c r="M78" s="652">
        <f t="shared" si="3"/>
        <v>142.71348641844651</v>
      </c>
      <c r="N78" s="702">
        <f>'3rd IA Load Pricing Results'!J55</f>
        <v>3476.249156449283</v>
      </c>
      <c r="O78" s="695">
        <f>'3rd IA Load Pricing Results'!L55</f>
        <v>142.16406348311304</v>
      </c>
      <c r="P78" s="695">
        <f>'3rd IA CTRs'!AE36</f>
        <v>0</v>
      </c>
      <c r="Q78" s="695">
        <f t="shared" si="0"/>
        <v>142.16406348311304</v>
      </c>
      <c r="R78" s="423" t="s">
        <v>13</v>
      </c>
    </row>
    <row r="79" spans="1:18" x14ac:dyDescent="0.2">
      <c r="A79" s="423" t="s">
        <v>9</v>
      </c>
      <c r="B79" s="424">
        <f>'BRA Load Pricing Results'!J54</f>
        <v>9722.84591101146</v>
      </c>
      <c r="C79" s="425">
        <f>'BRA Load Pricing Results'!L54</f>
        <v>166.31462250957347</v>
      </c>
      <c r="D79" s="425">
        <f>'BRA CTRs'!AE37</f>
        <v>3.2308126362159371</v>
      </c>
      <c r="E79" s="631">
        <f t="shared" si="1"/>
        <v>163.08380987335752</v>
      </c>
      <c r="F79" s="426">
        <f>'1st IA Load Pricing Results'!J56</f>
        <v>9854.9519067800866</v>
      </c>
      <c r="G79" s="427">
        <f>'1st IA Load Pricing Results'!L56</f>
        <v>166.16582428735515</v>
      </c>
      <c r="H79" s="629">
        <f>'1st IA CTRs'!AE37</f>
        <v>3.3751227698570738</v>
      </c>
      <c r="I79" s="630">
        <f t="shared" si="2"/>
        <v>162.79070151749806</v>
      </c>
      <c r="J79" s="649">
        <f>'2nd IA Load Pricing Results'!J56</f>
        <v>9483.4925880062437</v>
      </c>
      <c r="K79" s="650">
        <f>'2nd IA Load Pricing Results'!L56</f>
        <v>168.33514627006906</v>
      </c>
      <c r="L79" s="651">
        <f>'2nd IA CTRs'!AE37</f>
        <v>3.4433259968909375</v>
      </c>
      <c r="M79" s="652">
        <f t="shared" si="3"/>
        <v>164.89182027317813</v>
      </c>
      <c r="N79" s="702">
        <f>'3rd IA Load Pricing Results'!J56</f>
        <v>9496.8967501646184</v>
      </c>
      <c r="O79" s="695">
        <f>'3rd IA Load Pricing Results'!L56</f>
        <v>167.68498893384771</v>
      </c>
      <c r="P79" s="695">
        <f>'3rd IA CTRs'!AE37</f>
        <v>2.9570410555525819</v>
      </c>
      <c r="Q79" s="695">
        <f t="shared" si="0"/>
        <v>164.72794787829511</v>
      </c>
      <c r="R79" s="423" t="s">
        <v>9</v>
      </c>
    </row>
    <row r="80" spans="1:18" x14ac:dyDescent="0.2">
      <c r="A80" s="423" t="s">
        <v>14</v>
      </c>
      <c r="B80" s="424">
        <f>'BRA Load Pricing Results'!J55</f>
        <v>3206.4085305862245</v>
      </c>
      <c r="C80" s="425">
        <f>'BRA Load Pricing Results'!L55</f>
        <v>140.53287236670766</v>
      </c>
      <c r="D80" s="425">
        <f>'BRA CTRs'!AE38</f>
        <v>0</v>
      </c>
      <c r="E80" s="631">
        <f t="shared" si="1"/>
        <v>140.53287236670766</v>
      </c>
      <c r="F80" s="426">
        <f>'1st IA Load Pricing Results'!J57</f>
        <v>3225.661459329825</v>
      </c>
      <c r="G80" s="427">
        <f>'1st IA Load Pricing Results'!L57</f>
        <v>140.45355654820597</v>
      </c>
      <c r="H80" s="629">
        <f>'1st IA CTRs'!AE38</f>
        <v>0</v>
      </c>
      <c r="I80" s="630">
        <f t="shared" si="2"/>
        <v>140.45355654820597</v>
      </c>
      <c r="J80" s="649">
        <f>'2nd IA Load Pricing Results'!J57</f>
        <v>3188.3646361472543</v>
      </c>
      <c r="K80" s="650">
        <f>'2nd IA Load Pricing Results'!L57</f>
        <v>142.71348641844651</v>
      </c>
      <c r="L80" s="651">
        <f>'2nd IA CTRs'!AE38</f>
        <v>0</v>
      </c>
      <c r="M80" s="652">
        <f t="shared" si="3"/>
        <v>142.71348641844651</v>
      </c>
      <c r="N80" s="702">
        <f>'3rd IA Load Pricing Results'!J57</f>
        <v>3275.5609033254377</v>
      </c>
      <c r="O80" s="695">
        <f>'3rd IA Load Pricing Results'!L57</f>
        <v>142.16406348311304</v>
      </c>
      <c r="P80" s="695">
        <f>'3rd IA CTRs'!AE38</f>
        <v>0</v>
      </c>
      <c r="Q80" s="695">
        <f t="shared" si="0"/>
        <v>142.16406348311304</v>
      </c>
      <c r="R80" s="423" t="s">
        <v>14</v>
      </c>
    </row>
    <row r="81" spans="1:18" x14ac:dyDescent="0.2">
      <c r="A81" s="423" t="s">
        <v>15</v>
      </c>
      <c r="B81" s="424">
        <f>'BRA Load Pricing Results'!J56</f>
        <v>7116.0381041913588</v>
      </c>
      <c r="C81" s="425">
        <f>'BRA Load Pricing Results'!L56</f>
        <v>140.53287236670766</v>
      </c>
      <c r="D81" s="425">
        <f>'BRA CTRs'!AE39</f>
        <v>0</v>
      </c>
      <c r="E81" s="631">
        <f t="shared" si="1"/>
        <v>140.53287236670766</v>
      </c>
      <c r="F81" s="426">
        <f>'1st IA Load Pricing Results'!J58</f>
        <v>7164.3638728272945</v>
      </c>
      <c r="G81" s="427">
        <f>'1st IA Load Pricing Results'!L58</f>
        <v>140.45355654820597</v>
      </c>
      <c r="H81" s="629">
        <f>'1st IA CTRs'!AE39</f>
        <v>0</v>
      </c>
      <c r="I81" s="630">
        <f t="shared" si="2"/>
        <v>140.45355654820597</v>
      </c>
      <c r="J81" s="649">
        <f>'2nd IA Load Pricing Results'!J58</f>
        <v>6936.112237019157</v>
      </c>
      <c r="K81" s="650">
        <f>'2nd IA Load Pricing Results'!L58</f>
        <v>142.71348641844651</v>
      </c>
      <c r="L81" s="651">
        <f>'2nd IA CTRs'!AE39</f>
        <v>0</v>
      </c>
      <c r="M81" s="652">
        <f t="shared" si="3"/>
        <v>142.71348641844651</v>
      </c>
      <c r="N81" s="702">
        <f>'3rd IA Load Pricing Results'!J58</f>
        <v>6742.4211356519672</v>
      </c>
      <c r="O81" s="695">
        <f>'3rd IA Load Pricing Results'!L58</f>
        <v>142.16406348311304</v>
      </c>
      <c r="P81" s="695">
        <f>'3rd IA CTRs'!AE39</f>
        <v>0</v>
      </c>
      <c r="Q81" s="695">
        <f t="shared" si="0"/>
        <v>142.16406348311304</v>
      </c>
      <c r="R81" s="423" t="s">
        <v>15</v>
      </c>
    </row>
    <row r="82" spans="1:18" x14ac:dyDescent="0.2">
      <c r="A82" s="423" t="s">
        <v>10</v>
      </c>
      <c r="B82" s="424">
        <f>'BRA Load Pricing Results'!J57</f>
        <v>8183.6766744700699</v>
      </c>
      <c r="C82" s="425">
        <f>'BRA Load Pricing Results'!L57</f>
        <v>140.53287236670766</v>
      </c>
      <c r="D82" s="425">
        <f>'BRA CTRs'!AE40</f>
        <v>0</v>
      </c>
      <c r="E82" s="631">
        <f t="shared" si="1"/>
        <v>140.53287236670766</v>
      </c>
      <c r="F82" s="426">
        <f>'1st IA Load Pricing Results'!J59</f>
        <v>8249.7316306489811</v>
      </c>
      <c r="G82" s="427">
        <f>'1st IA Load Pricing Results'!L59</f>
        <v>140.45355654820597</v>
      </c>
      <c r="H82" s="629">
        <f>'1st IA CTRs'!AE40</f>
        <v>0</v>
      </c>
      <c r="I82" s="630">
        <f t="shared" si="2"/>
        <v>140.45355654820597</v>
      </c>
      <c r="J82" s="649">
        <f>'2nd IA Load Pricing Results'!J59</f>
        <v>8287.8558494510235</v>
      </c>
      <c r="K82" s="650">
        <f>'2nd IA Load Pricing Results'!L59</f>
        <v>142.71348641844651</v>
      </c>
      <c r="L82" s="651">
        <f>'2nd IA CTRs'!AE40</f>
        <v>0</v>
      </c>
      <c r="M82" s="652">
        <f t="shared" si="3"/>
        <v>142.71348641844651</v>
      </c>
      <c r="N82" s="702">
        <f>'3rd IA Load Pricing Results'!J59</f>
        <v>8418.3440915633728</v>
      </c>
      <c r="O82" s="695">
        <f>'3rd IA Load Pricing Results'!L59</f>
        <v>142.16406348311304</v>
      </c>
      <c r="P82" s="695">
        <f>'3rd IA CTRs'!AE40</f>
        <v>0</v>
      </c>
      <c r="Q82" s="695">
        <f t="shared" si="0"/>
        <v>142.16406348311304</v>
      </c>
      <c r="R82" s="423" t="s">
        <v>10</v>
      </c>
    </row>
    <row r="83" spans="1:18" x14ac:dyDescent="0.2">
      <c r="A83" s="423" t="s">
        <v>8</v>
      </c>
      <c r="B83" s="424">
        <f>'BRA Load Pricing Results'!J58</f>
        <v>10901.090440043145</v>
      </c>
      <c r="C83" s="425">
        <f>'BRA Load Pricing Results'!L58</f>
        <v>204.91658280618464</v>
      </c>
      <c r="D83" s="425">
        <f>'BRA CTRs'!AE41</f>
        <v>20.883478892537909</v>
      </c>
      <c r="E83" s="631">
        <f t="shared" si="1"/>
        <v>184.03310391364673</v>
      </c>
      <c r="F83" s="426">
        <f>'1st IA Load Pricing Results'!J60</f>
        <v>11007.057487898252</v>
      </c>
      <c r="G83" s="427">
        <f>'1st IA Load Pricing Results'!L60</f>
        <v>207.02611619664347</v>
      </c>
      <c r="H83" s="629">
        <f>'1st IA CTRs'!AE41</f>
        <v>21.863823010390895</v>
      </c>
      <c r="I83" s="630">
        <f t="shared" si="2"/>
        <v>185.16229318625258</v>
      </c>
      <c r="J83" s="649">
        <f>'2nd IA Load Pricing Results'!J60</f>
        <v>11275.173754090478</v>
      </c>
      <c r="K83" s="650">
        <f>'2nd IA Load Pricing Results'!L60</f>
        <v>210.73938114623658</v>
      </c>
      <c r="L83" s="651">
        <f>'2nd IA CTRs'!AE41</f>
        <v>22.717069211891182</v>
      </c>
      <c r="M83" s="652">
        <f t="shared" si="3"/>
        <v>188.0223119343454</v>
      </c>
      <c r="N83" s="702">
        <f>'3rd IA Load Pricing Results'!J60</f>
        <v>10987.388454651649</v>
      </c>
      <c r="O83" s="695">
        <f>'3rd IA Load Pricing Results'!L60</f>
        <v>209.88699461228009</v>
      </c>
      <c r="P83" s="695">
        <f>'3rd IA CTRs'!AE41</f>
        <v>21.425842680431096</v>
      </c>
      <c r="Q83" s="695">
        <f t="shared" si="0"/>
        <v>188.461151931849</v>
      </c>
      <c r="R83" s="423" t="s">
        <v>8</v>
      </c>
    </row>
    <row r="84" spans="1:18" x14ac:dyDescent="0.2">
      <c r="A84" s="423" t="s">
        <v>18</v>
      </c>
      <c r="B84" s="424">
        <f>'BRA Load Pricing Results'!J59</f>
        <v>441.259561761866</v>
      </c>
      <c r="C84" s="425">
        <f>'BRA Load Pricing Results'!L59</f>
        <v>166.31462250957347</v>
      </c>
      <c r="D84" s="425">
        <f>'BRA CTRs'!AE42</f>
        <v>3.2308126362159371</v>
      </c>
      <c r="E84" s="631">
        <f>C84-D84</f>
        <v>163.08380987335752</v>
      </c>
      <c r="F84" s="426">
        <f>'1st IA Load Pricing Results'!J61</f>
        <v>449.60217799733311</v>
      </c>
      <c r="G84" s="427">
        <f>'1st IA Load Pricing Results'!L61</f>
        <v>166.16582428735515</v>
      </c>
      <c r="H84" s="629">
        <f>'1st IA CTRs'!AE42</f>
        <v>3.3751227698570747</v>
      </c>
      <c r="I84" s="630">
        <f>G84-H84</f>
        <v>162.79070151749806</v>
      </c>
      <c r="J84" s="649">
        <f>'2nd IA Load Pricing Results'!J61</f>
        <v>449.39857631155661</v>
      </c>
      <c r="K84" s="650">
        <f>'2nd IA Load Pricing Results'!L61</f>
        <v>168.33514627006906</v>
      </c>
      <c r="L84" s="651">
        <f>'2nd IA CTRs'!AE42</f>
        <v>3.4433259968909371</v>
      </c>
      <c r="M84" s="652">
        <f>K84-L84</f>
        <v>164.89182027317813</v>
      </c>
      <c r="N84" s="702">
        <f>'3rd IA Load Pricing Results'!J61</f>
        <v>441.27943376938896</v>
      </c>
      <c r="O84" s="695">
        <f>'3rd IA Load Pricing Results'!L61</f>
        <v>167.68498893384771</v>
      </c>
      <c r="P84" s="695">
        <f>'3rd IA CTRs'!AE42</f>
        <v>2.9570410555525819</v>
      </c>
      <c r="Q84" s="695">
        <f t="shared" si="0"/>
        <v>164.72794787829511</v>
      </c>
      <c r="R84" s="423" t="s">
        <v>18</v>
      </c>
    </row>
    <row r="85" spans="1:18" x14ac:dyDescent="0.2">
      <c r="A85" s="632" t="s">
        <v>48</v>
      </c>
      <c r="B85" s="633">
        <f>SUM(B65:B84)</f>
        <v>163627.29999999999</v>
      </c>
      <c r="C85" s="24"/>
      <c r="D85" s="24"/>
      <c r="E85" s="24"/>
      <c r="F85" s="634">
        <f>SUM(F65:F84)</f>
        <v>163741.39999999997</v>
      </c>
      <c r="G85" s="24"/>
      <c r="H85" s="635" t="s">
        <v>24</v>
      </c>
      <c r="I85" s="24"/>
      <c r="J85" s="653">
        <f>SUM(J65:J84)</f>
        <v>160964.30000000002</v>
      </c>
      <c r="K85" s="24"/>
      <c r="L85" s="635" t="s">
        <v>24</v>
      </c>
      <c r="M85" s="24"/>
      <c r="N85" s="703">
        <f>SUM(N65:N84)</f>
        <v>161683.39999999994</v>
      </c>
      <c r="O85" s="24"/>
      <c r="P85" s="24"/>
      <c r="Q85" s="24"/>
      <c r="R85" s="25"/>
    </row>
    <row r="86" spans="1:18" x14ac:dyDescent="0.2">
      <c r="A86" s="636" t="s">
        <v>368</v>
      </c>
      <c r="B86" s="637"/>
      <c r="C86" s="637"/>
      <c r="D86" s="637"/>
      <c r="E86" s="637"/>
      <c r="F86" s="637"/>
      <c r="G86" s="637"/>
      <c r="H86" s="637"/>
      <c r="I86" s="637"/>
      <c r="J86" s="637"/>
      <c r="K86" s="637"/>
      <c r="L86" s="637"/>
      <c r="M86" s="637"/>
      <c r="N86" s="637"/>
      <c r="O86" s="637"/>
      <c r="P86" s="637"/>
      <c r="Q86" s="637"/>
      <c r="R86" s="638"/>
    </row>
    <row r="87" spans="1:18" x14ac:dyDescent="0.2">
      <c r="A87" s="639" t="s">
        <v>335</v>
      </c>
      <c r="B87" s="639"/>
      <c r="C87" s="639"/>
      <c r="D87" s="639"/>
      <c r="E87" s="639"/>
      <c r="F87" s="639"/>
      <c r="G87" s="639"/>
      <c r="H87" s="639"/>
      <c r="I87" s="639"/>
      <c r="J87" s="639"/>
      <c r="K87" s="639"/>
      <c r="L87" s="639"/>
      <c r="M87" s="639"/>
      <c r="N87" s="639"/>
      <c r="O87" s="639"/>
      <c r="P87" s="639"/>
      <c r="Q87" s="639"/>
      <c r="R87" s="639"/>
    </row>
  </sheetData>
  <mergeCells count="8">
    <mergeCell ref="R63:R64"/>
    <mergeCell ref="A22:A23"/>
    <mergeCell ref="B44:B58"/>
    <mergeCell ref="A63:A64"/>
    <mergeCell ref="B63:E63"/>
    <mergeCell ref="F63:I63"/>
    <mergeCell ref="J63:M63"/>
    <mergeCell ref="N63:Q6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2"/>
  <sheetViews>
    <sheetView zoomScaleNormal="100" workbookViewId="0">
      <pane xSplit="1" topLeftCell="B1" activePane="topRight" state="frozen"/>
      <selection pane="topRight"/>
    </sheetView>
  </sheetViews>
  <sheetFormatPr defaultRowHeight="12.75" x14ac:dyDescent="0.2"/>
  <cols>
    <col min="1" max="12" width="16.7109375" style="4" customWidth="1"/>
    <col min="13" max="22" width="14.7109375" style="4" customWidth="1"/>
    <col min="23" max="16384" width="9.140625" style="4"/>
  </cols>
  <sheetData>
    <row r="1" spans="1:17" ht="18.75" x14ac:dyDescent="0.3">
      <c r="A1" s="61" t="s">
        <v>216</v>
      </c>
    </row>
    <row r="2" spans="1:17" ht="15" customHeight="1" x14ac:dyDescent="0.3">
      <c r="A2" s="58"/>
      <c r="B2" s="7"/>
      <c r="E2" s="20"/>
      <c r="F2" s="246"/>
      <c r="G2" s="7"/>
      <c r="H2" s="7"/>
      <c r="I2" s="7"/>
      <c r="J2" s="7"/>
      <c r="K2" s="7"/>
      <c r="L2" s="7"/>
      <c r="M2" s="7"/>
      <c r="N2" s="211"/>
      <c r="O2" s="211"/>
      <c r="P2" s="211"/>
      <c r="Q2" s="211"/>
    </row>
    <row r="3" spans="1:17" ht="15.75" x14ac:dyDescent="0.2">
      <c r="A3" s="726" t="s">
        <v>52</v>
      </c>
      <c r="B3" s="726"/>
      <c r="C3" s="65"/>
      <c r="D3" s="218" t="s">
        <v>24</v>
      </c>
      <c r="F3" s="7"/>
      <c r="G3" s="7"/>
      <c r="H3" s="7"/>
      <c r="I3" s="7"/>
      <c r="J3" s="7"/>
      <c r="K3" s="7"/>
      <c r="L3" s="7"/>
      <c r="M3" s="7"/>
      <c r="N3" s="211"/>
      <c r="O3" s="211"/>
      <c r="P3" s="211"/>
      <c r="Q3" s="211"/>
    </row>
    <row r="4" spans="1:17" s="6" customFormat="1" ht="50.1" customHeight="1" x14ac:dyDescent="0.2">
      <c r="A4" s="183" t="s">
        <v>3</v>
      </c>
      <c r="B4" s="164" t="s">
        <v>129</v>
      </c>
      <c r="C4" s="164" t="s">
        <v>155</v>
      </c>
      <c r="D4" s="183" t="s">
        <v>171</v>
      </c>
      <c r="E4" s="27"/>
      <c r="F4" s="247"/>
      <c r="G4" s="248"/>
      <c r="H4" s="248"/>
      <c r="I4" s="248"/>
      <c r="J4" s="248"/>
      <c r="K4" s="248"/>
      <c r="L4" s="248"/>
      <c r="M4" s="247"/>
      <c r="N4" s="247"/>
      <c r="O4" s="247"/>
      <c r="P4" s="247"/>
      <c r="Q4" s="247"/>
    </row>
    <row r="5" spans="1:17" x14ac:dyDescent="0.2">
      <c r="A5" s="30" t="s">
        <v>6</v>
      </c>
      <c r="B5" s="31">
        <v>140</v>
      </c>
      <c r="C5" s="31">
        <v>0</v>
      </c>
      <c r="D5" s="35">
        <f>B5+C5</f>
        <v>140</v>
      </c>
      <c r="E5" s="32"/>
      <c r="F5" s="7"/>
      <c r="G5" s="211"/>
      <c r="H5" s="211"/>
      <c r="I5" s="249"/>
      <c r="J5" s="249"/>
      <c r="K5" s="211"/>
      <c r="L5" s="211"/>
      <c r="M5" s="249"/>
      <c r="N5" s="249"/>
      <c r="O5" s="249"/>
      <c r="P5" s="249"/>
      <c r="Q5" s="249"/>
    </row>
    <row r="6" spans="1:17" x14ac:dyDescent="0.2">
      <c r="A6" s="30" t="s">
        <v>28</v>
      </c>
      <c r="B6" s="31">
        <f>$B$5</f>
        <v>140</v>
      </c>
      <c r="C6" s="31">
        <v>0</v>
      </c>
      <c r="D6" s="35">
        <f>B6+C6</f>
        <v>140</v>
      </c>
      <c r="E6" s="32"/>
      <c r="F6" s="7"/>
      <c r="G6" s="211"/>
      <c r="H6" s="211"/>
      <c r="I6" s="249"/>
      <c r="J6" s="249"/>
      <c r="K6" s="211"/>
      <c r="L6" s="211"/>
      <c r="M6" s="249"/>
      <c r="N6" s="249"/>
      <c r="O6" s="249"/>
      <c r="P6" s="249"/>
      <c r="Q6" s="249"/>
    </row>
    <row r="7" spans="1:17" x14ac:dyDescent="0.2">
      <c r="A7" s="30" t="s">
        <v>33</v>
      </c>
      <c r="B7" s="31">
        <f t="shared" ref="B7:B19" si="0">$B$5</f>
        <v>140</v>
      </c>
      <c r="C7" s="31">
        <v>25.73</v>
      </c>
      <c r="D7" s="35">
        <f>B7+C6+C7</f>
        <v>165.73</v>
      </c>
      <c r="E7" s="32" t="s">
        <v>24</v>
      </c>
      <c r="F7" s="7"/>
      <c r="G7" s="211"/>
      <c r="H7" s="211"/>
      <c r="I7" s="249"/>
      <c r="J7" s="249"/>
      <c r="K7" s="211"/>
      <c r="L7" s="211"/>
      <c r="M7" s="249"/>
      <c r="N7" s="249"/>
      <c r="O7" s="249"/>
      <c r="P7" s="249"/>
      <c r="Q7" s="249"/>
    </row>
    <row r="8" spans="1:17" x14ac:dyDescent="0.2">
      <c r="A8" s="30" t="s">
        <v>5</v>
      </c>
      <c r="B8" s="31">
        <f t="shared" si="0"/>
        <v>140</v>
      </c>
      <c r="C8" s="31">
        <v>0</v>
      </c>
      <c r="D8" s="35">
        <f>B8+C6+C8</f>
        <v>140</v>
      </c>
      <c r="E8" s="32" t="s">
        <v>24</v>
      </c>
      <c r="F8" s="7"/>
      <c r="G8" s="211"/>
      <c r="H8" s="211"/>
      <c r="I8" s="249"/>
      <c r="J8" s="249"/>
      <c r="K8" s="211"/>
      <c r="L8" s="211"/>
      <c r="M8" s="249"/>
      <c r="N8" s="249"/>
      <c r="O8" s="249"/>
      <c r="P8" s="249"/>
      <c r="Q8" s="249"/>
    </row>
    <row r="9" spans="1:17" x14ac:dyDescent="0.2">
      <c r="A9" s="30" t="s">
        <v>8</v>
      </c>
      <c r="B9" s="31">
        <f t="shared" si="0"/>
        <v>140</v>
      </c>
      <c r="C9" s="31">
        <v>38.56</v>
      </c>
      <c r="D9" s="35">
        <f>B9+C6+C7+C9</f>
        <v>204.29</v>
      </c>
      <c r="E9" s="32" t="s">
        <v>24</v>
      </c>
      <c r="F9" s="7"/>
      <c r="G9" s="7"/>
      <c r="H9" s="7"/>
      <c r="I9" s="7"/>
      <c r="J9" s="7"/>
      <c r="K9" s="9"/>
      <c r="L9" s="7"/>
      <c r="M9" s="7"/>
      <c r="N9" s="249"/>
      <c r="O9" s="249"/>
      <c r="P9" s="7"/>
      <c r="Q9" s="7"/>
    </row>
    <row r="10" spans="1:17" x14ac:dyDescent="0.2">
      <c r="A10" s="30" t="s">
        <v>34</v>
      </c>
      <c r="B10" s="31">
        <f t="shared" si="0"/>
        <v>140</v>
      </c>
      <c r="C10" s="31">
        <v>0</v>
      </c>
      <c r="D10" s="35">
        <f>B10+C6+C7+C9+C10</f>
        <v>204.29</v>
      </c>
      <c r="E10" s="32"/>
      <c r="F10" s="7"/>
      <c r="G10" s="7"/>
      <c r="H10" s="7"/>
      <c r="I10" s="7"/>
      <c r="J10" s="7"/>
      <c r="K10" s="7"/>
      <c r="L10" s="7"/>
      <c r="M10" s="7"/>
      <c r="N10" s="7"/>
      <c r="O10" s="7"/>
      <c r="P10" s="7"/>
      <c r="Q10" s="7"/>
    </row>
    <row r="11" spans="1:17" x14ac:dyDescent="0.2">
      <c r="A11" s="30" t="s">
        <v>35</v>
      </c>
      <c r="B11" s="31">
        <f t="shared" si="0"/>
        <v>140</v>
      </c>
      <c r="C11" s="31">
        <v>0</v>
      </c>
      <c r="D11" s="35">
        <f>B11+C6+C7+C11</f>
        <v>165.73</v>
      </c>
      <c r="E11" s="32" t="s">
        <v>24</v>
      </c>
    </row>
    <row r="12" spans="1:17" x14ac:dyDescent="0.2">
      <c r="A12" s="22" t="s">
        <v>15</v>
      </c>
      <c r="B12" s="31">
        <f t="shared" si="0"/>
        <v>140</v>
      </c>
      <c r="C12" s="35">
        <v>0</v>
      </c>
      <c r="D12" s="35">
        <f>B12+C6+C8+C12</f>
        <v>140</v>
      </c>
      <c r="E12" s="32" t="s">
        <v>24</v>
      </c>
      <c r="M12" s="4" t="s">
        <v>24</v>
      </c>
    </row>
    <row r="13" spans="1:17" x14ac:dyDescent="0.2">
      <c r="A13" s="22" t="s">
        <v>43</v>
      </c>
      <c r="B13" s="31">
        <f t="shared" si="0"/>
        <v>140</v>
      </c>
      <c r="C13" s="35">
        <v>31.33</v>
      </c>
      <c r="D13" s="35">
        <f>B13+C13</f>
        <v>171.32999999999998</v>
      </c>
      <c r="E13" s="32"/>
      <c r="M13" s="4" t="s">
        <v>24</v>
      </c>
    </row>
    <row r="14" spans="1:17" x14ac:dyDescent="0.2">
      <c r="A14" s="22" t="s">
        <v>113</v>
      </c>
      <c r="B14" s="31">
        <f t="shared" si="0"/>
        <v>140</v>
      </c>
      <c r="C14" s="35">
        <v>0</v>
      </c>
      <c r="D14" s="35">
        <f>B14+C13+C14</f>
        <v>171.32999999999998</v>
      </c>
      <c r="E14" s="32"/>
      <c r="F14" s="32" t="s">
        <v>24</v>
      </c>
      <c r="Q14" s="4" t="s">
        <v>24</v>
      </c>
    </row>
    <row r="15" spans="1:17" x14ac:dyDescent="0.2">
      <c r="A15" s="22" t="s">
        <v>20</v>
      </c>
      <c r="B15" s="31">
        <f t="shared" si="0"/>
        <v>140</v>
      </c>
      <c r="C15" s="35">
        <v>55.55</v>
      </c>
      <c r="D15" s="35">
        <f>B15+C15</f>
        <v>195.55</v>
      </c>
      <c r="E15" s="32" t="s">
        <v>24</v>
      </c>
      <c r="F15" s="36" t="s">
        <v>24</v>
      </c>
    </row>
    <row r="16" spans="1:17" x14ac:dyDescent="0.2">
      <c r="A16" s="22" t="s">
        <v>11</v>
      </c>
      <c r="B16" s="31">
        <f t="shared" si="0"/>
        <v>140</v>
      </c>
      <c r="C16" s="35">
        <v>60.3</v>
      </c>
      <c r="D16" s="35">
        <f>B16+C6+C8+C16</f>
        <v>200.3</v>
      </c>
      <c r="E16" s="32"/>
      <c r="F16" s="32"/>
    </row>
    <row r="17" spans="1:13" x14ac:dyDescent="0.2">
      <c r="A17" s="22" t="s">
        <v>10</v>
      </c>
      <c r="B17" s="31">
        <f t="shared" si="0"/>
        <v>140</v>
      </c>
      <c r="C17" s="35">
        <v>0</v>
      </c>
      <c r="D17" s="35">
        <f>B17+C6+C17</f>
        <v>140</v>
      </c>
      <c r="E17" s="32" t="s">
        <v>24</v>
      </c>
      <c r="F17" s="32"/>
    </row>
    <row r="18" spans="1:13" x14ac:dyDescent="0.2">
      <c r="A18" s="22" t="s">
        <v>21</v>
      </c>
      <c r="B18" s="31">
        <f t="shared" si="0"/>
        <v>140</v>
      </c>
      <c r="C18" s="35">
        <v>0</v>
      </c>
      <c r="D18" s="35">
        <f>B18+C18</f>
        <v>140</v>
      </c>
      <c r="E18" s="120" t="s">
        <v>24</v>
      </c>
      <c r="F18" s="32"/>
      <c r="G18"/>
    </row>
    <row r="19" spans="1:13" x14ac:dyDescent="0.2">
      <c r="A19" s="22" t="s">
        <v>50</v>
      </c>
      <c r="B19" s="31">
        <f t="shared" si="0"/>
        <v>140</v>
      </c>
      <c r="C19" s="35">
        <v>0</v>
      </c>
      <c r="D19" s="35">
        <f>B19+C19</f>
        <v>140</v>
      </c>
      <c r="E19" s="32"/>
      <c r="F19" s="32"/>
      <c r="G19"/>
    </row>
    <row r="20" spans="1:13" ht="15" customHeight="1" x14ac:dyDescent="0.2">
      <c r="A20" s="25" t="s">
        <v>142</v>
      </c>
      <c r="B20" s="34"/>
      <c r="C20" s="33"/>
      <c r="D20" s="33"/>
      <c r="E20" s="33"/>
      <c r="F20" s="33"/>
      <c r="G20" s="33"/>
      <c r="H20" s="33"/>
      <c r="I20" s="32"/>
      <c r="J20" s="32"/>
      <c r="K20"/>
    </row>
    <row r="21" spans="1:13" ht="15" customHeight="1" x14ac:dyDescent="0.2">
      <c r="A21" s="219" t="s">
        <v>154</v>
      </c>
      <c r="B21" s="214"/>
      <c r="C21" s="214"/>
      <c r="D21" s="214"/>
      <c r="E21" s="214"/>
      <c r="F21" s="214"/>
      <c r="G21" s="214"/>
      <c r="H21" s="214"/>
      <c r="I21" s="64" t="s">
        <v>24</v>
      </c>
      <c r="J21" s="40"/>
      <c r="K21"/>
    </row>
    <row r="22" spans="1:13" ht="12.75" customHeight="1" x14ac:dyDescent="0.2">
      <c r="A22" s="213"/>
      <c r="B22" s="200"/>
      <c r="C22" s="200"/>
      <c r="D22" s="200"/>
      <c r="E22" s="200"/>
      <c r="F22" s="200"/>
      <c r="G22" s="200"/>
      <c r="H22" s="200"/>
      <c r="I22" s="64"/>
      <c r="J22" s="40"/>
      <c r="K22"/>
    </row>
    <row r="23" spans="1:13" x14ac:dyDescent="0.2">
      <c r="A23" s="23"/>
      <c r="B23" s="34"/>
      <c r="C23" s="34"/>
      <c r="D23" s="34"/>
      <c r="E23" s="38"/>
      <c r="F23" s="39"/>
      <c r="G23" s="39"/>
      <c r="H23" s="39"/>
      <c r="I23" s="40"/>
      <c r="J23" s="40"/>
      <c r="K23"/>
    </row>
    <row r="24" spans="1:13" ht="15.75" x14ac:dyDescent="0.25">
      <c r="A24" s="727" t="s">
        <v>53</v>
      </c>
      <c r="B24" s="728"/>
      <c r="C24" s="236" t="s">
        <v>24</v>
      </c>
      <c r="D24" s="236"/>
      <c r="E24" s="236" t="s">
        <v>24</v>
      </c>
      <c r="F24" s="236"/>
      <c r="G24" s="40"/>
      <c r="H24"/>
    </row>
    <row r="25" spans="1:13" ht="60" customHeight="1" x14ac:dyDescent="0.2">
      <c r="A25" s="183" t="s">
        <v>3</v>
      </c>
      <c r="B25" s="164" t="s">
        <v>156</v>
      </c>
      <c r="C25" s="164" t="s">
        <v>172</v>
      </c>
      <c r="D25" s="164" t="s">
        <v>173</v>
      </c>
      <c r="E25" s="164" t="s">
        <v>174</v>
      </c>
      <c r="F25" s="164" t="s">
        <v>162</v>
      </c>
      <c r="G25" s="164" t="s">
        <v>161</v>
      </c>
      <c r="H25" s="233"/>
      <c r="I25" s="43" t="s">
        <v>24</v>
      </c>
    </row>
    <row r="26" spans="1:13" x14ac:dyDescent="0.2">
      <c r="A26" s="30" t="s">
        <v>203</v>
      </c>
      <c r="B26" s="107">
        <v>162911.79999999999</v>
      </c>
      <c r="C26" s="208">
        <v>715.5</v>
      </c>
      <c r="D26" s="208">
        <v>715.5</v>
      </c>
      <c r="E26" s="208">
        <f>MIN(C26:D26)</f>
        <v>715.5</v>
      </c>
      <c r="F26" s="49">
        <f>B26+E26</f>
        <v>163627.29999999999</v>
      </c>
      <c r="G26" s="165">
        <v>0</v>
      </c>
      <c r="H26" s="32"/>
      <c r="I26" s="237"/>
      <c r="J26" s="237"/>
      <c r="K26" s="14"/>
    </row>
    <row r="27" spans="1:13" x14ac:dyDescent="0.2">
      <c r="A27" s="30" t="s">
        <v>28</v>
      </c>
      <c r="B27" s="107">
        <v>67274.899999999994</v>
      </c>
      <c r="C27" s="208">
        <v>317.5</v>
      </c>
      <c r="D27" s="208">
        <v>91</v>
      </c>
      <c r="E27" s="208">
        <f t="shared" ref="E27:E40" si="1">MIN(C27:D27)</f>
        <v>91</v>
      </c>
      <c r="F27" s="49">
        <f>B27+E27</f>
        <v>67365.899999999994</v>
      </c>
      <c r="G27" s="165">
        <v>0</v>
      </c>
      <c r="H27" s="46"/>
      <c r="I27" s="237"/>
      <c r="J27" s="237"/>
      <c r="K27" s="14"/>
    </row>
    <row r="28" spans="1:13" x14ac:dyDescent="0.2">
      <c r="A28" s="30" t="s">
        <v>33</v>
      </c>
      <c r="B28" s="107">
        <v>29287.5</v>
      </c>
      <c r="C28" s="208">
        <v>88</v>
      </c>
      <c r="D28" s="208">
        <v>1</v>
      </c>
      <c r="E28" s="208">
        <f t="shared" si="1"/>
        <v>1</v>
      </c>
      <c r="F28" s="49">
        <f>B28+E28</f>
        <v>29288.5</v>
      </c>
      <c r="G28" s="165">
        <v>0</v>
      </c>
      <c r="H28" s="32"/>
      <c r="I28" s="237"/>
      <c r="J28" s="237"/>
      <c r="K28" s="14"/>
    </row>
    <row r="29" spans="1:13" x14ac:dyDescent="0.2">
      <c r="A29" s="30" t="s">
        <v>5</v>
      </c>
      <c r="B29" s="107">
        <v>10106.700000000001</v>
      </c>
      <c r="C29" s="208">
        <v>212.8</v>
      </c>
      <c r="D29" s="208">
        <v>0</v>
      </c>
      <c r="E29" s="208">
        <f t="shared" si="1"/>
        <v>0</v>
      </c>
      <c r="F29" s="49">
        <f>B29+E29</f>
        <v>10106.700000000001</v>
      </c>
      <c r="G29" s="165">
        <v>0</v>
      </c>
      <c r="H29" s="46"/>
      <c r="I29" s="237"/>
      <c r="J29" s="237"/>
      <c r="K29" s="14"/>
    </row>
    <row r="30" spans="1:13" x14ac:dyDescent="0.2">
      <c r="A30" s="30" t="s">
        <v>8</v>
      </c>
      <c r="B30" s="107">
        <v>5366.6</v>
      </c>
      <c r="C30" s="208">
        <v>9.3000000000000007</v>
      </c>
      <c r="D30" s="208">
        <v>1</v>
      </c>
      <c r="E30" s="208">
        <f t="shared" si="1"/>
        <v>1</v>
      </c>
      <c r="F30" s="49">
        <f>B30+E30</f>
        <v>5367.6</v>
      </c>
      <c r="G30" s="165">
        <v>0</v>
      </c>
      <c r="H30" s="32"/>
      <c r="I30" s="237"/>
      <c r="J30" s="237"/>
      <c r="K30" s="14"/>
    </row>
    <row r="31" spans="1:13" x14ac:dyDescent="0.2">
      <c r="A31" s="30" t="s">
        <v>34</v>
      </c>
      <c r="B31" s="107">
        <v>3132.3</v>
      </c>
      <c r="C31" s="208">
        <v>2.6</v>
      </c>
      <c r="D31" s="208">
        <v>1</v>
      </c>
      <c r="E31" s="208">
        <f t="shared" si="1"/>
        <v>1</v>
      </c>
      <c r="F31" s="49">
        <f t="shared" ref="F31:F40" si="2">B31+E31</f>
        <v>3133.3</v>
      </c>
      <c r="G31" s="165">
        <v>0</v>
      </c>
      <c r="H31" s="32"/>
      <c r="I31" s="237"/>
      <c r="J31" s="237"/>
      <c r="K31" s="14"/>
    </row>
    <row r="32" spans="1:13" x14ac:dyDescent="0.2">
      <c r="A32" s="30" t="s">
        <v>35</v>
      </c>
      <c r="B32" s="107">
        <v>1673.8</v>
      </c>
      <c r="C32" s="208">
        <v>0</v>
      </c>
      <c r="D32" s="208">
        <v>0</v>
      </c>
      <c r="E32" s="208">
        <f t="shared" si="1"/>
        <v>0</v>
      </c>
      <c r="F32" s="49">
        <f t="shared" si="2"/>
        <v>1673.8</v>
      </c>
      <c r="G32" s="165">
        <v>0</v>
      </c>
      <c r="H32" s="23"/>
      <c r="I32" s="237"/>
      <c r="J32" s="237"/>
      <c r="K32" s="14"/>
      <c r="L32" s="102" t="s">
        <v>24</v>
      </c>
      <c r="M32" s="102" t="s">
        <v>24</v>
      </c>
    </row>
    <row r="33" spans="1:13" x14ac:dyDescent="0.2">
      <c r="A33" s="22" t="s">
        <v>15</v>
      </c>
      <c r="B33" s="107">
        <v>5948.8</v>
      </c>
      <c r="C33" s="208">
        <v>127.8</v>
      </c>
      <c r="D33" s="208">
        <v>0</v>
      </c>
      <c r="E33" s="208">
        <f t="shared" si="1"/>
        <v>0</v>
      </c>
      <c r="F33" s="49">
        <f t="shared" si="2"/>
        <v>5948.8</v>
      </c>
      <c r="G33" s="165">
        <v>0</v>
      </c>
      <c r="H33" s="46"/>
      <c r="I33" s="237"/>
      <c r="J33" s="237"/>
      <c r="K33" s="14"/>
      <c r="M33" s="4" t="s">
        <v>24</v>
      </c>
    </row>
    <row r="34" spans="1:13" x14ac:dyDescent="0.2">
      <c r="A34" s="22" t="s">
        <v>43</v>
      </c>
      <c r="B34" s="107">
        <v>8007.3</v>
      </c>
      <c r="C34" s="208">
        <v>6.3</v>
      </c>
      <c r="D34" s="208">
        <v>0</v>
      </c>
      <c r="E34" s="208">
        <f t="shared" si="1"/>
        <v>0</v>
      </c>
      <c r="F34" s="49">
        <f t="shared" si="2"/>
        <v>8007.3</v>
      </c>
      <c r="G34" s="165">
        <v>0</v>
      </c>
      <c r="H34" s="32"/>
      <c r="I34" s="237"/>
      <c r="J34" s="237"/>
      <c r="K34" s="14"/>
    </row>
    <row r="35" spans="1:13" x14ac:dyDescent="0.2">
      <c r="A35" s="22" t="s">
        <v>113</v>
      </c>
      <c r="B35" s="107">
        <v>1248</v>
      </c>
      <c r="C35" s="208">
        <v>0.1</v>
      </c>
      <c r="D35" s="208">
        <v>0</v>
      </c>
      <c r="E35" s="208">
        <f t="shared" si="1"/>
        <v>0</v>
      </c>
      <c r="F35" s="49">
        <f t="shared" si="2"/>
        <v>1248</v>
      </c>
      <c r="G35" s="165">
        <v>0</v>
      </c>
      <c r="H35" s="32"/>
      <c r="I35" s="237"/>
      <c r="J35" s="237"/>
      <c r="K35" s="14"/>
    </row>
    <row r="36" spans="1:13" x14ac:dyDescent="0.2">
      <c r="A36" s="22" t="s">
        <v>20</v>
      </c>
      <c r="B36" s="107">
        <v>22083.599999999999</v>
      </c>
      <c r="C36" s="208">
        <v>274.5</v>
      </c>
      <c r="D36" s="208">
        <v>274.5</v>
      </c>
      <c r="E36" s="208">
        <f t="shared" si="1"/>
        <v>274.5</v>
      </c>
      <c r="F36" s="49">
        <f t="shared" si="2"/>
        <v>22358.1</v>
      </c>
      <c r="G36" s="165">
        <v>0</v>
      </c>
      <c r="H36" s="32"/>
      <c r="I36" s="237"/>
      <c r="J36" s="237"/>
      <c r="K36" s="14"/>
    </row>
    <row r="37" spans="1:13" x14ac:dyDescent="0.2">
      <c r="A37" s="22" t="s">
        <v>11</v>
      </c>
      <c r="B37" s="107">
        <v>1937.7</v>
      </c>
      <c r="C37" s="208">
        <v>85</v>
      </c>
      <c r="D37" s="208">
        <v>0</v>
      </c>
      <c r="E37" s="208">
        <f t="shared" si="1"/>
        <v>0</v>
      </c>
      <c r="F37" s="49">
        <f t="shared" si="2"/>
        <v>1937.7</v>
      </c>
      <c r="G37" s="165">
        <v>0</v>
      </c>
      <c r="H37" s="32"/>
      <c r="I37" s="237"/>
      <c r="J37" s="237"/>
      <c r="K37" s="14"/>
    </row>
    <row r="38" spans="1:13" x14ac:dyDescent="0.2">
      <c r="A38" s="22" t="s">
        <v>10</v>
      </c>
      <c r="B38" s="107">
        <v>11223.4</v>
      </c>
      <c r="C38" s="208">
        <v>9.6999999999999993</v>
      </c>
      <c r="D38" s="208">
        <v>51.5</v>
      </c>
      <c r="E38" s="208">
        <f t="shared" si="1"/>
        <v>9.6999999999999993</v>
      </c>
      <c r="F38" s="49">
        <f t="shared" si="2"/>
        <v>11233.1</v>
      </c>
      <c r="G38" s="165">
        <v>0</v>
      </c>
      <c r="H38" s="32"/>
      <c r="I38" s="237"/>
      <c r="J38" s="237"/>
      <c r="K38" s="14"/>
    </row>
    <row r="39" spans="1:13" x14ac:dyDescent="0.2">
      <c r="A39" s="22" t="s">
        <v>21</v>
      </c>
      <c r="B39" s="107">
        <v>1636.7</v>
      </c>
      <c r="C39" s="208">
        <v>1.3</v>
      </c>
      <c r="D39" s="208">
        <v>0</v>
      </c>
      <c r="E39" s="208">
        <f t="shared" si="1"/>
        <v>0</v>
      </c>
      <c r="F39" s="49">
        <f t="shared" si="2"/>
        <v>1636.7</v>
      </c>
      <c r="G39" s="216">
        <v>0</v>
      </c>
      <c r="H39" s="32"/>
      <c r="I39" s="237"/>
      <c r="J39" s="237"/>
      <c r="K39" s="14"/>
    </row>
    <row r="40" spans="1:13" x14ac:dyDescent="0.2">
      <c r="A40" s="22" t="s">
        <v>50</v>
      </c>
      <c r="B40" s="107">
        <v>2733.3</v>
      </c>
      <c r="C40" s="208">
        <v>25.4</v>
      </c>
      <c r="D40" s="208">
        <v>0</v>
      </c>
      <c r="E40" s="208">
        <f t="shared" si="1"/>
        <v>0</v>
      </c>
      <c r="F40" s="49">
        <f t="shared" si="2"/>
        <v>2733.3</v>
      </c>
      <c r="G40" s="216">
        <v>0</v>
      </c>
      <c r="H40" s="32"/>
      <c r="I40" s="237"/>
      <c r="J40" s="237"/>
      <c r="K40" s="14"/>
    </row>
    <row r="41" spans="1:13" x14ac:dyDescent="0.2">
      <c r="A41" s="215" t="s">
        <v>204</v>
      </c>
      <c r="B41" s="215"/>
      <c r="C41" s="215"/>
      <c r="D41" s="215"/>
      <c r="E41" s="215"/>
      <c r="F41" s="215"/>
      <c r="G41" s="215"/>
      <c r="H41" s="118"/>
      <c r="I41" s="118"/>
      <c r="J41" s="78"/>
      <c r="K41" s="238"/>
    </row>
    <row r="42" spans="1:13" x14ac:dyDescent="0.2">
      <c r="A42" s="23"/>
      <c r="B42" s="34"/>
      <c r="C42" s="34"/>
      <c r="D42" s="34"/>
      <c r="E42" s="34"/>
      <c r="F42" s="39"/>
      <c r="G42" s="62"/>
      <c r="H42" s="63"/>
      <c r="I42" s="63"/>
      <c r="J42" s="723"/>
      <c r="K42" s="723"/>
      <c r="L42" s="7"/>
    </row>
    <row r="43" spans="1:13" ht="15.75" x14ac:dyDescent="0.25">
      <c r="A43" s="729" t="s">
        <v>51</v>
      </c>
      <c r="B43" s="730"/>
      <c r="C43" s="236" t="s">
        <v>24</v>
      </c>
      <c r="D43" s="236"/>
      <c r="E43" s="236"/>
      <c r="F43" s="221"/>
      <c r="G43" s="239" t="s">
        <v>24</v>
      </c>
      <c r="H43" s="63"/>
      <c r="I43" s="63"/>
      <c r="J43" s="242"/>
      <c r="K43" s="242"/>
      <c r="L43" s="7"/>
    </row>
    <row r="44" spans="1:13" ht="60" customHeight="1" x14ac:dyDescent="0.2">
      <c r="A44" s="183" t="s">
        <v>3</v>
      </c>
      <c r="B44" s="257" t="s">
        <v>156</v>
      </c>
      <c r="C44" s="164" t="s">
        <v>174</v>
      </c>
      <c r="D44" s="164" t="s">
        <v>162</v>
      </c>
      <c r="E44" s="183" t="s">
        <v>175</v>
      </c>
      <c r="F44" s="233"/>
      <c r="G44" s="233"/>
      <c r="H44" s="233"/>
      <c r="I44" s="233"/>
      <c r="J44" s="233"/>
    </row>
    <row r="45" spans="1:13" x14ac:dyDescent="0.2">
      <c r="A45" s="30" t="s">
        <v>44</v>
      </c>
      <c r="B45" s="258">
        <f>B26-B27-B34-B36-B39-B40</f>
        <v>61176</v>
      </c>
      <c r="C45" s="48">
        <f>E26-E27-E34-E36-E39-E40</f>
        <v>350</v>
      </c>
      <c r="D45" s="49">
        <f>B45+C45</f>
        <v>61526</v>
      </c>
      <c r="E45" s="240">
        <f>D45*D5</f>
        <v>8613640</v>
      </c>
      <c r="F45" s="55"/>
      <c r="G45" s="243"/>
      <c r="H45" s="243"/>
      <c r="I45" s="243"/>
      <c r="J45" s="36"/>
      <c r="K45" s="231" t="s">
        <v>24</v>
      </c>
    </row>
    <row r="46" spans="1:13" x14ac:dyDescent="0.2">
      <c r="A46" s="30" t="s">
        <v>47</v>
      </c>
      <c r="B46" s="258">
        <f>B27-B28-B29-B38</f>
        <v>16657.299999999996</v>
      </c>
      <c r="C46" s="48">
        <f>E27-E28-E29-E38</f>
        <v>80.3</v>
      </c>
      <c r="D46" s="49">
        <f>B46+C46</f>
        <v>16737.599999999995</v>
      </c>
      <c r="E46" s="240">
        <f t="shared" ref="E46:E59" si="3">D46*D6</f>
        <v>2343263.9999999991</v>
      </c>
      <c r="F46" s="55" t="s">
        <v>24</v>
      </c>
      <c r="G46" s="243"/>
      <c r="H46" s="243"/>
      <c r="I46" s="243"/>
      <c r="J46" s="36"/>
      <c r="K46" s="231" t="s">
        <v>24</v>
      </c>
    </row>
    <row r="47" spans="1:13" x14ac:dyDescent="0.2">
      <c r="A47" s="30" t="s">
        <v>46</v>
      </c>
      <c r="B47" s="258">
        <f>B28-B30-B32</f>
        <v>22247.100000000002</v>
      </c>
      <c r="C47" s="48">
        <f>E28-E30-E32</f>
        <v>0</v>
      </c>
      <c r="D47" s="49">
        <f>B47+C47</f>
        <v>22247.100000000002</v>
      </c>
      <c r="E47" s="240">
        <f t="shared" si="3"/>
        <v>3687011.8829999999</v>
      </c>
      <c r="F47" s="55" t="s">
        <v>24</v>
      </c>
      <c r="G47" s="243"/>
      <c r="H47" s="243"/>
      <c r="I47" s="243"/>
      <c r="J47" s="36"/>
      <c r="K47" s="231" t="s">
        <v>24</v>
      </c>
    </row>
    <row r="48" spans="1:13" x14ac:dyDescent="0.2">
      <c r="A48" s="30" t="s">
        <v>45</v>
      </c>
      <c r="B48" s="258">
        <f>B29-B33-B37</f>
        <v>2220.2000000000007</v>
      </c>
      <c r="C48" s="48">
        <f>E29-E33-E37</f>
        <v>0</v>
      </c>
      <c r="D48" s="49">
        <f t="shared" ref="D48:D59" si="4">B48+C48</f>
        <v>2220.2000000000007</v>
      </c>
      <c r="E48" s="240">
        <f t="shared" si="3"/>
        <v>310828.00000000012</v>
      </c>
      <c r="F48" s="55"/>
      <c r="G48" s="243"/>
      <c r="H48" s="243"/>
      <c r="I48" s="243"/>
      <c r="J48" s="36"/>
      <c r="K48" s="231" t="s">
        <v>24</v>
      </c>
    </row>
    <row r="49" spans="1:13" x14ac:dyDescent="0.2">
      <c r="A49" s="30" t="s">
        <v>37</v>
      </c>
      <c r="B49" s="258">
        <f>B30-B31</f>
        <v>2234.3000000000002</v>
      </c>
      <c r="C49" s="48">
        <f>E30-E31</f>
        <v>0</v>
      </c>
      <c r="D49" s="49">
        <f t="shared" si="4"/>
        <v>2234.3000000000002</v>
      </c>
      <c r="E49" s="240">
        <f t="shared" si="3"/>
        <v>456445.147</v>
      </c>
      <c r="F49" s="55"/>
      <c r="G49" s="243"/>
      <c r="H49" s="243"/>
      <c r="I49" s="243"/>
      <c r="J49" s="36"/>
      <c r="K49" s="231" t="s">
        <v>24</v>
      </c>
    </row>
    <row r="50" spans="1:13" x14ac:dyDescent="0.2">
      <c r="A50" s="30" t="s">
        <v>34</v>
      </c>
      <c r="B50" s="258">
        <f t="shared" ref="B50:B52" si="5">B31</f>
        <v>3132.3</v>
      </c>
      <c r="C50" s="48">
        <f>E31</f>
        <v>1</v>
      </c>
      <c r="D50" s="49">
        <f t="shared" si="4"/>
        <v>3133.3</v>
      </c>
      <c r="E50" s="240">
        <f t="shared" si="3"/>
        <v>640101.85699999996</v>
      </c>
      <c r="F50" s="55"/>
      <c r="G50" s="243"/>
      <c r="H50" s="243"/>
      <c r="I50" s="243"/>
      <c r="J50" s="36"/>
      <c r="K50" s="231" t="s">
        <v>24</v>
      </c>
    </row>
    <row r="51" spans="1:13" x14ac:dyDescent="0.2">
      <c r="A51" s="30" t="s">
        <v>35</v>
      </c>
      <c r="B51" s="258">
        <f t="shared" si="5"/>
        <v>1673.8</v>
      </c>
      <c r="C51" s="48">
        <f>E32</f>
        <v>0</v>
      </c>
      <c r="D51" s="49">
        <f t="shared" si="4"/>
        <v>1673.8</v>
      </c>
      <c r="E51" s="240">
        <f t="shared" si="3"/>
        <v>277398.87399999995</v>
      </c>
      <c r="F51" s="55"/>
      <c r="G51" s="243"/>
      <c r="H51" s="243"/>
      <c r="I51" s="243"/>
      <c r="J51" s="36"/>
      <c r="K51" s="231" t="s">
        <v>24</v>
      </c>
    </row>
    <row r="52" spans="1:13" x14ac:dyDescent="0.2">
      <c r="A52" s="30" t="s">
        <v>15</v>
      </c>
      <c r="B52" s="258">
        <f t="shared" si="5"/>
        <v>5948.8</v>
      </c>
      <c r="C52" s="48">
        <f>E33</f>
        <v>0</v>
      </c>
      <c r="D52" s="49">
        <f t="shared" si="4"/>
        <v>5948.8</v>
      </c>
      <c r="E52" s="240">
        <f t="shared" si="3"/>
        <v>832832</v>
      </c>
      <c r="F52" s="55"/>
      <c r="G52" s="243"/>
      <c r="H52" s="243"/>
      <c r="I52" s="243"/>
      <c r="J52" s="36"/>
      <c r="K52" s="231" t="s">
        <v>24</v>
      </c>
    </row>
    <row r="53" spans="1:13" x14ac:dyDescent="0.2">
      <c r="A53" s="30" t="s">
        <v>114</v>
      </c>
      <c r="B53" s="258">
        <f>B34-B35</f>
        <v>6759.3</v>
      </c>
      <c r="C53" s="48">
        <f>E34-E35</f>
        <v>0</v>
      </c>
      <c r="D53" s="49">
        <f t="shared" si="4"/>
        <v>6759.3</v>
      </c>
      <c r="E53" s="240">
        <f t="shared" si="3"/>
        <v>1158070.8689999999</v>
      </c>
      <c r="F53" s="55"/>
      <c r="G53" s="243"/>
      <c r="H53" s="243"/>
      <c r="I53" s="243"/>
      <c r="J53" s="36"/>
      <c r="K53" s="231" t="s">
        <v>24</v>
      </c>
    </row>
    <row r="54" spans="1:13" x14ac:dyDescent="0.2">
      <c r="A54" s="22" t="s">
        <v>113</v>
      </c>
      <c r="B54" s="258">
        <f t="shared" ref="B54:B59" si="6">B35</f>
        <v>1248</v>
      </c>
      <c r="C54" s="48">
        <f t="shared" ref="C54:C56" si="7">E35</f>
        <v>0</v>
      </c>
      <c r="D54" s="49">
        <f t="shared" si="4"/>
        <v>1248</v>
      </c>
      <c r="E54" s="240">
        <f t="shared" si="3"/>
        <v>213819.83999999997</v>
      </c>
      <c r="F54" s="55"/>
      <c r="G54" s="243" t="s">
        <v>24</v>
      </c>
      <c r="H54" s="243"/>
      <c r="I54" s="243"/>
      <c r="J54" s="36"/>
      <c r="K54" s="231" t="s">
        <v>24</v>
      </c>
    </row>
    <row r="55" spans="1:13" x14ac:dyDescent="0.2">
      <c r="A55" s="22" t="s">
        <v>20</v>
      </c>
      <c r="B55" s="258">
        <f t="shared" si="6"/>
        <v>22083.599999999999</v>
      </c>
      <c r="C55" s="48">
        <f>E36</f>
        <v>274.5</v>
      </c>
      <c r="D55" s="49">
        <f t="shared" si="4"/>
        <v>22358.1</v>
      </c>
      <c r="E55" s="240">
        <f t="shared" si="3"/>
        <v>4372126.4550000001</v>
      </c>
      <c r="F55" s="55"/>
      <c r="G55" s="243"/>
      <c r="H55" s="243"/>
      <c r="I55" s="243"/>
      <c r="J55" s="36"/>
      <c r="K55" s="231" t="s">
        <v>24</v>
      </c>
    </row>
    <row r="56" spans="1:13" x14ac:dyDescent="0.2">
      <c r="A56" s="22" t="s">
        <v>11</v>
      </c>
      <c r="B56" s="258">
        <f t="shared" si="6"/>
        <v>1937.7</v>
      </c>
      <c r="C56" s="48">
        <f t="shared" si="7"/>
        <v>0</v>
      </c>
      <c r="D56" s="49">
        <f t="shared" si="4"/>
        <v>1937.7</v>
      </c>
      <c r="E56" s="240">
        <f t="shared" si="3"/>
        <v>388121.31000000006</v>
      </c>
      <c r="F56" s="55"/>
      <c r="G56" s="243"/>
      <c r="H56" s="243"/>
      <c r="I56" s="243"/>
      <c r="J56" s="36"/>
      <c r="K56" s="231" t="s">
        <v>24</v>
      </c>
    </row>
    <row r="57" spans="1:13" x14ac:dyDescent="0.2">
      <c r="A57" s="22" t="s">
        <v>10</v>
      </c>
      <c r="B57" s="258">
        <f t="shared" si="6"/>
        <v>11223.4</v>
      </c>
      <c r="C57" s="48">
        <f>E38</f>
        <v>9.6999999999999993</v>
      </c>
      <c r="D57" s="49">
        <f t="shared" si="4"/>
        <v>11233.1</v>
      </c>
      <c r="E57" s="240">
        <f t="shared" si="3"/>
        <v>1572634</v>
      </c>
      <c r="F57" s="55"/>
      <c r="G57" s="243"/>
      <c r="H57" s="243"/>
      <c r="I57" s="243"/>
      <c r="J57" s="36"/>
      <c r="K57" s="231" t="s">
        <v>24</v>
      </c>
    </row>
    <row r="58" spans="1:13" x14ac:dyDescent="0.2">
      <c r="A58" s="22" t="s">
        <v>21</v>
      </c>
      <c r="B58" s="258">
        <f t="shared" si="6"/>
        <v>1636.7</v>
      </c>
      <c r="C58" s="48">
        <f>E39</f>
        <v>0</v>
      </c>
      <c r="D58" s="49">
        <f t="shared" si="4"/>
        <v>1636.7</v>
      </c>
      <c r="E58" s="240">
        <f t="shared" si="3"/>
        <v>229138</v>
      </c>
      <c r="F58" s="55"/>
      <c r="G58" s="243"/>
      <c r="H58" s="243"/>
      <c r="I58" s="243"/>
      <c r="J58" s="36"/>
      <c r="K58" s="231" t="s">
        <v>24</v>
      </c>
    </row>
    <row r="59" spans="1:13" x14ac:dyDescent="0.2">
      <c r="A59" s="22" t="s">
        <v>50</v>
      </c>
      <c r="B59" s="258">
        <f t="shared" si="6"/>
        <v>2733.3</v>
      </c>
      <c r="C59" s="48">
        <f>E40</f>
        <v>0</v>
      </c>
      <c r="D59" s="49">
        <f t="shared" si="4"/>
        <v>2733.3</v>
      </c>
      <c r="E59" s="240">
        <f t="shared" si="3"/>
        <v>382662</v>
      </c>
      <c r="F59" s="55"/>
      <c r="G59" s="243"/>
      <c r="H59" s="243"/>
      <c r="I59" s="243"/>
      <c r="J59" s="36"/>
      <c r="K59" s="231" t="s">
        <v>24</v>
      </c>
    </row>
    <row r="60" spans="1:13" x14ac:dyDescent="0.2">
      <c r="A60" s="220" t="s">
        <v>48</v>
      </c>
      <c r="B60" s="259">
        <f t="shared" ref="B60" si="8">SUM(B45:B59)</f>
        <v>162911.80000000002</v>
      </c>
      <c r="C60" s="54">
        <f>SUM(C45:C59)</f>
        <v>715.5</v>
      </c>
      <c r="D60" s="54">
        <f>SUM(D45:D59)</f>
        <v>163627.30000000002</v>
      </c>
      <c r="E60" s="241">
        <f>SUM(E45:E59)</f>
        <v>25478094.234999996</v>
      </c>
      <c r="F60" s="223"/>
      <c r="G60" s="63" t="s">
        <v>24</v>
      </c>
      <c r="H60" s="63"/>
      <c r="I60" s="63"/>
      <c r="J60" s="244"/>
      <c r="K60" s="231" t="s">
        <v>24</v>
      </c>
      <c r="L60" s="231" t="s">
        <v>24</v>
      </c>
    </row>
    <row r="61" spans="1:13" x14ac:dyDescent="0.2">
      <c r="A61" s="222"/>
      <c r="B61" s="223"/>
      <c r="C61" s="223"/>
      <c r="D61" s="223" t="s">
        <v>24</v>
      </c>
      <c r="E61" s="223"/>
      <c r="F61" s="223"/>
      <c r="G61" s="223"/>
      <c r="H61" s="63"/>
      <c r="I61" s="63"/>
      <c r="J61" s="63"/>
      <c r="K61" s="40"/>
      <c r="L61" s="40"/>
      <c r="M61" s="40"/>
    </row>
    <row r="62" spans="1:13" x14ac:dyDescent="0.2">
      <c r="A62" s="32"/>
      <c r="B62" s="55"/>
      <c r="C62" s="55"/>
      <c r="D62" s="724"/>
      <c r="E62" s="724"/>
      <c r="F62" s="37" t="s">
        <v>24</v>
      </c>
      <c r="G62" s="36"/>
      <c r="H62" s="55"/>
    </row>
    <row r="63" spans="1:13" ht="15.75" x14ac:dyDescent="0.25">
      <c r="A63" s="731" t="s">
        <v>126</v>
      </c>
      <c r="B63" s="732"/>
      <c r="C63" s="34"/>
      <c r="D63" s="211"/>
      <c r="E63" s="405" t="s">
        <v>24</v>
      </c>
      <c r="F63" s="36"/>
    </row>
    <row r="64" spans="1:13" ht="60" customHeight="1" x14ac:dyDescent="0.2">
      <c r="A64" s="183" t="s">
        <v>3</v>
      </c>
      <c r="B64" s="164" t="s">
        <v>157</v>
      </c>
      <c r="C64" s="184" t="s">
        <v>158</v>
      </c>
      <c r="D64" s="184" t="s">
        <v>159</v>
      </c>
      <c r="E64" s="184" t="s">
        <v>160</v>
      </c>
      <c r="F64" s="185" t="s">
        <v>130</v>
      </c>
      <c r="G64" s="183" t="s">
        <v>163</v>
      </c>
      <c r="H64" s="255" t="s">
        <v>24</v>
      </c>
      <c r="I64" s="7"/>
    </row>
    <row r="65" spans="1:8" x14ac:dyDescent="0.2">
      <c r="A65" s="182" t="s">
        <v>44</v>
      </c>
      <c r="B65" s="48">
        <f>G26-G27-G34-G36</f>
        <v>0</v>
      </c>
      <c r="C65" s="31">
        <f>B65*D5</f>
        <v>0</v>
      </c>
      <c r="D65" s="31">
        <v>0</v>
      </c>
      <c r="E65" s="35">
        <v>7556</v>
      </c>
      <c r="F65" s="31">
        <v>0</v>
      </c>
      <c r="G65" s="50">
        <f>C65+D65*184/365+E65*181/365+F65</f>
        <v>3746.9479452054793</v>
      </c>
      <c r="H65" s="18" t="s">
        <v>24</v>
      </c>
    </row>
    <row r="66" spans="1:8" x14ac:dyDescent="0.2">
      <c r="A66" s="182" t="s">
        <v>47</v>
      </c>
      <c r="B66" s="48">
        <f>G27-G28-G29-G38</f>
        <v>0</v>
      </c>
      <c r="C66" s="31">
        <f t="shared" ref="C66:C77" si="9">B66*D6</f>
        <v>0</v>
      </c>
      <c r="D66" s="31">
        <v>0</v>
      </c>
      <c r="E66" s="35">
        <v>0</v>
      </c>
      <c r="F66" s="31">
        <v>0</v>
      </c>
      <c r="G66" s="50">
        <f>C66+D66*184/365+E66*181/365+F66</f>
        <v>0</v>
      </c>
    </row>
    <row r="67" spans="1:8" x14ac:dyDescent="0.2">
      <c r="A67" s="182" t="s">
        <v>46</v>
      </c>
      <c r="B67" s="48">
        <f>G28-G30-G32</f>
        <v>0</v>
      </c>
      <c r="C67" s="31">
        <f t="shared" si="9"/>
        <v>0</v>
      </c>
      <c r="D67" s="31">
        <v>0</v>
      </c>
      <c r="E67" s="35">
        <v>0</v>
      </c>
      <c r="F67" s="31">
        <v>0</v>
      </c>
      <c r="G67" s="50">
        <f>C67+D67*184/365+E67*181/365+F67</f>
        <v>0</v>
      </c>
    </row>
    <row r="68" spans="1:8" x14ac:dyDescent="0.2">
      <c r="A68" s="182" t="s">
        <v>45</v>
      </c>
      <c r="B68" s="48">
        <f>G29-G33-G37</f>
        <v>0</v>
      </c>
      <c r="C68" s="31">
        <f t="shared" si="9"/>
        <v>0</v>
      </c>
      <c r="D68" s="31">
        <v>0</v>
      </c>
      <c r="E68" s="35">
        <v>0</v>
      </c>
      <c r="F68" s="31">
        <v>0</v>
      </c>
      <c r="G68" s="50">
        <f>C68+D68*184/365+E68*181/365+F68</f>
        <v>0</v>
      </c>
    </row>
    <row r="69" spans="1:8" x14ac:dyDescent="0.2">
      <c r="A69" s="182" t="s">
        <v>37</v>
      </c>
      <c r="B69" s="48">
        <f>G30-G31</f>
        <v>0</v>
      </c>
      <c r="C69" s="31">
        <f t="shared" si="9"/>
        <v>0</v>
      </c>
      <c r="D69" s="31">
        <v>0</v>
      </c>
      <c r="E69" s="35">
        <v>0</v>
      </c>
      <c r="F69" s="31">
        <v>0</v>
      </c>
      <c r="G69" s="50">
        <f t="shared" ref="G69:G79" si="10">C69+D69*184/365+E69*181/365+F69</f>
        <v>0</v>
      </c>
    </row>
    <row r="70" spans="1:8" x14ac:dyDescent="0.2">
      <c r="A70" s="182" t="s">
        <v>34</v>
      </c>
      <c r="B70" s="48">
        <f>G31</f>
        <v>0</v>
      </c>
      <c r="C70" s="31">
        <f t="shared" si="9"/>
        <v>0</v>
      </c>
      <c r="D70" s="31">
        <v>0</v>
      </c>
      <c r="E70" s="35">
        <v>0</v>
      </c>
      <c r="F70" s="31">
        <v>0</v>
      </c>
      <c r="G70" s="50">
        <f t="shared" si="10"/>
        <v>0</v>
      </c>
    </row>
    <row r="71" spans="1:8" x14ac:dyDescent="0.2">
      <c r="A71" s="182" t="s">
        <v>35</v>
      </c>
      <c r="B71" s="48">
        <f>G32</f>
        <v>0</v>
      </c>
      <c r="C71" s="31">
        <f t="shared" si="9"/>
        <v>0</v>
      </c>
      <c r="D71" s="31">
        <v>0</v>
      </c>
      <c r="E71" s="35">
        <v>0</v>
      </c>
      <c r="F71" s="31">
        <v>0</v>
      </c>
      <c r="G71" s="50">
        <f t="shared" si="10"/>
        <v>0</v>
      </c>
    </row>
    <row r="72" spans="1:8" x14ac:dyDescent="0.2">
      <c r="A72" s="182" t="s">
        <v>15</v>
      </c>
      <c r="B72" s="48">
        <f>G33</f>
        <v>0</v>
      </c>
      <c r="C72" s="31">
        <f t="shared" si="9"/>
        <v>0</v>
      </c>
      <c r="D72" s="31">
        <v>0</v>
      </c>
      <c r="E72" s="35">
        <v>0</v>
      </c>
      <c r="F72" s="31">
        <v>0</v>
      </c>
      <c r="G72" s="50">
        <f t="shared" si="10"/>
        <v>0</v>
      </c>
    </row>
    <row r="73" spans="1:8" x14ac:dyDescent="0.2">
      <c r="A73" s="182" t="s">
        <v>114</v>
      </c>
      <c r="B73" s="48">
        <f>G34-G35</f>
        <v>0</v>
      </c>
      <c r="C73" s="31">
        <f t="shared" si="9"/>
        <v>0</v>
      </c>
      <c r="D73" s="31">
        <v>0</v>
      </c>
      <c r="E73" s="35">
        <v>0</v>
      </c>
      <c r="F73" s="31">
        <v>0</v>
      </c>
      <c r="G73" s="50">
        <f t="shared" si="10"/>
        <v>0</v>
      </c>
    </row>
    <row r="74" spans="1:8" x14ac:dyDescent="0.2">
      <c r="A74" s="182" t="s">
        <v>113</v>
      </c>
      <c r="B74" s="48">
        <f t="shared" ref="B74:B79" si="11">G35</f>
        <v>0</v>
      </c>
      <c r="C74" s="31">
        <f t="shared" si="9"/>
        <v>0</v>
      </c>
      <c r="D74" s="31">
        <v>0</v>
      </c>
      <c r="E74" s="35">
        <v>0</v>
      </c>
      <c r="F74" s="31">
        <v>0</v>
      </c>
      <c r="G74" s="50">
        <f t="shared" si="10"/>
        <v>0</v>
      </c>
    </row>
    <row r="75" spans="1:8" x14ac:dyDescent="0.2">
      <c r="A75" s="22" t="s">
        <v>20</v>
      </c>
      <c r="B75" s="48">
        <f t="shared" si="11"/>
        <v>0</v>
      </c>
      <c r="C75" s="31">
        <f>B75*D15</f>
        <v>0</v>
      </c>
      <c r="D75" s="31">
        <v>0</v>
      </c>
      <c r="E75" s="35">
        <v>28.03</v>
      </c>
      <c r="F75" s="31">
        <v>0</v>
      </c>
      <c r="G75" s="50">
        <f>C75+D75*184/365+E75*181/365+F75</f>
        <v>13.899808219178084</v>
      </c>
    </row>
    <row r="76" spans="1:8" x14ac:dyDescent="0.2">
      <c r="A76" s="22" t="s">
        <v>11</v>
      </c>
      <c r="B76" s="48">
        <f t="shared" si="11"/>
        <v>0</v>
      </c>
      <c r="C76" s="31">
        <f t="shared" si="9"/>
        <v>0</v>
      </c>
      <c r="D76" s="31">
        <v>0</v>
      </c>
      <c r="E76" s="35">
        <v>0</v>
      </c>
      <c r="F76" s="31">
        <v>0</v>
      </c>
      <c r="G76" s="50">
        <f t="shared" si="10"/>
        <v>0</v>
      </c>
    </row>
    <row r="77" spans="1:8" x14ac:dyDescent="0.2">
      <c r="A77" s="22" t="s">
        <v>10</v>
      </c>
      <c r="B77" s="48">
        <f t="shared" si="11"/>
        <v>0</v>
      </c>
      <c r="C77" s="31">
        <f t="shared" si="9"/>
        <v>0</v>
      </c>
      <c r="D77" s="31">
        <v>0</v>
      </c>
      <c r="E77" s="35">
        <v>0</v>
      </c>
      <c r="F77" s="31">
        <v>0</v>
      </c>
      <c r="G77" s="50">
        <f>C77+D77*184/365+E77*181/365+F77</f>
        <v>0</v>
      </c>
    </row>
    <row r="78" spans="1:8" x14ac:dyDescent="0.2">
      <c r="A78" s="22" t="s">
        <v>21</v>
      </c>
      <c r="B78" s="48">
        <f t="shared" si="11"/>
        <v>0</v>
      </c>
      <c r="C78" s="31">
        <v>0</v>
      </c>
      <c r="D78" s="31">
        <v>0</v>
      </c>
      <c r="E78" s="35">
        <v>0</v>
      </c>
      <c r="F78" s="31">
        <v>0</v>
      </c>
      <c r="G78" s="50">
        <f t="shared" si="10"/>
        <v>0</v>
      </c>
    </row>
    <row r="79" spans="1:8" x14ac:dyDescent="0.2">
      <c r="A79" s="22" t="s">
        <v>50</v>
      </c>
      <c r="B79" s="48">
        <f t="shared" si="11"/>
        <v>0</v>
      </c>
      <c r="C79" s="31">
        <v>0</v>
      </c>
      <c r="D79" s="31">
        <v>0</v>
      </c>
      <c r="E79" s="35">
        <v>0</v>
      </c>
      <c r="F79" s="31">
        <v>0</v>
      </c>
      <c r="G79" s="50">
        <f t="shared" si="10"/>
        <v>0</v>
      </c>
    </row>
    <row r="80" spans="1:8" x14ac:dyDescent="0.2">
      <c r="A80" s="220" t="s">
        <v>48</v>
      </c>
      <c r="B80" s="54">
        <f>SUM(B65:B79)</f>
        <v>0</v>
      </c>
      <c r="C80" s="42">
        <f>SUM(C65:C79)</f>
        <v>0</v>
      </c>
      <c r="D80" s="42">
        <f>SUM(D65:D79)</f>
        <v>0</v>
      </c>
      <c r="E80" s="42">
        <f>SUM(E65:E77)</f>
        <v>7584.03</v>
      </c>
      <c r="F80" s="42">
        <f>SUM(F65:F79)</f>
        <v>0</v>
      </c>
      <c r="G80" s="42">
        <f>SUM(G65:G79)</f>
        <v>3760.8477534246572</v>
      </c>
      <c r="H80" s="231" t="s">
        <v>24</v>
      </c>
    </row>
    <row r="81" spans="1:10" x14ac:dyDescent="0.2">
      <c r="A81" s="32"/>
      <c r="B81" s="55"/>
      <c r="C81" s="55"/>
      <c r="D81" s="55"/>
      <c r="E81" s="57"/>
      <c r="F81" s="34"/>
      <c r="G81" s="34"/>
      <c r="H81" s="34"/>
      <c r="I81" s="36"/>
      <c r="J81" s="55"/>
    </row>
    <row r="82" spans="1:10" ht="15.75" x14ac:dyDescent="0.25">
      <c r="A82" s="725" t="s">
        <v>127</v>
      </c>
      <c r="B82" s="725"/>
      <c r="C82" s="725"/>
      <c r="D82" s="725"/>
      <c r="E82" s="21"/>
      <c r="F82" s="21"/>
      <c r="G82" s="21"/>
      <c r="H82" s="21"/>
      <c r="I82" s="21"/>
      <c r="J82" s="21"/>
    </row>
    <row r="83" spans="1:10" ht="80.099999999999994" customHeight="1" x14ac:dyDescent="0.2">
      <c r="A83" s="26" t="s">
        <v>60</v>
      </c>
      <c r="B83" s="26" t="s">
        <v>128</v>
      </c>
      <c r="C83" s="26" t="s">
        <v>205</v>
      </c>
      <c r="D83" s="26" t="s">
        <v>61</v>
      </c>
      <c r="E83" s="21"/>
      <c r="F83" s="21"/>
      <c r="G83" s="21"/>
      <c r="H83" s="21"/>
      <c r="I83" s="21"/>
      <c r="J83" s="21"/>
    </row>
    <row r="84" spans="1:10" x14ac:dyDescent="0.2">
      <c r="A84" s="167" t="s">
        <v>28</v>
      </c>
      <c r="B84" s="167">
        <v>0</v>
      </c>
      <c r="C84" s="50">
        <f t="shared" ref="C84:C96" si="12">C6</f>
        <v>0</v>
      </c>
      <c r="D84" s="50">
        <f t="shared" ref="D84:D89" si="13">B84*C84</f>
        <v>0</v>
      </c>
      <c r="E84" s="21"/>
      <c r="F84" s="21"/>
      <c r="G84" s="21"/>
      <c r="H84" s="21"/>
      <c r="I84" s="21"/>
      <c r="J84" s="21"/>
    </row>
    <row r="85" spans="1:10" x14ac:dyDescent="0.2">
      <c r="A85" s="167" t="s">
        <v>33</v>
      </c>
      <c r="B85" s="167">
        <v>0</v>
      </c>
      <c r="C85" s="50">
        <f t="shared" si="12"/>
        <v>25.73</v>
      </c>
      <c r="D85" s="50">
        <f t="shared" si="13"/>
        <v>0</v>
      </c>
      <c r="E85" s="21"/>
      <c r="F85" s="21"/>
      <c r="G85" s="21"/>
      <c r="H85" s="21"/>
      <c r="I85" s="21"/>
      <c r="J85" s="21"/>
    </row>
    <row r="86" spans="1:10" x14ac:dyDescent="0.2">
      <c r="A86" s="167" t="s">
        <v>5</v>
      </c>
      <c r="B86" s="167">
        <v>0</v>
      </c>
      <c r="C86" s="50">
        <f t="shared" si="12"/>
        <v>0</v>
      </c>
      <c r="D86" s="50">
        <f t="shared" si="13"/>
        <v>0</v>
      </c>
      <c r="E86" s="21"/>
      <c r="F86" s="21"/>
      <c r="G86" s="21"/>
      <c r="H86" s="21"/>
      <c r="I86" s="21"/>
      <c r="J86" s="21"/>
    </row>
    <row r="87" spans="1:10" x14ac:dyDescent="0.2">
      <c r="A87" s="167" t="s">
        <v>8</v>
      </c>
      <c r="B87" s="167">
        <v>0</v>
      </c>
      <c r="C87" s="50">
        <f t="shared" si="12"/>
        <v>38.56</v>
      </c>
      <c r="D87" s="50">
        <f t="shared" si="13"/>
        <v>0</v>
      </c>
      <c r="E87" s="21"/>
      <c r="F87" s="21" t="s">
        <v>24</v>
      </c>
      <c r="G87" s="21"/>
      <c r="H87" s="21"/>
      <c r="I87" s="21"/>
      <c r="J87" s="21"/>
    </row>
    <row r="88" spans="1:10" x14ac:dyDescent="0.2">
      <c r="A88" s="167" t="s">
        <v>34</v>
      </c>
      <c r="B88" s="167">
        <v>0</v>
      </c>
      <c r="C88" s="50">
        <f t="shared" si="12"/>
        <v>0</v>
      </c>
      <c r="D88" s="50">
        <f t="shared" si="13"/>
        <v>0</v>
      </c>
      <c r="E88" s="21"/>
      <c r="F88" s="21"/>
      <c r="G88" s="21"/>
      <c r="H88" s="21"/>
      <c r="I88" s="21"/>
      <c r="J88" s="21"/>
    </row>
    <row r="89" spans="1:10" x14ac:dyDescent="0.2">
      <c r="A89" s="167" t="s">
        <v>35</v>
      </c>
      <c r="B89" s="167">
        <v>0</v>
      </c>
      <c r="C89" s="50">
        <f t="shared" si="12"/>
        <v>0</v>
      </c>
      <c r="D89" s="50">
        <f t="shared" si="13"/>
        <v>0</v>
      </c>
      <c r="E89" s="21"/>
      <c r="F89" s="21"/>
      <c r="G89" s="21"/>
      <c r="H89" s="21"/>
      <c r="I89" s="21"/>
      <c r="J89" s="21"/>
    </row>
    <row r="90" spans="1:10" x14ac:dyDescent="0.2">
      <c r="A90" s="22" t="s">
        <v>15</v>
      </c>
      <c r="B90" s="167">
        <v>0</v>
      </c>
      <c r="C90" s="50">
        <f t="shared" si="12"/>
        <v>0</v>
      </c>
      <c r="D90" s="50">
        <f t="shared" ref="D90:D95" si="14">B90*C90</f>
        <v>0</v>
      </c>
      <c r="E90" s="21"/>
      <c r="F90" s="21"/>
      <c r="G90" s="21"/>
      <c r="H90" s="21"/>
      <c r="I90" s="21"/>
      <c r="J90" s="21"/>
    </row>
    <row r="91" spans="1:10" x14ac:dyDescent="0.2">
      <c r="A91" s="22" t="s">
        <v>43</v>
      </c>
      <c r="B91" s="167">
        <v>0</v>
      </c>
      <c r="C91" s="50">
        <f t="shared" si="12"/>
        <v>31.33</v>
      </c>
      <c r="D91" s="50">
        <f t="shared" si="14"/>
        <v>0</v>
      </c>
      <c r="E91" s="21"/>
      <c r="F91" s="21"/>
      <c r="G91" s="21"/>
      <c r="H91" s="21"/>
      <c r="I91" s="21"/>
      <c r="J91" s="21"/>
    </row>
    <row r="92" spans="1:10" x14ac:dyDescent="0.2">
      <c r="A92" s="22" t="s">
        <v>113</v>
      </c>
      <c r="B92" s="167">
        <v>0</v>
      </c>
      <c r="C92" s="50">
        <f t="shared" si="12"/>
        <v>0</v>
      </c>
      <c r="D92" s="50">
        <f t="shared" si="14"/>
        <v>0</v>
      </c>
      <c r="E92" s="21"/>
      <c r="F92" s="21"/>
      <c r="G92" s="21"/>
      <c r="H92" s="21"/>
      <c r="I92" s="21"/>
      <c r="J92" s="21"/>
    </row>
    <row r="93" spans="1:10" x14ac:dyDescent="0.2">
      <c r="A93" s="22" t="s">
        <v>20</v>
      </c>
      <c r="B93" s="167">
        <v>0</v>
      </c>
      <c r="C93" s="50">
        <f>C15</f>
        <v>55.55</v>
      </c>
      <c r="D93" s="50">
        <f t="shared" si="14"/>
        <v>0</v>
      </c>
      <c r="E93" s="21"/>
      <c r="F93" s="21"/>
      <c r="G93" s="21"/>
      <c r="H93" s="21"/>
      <c r="I93" s="21"/>
      <c r="J93" s="21"/>
    </row>
    <row r="94" spans="1:10" x14ac:dyDescent="0.2">
      <c r="A94" s="22" t="s">
        <v>11</v>
      </c>
      <c r="B94" s="167">
        <v>0</v>
      </c>
      <c r="C94" s="50">
        <f t="shared" si="12"/>
        <v>60.3</v>
      </c>
      <c r="D94" s="50">
        <f t="shared" si="14"/>
        <v>0</v>
      </c>
      <c r="E94" s="21"/>
      <c r="F94" s="21"/>
      <c r="G94" s="21"/>
      <c r="H94" s="21"/>
      <c r="I94" s="21"/>
      <c r="J94" s="21"/>
    </row>
    <row r="95" spans="1:10" x14ac:dyDescent="0.2">
      <c r="A95" s="22" t="s">
        <v>10</v>
      </c>
      <c r="B95" s="167">
        <v>0</v>
      </c>
      <c r="C95" s="50">
        <f t="shared" si="12"/>
        <v>0</v>
      </c>
      <c r="D95" s="50">
        <f t="shared" si="14"/>
        <v>0</v>
      </c>
      <c r="E95" s="21"/>
      <c r="F95" s="21"/>
      <c r="G95" s="21"/>
      <c r="H95" s="21"/>
      <c r="I95" s="21"/>
      <c r="J95" s="21"/>
    </row>
    <row r="96" spans="1:10" x14ac:dyDescent="0.2">
      <c r="A96" s="217" t="s">
        <v>21</v>
      </c>
      <c r="B96" s="182">
        <v>0</v>
      </c>
      <c r="C96" s="50">
        <f t="shared" si="12"/>
        <v>0</v>
      </c>
      <c r="D96" s="50">
        <f t="shared" ref="D96:D97" si="15">B96*C96</f>
        <v>0</v>
      </c>
      <c r="E96" s="21"/>
      <c r="F96" s="21"/>
      <c r="G96" s="21"/>
      <c r="H96" s="21"/>
      <c r="I96" s="21"/>
      <c r="J96" s="21"/>
    </row>
    <row r="97" spans="1:10" x14ac:dyDescent="0.2">
      <c r="A97" s="217" t="s">
        <v>50</v>
      </c>
      <c r="B97" s="182">
        <v>0</v>
      </c>
      <c r="C97" s="50">
        <f>C19</f>
        <v>0</v>
      </c>
      <c r="D97" s="50">
        <f t="shared" si="15"/>
        <v>0</v>
      </c>
      <c r="E97" s="21"/>
      <c r="F97" s="21"/>
      <c r="G97" s="21"/>
      <c r="H97" s="21"/>
      <c r="I97" s="21"/>
      <c r="J97" s="21"/>
    </row>
    <row r="98" spans="1:10" x14ac:dyDescent="0.2">
      <c r="A98" s="168" t="s">
        <v>48</v>
      </c>
      <c r="B98" s="167" t="s">
        <v>24</v>
      </c>
      <c r="C98" s="167"/>
      <c r="D98" s="68">
        <f>SUM(D84:D95)</f>
        <v>0</v>
      </c>
      <c r="E98" s="21"/>
      <c r="F98" s="21"/>
      <c r="G98" s="21"/>
      <c r="H98" s="21"/>
      <c r="I98" s="21"/>
      <c r="J98" s="21"/>
    </row>
    <row r="99" spans="1:10" x14ac:dyDescent="0.2">
      <c r="A99" s="23" t="s">
        <v>206</v>
      </c>
      <c r="B99" s="21"/>
      <c r="C99" s="21"/>
      <c r="D99" s="21"/>
      <c r="E99" s="21"/>
      <c r="F99" s="21"/>
      <c r="G99" s="21"/>
      <c r="H99" s="21"/>
      <c r="I99" s="21"/>
      <c r="J99" s="21"/>
    </row>
    <row r="100" spans="1:10" x14ac:dyDescent="0.2">
      <c r="A100" s="21"/>
      <c r="B100" s="21" t="s">
        <v>24</v>
      </c>
      <c r="C100" s="21"/>
      <c r="D100" s="21"/>
      <c r="E100" s="21"/>
      <c r="F100" s="21"/>
      <c r="G100" s="21"/>
      <c r="H100" s="21"/>
      <c r="I100" s="21"/>
      <c r="J100" s="21"/>
    </row>
    <row r="101" spans="1:10" x14ac:dyDescent="0.2">
      <c r="B101" s="4" t="s">
        <v>24</v>
      </c>
    </row>
    <row r="102" spans="1:10" x14ac:dyDescent="0.2">
      <c r="B102" s="4" t="s">
        <v>24</v>
      </c>
    </row>
  </sheetData>
  <mergeCells count="7">
    <mergeCell ref="J42:K42"/>
    <mergeCell ref="D62:E62"/>
    <mergeCell ref="A82:D82"/>
    <mergeCell ref="A3:B3"/>
    <mergeCell ref="A24:B24"/>
    <mergeCell ref="A43:B43"/>
    <mergeCell ref="A63:B63"/>
  </mergeCells>
  <pageMargins left="0.45" right="0.45" top="0.5" bottom="0.5" header="0" footer="0.05"/>
  <pageSetup paperSize="17"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82"/>
  <sheetViews>
    <sheetView topLeftCell="A22" zoomScaleNormal="100" workbookViewId="0">
      <pane xSplit="1" topLeftCell="B1" activePane="topRight" state="frozen"/>
      <selection pane="topRight"/>
    </sheetView>
  </sheetViews>
  <sheetFormatPr defaultRowHeight="12.75" x14ac:dyDescent="0.2"/>
  <cols>
    <col min="1" max="1" width="31" style="4" customWidth="1"/>
    <col min="2" max="2" width="12.85546875" style="4" customWidth="1"/>
    <col min="3" max="3" width="14.42578125" style="4" customWidth="1"/>
    <col min="4" max="4" width="15.5703125" style="4" customWidth="1"/>
    <col min="5" max="5" width="17.140625" style="4" customWidth="1"/>
    <col min="6" max="6" width="17.5703125" style="4" customWidth="1"/>
    <col min="7" max="7" width="20" style="4" customWidth="1"/>
    <col min="8" max="8" width="18.42578125" style="4" customWidth="1"/>
    <col min="9" max="9" width="18.140625" style="4" customWidth="1"/>
    <col min="10" max="10" width="18.42578125" style="4" customWidth="1"/>
    <col min="11" max="12" width="16.7109375" style="4" customWidth="1"/>
    <col min="13" max="13" width="12.7109375" style="4" customWidth="1"/>
    <col min="14" max="14" width="16.7109375" style="4" customWidth="1"/>
    <col min="15" max="15" width="15.7109375" style="4" customWidth="1"/>
    <col min="16" max="16" width="12.7109375" style="4" customWidth="1"/>
    <col min="17" max="16384" width="9.140625" style="4"/>
  </cols>
  <sheetData>
    <row r="1" spans="1:16" ht="18.75" x14ac:dyDescent="0.3">
      <c r="A1" s="101" t="s">
        <v>217</v>
      </c>
      <c r="E1" s="16" t="s">
        <v>24</v>
      </c>
      <c r="F1" s="16" t="s">
        <v>24</v>
      </c>
      <c r="G1" s="16" t="s">
        <v>24</v>
      </c>
    </row>
    <row r="2" spans="1:16" x14ac:dyDescent="0.2">
      <c r="A2" s="19"/>
    </row>
    <row r="3" spans="1:16" ht="15.75" x14ac:dyDescent="0.25">
      <c r="A3" s="169" t="s">
        <v>0</v>
      </c>
      <c r="B3" s="21"/>
      <c r="C3" s="21"/>
      <c r="D3" s="98" t="s">
        <v>24</v>
      </c>
      <c r="E3" s="21"/>
      <c r="F3" s="21"/>
      <c r="G3" s="21"/>
      <c r="H3" s="21"/>
      <c r="I3" s="21"/>
      <c r="J3" s="21"/>
      <c r="K3" s="21"/>
      <c r="L3" s="21"/>
      <c r="M3" s="21"/>
      <c r="N3" s="21"/>
      <c r="O3" s="21"/>
      <c r="P3" s="21"/>
    </row>
    <row r="4" spans="1:16" ht="12.75" customHeight="1" x14ac:dyDescent="0.2">
      <c r="A4" s="167" t="s">
        <v>1</v>
      </c>
      <c r="B4" s="171">
        <v>0.158</v>
      </c>
      <c r="C4" s="21"/>
      <c r="D4" s="70" t="s">
        <v>24</v>
      </c>
      <c r="E4" s="28" t="s">
        <v>24</v>
      </c>
      <c r="F4" s="28" t="s">
        <v>24</v>
      </c>
      <c r="G4" s="28" t="s">
        <v>24</v>
      </c>
      <c r="H4" s="28" t="s">
        <v>24</v>
      </c>
      <c r="I4" s="28" t="s">
        <v>24</v>
      </c>
      <c r="J4" s="28" t="s">
        <v>24</v>
      </c>
      <c r="K4" s="21"/>
      <c r="L4" s="21"/>
      <c r="M4" s="21"/>
      <c r="N4" s="21"/>
      <c r="O4" s="28" t="s">
        <v>24</v>
      </c>
      <c r="P4" s="21"/>
    </row>
    <row r="5" spans="1:16" ht="12.75" customHeight="1" x14ac:dyDescent="0.2">
      <c r="A5" s="170" t="s">
        <v>2</v>
      </c>
      <c r="B5" s="140">
        <v>5.8900000000000001E-2</v>
      </c>
      <c r="C5" s="21"/>
      <c r="D5" s="32" t="s">
        <v>24</v>
      </c>
      <c r="E5" s="69" t="s">
        <v>24</v>
      </c>
      <c r="F5" s="71" t="s">
        <v>24</v>
      </c>
      <c r="G5" s="71" t="s">
        <v>24</v>
      </c>
      <c r="H5" s="71" t="s">
        <v>24</v>
      </c>
      <c r="I5" s="71" t="s">
        <v>24</v>
      </c>
      <c r="J5" s="28" t="s">
        <v>24</v>
      </c>
      <c r="K5" s="28" t="s">
        <v>24</v>
      </c>
      <c r="L5" s="28"/>
      <c r="M5" s="28"/>
      <c r="N5" s="28"/>
      <c r="O5" s="69" t="s">
        <v>24</v>
      </c>
      <c r="P5" s="21"/>
    </row>
    <row r="6" spans="1:16" ht="12.75" customHeight="1" x14ac:dyDescent="0.2">
      <c r="A6" s="167" t="s">
        <v>4</v>
      </c>
      <c r="B6" s="172">
        <v>1.0898000000000001</v>
      </c>
      <c r="C6" s="21"/>
      <c r="D6" s="32" t="s">
        <v>24</v>
      </c>
      <c r="E6" s="72" t="s">
        <v>24</v>
      </c>
      <c r="F6" s="66" t="s">
        <v>24</v>
      </c>
      <c r="G6" s="73" t="s">
        <v>24</v>
      </c>
      <c r="H6" s="74" t="s">
        <v>24</v>
      </c>
      <c r="I6" s="74" t="s">
        <v>24</v>
      </c>
      <c r="J6" s="74" t="s">
        <v>24</v>
      </c>
      <c r="K6" s="75" t="s">
        <v>24</v>
      </c>
      <c r="L6" s="75"/>
      <c r="M6" s="75"/>
      <c r="N6" s="75"/>
      <c r="O6" s="76" t="s">
        <v>24</v>
      </c>
      <c r="P6" s="21"/>
    </row>
    <row r="7" spans="1:16" ht="12.75" customHeight="1" x14ac:dyDescent="0.2">
      <c r="A7" s="167" t="s">
        <v>190</v>
      </c>
      <c r="B7" s="216">
        <f>153160.8+3912.9-I30*B6</f>
        <v>156517.90199999997</v>
      </c>
      <c r="C7" s="373" t="s">
        <v>24</v>
      </c>
      <c r="D7" s="32" t="s">
        <v>24</v>
      </c>
      <c r="E7" s="69" t="s">
        <v>24</v>
      </c>
      <c r="F7" s="77" t="s">
        <v>24</v>
      </c>
      <c r="G7" s="66" t="s">
        <v>24</v>
      </c>
      <c r="H7" s="406" t="s">
        <v>24</v>
      </c>
      <c r="I7" s="66" t="s">
        <v>24</v>
      </c>
      <c r="J7" s="73" t="s">
        <v>24</v>
      </c>
      <c r="K7" s="74"/>
      <c r="L7" s="74"/>
      <c r="M7" s="74"/>
      <c r="N7" s="74"/>
      <c r="O7" s="69" t="s">
        <v>24</v>
      </c>
      <c r="P7" s="21"/>
    </row>
    <row r="8" spans="1:16" ht="12.75" customHeight="1" x14ac:dyDescent="0.2">
      <c r="A8" s="167" t="s">
        <v>23</v>
      </c>
      <c r="B8" s="173">
        <f>'BRA Resource Clearing Results'!D60/('BRA Load Pricing Results'!G60*'BRA Load Pricing Results'!B6)</f>
        <v>1.0683366214271506</v>
      </c>
      <c r="C8" s="32" t="s">
        <v>24</v>
      </c>
      <c r="D8" s="78" t="s">
        <v>24</v>
      </c>
      <c r="E8" s="69" t="s">
        <v>24</v>
      </c>
      <c r="F8" s="77" t="s">
        <v>24</v>
      </c>
      <c r="G8" s="73" t="s">
        <v>24</v>
      </c>
      <c r="H8" s="73" t="s">
        <v>24</v>
      </c>
      <c r="I8" s="73" t="s">
        <v>24</v>
      </c>
      <c r="J8" s="73" t="s">
        <v>24</v>
      </c>
      <c r="K8" s="74" t="s">
        <v>24</v>
      </c>
      <c r="L8" s="74"/>
      <c r="M8" s="74"/>
      <c r="N8" s="74"/>
      <c r="O8" s="69" t="s">
        <v>24</v>
      </c>
      <c r="P8" s="21"/>
    </row>
    <row r="9" spans="1:16" x14ac:dyDescent="0.2">
      <c r="A9" s="21" t="s">
        <v>191</v>
      </c>
      <c r="B9" s="21"/>
      <c r="C9" s="21"/>
      <c r="D9" s="23" t="s">
        <v>24</v>
      </c>
      <c r="E9" s="79"/>
      <c r="F9" s="60"/>
      <c r="G9" s="79"/>
      <c r="H9" s="80" t="s">
        <v>24</v>
      </c>
      <c r="I9" s="21"/>
      <c r="J9" s="21"/>
      <c r="K9" s="21"/>
      <c r="L9" s="21"/>
      <c r="M9" s="21"/>
      <c r="N9" s="21"/>
      <c r="O9" s="21" t="s">
        <v>24</v>
      </c>
      <c r="P9" s="21"/>
    </row>
    <row r="10" spans="1:16" x14ac:dyDescent="0.2">
      <c r="A10" s="23"/>
      <c r="B10" s="34"/>
      <c r="C10" s="34"/>
      <c r="D10" s="34"/>
      <c r="E10" s="38" t="s">
        <v>24</v>
      </c>
      <c r="F10" s="39"/>
      <c r="G10" s="39"/>
      <c r="H10" s="39"/>
      <c r="I10" s="40"/>
      <c r="J10" s="40"/>
      <c r="K10" s="40"/>
      <c r="L10" s="40"/>
      <c r="M10" s="40"/>
      <c r="N10" s="40"/>
      <c r="O10" s="41"/>
      <c r="P10" s="21"/>
    </row>
    <row r="11" spans="1:16" ht="15.75" x14ac:dyDescent="0.25">
      <c r="A11" s="160" t="s">
        <v>132</v>
      </c>
      <c r="B11" s="34"/>
      <c r="C11" s="34"/>
      <c r="D11" s="34"/>
      <c r="E11" s="40"/>
      <c r="F11" s="41"/>
      <c r="G11" s="21"/>
    </row>
    <row r="12" spans="1:16" ht="69.95" customHeight="1" x14ac:dyDescent="0.2">
      <c r="A12" s="183" t="s">
        <v>3</v>
      </c>
      <c r="B12" s="183" t="s">
        <v>55</v>
      </c>
      <c r="C12" s="183" t="s">
        <v>137</v>
      </c>
      <c r="D12" s="183" t="s">
        <v>207</v>
      </c>
      <c r="E12" s="183" t="s">
        <v>138</v>
      </c>
      <c r="F12" s="183" t="s">
        <v>82</v>
      </c>
      <c r="G12" s="21"/>
    </row>
    <row r="13" spans="1:16" x14ac:dyDescent="0.2">
      <c r="A13" s="30" t="s">
        <v>6</v>
      </c>
      <c r="B13" s="45">
        <f>J60</f>
        <v>163627.29999999999</v>
      </c>
      <c r="C13" s="154">
        <f>'BRA Resource Clearing Results'!B5</f>
        <v>140</v>
      </c>
      <c r="D13" s="154">
        <f>'BRA Resource Clearing Results'!C5</f>
        <v>0</v>
      </c>
      <c r="E13" s="367">
        <f>'BRA Resource Clearing Results'!G65/B13</f>
        <v>2.2899283586574365E-2</v>
      </c>
      <c r="F13" s="155">
        <f t="shared" ref="F13:F22" si="0">C13+D13+E13</f>
        <v>140.02289928358658</v>
      </c>
      <c r="G13" s="21"/>
    </row>
    <row r="14" spans="1:16" x14ac:dyDescent="0.2">
      <c r="A14" s="30" t="s">
        <v>28</v>
      </c>
      <c r="B14" s="45">
        <f>J40+J44+J50+(SUM(J52:J59))</f>
        <v>63943.051164969511</v>
      </c>
      <c r="C14" s="154">
        <f>'BRA Resource Clearing Results'!B6</f>
        <v>140</v>
      </c>
      <c r="D14" s="154">
        <f>'BRA Resource Clearing Results'!C6</f>
        <v>0</v>
      </c>
      <c r="E14" s="367">
        <f>E13+'BRA Resource Clearing Results'!G66/B14</f>
        <v>2.2899283586574365E-2</v>
      </c>
      <c r="F14" s="155">
        <f t="shared" si="0"/>
        <v>140.02289928358658</v>
      </c>
      <c r="G14" s="21"/>
    </row>
    <row r="15" spans="1:16" x14ac:dyDescent="0.2">
      <c r="A15" s="30" t="s">
        <v>33</v>
      </c>
      <c r="B15" s="45">
        <f>J40+J50+J52+J54+J58+J59</f>
        <v>34663.90747318216</v>
      </c>
      <c r="C15" s="154">
        <f>'BRA Resource Clearing Results'!B7</f>
        <v>140</v>
      </c>
      <c r="D15" s="154">
        <f>'BRA Resource Clearing Results'!C6+'BRA Resource Clearing Results'!C7</f>
        <v>25.73</v>
      </c>
      <c r="E15" s="367">
        <f>E14+'BRA Resource Clearing Results'!G67/B15</f>
        <v>2.2899283586574365E-2</v>
      </c>
      <c r="F15" s="155">
        <f t="shared" si="0"/>
        <v>165.75289928358657</v>
      </c>
      <c r="G15" s="21"/>
    </row>
    <row r="16" spans="1:16" x14ac:dyDescent="0.2">
      <c r="A16" s="30" t="s">
        <v>5</v>
      </c>
      <c r="B16" s="45">
        <f>J44+J56</f>
        <v>14551.087078891298</v>
      </c>
      <c r="C16" s="154">
        <f>'BRA Resource Clearing Results'!B8</f>
        <v>140</v>
      </c>
      <c r="D16" s="154">
        <f>'BRA Resource Clearing Results'!C6+'BRA Resource Clearing Results'!C8</f>
        <v>0</v>
      </c>
      <c r="E16" s="367">
        <f>E14+'BRA Resource Clearing Results'!G68/B16</f>
        <v>2.2899283586574365E-2</v>
      </c>
      <c r="F16" s="155">
        <f t="shared" si="0"/>
        <v>140.02289928358658</v>
      </c>
      <c r="G16" s="21"/>
    </row>
    <row r="17" spans="1:16" x14ac:dyDescent="0.2">
      <c r="A17" s="30" t="s">
        <v>15</v>
      </c>
      <c r="B17" s="45">
        <f>J56</f>
        <v>7116.0381041913588</v>
      </c>
      <c r="C17" s="154">
        <f>'BRA Resource Clearing Results'!B12</f>
        <v>140</v>
      </c>
      <c r="D17" s="154">
        <f>'BRA Resource Clearing Results'!C6+'BRA Resource Clearing Results'!C8+'BRA Resource Clearing Results'!C12</f>
        <v>0</v>
      </c>
      <c r="E17" s="367">
        <f>E16+'BRA Resource Clearing Results'!G72/B17</f>
        <v>2.2899283586574365E-2</v>
      </c>
      <c r="F17" s="155">
        <f t="shared" si="0"/>
        <v>140.02289928358658</v>
      </c>
      <c r="G17" s="21"/>
    </row>
    <row r="18" spans="1:16" x14ac:dyDescent="0.2">
      <c r="A18" s="22" t="s">
        <v>20</v>
      </c>
      <c r="B18" s="45">
        <f>J45</f>
        <v>24982.975399171821</v>
      </c>
      <c r="C18" s="154">
        <f>'BRA Resource Clearing Results'!B15</f>
        <v>140</v>
      </c>
      <c r="D18" s="154">
        <f>'BRA Resource Clearing Results'!C15</f>
        <v>55.55</v>
      </c>
      <c r="E18" s="367">
        <f>E13+'BRA Resource Clearing Results'!G75/B18</f>
        <v>2.345565479525109E-2</v>
      </c>
      <c r="F18" s="155">
        <f t="shared" si="0"/>
        <v>195.57345565479525</v>
      </c>
      <c r="G18" s="21"/>
    </row>
    <row r="19" spans="1:16" x14ac:dyDescent="0.2">
      <c r="A19" s="22" t="s">
        <v>11</v>
      </c>
      <c r="B19" s="45">
        <f>J44</f>
        <v>7435.0489746999383</v>
      </c>
      <c r="C19" s="154">
        <f>'BRA Resource Clearing Results'!B16</f>
        <v>140</v>
      </c>
      <c r="D19" s="154">
        <f>'BRA Resource Clearing Results'!C6+'BRA Resource Clearing Results'!C8+'BRA Resource Clearing Results'!C16</f>
        <v>60.3</v>
      </c>
      <c r="E19" s="367">
        <f>E16+'BRA Resource Clearing Results'!G76/B19</f>
        <v>2.2899283586574365E-2</v>
      </c>
      <c r="F19" s="155">
        <f t="shared" si="0"/>
        <v>200.32289928358659</v>
      </c>
      <c r="G19" s="21"/>
    </row>
    <row r="20" spans="1:16" x14ac:dyDescent="0.2">
      <c r="A20" s="22" t="s">
        <v>10</v>
      </c>
      <c r="B20" s="45">
        <f>J57</f>
        <v>8183.6766744700699</v>
      </c>
      <c r="C20" s="154">
        <f>'BRA Resource Clearing Results'!B17</f>
        <v>140</v>
      </c>
      <c r="D20" s="154">
        <f>'BRA Resource Clearing Results'!C6+'BRA Resource Clearing Results'!C17</f>
        <v>0</v>
      </c>
      <c r="E20" s="367">
        <f>E14+'BRA Resource Clearing Results'!G77/B20</f>
        <v>2.2899283586574365E-2</v>
      </c>
      <c r="F20" s="155">
        <f t="shared" si="0"/>
        <v>140.02289928358658</v>
      </c>
      <c r="G20" s="21"/>
      <c r="I20" s="374" t="s">
        <v>24</v>
      </c>
    </row>
    <row r="21" spans="1:16" x14ac:dyDescent="0.2">
      <c r="A21" s="22" t="s">
        <v>21</v>
      </c>
      <c r="B21" s="45">
        <f>J46</f>
        <v>3786.2166091018162</v>
      </c>
      <c r="C21" s="154">
        <f>'BRA Resource Clearing Results'!B18</f>
        <v>140</v>
      </c>
      <c r="D21" s="154">
        <f>'BRA Resource Clearing Results'!C18</f>
        <v>0</v>
      </c>
      <c r="E21" s="367">
        <f>E13+'BRA Resource Clearing Results'!G78/B21</f>
        <v>2.2899283586574365E-2</v>
      </c>
      <c r="F21" s="155">
        <f t="shared" si="0"/>
        <v>140.02289928358658</v>
      </c>
      <c r="G21" s="21"/>
      <c r="I21" s="374" t="s">
        <v>24</v>
      </c>
    </row>
    <row r="22" spans="1:16" x14ac:dyDescent="0.2">
      <c r="A22" s="22" t="s">
        <v>50</v>
      </c>
      <c r="B22" s="45">
        <f>J47</f>
        <v>5189.8018450111103</v>
      </c>
      <c r="C22" s="154">
        <f>'BRA Resource Clearing Results'!B19</f>
        <v>140</v>
      </c>
      <c r="D22" s="154">
        <f>'BRA Resource Clearing Results'!C19</f>
        <v>0</v>
      </c>
      <c r="E22" s="367">
        <f>E13+'BRA Resource Clearing Results'!G79/B22</f>
        <v>2.2899283586574365E-2</v>
      </c>
      <c r="F22" s="155">
        <f t="shared" si="0"/>
        <v>140.02289928358658</v>
      </c>
      <c r="G22" s="21"/>
    </row>
    <row r="23" spans="1:16" s="7" customFormat="1" x14ac:dyDescent="0.2">
      <c r="A23" s="23" t="s">
        <v>208</v>
      </c>
      <c r="B23" s="34"/>
      <c r="C23" s="55"/>
      <c r="D23" s="55"/>
      <c r="E23" s="55"/>
      <c r="F23" s="57"/>
      <c r="G23" s="103"/>
      <c r="H23" s="34"/>
      <c r="I23" s="34"/>
      <c r="J23" s="55"/>
      <c r="K23" s="34"/>
      <c r="L23" s="34"/>
      <c r="M23" s="34"/>
      <c r="N23" s="34"/>
      <c r="O23" s="66"/>
      <c r="P23" s="32"/>
    </row>
    <row r="24" spans="1:16" s="7" customFormat="1" x14ac:dyDescent="0.2">
      <c r="A24" s="23"/>
      <c r="B24" s="34"/>
      <c r="C24" s="55"/>
      <c r="D24" s="81" t="s">
        <v>24</v>
      </c>
      <c r="E24" s="81" t="s">
        <v>24</v>
      </c>
      <c r="F24" s="57"/>
      <c r="G24" s="32"/>
      <c r="H24" s="34"/>
      <c r="I24" s="34"/>
      <c r="J24" s="55"/>
      <c r="K24" s="34"/>
      <c r="L24" s="34"/>
      <c r="M24" s="34"/>
      <c r="N24" s="34"/>
      <c r="O24" s="66"/>
      <c r="P24" s="32"/>
    </row>
    <row r="25" spans="1:16" ht="31.5" x14ac:dyDescent="0.25">
      <c r="A25" s="174" t="s">
        <v>118</v>
      </c>
      <c r="B25" s="21"/>
      <c r="C25" s="201" t="s">
        <v>24</v>
      </c>
      <c r="D25" s="21"/>
      <c r="E25" s="60" t="s">
        <v>24</v>
      </c>
      <c r="F25" s="264" t="s">
        <v>24</v>
      </c>
      <c r="G25" s="264"/>
      <c r="H25" s="271" t="s">
        <v>192</v>
      </c>
      <c r="I25" s="21"/>
      <c r="J25" s="201" t="s">
        <v>24</v>
      </c>
      <c r="K25" s="21"/>
      <c r="L25" s="60" t="s">
        <v>24</v>
      </c>
      <c r="M25" s="264" t="s">
        <v>24</v>
      </c>
      <c r="N25" s="82"/>
      <c r="O25" s="21"/>
      <c r="P25" s="21"/>
    </row>
    <row r="26" spans="1:16" ht="80.099999999999994" customHeight="1" x14ac:dyDescent="0.2">
      <c r="A26" s="186" t="s">
        <v>54</v>
      </c>
      <c r="B26" s="183" t="s">
        <v>209</v>
      </c>
      <c r="C26" s="164" t="s">
        <v>77</v>
      </c>
      <c r="D26" s="164" t="s">
        <v>119</v>
      </c>
      <c r="E26" s="164" t="s">
        <v>134</v>
      </c>
      <c r="F26" s="164" t="s">
        <v>131</v>
      </c>
      <c r="G26" s="21"/>
      <c r="H26" s="192" t="s">
        <v>7</v>
      </c>
      <c r="I26" s="190" t="s">
        <v>193</v>
      </c>
      <c r="J26" s="190" t="s">
        <v>194</v>
      </c>
      <c r="K26" s="233"/>
      <c r="L26" s="233"/>
      <c r="M26" s="233"/>
    </row>
    <row r="27" spans="1:16" x14ac:dyDescent="0.2">
      <c r="A27" s="167" t="s">
        <v>37</v>
      </c>
      <c r="B27" s="167"/>
      <c r="C27" s="107">
        <f>'BRA Resource Clearing Results'!D49</f>
        <v>2234.3000000000002</v>
      </c>
      <c r="D27" s="31">
        <f>'BRA Resource Clearing Results'!C9</f>
        <v>38.56</v>
      </c>
      <c r="E27" s="167"/>
      <c r="F27" s="167"/>
      <c r="G27" s="21"/>
      <c r="H27" s="22" t="s">
        <v>11</v>
      </c>
      <c r="I27" s="269">
        <v>240</v>
      </c>
      <c r="J27" s="35">
        <f>L44*$B$6*I27*I44/F44</f>
        <v>56775.805886297851</v>
      </c>
      <c r="K27" s="364"/>
      <c r="L27" s="243"/>
      <c r="M27" s="32"/>
    </row>
    <row r="28" spans="1:16" x14ac:dyDescent="0.2">
      <c r="A28" s="167" t="s">
        <v>34</v>
      </c>
      <c r="B28" s="167"/>
      <c r="C28" s="48">
        <f>'BRA Resource Clearing Results'!D50</f>
        <v>3133.3</v>
      </c>
      <c r="D28" s="31">
        <f>'BRA Resource Clearing Results'!C9+'BRA Resource Clearing Results'!C10</f>
        <v>38.56</v>
      </c>
      <c r="E28" s="167"/>
      <c r="F28" s="167"/>
      <c r="G28" s="21"/>
      <c r="H28" s="22" t="s">
        <v>17</v>
      </c>
      <c r="I28" s="269">
        <v>75</v>
      </c>
      <c r="J28" s="35">
        <f>L50*$B$6*I28*I50/F50</f>
        <v>14522.674955771354</v>
      </c>
      <c r="K28" s="364"/>
      <c r="L28" s="243"/>
      <c r="M28" s="32"/>
    </row>
    <row r="29" spans="1:16" x14ac:dyDescent="0.2">
      <c r="A29" s="67" t="s">
        <v>8</v>
      </c>
      <c r="B29" s="153">
        <f>F15</f>
        <v>165.75289928358657</v>
      </c>
      <c r="C29" s="48">
        <f>C28+C27</f>
        <v>5367.6</v>
      </c>
      <c r="D29" s="156">
        <f>(C28*D28+C27*D27)/C29</f>
        <v>38.56</v>
      </c>
      <c r="E29" s="157">
        <f>('BRA Resource Clearing Results'!G69+'BRA Resource Clearing Results'!G70)/J58</f>
        <v>0</v>
      </c>
      <c r="F29" s="158">
        <f>B29+D29+E29</f>
        <v>204.31289928358657</v>
      </c>
      <c r="G29" s="21"/>
      <c r="H29" s="22" t="s">
        <v>15</v>
      </c>
      <c r="I29" s="269">
        <v>195</v>
      </c>
      <c r="J29" s="35">
        <f>L56*$B$6*I29*I56/F56</f>
        <v>31905.63948909126</v>
      </c>
      <c r="K29" s="266"/>
      <c r="L29" s="267"/>
      <c r="M29" s="32"/>
    </row>
    <row r="30" spans="1:16" x14ac:dyDescent="0.2">
      <c r="A30" s="167" t="s">
        <v>36</v>
      </c>
      <c r="B30" s="167"/>
      <c r="C30" s="44">
        <v>3827</v>
      </c>
      <c r="D30" s="31">
        <v>0</v>
      </c>
      <c r="E30" s="167"/>
      <c r="F30" s="167"/>
      <c r="G30" s="235" t="s">
        <v>24</v>
      </c>
      <c r="H30" s="178" t="s">
        <v>195</v>
      </c>
      <c r="I30" s="270">
        <f>SUM(I27:I29)</f>
        <v>510</v>
      </c>
      <c r="J30" s="241">
        <f>SUM(J27:J29)</f>
        <v>103204.12033116046</v>
      </c>
      <c r="L30" s="36"/>
      <c r="M30" s="32"/>
    </row>
    <row r="31" spans="1:16" x14ac:dyDescent="0.2">
      <c r="A31" s="167" t="s">
        <v>35</v>
      </c>
      <c r="B31" s="167"/>
      <c r="C31" s="48">
        <f>'BRA Resource Clearing Results'!D51</f>
        <v>1673.8</v>
      </c>
      <c r="D31" s="83">
        <f>'BRA Resource Clearing Results'!C11</f>
        <v>0</v>
      </c>
      <c r="E31" s="167"/>
      <c r="F31" s="167"/>
      <c r="G31" s="21"/>
      <c r="H31" s="21"/>
      <c r="L31" s="36"/>
      <c r="M31" s="32"/>
    </row>
    <row r="32" spans="1:16" x14ac:dyDescent="0.2">
      <c r="A32" s="67" t="s">
        <v>17</v>
      </c>
      <c r="B32" s="153">
        <f>F15</f>
        <v>165.75289928358657</v>
      </c>
      <c r="C32" s="44">
        <f>C30+C31</f>
        <v>5500.8</v>
      </c>
      <c r="D32" s="156">
        <f>(C31*D31+C30*D30)/C32</f>
        <v>0</v>
      </c>
      <c r="E32" s="157">
        <f>'BRA Resource Clearing Results'!G71/'BRA Load Pricing Results'!J50</f>
        <v>0</v>
      </c>
      <c r="F32" s="158">
        <f>B32+D32+E32</f>
        <v>165.75289928358657</v>
      </c>
      <c r="G32" s="21"/>
      <c r="H32" s="21"/>
      <c r="L32" s="36"/>
      <c r="M32" s="32"/>
    </row>
    <row r="33" spans="1:16" x14ac:dyDescent="0.2">
      <c r="A33" s="167" t="s">
        <v>114</v>
      </c>
      <c r="B33" s="167"/>
      <c r="C33" s="254">
        <f>'BRA Resource Clearing Results'!D53</f>
        <v>6759.3</v>
      </c>
      <c r="D33" s="31">
        <f>'BRA Resource Clearing Results'!C13</f>
        <v>31.33</v>
      </c>
      <c r="E33" s="167"/>
      <c r="F33" s="167"/>
      <c r="G33" s="21"/>
      <c r="H33" s="21"/>
      <c r="L33" s="36"/>
      <c r="M33" s="32"/>
    </row>
    <row r="34" spans="1:16" x14ac:dyDescent="0.2">
      <c r="A34" s="167" t="s">
        <v>113</v>
      </c>
      <c r="B34" s="167"/>
      <c r="C34" s="48">
        <f>'BRA Resource Clearing Results'!D54</f>
        <v>1248</v>
      </c>
      <c r="D34" s="31">
        <f>'BRA Resource Clearing Results'!C13+'BRA Resource Clearing Results'!C14</f>
        <v>31.33</v>
      </c>
      <c r="E34" s="167"/>
      <c r="F34" s="167"/>
      <c r="G34" s="21"/>
      <c r="H34" s="21"/>
      <c r="L34" s="374" t="s">
        <v>24</v>
      </c>
    </row>
    <row r="35" spans="1:16" x14ac:dyDescent="0.2">
      <c r="A35" s="67" t="s">
        <v>43</v>
      </c>
      <c r="B35" s="153">
        <f>F13</f>
        <v>140.02289928358658</v>
      </c>
      <c r="C35" s="48">
        <f>C34+C33</f>
        <v>8007.3</v>
      </c>
      <c r="D35" s="156">
        <f>(C34*D34+C33*D33)/C35</f>
        <v>31.33</v>
      </c>
      <c r="E35" s="157">
        <f>('BRA Resource Clearing Results'!G73+'BRA Resource Clearing Results'!G74)/'BRA Load Pricing Results'!J43</f>
        <v>0</v>
      </c>
      <c r="F35" s="158">
        <f>B35+D35+E35</f>
        <v>171.35289928358657</v>
      </c>
      <c r="G35" s="21"/>
      <c r="H35" s="21"/>
    </row>
    <row r="36" spans="1:16" ht="12.75" customHeight="1" x14ac:dyDescent="0.2">
      <c r="A36" s="106" t="s">
        <v>210</v>
      </c>
      <c r="B36" s="106"/>
      <c r="C36" s="84"/>
      <c r="D36" s="84"/>
      <c r="E36" s="84"/>
      <c r="F36" s="84"/>
      <c r="G36" s="104"/>
      <c r="H36" s="21"/>
      <c r="I36" s="21"/>
      <c r="J36" s="21"/>
      <c r="K36" s="21"/>
      <c r="L36" s="21"/>
      <c r="M36" s="21"/>
      <c r="N36" s="21"/>
      <c r="O36" s="21"/>
      <c r="P36" s="21"/>
    </row>
    <row r="37" spans="1:16" x14ac:dyDescent="0.2">
      <c r="A37" s="32"/>
      <c r="B37" s="36"/>
      <c r="C37" s="36"/>
      <c r="D37" s="36" t="s">
        <v>24</v>
      </c>
      <c r="E37" s="46"/>
      <c r="F37" s="85" t="s">
        <v>24</v>
      </c>
      <c r="G37" s="610" t="s">
        <v>24</v>
      </c>
      <c r="H37" s="78"/>
      <c r="I37" s="78"/>
      <c r="J37" s="78"/>
      <c r="K37" s="78"/>
      <c r="L37" s="78"/>
      <c r="M37" s="78" t="s">
        <v>24</v>
      </c>
      <c r="N37" s="78"/>
      <c r="O37" s="86"/>
      <c r="P37" s="21"/>
    </row>
    <row r="38" spans="1:16" s="2" customFormat="1" ht="18" x14ac:dyDescent="0.25">
      <c r="A38" s="181" t="s">
        <v>39</v>
      </c>
      <c r="B38" s="99"/>
      <c r="C38" s="21"/>
      <c r="D38" s="21"/>
      <c r="E38" s="87"/>
      <c r="F38" s="87"/>
      <c r="G38" s="87"/>
      <c r="H38" s="87"/>
      <c r="I38" s="87"/>
      <c r="J38" s="87"/>
      <c r="K38" s="87"/>
      <c r="L38" s="78"/>
      <c r="M38" s="87"/>
      <c r="O38" s="100"/>
      <c r="P38" s="21"/>
    </row>
    <row r="39" spans="1:16" ht="54.95" customHeight="1" x14ac:dyDescent="0.2">
      <c r="A39" s="162" t="s">
        <v>7</v>
      </c>
      <c r="B39" s="162" t="s">
        <v>27</v>
      </c>
      <c r="C39" s="162" t="s">
        <v>26</v>
      </c>
      <c r="D39" s="162" t="s">
        <v>31</v>
      </c>
      <c r="E39" s="162" t="s">
        <v>221</v>
      </c>
      <c r="F39" s="162" t="s">
        <v>22</v>
      </c>
      <c r="G39" s="162" t="s">
        <v>222</v>
      </c>
      <c r="H39" s="175" t="s">
        <v>23</v>
      </c>
      <c r="I39" s="175" t="s">
        <v>25</v>
      </c>
      <c r="J39" s="162" t="s">
        <v>223</v>
      </c>
      <c r="K39" s="252" t="s">
        <v>32</v>
      </c>
      <c r="L39" s="252" t="s">
        <v>225</v>
      </c>
      <c r="M39" s="162" t="s">
        <v>7</v>
      </c>
    </row>
    <row r="40" spans="1:16" x14ac:dyDescent="0.2">
      <c r="A40" s="167" t="s">
        <v>16</v>
      </c>
      <c r="B40" s="91" t="s">
        <v>28</v>
      </c>
      <c r="C40" s="91" t="s">
        <v>33</v>
      </c>
      <c r="D40" s="91"/>
      <c r="E40" s="176">
        <v>2350</v>
      </c>
      <c r="F40" s="93">
        <f>G40/E40</f>
        <v>0.98212765957446813</v>
      </c>
      <c r="G40" s="94">
        <v>2308</v>
      </c>
      <c r="H40" s="93">
        <f>$B$8</f>
        <v>1.0683366214271506</v>
      </c>
      <c r="I40" s="93">
        <f>H40*F40</f>
        <v>1.0492429456399419</v>
      </c>
      <c r="J40" s="94">
        <f>E40*I40*$B$6</f>
        <v>2687.1426610722606</v>
      </c>
      <c r="K40" s="253">
        <f>F15</f>
        <v>165.75289928358657</v>
      </c>
      <c r="L40" s="402">
        <v>166.31462250957347</v>
      </c>
      <c r="M40" s="167" t="s">
        <v>16</v>
      </c>
      <c r="O40" s="371"/>
      <c r="P40" s="372"/>
    </row>
    <row r="41" spans="1:16" x14ac:dyDescent="0.2">
      <c r="A41" s="22" t="s">
        <v>211</v>
      </c>
      <c r="B41" s="91"/>
      <c r="C41" s="91"/>
      <c r="D41" s="91"/>
      <c r="E41" s="176">
        <v>10823.9</v>
      </c>
      <c r="F41" s="93">
        <v>1.0083865086599817</v>
      </c>
      <c r="G41" s="94">
        <f>E41*F41</f>
        <v>10914.674731084775</v>
      </c>
      <c r="H41" s="93">
        <f t="shared" ref="H41:H47" si="1">$B$8</f>
        <v>1.0683366214271506</v>
      </c>
      <c r="I41" s="93">
        <f>H41*F41</f>
        <v>1.077296235754525</v>
      </c>
      <c r="J41" s="94">
        <f t="shared" ref="J41:J59" si="2">E41*I41*$B$6</f>
        <v>12707.663822194674</v>
      </c>
      <c r="K41" s="253">
        <f>F13</f>
        <v>140.02289928358658</v>
      </c>
      <c r="L41" s="402">
        <v>140.53287236670766</v>
      </c>
      <c r="M41" s="167" t="s">
        <v>211</v>
      </c>
      <c r="O41" s="371"/>
      <c r="P41" s="372"/>
    </row>
    <row r="42" spans="1:16" x14ac:dyDescent="0.2">
      <c r="A42" s="167" t="s">
        <v>19</v>
      </c>
      <c r="B42" s="91" t="s">
        <v>24</v>
      </c>
      <c r="C42" s="91"/>
      <c r="D42" s="91"/>
      <c r="E42" s="176">
        <v>8260</v>
      </c>
      <c r="F42" s="93">
        <f t="shared" ref="F42:F59" si="3">G42/E42</f>
        <v>1.0728813559322035</v>
      </c>
      <c r="G42" s="94">
        <v>8862</v>
      </c>
      <c r="H42" s="93">
        <f t="shared" si="1"/>
        <v>1.0683366214271506</v>
      </c>
      <c r="I42" s="93">
        <f>H42*F42</f>
        <v>1.1461984429887904</v>
      </c>
      <c r="J42" s="94">
        <f t="shared" si="2"/>
        <v>10317.789541777458</v>
      </c>
      <c r="K42" s="253">
        <f>F13</f>
        <v>140.02289928358658</v>
      </c>
      <c r="L42" s="402">
        <v>140.53287236670766</v>
      </c>
      <c r="M42" s="167" t="s">
        <v>19</v>
      </c>
      <c r="O42" s="371"/>
      <c r="P42" s="372"/>
    </row>
    <row r="43" spans="1:16" x14ac:dyDescent="0.2">
      <c r="A43" s="167" t="s">
        <v>43</v>
      </c>
      <c r="B43" s="91"/>
      <c r="C43" s="91"/>
      <c r="D43" s="91" t="s">
        <v>43</v>
      </c>
      <c r="E43" s="176">
        <v>12070</v>
      </c>
      <c r="F43" s="93">
        <f t="shared" si="3"/>
        <v>1.0293289146644573</v>
      </c>
      <c r="G43" s="94">
        <v>12424</v>
      </c>
      <c r="H43" s="93">
        <f t="shared" si="1"/>
        <v>1.0683366214271506</v>
      </c>
      <c r="I43" s="93">
        <f>H43*F43</f>
        <v>1.099669775029902</v>
      </c>
      <c r="J43" s="94">
        <f t="shared" si="2"/>
        <v>14464.93085838898</v>
      </c>
      <c r="K43" s="253">
        <f>F35</f>
        <v>171.35289928358657</v>
      </c>
      <c r="L43" s="402">
        <v>171.86287236670768</v>
      </c>
      <c r="M43" s="167" t="s">
        <v>43</v>
      </c>
      <c r="O43" s="371"/>
      <c r="P43" s="372"/>
    </row>
    <row r="44" spans="1:16" x14ac:dyDescent="0.2">
      <c r="A44" s="167" t="s">
        <v>11</v>
      </c>
      <c r="B44" s="91" t="s">
        <v>28</v>
      </c>
      <c r="C44" s="91" t="s">
        <v>5</v>
      </c>
      <c r="D44" s="91" t="s">
        <v>11</v>
      </c>
      <c r="E44" s="176">
        <v>6100</v>
      </c>
      <c r="F44" s="93">
        <f t="shared" si="3"/>
        <v>1.0468852459016393</v>
      </c>
      <c r="G44" s="94">
        <v>6386</v>
      </c>
      <c r="H44" s="93">
        <f t="shared" si="1"/>
        <v>1.0683366214271506</v>
      </c>
      <c r="I44" s="93">
        <f t="shared" ref="I44:I58" si="4">H44*F44</f>
        <v>1.1184258466284891</v>
      </c>
      <c r="J44" s="94">
        <f>E44*I44*$B$6</f>
        <v>7435.0489746999383</v>
      </c>
      <c r="K44" s="253">
        <f>F19</f>
        <v>200.32289928358659</v>
      </c>
      <c r="L44" s="402">
        <v>203.18757461207053</v>
      </c>
      <c r="M44" s="167" t="s">
        <v>11</v>
      </c>
      <c r="O44" s="371"/>
      <c r="P44" s="372"/>
    </row>
    <row r="45" spans="1:16" x14ac:dyDescent="0.2">
      <c r="A45" s="167" t="s">
        <v>20</v>
      </c>
      <c r="B45" s="91"/>
      <c r="C45" s="91"/>
      <c r="D45" s="91" t="s">
        <v>20</v>
      </c>
      <c r="E45" s="176">
        <v>19640</v>
      </c>
      <c r="F45" s="93">
        <f t="shared" si="3"/>
        <v>1.0925661914460285</v>
      </c>
      <c r="G45" s="94">
        <v>21458</v>
      </c>
      <c r="H45" s="93">
        <f t="shared" si="1"/>
        <v>1.0683366214271506</v>
      </c>
      <c r="I45" s="93">
        <f t="shared" si="4"/>
        <v>1.1672284736549794</v>
      </c>
      <c r="J45" s="94">
        <f t="shared" si="2"/>
        <v>24982.975399171821</v>
      </c>
      <c r="K45" s="253">
        <f>F18</f>
        <v>195.57345565479525</v>
      </c>
      <c r="L45" s="402">
        <v>196.08342873791634</v>
      </c>
      <c r="M45" s="167" t="s">
        <v>20</v>
      </c>
      <c r="O45" s="371"/>
      <c r="P45" s="372"/>
    </row>
    <row r="46" spans="1:16" x14ac:dyDescent="0.2">
      <c r="A46" s="167" t="s">
        <v>21</v>
      </c>
      <c r="B46" s="91"/>
      <c r="C46" s="91"/>
      <c r="D46" s="91" t="s">
        <v>21</v>
      </c>
      <c r="E46" s="176">
        <v>3210</v>
      </c>
      <c r="F46" s="93">
        <f t="shared" si="3"/>
        <v>1.0130841121495326</v>
      </c>
      <c r="G46" s="94">
        <v>3252</v>
      </c>
      <c r="H46" s="93">
        <f t="shared" si="1"/>
        <v>1.0683366214271506</v>
      </c>
      <c r="I46" s="93">
        <f t="shared" si="4"/>
        <v>1.0823148575953563</v>
      </c>
      <c r="J46" s="94">
        <f t="shared" si="2"/>
        <v>3786.2166091018162</v>
      </c>
      <c r="K46" s="253">
        <f>F21</f>
        <v>140.02289928358658</v>
      </c>
      <c r="L46" s="402">
        <v>140.53287236670766</v>
      </c>
      <c r="M46" s="167" t="s">
        <v>21</v>
      </c>
      <c r="O46" s="362"/>
      <c r="P46" s="363"/>
    </row>
    <row r="47" spans="1:16" x14ac:dyDescent="0.2">
      <c r="A47" s="167" t="s">
        <v>212</v>
      </c>
      <c r="B47" s="91"/>
      <c r="C47" s="91"/>
      <c r="D47" s="91" t="s">
        <v>50</v>
      </c>
      <c r="E47" s="176">
        <v>4151.8</v>
      </c>
      <c r="F47" s="93">
        <v>1.0736418511066399</v>
      </c>
      <c r="G47" s="94">
        <f>E47*F47</f>
        <v>4457.5462374245481</v>
      </c>
      <c r="H47" s="93">
        <f t="shared" si="1"/>
        <v>1.0683366214271506</v>
      </c>
      <c r="I47" s="93">
        <f t="shared" si="4"/>
        <v>1.1470109078340596</v>
      </c>
      <c r="J47" s="94">
        <f t="shared" si="2"/>
        <v>5189.8018450111103</v>
      </c>
      <c r="K47" s="253">
        <f>F22</f>
        <v>140.02289928358658</v>
      </c>
      <c r="L47" s="402">
        <v>140.53287236670766</v>
      </c>
      <c r="M47" s="167" t="s">
        <v>212</v>
      </c>
      <c r="O47" s="362"/>
      <c r="P47" s="363"/>
    </row>
    <row r="48" spans="1:16" x14ac:dyDescent="0.2">
      <c r="A48" s="167" t="s">
        <v>42</v>
      </c>
      <c r="B48" s="91"/>
      <c r="C48" s="91"/>
      <c r="D48" s="91"/>
      <c r="E48" s="176">
        <v>2620</v>
      </c>
      <c r="F48" s="93">
        <f t="shared" si="3"/>
        <v>1.0473282442748091</v>
      </c>
      <c r="G48" s="94">
        <v>2744</v>
      </c>
      <c r="H48" s="93">
        <f t="shared" ref="H48:H59" si="5">$B$8</f>
        <v>1.0683366214271506</v>
      </c>
      <c r="I48" s="93">
        <f t="shared" si="4"/>
        <v>1.1188991180137791</v>
      </c>
      <c r="J48" s="94">
        <f t="shared" si="2"/>
        <v>3194.7657980859112</v>
      </c>
      <c r="K48" s="253">
        <f>F13</f>
        <v>140.02289928358658</v>
      </c>
      <c r="L48" s="402">
        <v>140.53287236670766</v>
      </c>
      <c r="M48" s="167" t="s">
        <v>42</v>
      </c>
      <c r="O48" s="362"/>
      <c r="P48" s="363"/>
    </row>
    <row r="49" spans="1:16" x14ac:dyDescent="0.2">
      <c r="A49" s="167" t="s">
        <v>30</v>
      </c>
      <c r="B49" s="91"/>
      <c r="C49" s="91"/>
      <c r="D49" s="91"/>
      <c r="E49" s="176">
        <v>18330</v>
      </c>
      <c r="F49" s="93">
        <f t="shared" si="3"/>
        <v>1.0545553737043099</v>
      </c>
      <c r="G49" s="94">
        <v>19330</v>
      </c>
      <c r="H49" s="93">
        <f t="shared" si="5"/>
        <v>1.0683366214271506</v>
      </c>
      <c r="I49" s="93">
        <f t="shared" si="4"/>
        <v>1.1266201250511085</v>
      </c>
      <c r="J49" s="94">
        <f t="shared" si="2"/>
        <v>22505.401923105201</v>
      </c>
      <c r="K49" s="253">
        <f>F13</f>
        <v>140.02289928358658</v>
      </c>
      <c r="L49" s="402">
        <v>140.53287236670766</v>
      </c>
      <c r="M49" s="167" t="s">
        <v>30</v>
      </c>
      <c r="O49" s="362"/>
      <c r="P49" s="363"/>
    </row>
    <row r="50" spans="1:16" x14ac:dyDescent="0.2">
      <c r="A50" s="167" t="s">
        <v>17</v>
      </c>
      <c r="B50" s="91" t="s">
        <v>28</v>
      </c>
      <c r="C50" s="91" t="s">
        <v>33</v>
      </c>
      <c r="D50" s="91" t="s">
        <v>17</v>
      </c>
      <c r="E50" s="176">
        <v>3650</v>
      </c>
      <c r="F50" s="93">
        <f t="shared" si="3"/>
        <v>1.029041095890411</v>
      </c>
      <c r="G50" s="94">
        <v>3756</v>
      </c>
      <c r="H50" s="93">
        <f t="shared" si="5"/>
        <v>1.0683366214271506</v>
      </c>
      <c r="I50" s="93">
        <f t="shared" si="4"/>
        <v>1.0993622876932543</v>
      </c>
      <c r="J50" s="94">
        <f t="shared" si="2"/>
        <v>4373.0103271175967</v>
      </c>
      <c r="K50" s="253">
        <f>F32</f>
        <v>165.75289928358657</v>
      </c>
      <c r="L50" s="402">
        <v>166.31462250957347</v>
      </c>
      <c r="M50" s="167" t="s">
        <v>17</v>
      </c>
      <c r="O50" s="362"/>
      <c r="P50" s="363"/>
    </row>
    <row r="51" spans="1:16" x14ac:dyDescent="0.2">
      <c r="A51" s="167" t="s">
        <v>213</v>
      </c>
      <c r="B51" s="91"/>
      <c r="C51" s="91"/>
      <c r="D51" s="91"/>
      <c r="E51" s="176">
        <v>2162.3000000000002</v>
      </c>
      <c r="F51" s="93">
        <v>1.006830162732065</v>
      </c>
      <c r="G51" s="94">
        <f>E51*F51</f>
        <v>2177.0688608755445</v>
      </c>
      <c r="H51" s="93">
        <f t="shared" si="5"/>
        <v>1.0683366214271506</v>
      </c>
      <c r="I51" s="93">
        <f t="shared" si="4"/>
        <v>1.0756335344041226</v>
      </c>
      <c r="J51" s="94">
        <f t="shared" si="2"/>
        <v>2534.7030381935297</v>
      </c>
      <c r="K51" s="253">
        <f>F13</f>
        <v>140.02289928358658</v>
      </c>
      <c r="L51" s="402">
        <v>140.53287236670766</v>
      </c>
      <c r="M51" s="167" t="s">
        <v>213</v>
      </c>
      <c r="O51" s="362"/>
      <c r="P51" s="363"/>
    </row>
    <row r="52" spans="1:16" x14ac:dyDescent="0.2">
      <c r="A52" s="167" t="s">
        <v>12</v>
      </c>
      <c r="B52" s="91" t="s">
        <v>28</v>
      </c>
      <c r="C52" s="91" t="s">
        <v>33</v>
      </c>
      <c r="D52" s="91"/>
      <c r="E52" s="176">
        <v>5570</v>
      </c>
      <c r="F52" s="93">
        <f t="shared" si="3"/>
        <v>1.0082585278276481</v>
      </c>
      <c r="G52" s="94">
        <v>5616</v>
      </c>
      <c r="H52" s="93">
        <f t="shared" si="5"/>
        <v>1.0683366214271506</v>
      </c>
      <c r="I52" s="93">
        <f t="shared" si="4"/>
        <v>1.0771595091445023</v>
      </c>
      <c r="J52" s="94">
        <f t="shared" si="2"/>
        <v>6538.5585721758307</v>
      </c>
      <c r="K52" s="253">
        <f>F15</f>
        <v>165.75289928358657</v>
      </c>
      <c r="L52" s="402">
        <v>166.31462250957347</v>
      </c>
      <c r="M52" s="167" t="s">
        <v>12</v>
      </c>
      <c r="O52" s="362"/>
      <c r="P52" s="363"/>
    </row>
    <row r="53" spans="1:16" x14ac:dyDescent="0.2">
      <c r="A53" s="167" t="s">
        <v>13</v>
      </c>
      <c r="B53" s="91" t="s">
        <v>28</v>
      </c>
      <c r="C53" s="91"/>
      <c r="D53" s="91"/>
      <c r="E53" s="176">
        <v>2810</v>
      </c>
      <c r="F53" s="93">
        <f t="shared" si="3"/>
        <v>1.0202846975088968</v>
      </c>
      <c r="G53" s="94">
        <v>2867</v>
      </c>
      <c r="H53" s="93">
        <f t="shared" si="5"/>
        <v>1.0683366214271506</v>
      </c>
      <c r="I53" s="93">
        <f t="shared" si="4"/>
        <v>1.0900075066304771</v>
      </c>
      <c r="J53" s="94">
        <f t="shared" si="2"/>
        <v>3337.9714078397619</v>
      </c>
      <c r="K53" s="253">
        <f>F14</f>
        <v>140.02289928358658</v>
      </c>
      <c r="L53" s="402">
        <v>140.53287236670766</v>
      </c>
      <c r="M53" s="167" t="s">
        <v>13</v>
      </c>
      <c r="O53" s="362"/>
      <c r="P53" s="363"/>
    </row>
    <row r="54" spans="1:16" x14ac:dyDescent="0.2">
      <c r="A54" s="167" t="s">
        <v>9</v>
      </c>
      <c r="B54" s="91" t="s">
        <v>28</v>
      </c>
      <c r="C54" s="91" t="s">
        <v>33</v>
      </c>
      <c r="D54" s="91"/>
      <c r="E54" s="176">
        <v>7950</v>
      </c>
      <c r="F54" s="93">
        <f t="shared" si="3"/>
        <v>1.050440251572327</v>
      </c>
      <c r="G54" s="94">
        <v>8351</v>
      </c>
      <c r="H54" s="93">
        <f t="shared" si="5"/>
        <v>1.0683366214271506</v>
      </c>
      <c r="I54" s="93">
        <f t="shared" si="4"/>
        <v>1.122223789375866</v>
      </c>
      <c r="J54" s="94">
        <f t="shared" si="2"/>
        <v>9722.84591101146</v>
      </c>
      <c r="K54" s="253">
        <f>F15</f>
        <v>165.75289928358657</v>
      </c>
      <c r="L54" s="402">
        <v>166.31462250957347</v>
      </c>
      <c r="M54" s="167" t="s">
        <v>9</v>
      </c>
      <c r="O54" s="362"/>
      <c r="P54" s="363"/>
    </row>
    <row r="55" spans="1:16" x14ac:dyDescent="0.2">
      <c r="A55" s="167" t="s">
        <v>14</v>
      </c>
      <c r="B55" s="91" t="s">
        <v>28</v>
      </c>
      <c r="C55" s="91"/>
      <c r="D55" s="91"/>
      <c r="E55" s="176">
        <v>2760</v>
      </c>
      <c r="F55" s="93">
        <f t="shared" si="3"/>
        <v>0.99782608695652175</v>
      </c>
      <c r="G55" s="94">
        <v>2754</v>
      </c>
      <c r="H55" s="93">
        <f t="shared" si="5"/>
        <v>1.0683366214271506</v>
      </c>
      <c r="I55" s="93">
        <f t="shared" si="4"/>
        <v>1.0660141505110046</v>
      </c>
      <c r="J55" s="94">
        <f t="shared" si="2"/>
        <v>3206.4085305862245</v>
      </c>
      <c r="K55" s="253">
        <f>F14</f>
        <v>140.02289928358658</v>
      </c>
      <c r="L55" s="402">
        <v>140.53287236670766</v>
      </c>
      <c r="M55" s="167" t="s">
        <v>14</v>
      </c>
      <c r="O55" s="362"/>
      <c r="P55" s="363"/>
    </row>
    <row r="56" spans="1:16" x14ac:dyDescent="0.2">
      <c r="A56" s="167" t="s">
        <v>15</v>
      </c>
      <c r="B56" s="91" t="s">
        <v>28</v>
      </c>
      <c r="C56" s="91" t="s">
        <v>5</v>
      </c>
      <c r="D56" s="91" t="s">
        <v>15</v>
      </c>
      <c r="E56" s="176">
        <v>5850</v>
      </c>
      <c r="F56" s="93">
        <f t="shared" si="3"/>
        <v>1.0447863247863247</v>
      </c>
      <c r="G56" s="94">
        <v>6112</v>
      </c>
      <c r="H56" s="93">
        <f t="shared" si="5"/>
        <v>1.0683366214271506</v>
      </c>
      <c r="I56" s="93">
        <f t="shared" si="4"/>
        <v>1.1161834923355118</v>
      </c>
      <c r="J56" s="94">
        <f t="shared" si="2"/>
        <v>7116.0381041913588</v>
      </c>
      <c r="K56" s="253">
        <f>F17</f>
        <v>140.02289928358658</v>
      </c>
      <c r="L56" s="402">
        <v>140.53287236670766</v>
      </c>
      <c r="M56" s="167" t="s">
        <v>15</v>
      </c>
      <c r="O56" s="362"/>
      <c r="P56" s="363"/>
    </row>
    <row r="57" spans="1:16" x14ac:dyDescent="0.2">
      <c r="A57" s="167" t="s">
        <v>10</v>
      </c>
      <c r="B57" s="91" t="s">
        <v>28</v>
      </c>
      <c r="C57" s="91"/>
      <c r="D57" s="91" t="s">
        <v>10</v>
      </c>
      <c r="E57" s="176">
        <v>6785</v>
      </c>
      <c r="F57" s="93">
        <f t="shared" si="3"/>
        <v>1.0359616801768607</v>
      </c>
      <c r="G57" s="94">
        <v>7029</v>
      </c>
      <c r="H57" s="93">
        <f t="shared" si="5"/>
        <v>1.0683366214271506</v>
      </c>
      <c r="I57" s="93">
        <f t="shared" si="4"/>
        <v>1.1067558013281418</v>
      </c>
      <c r="J57" s="94">
        <f t="shared" si="2"/>
        <v>8183.6766744700699</v>
      </c>
      <c r="K57" s="253">
        <f>F20</f>
        <v>140.02289928358658</v>
      </c>
      <c r="L57" s="402">
        <v>140.53287236670766</v>
      </c>
      <c r="M57" s="167" t="s">
        <v>10</v>
      </c>
      <c r="O57" s="362"/>
      <c r="P57" s="363"/>
    </row>
    <row r="58" spans="1:16" x14ac:dyDescent="0.2">
      <c r="A58" s="167" t="s">
        <v>8</v>
      </c>
      <c r="B58" s="91" t="s">
        <v>28</v>
      </c>
      <c r="C58" s="91" t="s">
        <v>33</v>
      </c>
      <c r="D58" s="91" t="s">
        <v>8</v>
      </c>
      <c r="E58" s="176">
        <v>9450</v>
      </c>
      <c r="F58" s="93">
        <f t="shared" si="3"/>
        <v>0.99079365079365078</v>
      </c>
      <c r="G58" s="94">
        <v>9363</v>
      </c>
      <c r="H58" s="93">
        <f t="shared" si="5"/>
        <v>1.0683366214271506</v>
      </c>
      <c r="I58" s="93">
        <f t="shared" si="4"/>
        <v>1.0585011414203609</v>
      </c>
      <c r="J58" s="94">
        <f t="shared" si="2"/>
        <v>10901.090440043145</v>
      </c>
      <c r="K58" s="253">
        <f>F29</f>
        <v>204.31289928358657</v>
      </c>
      <c r="L58" s="402">
        <v>204.91658280618464</v>
      </c>
      <c r="M58" s="167" t="s">
        <v>8</v>
      </c>
      <c r="O58" s="362"/>
      <c r="P58" s="363"/>
    </row>
    <row r="59" spans="1:16" x14ac:dyDescent="0.2">
      <c r="A59" s="167" t="s">
        <v>18</v>
      </c>
      <c r="B59" s="91" t="s">
        <v>28</v>
      </c>
      <c r="C59" s="91" t="s">
        <v>33</v>
      </c>
      <c r="D59" s="91"/>
      <c r="E59" s="176">
        <v>380</v>
      </c>
      <c r="F59" s="93">
        <f t="shared" si="3"/>
        <v>0.99736842105263157</v>
      </c>
      <c r="G59" s="94">
        <v>379</v>
      </c>
      <c r="H59" s="93">
        <f t="shared" si="5"/>
        <v>1.0683366214271506</v>
      </c>
      <c r="I59" s="93">
        <f>H59*F59</f>
        <v>1.0655252092655001</v>
      </c>
      <c r="J59" s="94">
        <f t="shared" si="2"/>
        <v>441.259561761866</v>
      </c>
      <c r="K59" s="253">
        <f>F15</f>
        <v>165.75289928358657</v>
      </c>
      <c r="L59" s="402">
        <v>166.31462250957347</v>
      </c>
      <c r="M59" s="182" t="s">
        <v>18</v>
      </c>
      <c r="O59" s="362"/>
      <c r="P59" s="363"/>
    </row>
    <row r="60" spans="1:16" ht="12.75" customHeight="1" x14ac:dyDescent="0.2">
      <c r="A60" s="97" t="s">
        <v>67</v>
      </c>
      <c r="B60" s="23"/>
      <c r="C60" s="32"/>
      <c r="D60" s="32"/>
      <c r="E60" s="177">
        <f>SUM(E40:E59)</f>
        <v>134923</v>
      </c>
      <c r="F60" s="178"/>
      <c r="G60" s="179">
        <f>SUM(G40:G59)</f>
        <v>140540.28982938488</v>
      </c>
      <c r="H60" s="67"/>
      <c r="I60" s="67"/>
      <c r="J60" s="180">
        <f>SUM(J40:J59)</f>
        <v>163627.29999999999</v>
      </c>
      <c r="K60" s="268"/>
      <c r="L60" s="407" t="s">
        <v>24</v>
      </c>
      <c r="M60" s="407"/>
      <c r="O60" s="363"/>
    </row>
    <row r="61" spans="1:16" x14ac:dyDescent="0.2">
      <c r="A61" s="97" t="s">
        <v>214</v>
      </c>
      <c r="B61" s="32"/>
      <c r="C61" s="32"/>
      <c r="D61" s="32"/>
      <c r="E61" s="32"/>
      <c r="F61" s="32"/>
      <c r="G61" s="105" t="s">
        <v>24</v>
      </c>
      <c r="H61" s="32"/>
      <c r="I61" s="32"/>
      <c r="J61" s="32"/>
      <c r="K61" s="32"/>
      <c r="L61" s="408"/>
      <c r="M61" s="408"/>
      <c r="N61" s="32"/>
      <c r="O61" s="32"/>
      <c r="P61" s="21"/>
    </row>
    <row r="62" spans="1:16" ht="12.75" customHeight="1" x14ac:dyDescent="0.2">
      <c r="A62" s="344" t="s">
        <v>215</v>
      </c>
      <c r="B62" s="224"/>
      <c r="C62" s="224"/>
      <c r="D62" s="224"/>
      <c r="E62" s="224"/>
      <c r="F62" s="224"/>
      <c r="G62" s="224"/>
      <c r="H62" s="224"/>
      <c r="I62" s="224"/>
      <c r="J62" s="224"/>
      <c r="K62" s="224"/>
      <c r="L62" s="408"/>
      <c r="M62" s="408"/>
      <c r="N62" s="224"/>
      <c r="O62" s="224"/>
      <c r="P62" s="21"/>
    </row>
    <row r="63" spans="1:16" x14ac:dyDescent="0.2">
      <c r="A63" s="9"/>
      <c r="C63" s="5"/>
      <c r="D63" s="5"/>
      <c r="E63" s="8"/>
      <c r="F63" s="5"/>
      <c r="G63" s="5"/>
      <c r="I63" s="5"/>
      <c r="J63" s="5" t="s">
        <v>24</v>
      </c>
      <c r="M63" s="265" t="s">
        <v>24</v>
      </c>
    </row>
    <row r="64" spans="1:16" x14ac:dyDescent="0.2">
      <c r="A64" s="9"/>
      <c r="C64" s="5"/>
      <c r="D64" s="5"/>
      <c r="E64" s="8"/>
      <c r="F64" s="5"/>
      <c r="G64" s="5"/>
      <c r="H64" s="12" t="s">
        <v>24</v>
      </c>
      <c r="I64" s="5"/>
      <c r="J64" s="5"/>
      <c r="K64" s="102"/>
      <c r="L64" s="102"/>
      <c r="M64" s="256" t="s">
        <v>24</v>
      </c>
      <c r="N64" s="102"/>
    </row>
    <row r="65" spans="1:13" x14ac:dyDescent="0.2">
      <c r="G65" s="102"/>
      <c r="H65" s="12"/>
      <c r="M65" s="250" t="s">
        <v>24</v>
      </c>
    </row>
    <row r="66" spans="1:13" ht="15" x14ac:dyDescent="0.25">
      <c r="A66" s="17"/>
      <c r="H66" s="12"/>
    </row>
    <row r="67" spans="1:13" x14ac:dyDescent="0.2">
      <c r="H67" s="12"/>
    </row>
    <row r="77" spans="1:13" x14ac:dyDescent="0.2">
      <c r="B77" s="4" t="s">
        <v>24</v>
      </c>
    </row>
    <row r="78" spans="1:13" x14ac:dyDescent="0.2">
      <c r="B78" s="4" t="s">
        <v>24</v>
      </c>
    </row>
    <row r="79" spans="1:13" x14ac:dyDescent="0.2">
      <c r="B79" s="4" t="s">
        <v>24</v>
      </c>
      <c r="C79" s="4" t="s">
        <v>24</v>
      </c>
      <c r="D79" s="4" t="s">
        <v>24</v>
      </c>
    </row>
    <row r="80" spans="1:13" x14ac:dyDescent="0.2">
      <c r="B80" s="4" t="s">
        <v>24</v>
      </c>
    </row>
    <row r="81" spans="2:2" x14ac:dyDescent="0.2">
      <c r="B81" s="4" t="s">
        <v>24</v>
      </c>
    </row>
    <row r="82" spans="2:2" x14ac:dyDescent="0.2">
      <c r="B82" s="4" t="s">
        <v>24</v>
      </c>
    </row>
  </sheetData>
  <phoneticPr fontId="0" type="noConversion"/>
  <pageMargins left="0.45" right="0.45" top="0.5" bottom="0.5" header="0" footer="0.05"/>
  <pageSetup paperSize="17" scale="7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50"/>
  <sheetViews>
    <sheetView zoomScaleNormal="100" workbookViewId="0"/>
  </sheetViews>
  <sheetFormatPr defaultRowHeight="12.75" x14ac:dyDescent="0.2"/>
  <cols>
    <col min="1" max="1" width="17.5703125" customWidth="1"/>
    <col min="2" max="3" width="12.7109375" customWidth="1"/>
    <col min="4" max="4" width="15.42578125" customWidth="1"/>
    <col min="5" max="10" width="15.7109375" customWidth="1"/>
    <col min="11" max="11" width="17.28515625" bestFit="1" customWidth="1"/>
    <col min="12" max="26" width="15.7109375" customWidth="1"/>
    <col min="27" max="27" width="17.28515625" customWidth="1"/>
    <col min="28" max="32" width="15.7109375" customWidth="1"/>
    <col min="35" max="35" width="12.85546875" customWidth="1"/>
    <col min="37" max="37" width="12.7109375" customWidth="1"/>
  </cols>
  <sheetData>
    <row r="1" spans="1:28" ht="18.75" x14ac:dyDescent="0.3">
      <c r="A1" s="108" t="s">
        <v>218</v>
      </c>
      <c r="B1" s="4"/>
      <c r="C1" s="4"/>
      <c r="D1" s="4"/>
      <c r="E1" s="4"/>
      <c r="F1" s="4"/>
      <c r="G1" s="4"/>
      <c r="H1" s="4"/>
      <c r="I1" s="4"/>
      <c r="J1" s="4"/>
      <c r="K1" s="4"/>
      <c r="L1" s="4"/>
      <c r="M1" s="4"/>
      <c r="N1" s="4"/>
      <c r="O1" s="4"/>
      <c r="P1" s="4"/>
      <c r="Q1" s="4"/>
      <c r="R1" s="4"/>
      <c r="S1" s="4"/>
      <c r="T1" s="4"/>
      <c r="U1" s="4"/>
      <c r="V1" s="4"/>
      <c r="W1" s="4"/>
      <c r="X1" s="4"/>
      <c r="Y1" s="4"/>
    </row>
    <row r="2" spans="1:28" ht="19.5" thickBot="1" x14ac:dyDescent="0.35">
      <c r="A2" s="1" t="s">
        <v>24</v>
      </c>
      <c r="B2" s="4"/>
      <c r="C2" s="4"/>
      <c r="D2" s="14" t="s">
        <v>24</v>
      </c>
      <c r="E2" s="5" t="s">
        <v>24</v>
      </c>
      <c r="F2" s="4"/>
      <c r="G2" s="4"/>
      <c r="H2" s="4"/>
      <c r="I2" s="4"/>
      <c r="J2" s="4"/>
      <c r="K2" s="4"/>
      <c r="L2" s="4"/>
      <c r="M2" s="4"/>
      <c r="N2" s="4"/>
      <c r="O2" s="4"/>
      <c r="P2" s="4"/>
      <c r="Q2" s="4"/>
      <c r="R2" s="4"/>
      <c r="S2" s="4"/>
      <c r="T2" s="4"/>
      <c r="U2" s="4"/>
      <c r="V2" s="4"/>
      <c r="W2" s="4"/>
      <c r="X2" s="4"/>
      <c r="Y2" s="4"/>
    </row>
    <row r="3" spans="1:28" ht="16.5" thickBot="1" x14ac:dyDescent="0.3">
      <c r="A3" s="161" t="s">
        <v>62</v>
      </c>
      <c r="B3" s="98"/>
      <c r="C3" s="98"/>
      <c r="D3" s="5" t="s">
        <v>24</v>
      </c>
      <c r="E3" s="202"/>
      <c r="F3" s="203"/>
      <c r="G3" s="21"/>
      <c r="H3" s="109" t="s">
        <v>24</v>
      </c>
      <c r="I3" s="110"/>
      <c r="J3" s="196" t="s">
        <v>24</v>
      </c>
      <c r="K3" s="109"/>
      <c r="L3" s="109"/>
      <c r="M3" s="21"/>
      <c r="N3" s="21"/>
      <c r="O3" s="21"/>
      <c r="P3" s="21"/>
      <c r="Q3" s="21"/>
      <c r="R3" s="21"/>
      <c r="S3" s="21"/>
      <c r="T3" s="21"/>
      <c r="U3" s="21"/>
      <c r="V3" s="21"/>
      <c r="W3" s="21"/>
      <c r="X3" s="21"/>
      <c r="Y3" s="109"/>
      <c r="Z3" s="21"/>
      <c r="AA3" s="21"/>
      <c r="AB3" s="21"/>
    </row>
    <row r="4" spans="1:28" ht="114.75" x14ac:dyDescent="0.2">
      <c r="A4" s="193" t="s">
        <v>3</v>
      </c>
      <c r="B4" s="194" t="s">
        <v>63</v>
      </c>
      <c r="C4" s="194" t="s">
        <v>64</v>
      </c>
      <c r="D4" s="194" t="s">
        <v>83</v>
      </c>
      <c r="E4" s="111" t="s">
        <v>65</v>
      </c>
      <c r="F4" s="111" t="s">
        <v>102</v>
      </c>
      <c r="G4" s="111" t="s">
        <v>73</v>
      </c>
      <c r="H4" s="111" t="s">
        <v>103</v>
      </c>
      <c r="I4" s="324" t="s">
        <v>107</v>
      </c>
      <c r="J4" s="28"/>
      <c r="K4" s="21"/>
      <c r="L4" s="21"/>
      <c r="M4" s="28"/>
      <c r="N4" s="21"/>
      <c r="O4" s="21"/>
      <c r="P4" s="21"/>
      <c r="Q4" s="21"/>
      <c r="R4" s="21"/>
      <c r="S4" s="21"/>
      <c r="T4" s="21"/>
      <c r="U4" s="21"/>
      <c r="V4" s="21"/>
      <c r="W4" s="21"/>
      <c r="X4" s="21"/>
      <c r="Y4" s="21"/>
      <c r="Z4" s="21"/>
      <c r="AA4" s="21"/>
    </row>
    <row r="5" spans="1:28" x14ac:dyDescent="0.2">
      <c r="A5" s="112" t="s">
        <v>28</v>
      </c>
      <c r="B5" s="116">
        <f>'BRA Load Pricing Results'!B14</f>
        <v>63943.051164969511</v>
      </c>
      <c r="C5" s="116">
        <f>'BRA Resource Clearing Results'!F27</f>
        <v>67365.899999999994</v>
      </c>
      <c r="D5" s="403">
        <f>B5-C5</f>
        <v>-3422.8488350304833</v>
      </c>
      <c r="E5" s="113">
        <f>'BRA Resource Clearing Results'!B84</f>
        <v>0</v>
      </c>
      <c r="F5" s="48">
        <f>D5-E5</f>
        <v>-3422.8488350304833</v>
      </c>
      <c r="G5" s="48">
        <f>'BRA ICTRs'!C32</f>
        <v>0</v>
      </c>
      <c r="H5" s="48">
        <f>'BRA ICTRs'!C13+'BRA ICTRs'!C20</f>
        <v>0</v>
      </c>
      <c r="I5" s="325">
        <f>F5-G5-H5</f>
        <v>-3422.8488350304833</v>
      </c>
      <c r="J5" s="245" t="s">
        <v>24</v>
      </c>
      <c r="K5" s="365"/>
      <c r="L5" s="21"/>
      <c r="M5" s="369"/>
      <c r="N5" s="21"/>
      <c r="O5" s="21"/>
      <c r="P5" s="21"/>
      <c r="Q5" s="21"/>
      <c r="R5" s="21"/>
      <c r="S5" s="21"/>
      <c r="T5" s="21"/>
      <c r="U5" s="21"/>
      <c r="V5" s="21"/>
      <c r="W5" s="21"/>
      <c r="X5" s="21"/>
      <c r="Y5" s="21"/>
      <c r="Z5" s="21"/>
      <c r="AA5" s="21"/>
    </row>
    <row r="6" spans="1:28" x14ac:dyDescent="0.2">
      <c r="A6" s="112" t="s">
        <v>33</v>
      </c>
      <c r="B6" s="116">
        <f>'BRA Load Pricing Results'!B15</f>
        <v>34663.90747318216</v>
      </c>
      <c r="C6" s="116">
        <f>'BRA Resource Clearing Results'!F28</f>
        <v>29288.5</v>
      </c>
      <c r="D6" s="403">
        <v>5340.60747318216</v>
      </c>
      <c r="E6" s="113">
        <f>'BRA Resource Clearing Results'!B85</f>
        <v>0</v>
      </c>
      <c r="F6" s="48">
        <f>D6-E6</f>
        <v>5340.60747318216</v>
      </c>
      <c r="G6" s="48">
        <f>'BRA ICTRs'!D32</f>
        <v>40</v>
      </c>
      <c r="H6" s="48">
        <f>'BRA ICTRs'!D13+'BRA ICTRs'!D20</f>
        <v>948</v>
      </c>
      <c r="I6" s="325">
        <f>F6-G6-H6</f>
        <v>4352.60747318216</v>
      </c>
      <c r="J6" s="166"/>
      <c r="K6" s="365"/>
      <c r="L6" s="21"/>
      <c r="M6" s="369"/>
      <c r="N6" s="21"/>
      <c r="O6" s="21"/>
      <c r="P6" s="21"/>
      <c r="Q6" s="21"/>
      <c r="R6" s="21"/>
      <c r="S6" s="21"/>
      <c r="T6" s="21"/>
      <c r="U6" s="21"/>
      <c r="V6" s="21"/>
      <c r="W6" s="21"/>
      <c r="X6" s="21"/>
      <c r="Y6" s="21"/>
      <c r="Z6" s="21"/>
      <c r="AA6" s="21"/>
    </row>
    <row r="7" spans="1:28" x14ac:dyDescent="0.2">
      <c r="A7" s="112" t="s">
        <v>5</v>
      </c>
      <c r="B7" s="116">
        <f>'BRA Load Pricing Results'!B16</f>
        <v>14551.087078891298</v>
      </c>
      <c r="C7" s="116">
        <f>'BRA Resource Clearing Results'!F29</f>
        <v>10106.700000000001</v>
      </c>
      <c r="D7" s="403">
        <f>B7-C7</f>
        <v>4444.3870788912973</v>
      </c>
      <c r="E7" s="113">
        <f>'BRA Resource Clearing Results'!B86</f>
        <v>0</v>
      </c>
      <c r="F7" s="48">
        <f t="shared" ref="F7:F16" si="0">D7-E7</f>
        <v>4444.3870788912973</v>
      </c>
      <c r="G7" s="113">
        <f>'BRA ICTRs'!E32</f>
        <v>0</v>
      </c>
      <c r="H7" s="48">
        <f>'BRA ICTRs'!E13+'BRA ICTRs'!E20</f>
        <v>493</v>
      </c>
      <c r="I7" s="325">
        <f>F7-G7-H7</f>
        <v>3951.3870788912973</v>
      </c>
      <c r="J7" s="166"/>
      <c r="K7" s="365"/>
      <c r="L7" s="21"/>
      <c r="M7" s="36"/>
      <c r="N7" s="21"/>
      <c r="O7" s="21"/>
      <c r="P7" s="21"/>
      <c r="Q7" s="21"/>
      <c r="R7" s="21"/>
      <c r="S7" s="21"/>
      <c r="T7" s="21"/>
      <c r="U7" s="21"/>
      <c r="V7" s="21"/>
      <c r="W7" s="21"/>
      <c r="X7" s="21"/>
      <c r="Y7" s="21"/>
      <c r="Z7" s="21"/>
      <c r="AA7" s="21"/>
    </row>
    <row r="8" spans="1:28" x14ac:dyDescent="0.2">
      <c r="A8" s="112" t="s">
        <v>40</v>
      </c>
      <c r="B8" s="116">
        <f>'BRA Load Pricing Results'!J58</f>
        <v>10901.090440043145</v>
      </c>
      <c r="C8" s="116">
        <f>'BRA Load Pricing Results'!C29</f>
        <v>5367.6</v>
      </c>
      <c r="D8" s="403">
        <v>5530.8904400431438</v>
      </c>
      <c r="E8" s="113">
        <f>IF('BRA Resource Clearing Results'!D87+'BRA Resource Clearing Results'!D88=0,0,('BRA Resource Clearing Results'!D87+'BRA Resource Clearing Results'!D88)/'BRA Load Pricing Results'!D29)</f>
        <v>0</v>
      </c>
      <c r="F8" s="48">
        <f t="shared" si="0"/>
        <v>5530.8904400431438</v>
      </c>
      <c r="G8" s="48">
        <f>('BRA ICTRs'!B107+'BRA ICTRs'!B108)/L21</f>
        <v>41</v>
      </c>
      <c r="H8" s="48">
        <f>('BRA ICTRs'!C107+'BRA ICTRs'!C108)/L21</f>
        <v>499.40000000000003</v>
      </c>
      <c r="I8" s="325">
        <f t="shared" ref="I8:I13" si="1">F8-G8-H8</f>
        <v>4990.4904400431442</v>
      </c>
      <c r="J8" s="401" t="s">
        <v>24</v>
      </c>
      <c r="K8" s="400" t="s">
        <v>24</v>
      </c>
      <c r="L8" s="21"/>
      <c r="M8" s="36"/>
      <c r="N8" s="21"/>
      <c r="O8" s="21"/>
      <c r="P8" s="21"/>
      <c r="Q8" s="21"/>
      <c r="R8" s="21"/>
      <c r="S8" s="21"/>
      <c r="T8" s="21"/>
      <c r="U8" s="21"/>
      <c r="V8" s="21"/>
      <c r="W8" s="21"/>
      <c r="X8" s="21"/>
      <c r="Y8" s="21"/>
      <c r="Z8" s="21"/>
      <c r="AA8" s="21"/>
    </row>
    <row r="9" spans="1:28" x14ac:dyDescent="0.2">
      <c r="A9" s="112" t="s">
        <v>38</v>
      </c>
      <c r="B9" s="116">
        <f>'BRA Load Pricing Results'!J50</f>
        <v>4373.0103271175967</v>
      </c>
      <c r="C9" s="116">
        <f>'BRA Load Pricing Results'!C32</f>
        <v>5500.8</v>
      </c>
      <c r="D9" s="403">
        <f>B9-C9</f>
        <v>-1127.7896728824035</v>
      </c>
      <c r="E9" s="113">
        <f>IF('BRA Resource Clearing Results'!D89=0,0,('BRA Resource Clearing Results'!D89/'BRA Load Pricing Results'!D32))</f>
        <v>0</v>
      </c>
      <c r="F9" s="113">
        <f t="shared" si="0"/>
        <v>-1127.7896728824035</v>
      </c>
      <c r="G9" s="113">
        <f>'BRA ICTRs'!I32</f>
        <v>0</v>
      </c>
      <c r="H9" s="114">
        <f>'BRA ICTRs'!I13+'BRA ICTRs'!I20</f>
        <v>0</v>
      </c>
      <c r="I9" s="325">
        <f t="shared" si="1"/>
        <v>-1127.7896728824035</v>
      </c>
      <c r="J9" s="166"/>
      <c r="K9" s="365"/>
      <c r="L9" s="21"/>
      <c r="M9" s="36"/>
      <c r="N9" s="21"/>
      <c r="O9" s="21"/>
      <c r="P9" s="21"/>
      <c r="Q9" s="21"/>
      <c r="R9" s="21"/>
      <c r="S9" s="21"/>
      <c r="T9" s="21"/>
      <c r="U9" s="21"/>
      <c r="V9" s="21"/>
      <c r="W9" s="21"/>
      <c r="X9" s="21"/>
      <c r="Y9" s="21"/>
      <c r="Z9" s="21"/>
      <c r="AA9" s="21"/>
    </row>
    <row r="10" spans="1:28" x14ac:dyDescent="0.2">
      <c r="A10" s="112" t="s">
        <v>15</v>
      </c>
      <c r="B10" s="116">
        <f>'BRA Load Pricing Results'!J56</f>
        <v>7116.0381041913588</v>
      </c>
      <c r="C10" s="116">
        <f>'BRA Resource Clearing Results'!F33</f>
        <v>5948.8</v>
      </c>
      <c r="D10" s="403">
        <f t="shared" ref="D10:D12" si="2">B10-C10</f>
        <v>1167.2381041913586</v>
      </c>
      <c r="E10" s="113">
        <f>'BRA Resource Clearing Results'!B90</f>
        <v>0</v>
      </c>
      <c r="F10" s="48">
        <f t="shared" si="0"/>
        <v>1167.2381041913586</v>
      </c>
      <c r="G10" s="113">
        <f>'BRA ICTRs'!J32</f>
        <v>0</v>
      </c>
      <c r="H10" s="48">
        <f>'BRA ICTRs'!J13+'BRA ICTRs'!J20</f>
        <v>175</v>
      </c>
      <c r="I10" s="325">
        <f t="shared" si="1"/>
        <v>992.23810419135862</v>
      </c>
      <c r="J10" s="166"/>
      <c r="K10" s="365"/>
      <c r="L10" s="21"/>
      <c r="M10" s="36"/>
      <c r="N10" s="21"/>
      <c r="O10" s="21"/>
      <c r="P10" s="21"/>
      <c r="Q10" s="21"/>
      <c r="R10" s="21"/>
      <c r="S10" s="21"/>
      <c r="T10" s="21"/>
      <c r="U10" s="21"/>
      <c r="V10" s="21"/>
      <c r="W10" s="21"/>
      <c r="X10" s="21"/>
      <c r="Y10" s="21"/>
      <c r="Z10" s="21"/>
      <c r="AA10" s="21"/>
    </row>
    <row r="11" spans="1:28" x14ac:dyDescent="0.2">
      <c r="A11" s="112" t="s">
        <v>115</v>
      </c>
      <c r="B11" s="116">
        <f>'BRA Load Pricing Results'!J43</f>
        <v>14464.93085838898</v>
      </c>
      <c r="C11" s="116">
        <f>'BRA Load Pricing Results'!C35</f>
        <v>8007.3</v>
      </c>
      <c r="D11" s="403">
        <v>6402.8308583889793</v>
      </c>
      <c r="E11" s="113">
        <f>IF('BRA Resource Clearing Results'!D91+'BRA Resource Clearing Results'!D92=0,0,('BRA Resource Clearing Results'!D91+'BRA Resource Clearing Results'!D92)/'BRA Load Pricing Results'!D35)</f>
        <v>0</v>
      </c>
      <c r="F11" s="48">
        <f t="shared" si="0"/>
        <v>6402.8308583889793</v>
      </c>
      <c r="G11" s="113">
        <v>0</v>
      </c>
      <c r="H11" s="113">
        <v>0</v>
      </c>
      <c r="I11" s="325">
        <f t="shared" si="1"/>
        <v>6402.8308583889793</v>
      </c>
      <c r="J11" s="166"/>
      <c r="K11" s="365"/>
      <c r="L11" s="21"/>
      <c r="M11" s="36"/>
      <c r="N11" s="21"/>
      <c r="O11" s="21"/>
      <c r="P11" s="21"/>
      <c r="Q11" s="21"/>
      <c r="R11" s="21"/>
      <c r="S11" s="21"/>
      <c r="T11" s="21"/>
      <c r="U11" s="21"/>
      <c r="V11" s="21"/>
      <c r="W11" s="21"/>
      <c r="X11" s="21"/>
      <c r="Y11" s="21"/>
      <c r="Z11" s="21"/>
      <c r="AA11" s="21"/>
    </row>
    <row r="12" spans="1:28" x14ac:dyDescent="0.2">
      <c r="A12" s="115" t="s">
        <v>20</v>
      </c>
      <c r="B12" s="116">
        <f>'BRA Load Pricing Results'!J45</f>
        <v>24982.975399171821</v>
      </c>
      <c r="C12" s="116">
        <f>'BRA Resource Clearing Results'!F36</f>
        <v>22358.1</v>
      </c>
      <c r="D12" s="403">
        <f t="shared" si="2"/>
        <v>2624.8753991718222</v>
      </c>
      <c r="E12" s="113">
        <f>'BRA Resource Clearing Results'!B93</f>
        <v>0</v>
      </c>
      <c r="F12" s="48">
        <f t="shared" si="0"/>
        <v>2624.8753991718222</v>
      </c>
      <c r="G12" s="113">
        <f>'BRA ICTRs'!M32</f>
        <v>1376</v>
      </c>
      <c r="H12" s="113">
        <f>'BRA ICTRs'!M13+'BRA ICTRs'!M20</f>
        <v>0</v>
      </c>
      <c r="I12" s="325">
        <f>F12-G12-H12</f>
        <v>1248.8753991718222</v>
      </c>
      <c r="J12" s="166"/>
      <c r="K12" s="365"/>
      <c r="L12" s="21"/>
      <c r="M12" s="36"/>
      <c r="N12" s="21"/>
      <c r="O12" s="21"/>
      <c r="P12" s="21"/>
      <c r="Q12" s="21"/>
      <c r="R12" s="21"/>
      <c r="S12" s="21"/>
      <c r="T12" s="21"/>
      <c r="U12" s="21"/>
      <c r="V12" s="21"/>
      <c r="W12" s="21"/>
      <c r="X12" s="21"/>
      <c r="Y12" s="21"/>
      <c r="Z12" s="21"/>
      <c r="AA12" s="21"/>
    </row>
    <row r="13" spans="1:28" x14ac:dyDescent="0.2">
      <c r="A13" s="115" t="s">
        <v>11</v>
      </c>
      <c r="B13" s="116">
        <f>'BRA Load Pricing Results'!J44</f>
        <v>7435.0489746999383</v>
      </c>
      <c r="C13" s="116">
        <f>'BRA Resource Clearing Results'!F37</f>
        <v>1937.7</v>
      </c>
      <c r="D13" s="403">
        <f>B13-C13</f>
        <v>5497.3489746999385</v>
      </c>
      <c r="E13" s="113">
        <f>'BRA Resource Clearing Results'!B94</f>
        <v>0</v>
      </c>
      <c r="F13" s="48">
        <f t="shared" si="0"/>
        <v>5497.3489746999385</v>
      </c>
      <c r="G13" s="48">
        <f>'BRA ICTRs'!K32</f>
        <v>65.7</v>
      </c>
      <c r="H13" s="48">
        <f>'BRA ICTRs'!K13+'BRA ICTRs'!K20</f>
        <v>306</v>
      </c>
      <c r="I13" s="325">
        <f t="shared" si="1"/>
        <v>5125.6489746999387</v>
      </c>
      <c r="J13" s="166"/>
      <c r="K13" s="365"/>
      <c r="L13" s="21"/>
      <c r="M13" s="36"/>
      <c r="N13" s="21"/>
      <c r="O13" s="21"/>
      <c r="P13" s="21"/>
      <c r="Q13" s="21"/>
      <c r="R13" s="21"/>
      <c r="S13" s="21"/>
      <c r="T13" s="21"/>
      <c r="U13" s="21"/>
      <c r="V13" s="21"/>
      <c r="W13" s="21"/>
      <c r="X13" s="21"/>
      <c r="Y13" s="21"/>
      <c r="Z13" s="21"/>
      <c r="AA13" s="21"/>
    </row>
    <row r="14" spans="1:28" x14ac:dyDescent="0.2">
      <c r="A14" s="225" t="s">
        <v>10</v>
      </c>
      <c r="B14" s="226">
        <f>'BRA Load Pricing Results'!J57</f>
        <v>8183.6766744700699</v>
      </c>
      <c r="C14" s="226">
        <f>'BRA Resource Clearing Results'!D57</f>
        <v>11233.1</v>
      </c>
      <c r="D14" s="403">
        <f>B14-C14</f>
        <v>-3049.4233255299305</v>
      </c>
      <c r="E14" s="113">
        <f>'BRA Resource Clearing Results'!B95</f>
        <v>0</v>
      </c>
      <c r="F14" s="227">
        <f t="shared" ref="F14:F15" si="3">D14-E14</f>
        <v>-3049.4233255299305</v>
      </c>
      <c r="G14" s="227">
        <v>0</v>
      </c>
      <c r="H14" s="227">
        <v>0</v>
      </c>
      <c r="I14" s="326">
        <f t="shared" ref="I14:I15" si="4">F14-G14-H14</f>
        <v>-3049.4233255299305</v>
      </c>
      <c r="J14" s="166"/>
      <c r="K14" s="365"/>
      <c r="L14" s="21"/>
      <c r="M14" s="36"/>
      <c r="N14" s="21"/>
      <c r="O14" s="21"/>
      <c r="P14" s="21"/>
      <c r="Q14" s="21"/>
      <c r="R14" s="21"/>
      <c r="S14" s="21"/>
      <c r="T14" s="21"/>
      <c r="U14" s="21"/>
      <c r="V14" s="21"/>
      <c r="W14" s="21"/>
      <c r="X14" s="21"/>
      <c r="Y14" s="21"/>
      <c r="Z14" s="21"/>
      <c r="AA14" s="21"/>
    </row>
    <row r="15" spans="1:28" x14ac:dyDescent="0.2">
      <c r="A15" s="115" t="s">
        <v>21</v>
      </c>
      <c r="B15" s="116">
        <f>'BRA Load Pricing Results'!J46</f>
        <v>3786.2166091018162</v>
      </c>
      <c r="C15" s="116">
        <f>'BRA Resource Clearing Results'!D58</f>
        <v>1636.7</v>
      </c>
      <c r="D15" s="403">
        <f>B15-C15</f>
        <v>2149.5166091018164</v>
      </c>
      <c r="E15" s="113">
        <f>'BRA Resource Clearing Results'!B96</f>
        <v>0</v>
      </c>
      <c r="F15" s="48">
        <f t="shared" si="3"/>
        <v>2149.5166091018164</v>
      </c>
      <c r="G15" s="113">
        <v>0</v>
      </c>
      <c r="H15" s="113">
        <v>0</v>
      </c>
      <c r="I15" s="325">
        <f t="shared" si="4"/>
        <v>2149.5166091018164</v>
      </c>
      <c r="J15" s="166"/>
      <c r="K15" s="365" t="s">
        <v>24</v>
      </c>
      <c r="L15" s="21"/>
      <c r="M15" s="36"/>
      <c r="N15" s="21"/>
      <c r="O15" s="21"/>
      <c r="P15" s="21"/>
      <c r="Q15" s="21"/>
      <c r="R15" s="21"/>
      <c r="S15" s="21"/>
      <c r="T15" s="21"/>
      <c r="U15" s="21"/>
      <c r="V15" s="21"/>
      <c r="W15" s="21"/>
      <c r="X15" s="21"/>
      <c r="Y15" s="21"/>
      <c r="Z15" s="21"/>
      <c r="AA15" s="21"/>
    </row>
    <row r="16" spans="1:28" ht="13.5" thickBot="1" x14ac:dyDescent="0.25">
      <c r="A16" s="228" t="s">
        <v>50</v>
      </c>
      <c r="B16" s="229">
        <f>'BRA Load Pricing Results'!J47</f>
        <v>5189.8018450111103</v>
      </c>
      <c r="C16" s="229">
        <f>'BRA Resource Clearing Results'!D59</f>
        <v>2733.3</v>
      </c>
      <c r="D16" s="404">
        <f>B16-C16</f>
        <v>2456.5018450111102</v>
      </c>
      <c r="E16" s="117">
        <f>'BRA Resource Clearing Results'!B97</f>
        <v>0</v>
      </c>
      <c r="F16" s="230">
        <f t="shared" si="0"/>
        <v>2456.5018450111102</v>
      </c>
      <c r="G16" s="230">
        <f>'BRA ICTRs'!L32</f>
        <v>155</v>
      </c>
      <c r="H16" s="117">
        <f>'BRA ICTRs'!L13+'BRA ICTRs'!L20</f>
        <v>0</v>
      </c>
      <c r="I16" s="327">
        <f>F16-G16-H16</f>
        <v>2301.5018450111102</v>
      </c>
      <c r="J16" s="166"/>
      <c r="K16" s="365"/>
      <c r="L16" s="21"/>
      <c r="M16" s="36"/>
      <c r="N16" s="21"/>
      <c r="O16" s="21"/>
      <c r="P16" s="21"/>
      <c r="Q16" s="21"/>
      <c r="R16" s="21"/>
      <c r="S16" s="21"/>
      <c r="T16" s="21"/>
      <c r="U16" s="21"/>
      <c r="V16" s="21"/>
      <c r="W16" s="21"/>
      <c r="X16" s="21"/>
      <c r="Y16" s="21"/>
      <c r="Z16" s="21"/>
      <c r="AA16" s="21"/>
    </row>
    <row r="17" spans="1:37" x14ac:dyDescent="0.2">
      <c r="A17" s="32" t="s">
        <v>84</v>
      </c>
      <c r="B17" s="32"/>
      <c r="C17" s="32"/>
      <c r="E17" s="32"/>
      <c r="F17" s="55"/>
      <c r="G17" s="56"/>
      <c r="H17" s="74"/>
      <c r="I17" s="56"/>
      <c r="J17" s="39"/>
      <c r="K17" s="119"/>
      <c r="L17" s="366"/>
      <c r="M17" s="21"/>
      <c r="N17" s="36"/>
      <c r="O17" s="21"/>
      <c r="P17" s="21"/>
      <c r="Q17" s="21"/>
      <c r="R17" s="21"/>
      <c r="S17" s="21"/>
      <c r="T17" s="21"/>
      <c r="U17" s="21"/>
      <c r="V17" s="21"/>
      <c r="W17" s="21"/>
      <c r="X17" s="21"/>
      <c r="Y17" s="21"/>
      <c r="Z17" s="21"/>
      <c r="AA17" s="21"/>
      <c r="AB17" s="21"/>
    </row>
    <row r="18" spans="1:37" ht="12.75" customHeight="1" thickBot="1" x14ac:dyDescent="0.25">
      <c r="A18" s="118"/>
      <c r="B18" s="32"/>
      <c r="C18" s="32"/>
      <c r="D18" s="55"/>
      <c r="E18" s="120"/>
      <c r="F18" s="55"/>
      <c r="G18" s="56"/>
      <c r="H18" s="74"/>
      <c r="I18" s="56"/>
      <c r="J18" s="39"/>
      <c r="K18" s="119"/>
      <c r="L18" s="21"/>
      <c r="M18" s="21"/>
      <c r="N18" s="36"/>
      <c r="O18" s="21"/>
      <c r="P18" s="21"/>
      <c r="Q18" s="21"/>
      <c r="R18" s="21"/>
      <c r="S18" s="21"/>
      <c r="T18" s="21"/>
      <c r="U18" s="21"/>
      <c r="V18" s="21"/>
      <c r="W18" s="21"/>
      <c r="X18" s="21"/>
      <c r="Y18" s="21"/>
      <c r="Z18" s="21"/>
      <c r="AA18" s="21"/>
      <c r="AB18" s="21"/>
    </row>
    <row r="19" spans="1:37" ht="15" customHeight="1" thickBot="1" x14ac:dyDescent="0.25">
      <c r="A19" s="733" t="s">
        <v>81</v>
      </c>
      <c r="B19" s="734"/>
      <c r="C19" s="734"/>
      <c r="D19" s="735"/>
      <c r="E19" s="121"/>
      <c r="F19" s="21"/>
      <c r="G19" s="21"/>
      <c r="H19" s="21"/>
      <c r="I19" s="21"/>
      <c r="J19" s="21"/>
      <c r="K19" s="21"/>
      <c r="L19" s="21"/>
      <c r="M19" s="21"/>
      <c r="N19" s="21"/>
      <c r="O19" s="21"/>
      <c r="P19" s="21"/>
      <c r="Q19" s="21"/>
      <c r="R19" s="21"/>
      <c r="S19" s="21"/>
      <c r="T19" s="21"/>
      <c r="U19" s="21"/>
      <c r="V19" s="21"/>
      <c r="W19" s="21"/>
      <c r="X19" s="21"/>
      <c r="Y19" s="21"/>
      <c r="Z19" s="21"/>
      <c r="AA19" s="21"/>
      <c r="AB19" s="21"/>
    </row>
    <row r="20" spans="1:37" x14ac:dyDescent="0.2">
      <c r="A20" s="736"/>
      <c r="B20" s="737"/>
      <c r="C20" s="737"/>
      <c r="D20" s="738"/>
      <c r="E20" s="745" t="s">
        <v>28</v>
      </c>
      <c r="F20" s="746"/>
      <c r="G20" s="745" t="s">
        <v>33</v>
      </c>
      <c r="H20" s="746"/>
      <c r="I20" s="745" t="s">
        <v>5</v>
      </c>
      <c r="J20" s="746"/>
      <c r="K20" s="745" t="s">
        <v>40</v>
      </c>
      <c r="L20" s="746"/>
      <c r="M20" s="745" t="s">
        <v>38</v>
      </c>
      <c r="N20" s="746"/>
      <c r="O20" s="745" t="s">
        <v>15</v>
      </c>
      <c r="P20" s="746"/>
      <c r="Q20" s="745" t="s">
        <v>115</v>
      </c>
      <c r="R20" s="746"/>
      <c r="S20" s="745" t="s">
        <v>20</v>
      </c>
      <c r="T20" s="746"/>
      <c r="U20" s="745" t="s">
        <v>11</v>
      </c>
      <c r="V20" s="746"/>
      <c r="W20" s="745" t="s">
        <v>10</v>
      </c>
      <c r="X20" s="746"/>
      <c r="Y20" s="745" t="s">
        <v>21</v>
      </c>
      <c r="Z20" s="746"/>
      <c r="AA20" s="745" t="s">
        <v>50</v>
      </c>
      <c r="AB20" s="746"/>
      <c r="AC20" s="21"/>
      <c r="AD20" s="21"/>
      <c r="AE20" s="21"/>
      <c r="AF20" s="21"/>
    </row>
    <row r="21" spans="1:37" ht="30.75" customHeight="1" thickBot="1" x14ac:dyDescent="0.25">
      <c r="A21" s="739"/>
      <c r="B21" s="740"/>
      <c r="C21" s="740"/>
      <c r="D21" s="741"/>
      <c r="E21" s="137" t="s">
        <v>41</v>
      </c>
      <c r="F21" s="122">
        <f>'BRA Resource Clearing Results'!C6</f>
        <v>0</v>
      </c>
      <c r="G21" s="137" t="s">
        <v>41</v>
      </c>
      <c r="H21" s="122">
        <f>'BRA Resource Clearing Results'!C7</f>
        <v>25.73</v>
      </c>
      <c r="I21" s="137" t="s">
        <v>41</v>
      </c>
      <c r="J21" s="122">
        <f>'BRA Resource Clearing Results'!C8</f>
        <v>0</v>
      </c>
      <c r="K21" s="137" t="s">
        <v>41</v>
      </c>
      <c r="L21" s="122">
        <f>'BRA Load Pricing Results'!D29</f>
        <v>38.56</v>
      </c>
      <c r="M21" s="137" t="s">
        <v>41</v>
      </c>
      <c r="N21" s="138">
        <f>'BRA Load Pricing Results'!D32</f>
        <v>0</v>
      </c>
      <c r="O21" s="137" t="s">
        <v>41</v>
      </c>
      <c r="P21" s="138">
        <f>'BRA Resource Clearing Results'!C12</f>
        <v>0</v>
      </c>
      <c r="Q21" s="137" t="s">
        <v>41</v>
      </c>
      <c r="R21" s="138">
        <f>'BRA Load Pricing Results'!D35</f>
        <v>31.33</v>
      </c>
      <c r="S21" s="137" t="s">
        <v>41</v>
      </c>
      <c r="T21" s="138">
        <f>'BRA Resource Clearing Results'!C15</f>
        <v>55.55</v>
      </c>
      <c r="U21" s="137" t="s">
        <v>41</v>
      </c>
      <c r="V21" s="138">
        <f>'BRA Resource Clearing Results'!C16</f>
        <v>60.3</v>
      </c>
      <c r="W21" s="137" t="s">
        <v>41</v>
      </c>
      <c r="X21" s="138">
        <f>'BRA Resource Clearing Results'!C17</f>
        <v>0</v>
      </c>
      <c r="Y21" s="137" t="s">
        <v>41</v>
      </c>
      <c r="Z21" s="138">
        <f>'BRA Resource Clearing Results'!C18</f>
        <v>0</v>
      </c>
      <c r="AA21" s="137" t="s">
        <v>41</v>
      </c>
      <c r="AB21" s="138">
        <f>'BRA Resource Clearing Results'!C19</f>
        <v>0</v>
      </c>
      <c r="AC21" s="21"/>
      <c r="AD21" s="21"/>
      <c r="AE21" s="21"/>
      <c r="AF21" s="109"/>
    </row>
    <row r="22" spans="1:37" ht="63.75" x14ac:dyDescent="0.2">
      <c r="A22" s="88" t="s">
        <v>7</v>
      </c>
      <c r="B22" s="89" t="s">
        <v>27</v>
      </c>
      <c r="C22" s="89" t="s">
        <v>26</v>
      </c>
      <c r="D22" s="90" t="s">
        <v>31</v>
      </c>
      <c r="E22" s="88" t="s">
        <v>143</v>
      </c>
      <c r="F22" s="90" t="s">
        <v>144</v>
      </c>
      <c r="G22" s="88" t="s">
        <v>143</v>
      </c>
      <c r="H22" s="90" t="s">
        <v>144</v>
      </c>
      <c r="I22" s="88" t="s">
        <v>143</v>
      </c>
      <c r="J22" s="90" t="s">
        <v>144</v>
      </c>
      <c r="K22" s="88" t="s">
        <v>145</v>
      </c>
      <c r="L22" s="90" t="s">
        <v>144</v>
      </c>
      <c r="M22" s="88" t="s">
        <v>143</v>
      </c>
      <c r="N22" s="90" t="s">
        <v>146</v>
      </c>
      <c r="O22" s="88" t="s">
        <v>143</v>
      </c>
      <c r="P22" s="90" t="s">
        <v>146</v>
      </c>
      <c r="Q22" s="88" t="s">
        <v>143</v>
      </c>
      <c r="R22" s="90" t="s">
        <v>146</v>
      </c>
      <c r="S22" s="88" t="s">
        <v>143</v>
      </c>
      <c r="T22" s="90" t="s">
        <v>146</v>
      </c>
      <c r="U22" s="88" t="s">
        <v>143</v>
      </c>
      <c r="V22" s="90" t="s">
        <v>146</v>
      </c>
      <c r="W22" s="88" t="s">
        <v>143</v>
      </c>
      <c r="X22" s="90" t="s">
        <v>144</v>
      </c>
      <c r="Y22" s="88" t="s">
        <v>143</v>
      </c>
      <c r="Z22" s="90" t="s">
        <v>146</v>
      </c>
      <c r="AA22" s="88" t="s">
        <v>143</v>
      </c>
      <c r="AB22" s="90" t="s">
        <v>144</v>
      </c>
      <c r="AC22" s="88" t="s">
        <v>78</v>
      </c>
      <c r="AD22" s="89" t="s">
        <v>147</v>
      </c>
      <c r="AE22" s="319" t="s">
        <v>49</v>
      </c>
      <c r="AF22" s="320" t="s">
        <v>148</v>
      </c>
      <c r="AG22" s="10"/>
    </row>
    <row r="23" spans="1:37" x14ac:dyDescent="0.2">
      <c r="A23" s="53" t="s">
        <v>16</v>
      </c>
      <c r="B23" s="91" t="s">
        <v>28</v>
      </c>
      <c r="C23" s="91" t="s">
        <v>33</v>
      </c>
      <c r="D23" s="92"/>
      <c r="E23" s="123">
        <f>IF(B23="MAAC",$I$5*'BRA Load Pricing Results'!J40/'BRA Load Pricing Results'!$B$14,0)</f>
        <v>-143.8417929617151</v>
      </c>
      <c r="F23" s="124">
        <f>E23*$F$21</f>
        <v>0</v>
      </c>
      <c r="G23" s="123">
        <f>IF(C23="EMAAC",$I$6*'BRA Load Pricing Results'!J40/'BRA Load Pricing Results'!$B$15,0)</f>
        <v>337.41369858947451</v>
      </c>
      <c r="H23" s="124">
        <f>G23*$H$21</f>
        <v>8681.6544647071787</v>
      </c>
      <c r="I23" s="123">
        <f>IF(C23="SWMAAC",$I$7*'BRA Load Pricing Results'!J40/'BRA Load Pricing Results'!$B$16,0)</f>
        <v>0</v>
      </c>
      <c r="J23" s="124">
        <f>I23*$J$21</f>
        <v>0</v>
      </c>
      <c r="K23" s="123">
        <f>IF(D23="PS",$I$8*'BRA Load Pricing Results'!J40/'BRA Load Pricing Results'!$J$58,0)</f>
        <v>0</v>
      </c>
      <c r="L23" s="124">
        <f>K23*$L$21</f>
        <v>0</v>
      </c>
      <c r="M23" s="123">
        <f>IF(D23="DPL",$I$9*'BRA Load Pricing Results'!J40/'BRA Load Pricing Results'!$J$50,0)</f>
        <v>0</v>
      </c>
      <c r="N23" s="124">
        <f>M23*$N$21</f>
        <v>0</v>
      </c>
      <c r="O23" s="123">
        <f>IF(D23="PEPCO",$I$10*'BRA Load Pricing Results'!J40/'BRA Load Pricing Results'!$J$56,0)</f>
        <v>0</v>
      </c>
      <c r="P23" s="124">
        <f>O23*$P$21</f>
        <v>0</v>
      </c>
      <c r="Q23" s="123">
        <f>IF(D23="ATSI",$I$11*'BRA Load Pricing Results'!J40/'BRA Load Pricing Results'!$J$43,0)</f>
        <v>0</v>
      </c>
      <c r="R23" s="124">
        <f>Q23*$R$21</f>
        <v>0</v>
      </c>
      <c r="S23" s="123">
        <f>IF(D23="COMED",$I$12*'BRA Load Pricing Results'!J40/'BRA Load Pricing Results'!$J$45,0)</f>
        <v>0</v>
      </c>
      <c r="T23" s="124">
        <f>S23*$T$21</f>
        <v>0</v>
      </c>
      <c r="U23" s="123">
        <f>IF(D23="BGE",$I$13*'BRA Load Pricing Results'!J40/'BRA Load Pricing Results'!$J$44,0)</f>
        <v>0</v>
      </c>
      <c r="V23" s="124">
        <f>U23*$V$21</f>
        <v>0</v>
      </c>
      <c r="W23" s="123">
        <f>IF(D23="PL",$I$14*'BRA Load Pricing Results'!J40/'BRA Load Pricing Results'!$J$57,0)</f>
        <v>0</v>
      </c>
      <c r="X23" s="124">
        <f>W23*$X$21</f>
        <v>0</v>
      </c>
      <c r="Y23" s="123">
        <f>IF(D23="DAYTON",$I$15*'BRA Load Pricing Results'!J40/'BRA Load Pricing Results'!$J$46,0)</f>
        <v>0</v>
      </c>
      <c r="Z23" s="124">
        <f>Y23*$Z$21</f>
        <v>0</v>
      </c>
      <c r="AA23" s="123">
        <f>IF(D23="DEOK",$I$16*'BRA Load Pricing Results'!J40/'BRA Load Pricing Results'!$J$47,0)</f>
        <v>0</v>
      </c>
      <c r="AB23" s="124">
        <f>AA23*$AB$21</f>
        <v>0</v>
      </c>
      <c r="AC23" s="125">
        <f t="shared" ref="AC23:AC24" si="5">MAX(E23,G23,I23,K23,M23,O23,Q23+S23+U23+W23+Y23+AA23)</f>
        <v>337.41369858947451</v>
      </c>
      <c r="AD23" s="31">
        <f>F23+H23+J23+L23+N23+P23+R23+T23+V23+X23+Z23+AB23</f>
        <v>8681.6544647071787</v>
      </c>
      <c r="AE23" s="251">
        <f>AD23/'BRA Load Pricing Results'!J40</f>
        <v>3.2308126362159371</v>
      </c>
      <c r="AF23" s="321">
        <f>IF(AC23=0,0,AD23/AC23)</f>
        <v>25.73</v>
      </c>
      <c r="AG23" s="318"/>
      <c r="AH23" s="237"/>
      <c r="AI23" s="316"/>
      <c r="AJ23" s="316"/>
      <c r="AK23" s="317"/>
    </row>
    <row r="24" spans="1:37" x14ac:dyDescent="0.2">
      <c r="A24" s="53" t="s">
        <v>29</v>
      </c>
      <c r="B24" s="91"/>
      <c r="C24" s="91"/>
      <c r="D24" s="92"/>
      <c r="E24" s="123">
        <f>IF(B24="MAAC",$I$5*'BRA Load Pricing Results'!J41/'BRA Load Pricing Results'!$B$14,0)</f>
        <v>0</v>
      </c>
      <c r="F24" s="124">
        <f>E24*$F$21</f>
        <v>0</v>
      </c>
      <c r="G24" s="123">
        <f>IF(C24="EMAAC",$I$6*'BRA Load Pricing Results'!J41/'BRA Load Pricing Results'!$B$15,0)</f>
        <v>0</v>
      </c>
      <c r="H24" s="124">
        <f>G24*$H$21</f>
        <v>0</v>
      </c>
      <c r="I24" s="123">
        <f>IF(C24="SWMAAC",$I$7*'BRA Load Pricing Results'!J41/'BRA Load Pricing Results'!$B$16,0)</f>
        <v>0</v>
      </c>
      <c r="J24" s="124">
        <f>I24*$J$21</f>
        <v>0</v>
      </c>
      <c r="K24" s="123">
        <f>IF(D24="PS",$I$8*'BRA Load Pricing Results'!J41/'BRA Load Pricing Results'!$J$58,0)</f>
        <v>0</v>
      </c>
      <c r="L24" s="124">
        <f>K24*$L$21</f>
        <v>0</v>
      </c>
      <c r="M24" s="123">
        <f>IF(D24="DPL",$I$9*'BRA Load Pricing Results'!J41/'BRA Load Pricing Results'!$J$50,0)</f>
        <v>0</v>
      </c>
      <c r="N24" s="124">
        <f t="shared" ref="N24:N38" si="6">M24*$N$21</f>
        <v>0</v>
      </c>
      <c r="O24" s="123">
        <f>IF(D24="PEPCO",$I$10*'BRA Load Pricing Results'!J41/'BRA Load Pricing Results'!$J$56,0)</f>
        <v>0</v>
      </c>
      <c r="P24" s="124">
        <f>O24*$P$21</f>
        <v>0</v>
      </c>
      <c r="Q24" s="123">
        <f>IF(D24="ATSI",$I$11*'BRA Load Pricing Results'!J41/'BRA Load Pricing Results'!$J$43,0)</f>
        <v>0</v>
      </c>
      <c r="R24" s="124">
        <f t="shared" ref="R24:R42" si="7">Q24*$R$21</f>
        <v>0</v>
      </c>
      <c r="S24" s="123">
        <f>IF(D24="COMED",$I$12*'BRA Load Pricing Results'!J41/'BRA Load Pricing Results'!$J$45,0)</f>
        <v>0</v>
      </c>
      <c r="T24" s="124">
        <f t="shared" ref="T24:T42" si="8">S24*$T$21</f>
        <v>0</v>
      </c>
      <c r="U24" s="123">
        <f>IF(D24="BGE",$I$13*'BRA Load Pricing Results'!J41/'BRA Load Pricing Results'!$J$44,0)</f>
        <v>0</v>
      </c>
      <c r="V24" s="124">
        <f>U24*$V$21</f>
        <v>0</v>
      </c>
      <c r="W24" s="123">
        <f>IF(D24="PL",$I$14*'BRA Load Pricing Results'!J41/'BRA Load Pricing Results'!$J$57,0)</f>
        <v>0</v>
      </c>
      <c r="X24" s="124">
        <f>W24*$X$21</f>
        <v>0</v>
      </c>
      <c r="Y24" s="123">
        <f>IF(D24="DAYTON",$I$15*'BRA Load Pricing Results'!J41/'BRA Load Pricing Results'!$J$46,0)</f>
        <v>0</v>
      </c>
      <c r="Z24" s="124">
        <f t="shared" ref="Z24:Z41" si="9">Y24*$Z$21</f>
        <v>0</v>
      </c>
      <c r="AA24" s="123">
        <f>IF(D24="DEOK",$I$16*'BRA Load Pricing Results'!J41/'BRA Load Pricing Results'!$J$47,0)</f>
        <v>0</v>
      </c>
      <c r="AB24" s="124">
        <f t="shared" ref="AB24:AB39" si="10">AA24*$AB$21</f>
        <v>0</v>
      </c>
      <c r="AC24" s="125">
        <f t="shared" si="5"/>
        <v>0</v>
      </c>
      <c r="AD24" s="31">
        <f t="shared" ref="AD24:AD26" si="11">F24+H24+J24+L24+N24+P24+R24+T24+V24+X24+Z24+AB24</f>
        <v>0</v>
      </c>
      <c r="AE24" s="251">
        <f>AD24/'BRA Load Pricing Results'!J41</f>
        <v>0</v>
      </c>
      <c r="AF24" s="321">
        <f>IF(AC24=0,0,AD24/AC24)</f>
        <v>0</v>
      </c>
      <c r="AG24" s="318"/>
      <c r="AH24" s="237"/>
      <c r="AI24" s="316"/>
      <c r="AJ24" s="316"/>
      <c r="AK24" s="317"/>
    </row>
    <row r="25" spans="1:37" x14ac:dyDescent="0.2">
      <c r="A25" s="53" t="s">
        <v>19</v>
      </c>
      <c r="B25" s="91" t="s">
        <v>24</v>
      </c>
      <c r="C25" s="91"/>
      <c r="D25" s="92"/>
      <c r="E25" s="123">
        <f>IF(B25="MAAC",$I$5*'BRA Load Pricing Results'!J42/'BRA Load Pricing Results'!$B$14,0)</f>
        <v>0</v>
      </c>
      <c r="F25" s="124">
        <f t="shared" ref="F25:F32" si="12">E25*$F$21</f>
        <v>0</v>
      </c>
      <c r="G25" s="123">
        <f>IF(C25="EMAAC",$I$6*'BRA Load Pricing Results'!J42/'BRA Load Pricing Results'!$B$15,0)</f>
        <v>0</v>
      </c>
      <c r="H25" s="124">
        <f>G25*$H$21</f>
        <v>0</v>
      </c>
      <c r="I25" s="123">
        <f>IF(C25="SWMAAC",$I$7*'BRA Load Pricing Results'!J42/'BRA Load Pricing Results'!$B$16,0)</f>
        <v>0</v>
      </c>
      <c r="J25" s="124">
        <f t="shared" ref="J25:J42" si="13">I25*$J$21</f>
        <v>0</v>
      </c>
      <c r="K25" s="123">
        <f>IF(D25="PS",$I$8*'BRA Load Pricing Results'!J42/'BRA Load Pricing Results'!$J$58,0)</f>
        <v>0</v>
      </c>
      <c r="L25" s="124">
        <f>K25*$L$21</f>
        <v>0</v>
      </c>
      <c r="M25" s="123">
        <f>IF(D25="DPL",$I$9*'BRA Load Pricing Results'!J42/'BRA Load Pricing Results'!$J$50,0)</f>
        <v>0</v>
      </c>
      <c r="N25" s="124">
        <f t="shared" si="6"/>
        <v>0</v>
      </c>
      <c r="O25" s="123">
        <f>IF(D25="PEPCO",$I$10*'BRA Load Pricing Results'!J42/'BRA Load Pricing Results'!$J$56,0)</f>
        <v>0</v>
      </c>
      <c r="P25" s="124">
        <f>O25*$P$21</f>
        <v>0</v>
      </c>
      <c r="Q25" s="123">
        <f>IF(D25="ATSI",$I$11*'BRA Load Pricing Results'!J42/'BRA Load Pricing Results'!$J$43,0)</f>
        <v>0</v>
      </c>
      <c r="R25" s="124">
        <f t="shared" si="7"/>
        <v>0</v>
      </c>
      <c r="S25" s="123">
        <f>IF(D25="COMED",$I$12*'BRA Load Pricing Results'!J42/'BRA Load Pricing Results'!$J$45,0)</f>
        <v>0</v>
      </c>
      <c r="T25" s="124">
        <f t="shared" si="8"/>
        <v>0</v>
      </c>
      <c r="U25" s="123">
        <f>IF(D25="BGE",$I$13*'BRA Load Pricing Results'!J42/'BRA Load Pricing Results'!$J$44,0)</f>
        <v>0</v>
      </c>
      <c r="V25" s="124">
        <f>U25*$V$21</f>
        <v>0</v>
      </c>
      <c r="W25" s="123">
        <f>IF(D25="PL",$I$14*'BRA Load Pricing Results'!J42/'BRA Load Pricing Results'!$J$57,0)</f>
        <v>0</v>
      </c>
      <c r="X25" s="124">
        <f>W25*$X$21</f>
        <v>0</v>
      </c>
      <c r="Y25" s="123">
        <f>IF(D25="DAYTON",$I$15*'BRA Load Pricing Results'!J42/'BRA Load Pricing Results'!$J$46,0)</f>
        <v>0</v>
      </c>
      <c r="Z25" s="124">
        <f t="shared" si="9"/>
        <v>0</v>
      </c>
      <c r="AA25" s="123">
        <f>IF(D25="DEOK",$I$16*'BRA Load Pricing Results'!J42/'BRA Load Pricing Results'!$J$47,0)</f>
        <v>0</v>
      </c>
      <c r="AB25" s="124">
        <f t="shared" si="10"/>
        <v>0</v>
      </c>
      <c r="AC25" s="125">
        <f>MAX(E25,G25,I25,K25,M25,O25,Q25+S25+U25+W25+Y25+AA25)</f>
        <v>0</v>
      </c>
      <c r="AD25" s="31">
        <f t="shared" si="11"/>
        <v>0</v>
      </c>
      <c r="AE25" s="251">
        <f>AD25/'BRA Load Pricing Results'!J42</f>
        <v>0</v>
      </c>
      <c r="AF25" s="321">
        <f>IF(AC25=0,0,AD25/AC25)</f>
        <v>0</v>
      </c>
      <c r="AG25" s="318"/>
      <c r="AH25" s="237"/>
      <c r="AI25" s="316"/>
      <c r="AJ25" s="316"/>
      <c r="AK25" s="317"/>
    </row>
    <row r="26" spans="1:37" x14ac:dyDescent="0.2">
      <c r="A26" s="53" t="s">
        <v>43</v>
      </c>
      <c r="B26" s="91"/>
      <c r="C26" s="91"/>
      <c r="D26" s="92" t="s">
        <v>43</v>
      </c>
      <c r="E26" s="123">
        <f>IF(B26="MAAC",$I$5*'BRA Load Pricing Results'!J43/'BRA Load Pricing Results'!$B$14,0)</f>
        <v>0</v>
      </c>
      <c r="F26" s="124">
        <f t="shared" si="12"/>
        <v>0</v>
      </c>
      <c r="G26" s="123">
        <f>IF(C26="EMAAC",$I$6*'BRA Load Pricing Results'!J43/'BRA Load Pricing Results'!$B$15,0)</f>
        <v>0</v>
      </c>
      <c r="H26" s="124">
        <f>G26*$H$21</f>
        <v>0</v>
      </c>
      <c r="I26" s="123">
        <f>IF(C26="SWMAAC",$I$7*'BRA Load Pricing Results'!J43/'BRA Load Pricing Results'!$B$16,0)</f>
        <v>0</v>
      </c>
      <c r="J26" s="124">
        <f t="shared" si="13"/>
        <v>0</v>
      </c>
      <c r="K26" s="123">
        <f>IF(D26="PS",$I$8*'BRA Load Pricing Results'!J43/'BRA Load Pricing Results'!$J$58,0)</f>
        <v>0</v>
      </c>
      <c r="L26" s="124">
        <f t="shared" ref="L26:L42" si="14">K26*$L$21</f>
        <v>0</v>
      </c>
      <c r="M26" s="123">
        <f>IF(D26="DPL",$I$9*'BRA Load Pricing Results'!J43/'BRA Load Pricing Results'!$J$50,0)</f>
        <v>0</v>
      </c>
      <c r="N26" s="124">
        <f t="shared" si="6"/>
        <v>0</v>
      </c>
      <c r="O26" s="123">
        <f>IF(D26="PEPCO",$I$10*'BRA Load Pricing Results'!J43/'BRA Load Pricing Results'!$J$56,0)</f>
        <v>0</v>
      </c>
      <c r="P26" s="124">
        <f t="shared" ref="P26:P38" si="15">O26*$P$21</f>
        <v>0</v>
      </c>
      <c r="Q26" s="123">
        <f>IF(D26="ATSI",$I$11*'BRA Load Pricing Results'!J43/'BRA Load Pricing Results'!$J$43,0)</f>
        <v>6402.8308583889793</v>
      </c>
      <c r="R26" s="124">
        <f>Q26*$R$21</f>
        <v>200600.69079332671</v>
      </c>
      <c r="S26" s="123">
        <f>IF(D26="COMED",$I$12*'BRA Load Pricing Results'!J43/'BRA Load Pricing Results'!$J$45,0)</f>
        <v>0</v>
      </c>
      <c r="T26" s="124">
        <f t="shared" si="8"/>
        <v>0</v>
      </c>
      <c r="U26" s="123">
        <f>IF(D26="BGE",$I$13*'BRA Load Pricing Results'!J43/'BRA Load Pricing Results'!$J$44,0)</f>
        <v>0</v>
      </c>
      <c r="V26" s="124">
        <f>U26*$V$21</f>
        <v>0</v>
      </c>
      <c r="W26" s="123">
        <f>IF(D26="PL",$I$14*'BRA Load Pricing Results'!J43/'BRA Load Pricing Results'!$J$57,0)</f>
        <v>0</v>
      </c>
      <c r="X26" s="124">
        <f>W26*$X$21</f>
        <v>0</v>
      </c>
      <c r="Y26" s="123">
        <f>IF(D26="DAYTON",$I$15*'BRA Load Pricing Results'!J43/'BRA Load Pricing Results'!$J$46,0)</f>
        <v>0</v>
      </c>
      <c r="Z26" s="124">
        <f t="shared" si="9"/>
        <v>0</v>
      </c>
      <c r="AA26" s="123">
        <f>IF(D26="DEOK",$I$16*'BRA Load Pricing Results'!J43/'BRA Load Pricing Results'!$J$47,0)</f>
        <v>0</v>
      </c>
      <c r="AB26" s="124">
        <f t="shared" si="10"/>
        <v>0</v>
      </c>
      <c r="AC26" s="125">
        <f t="shared" ref="AC26:AC41" si="16">MAX(E26,G26,I26,K26,M26,O26,Q26+S26+U26+W26+Y26+AA26)</f>
        <v>6402.8308583889793</v>
      </c>
      <c r="AD26" s="31">
        <f t="shared" si="11"/>
        <v>200600.69079332671</v>
      </c>
      <c r="AE26" s="251">
        <f>AD26/'BRA Load Pricing Results'!J43</f>
        <v>13.868071182447979</v>
      </c>
      <c r="AF26" s="321">
        <f>IF(AC26=0,0,AD26/AC26)</f>
        <v>31.33</v>
      </c>
      <c r="AG26" s="318"/>
      <c r="AH26" s="237"/>
      <c r="AI26" s="316"/>
      <c r="AJ26" s="316"/>
      <c r="AK26" s="317"/>
    </row>
    <row r="27" spans="1:37" x14ac:dyDescent="0.2">
      <c r="A27" s="53" t="s">
        <v>11</v>
      </c>
      <c r="B27" s="91" t="s">
        <v>28</v>
      </c>
      <c r="C27" s="91" t="s">
        <v>5</v>
      </c>
      <c r="D27" s="92" t="s">
        <v>11</v>
      </c>
      <c r="E27" s="123">
        <f>IF(B27="MAAC",$I$5*'BRA Load Pricing Results'!J44/'BRA Load Pricing Results'!$B$14,0)</f>
        <v>-397.99553286547342</v>
      </c>
      <c r="F27" s="124">
        <f>E27*$F$21</f>
        <v>0</v>
      </c>
      <c r="G27" s="123">
        <f>IF(C27="EMAAC",$I$6*'BRA Load Pricing Results'!J44/'BRA Load Pricing Results'!$B$15,0)</f>
        <v>0</v>
      </c>
      <c r="H27" s="124">
        <f t="shared" ref="H27:H40" si="17">G27*$H$21</f>
        <v>0</v>
      </c>
      <c r="I27" s="123">
        <f>IF(C27="SWMAAC",$I$7*'BRA Load Pricing Results'!J44/'BRA Load Pricing Results'!$B$16,0)</f>
        <v>2019.0076720915208</v>
      </c>
      <c r="J27" s="124">
        <f>I27*$J$21</f>
        <v>0</v>
      </c>
      <c r="K27" s="123">
        <f>IF(D27="PS",$I$8*'BRA Load Pricing Results'!J44/'BRA Load Pricing Results'!$J$58,0)</f>
        <v>0</v>
      </c>
      <c r="L27" s="124">
        <f t="shared" si="14"/>
        <v>0</v>
      </c>
      <c r="M27" s="123">
        <f>IF(D27="DPL",$I$9*'BRA Load Pricing Results'!J44/'BRA Load Pricing Results'!$J$50,0)</f>
        <v>0</v>
      </c>
      <c r="N27" s="124">
        <f t="shared" si="6"/>
        <v>0</v>
      </c>
      <c r="O27" s="123">
        <f>IF(D27="PEPCO",$I$10*'BRA Load Pricing Results'!J44/'BRA Load Pricing Results'!$J$56,0)</f>
        <v>0</v>
      </c>
      <c r="P27" s="124">
        <f t="shared" si="15"/>
        <v>0</v>
      </c>
      <c r="Q27" s="123">
        <f>IF(D27="ATSI",$I$11*'BRA Load Pricing Results'!J44/'BRA Load Pricing Results'!$J$43,0)</f>
        <v>0</v>
      </c>
      <c r="R27" s="124">
        <f t="shared" si="7"/>
        <v>0</v>
      </c>
      <c r="S27" s="123">
        <f>IF(D27="COMED",$I$12*'BRA Load Pricing Results'!J44/'BRA Load Pricing Results'!$J$45,0)</f>
        <v>0</v>
      </c>
      <c r="T27" s="124">
        <f t="shared" si="8"/>
        <v>0</v>
      </c>
      <c r="U27" s="123">
        <f>IF(D27="BGE",$I$13*'BRA Load Pricing Results'!J44/'BRA Load Pricing Results'!$J$44,0)</f>
        <v>5125.6489746999396</v>
      </c>
      <c r="V27" s="124">
        <f>U27*$V$21</f>
        <v>309076.63317440636</v>
      </c>
      <c r="W27" s="123">
        <f>IF(D27="PL",$I$14*'BRA Load Pricing Results'!J44/'BRA Load Pricing Results'!$J$57,0)</f>
        <v>0</v>
      </c>
      <c r="X27" s="124">
        <f t="shared" ref="X27:X39" si="18">W27*$X$21</f>
        <v>0</v>
      </c>
      <c r="Y27" s="123">
        <f>IF(D27="DAYTON",$I$15*'BRA Load Pricing Results'!J44/'BRA Load Pricing Results'!$J$46,0)</f>
        <v>0</v>
      </c>
      <c r="Z27" s="124">
        <f t="shared" si="9"/>
        <v>0</v>
      </c>
      <c r="AA27" s="123">
        <f>IF(D27="DEOK",$I$16*'BRA Load Pricing Results'!J44/'BRA Load Pricing Results'!$J$47,0)</f>
        <v>0</v>
      </c>
      <c r="AB27" s="124">
        <f t="shared" si="10"/>
        <v>0</v>
      </c>
      <c r="AC27" s="125">
        <f t="shared" si="16"/>
        <v>5125.6489746999396</v>
      </c>
      <c r="AD27" s="31">
        <f>F27+H27+J27+L27+N27+P27+R27+T27+V27+X27+Z27+AB27</f>
        <v>309076.63317440636</v>
      </c>
      <c r="AE27" s="251">
        <f>AD27/'BRA Load Pricing Results'!J44</f>
        <v>41.570221558208367</v>
      </c>
      <c r="AF27" s="321">
        <f>IF(AC27=0,0,AD27/AC27)</f>
        <v>60.300000000000004</v>
      </c>
      <c r="AG27" s="318"/>
      <c r="AH27" s="237"/>
      <c r="AI27" s="316"/>
      <c r="AJ27" s="316"/>
      <c r="AK27" s="317"/>
    </row>
    <row r="28" spans="1:37" x14ac:dyDescent="0.2">
      <c r="A28" s="53" t="s">
        <v>20</v>
      </c>
      <c r="B28" s="91"/>
      <c r="C28" s="91"/>
      <c r="D28" s="92" t="s">
        <v>20</v>
      </c>
      <c r="E28" s="123">
        <f>IF(B28="MAAC",$I$5*'BRA Load Pricing Results'!J45/'BRA Load Pricing Results'!$B$14,0)</f>
        <v>0</v>
      </c>
      <c r="F28" s="124">
        <f t="shared" si="12"/>
        <v>0</v>
      </c>
      <c r="G28" s="123">
        <f>IF(C28="EMAAC",$I$6*'BRA Load Pricing Results'!J45/'BRA Load Pricing Results'!$B$15,0)</f>
        <v>0</v>
      </c>
      <c r="H28" s="124">
        <f t="shared" si="17"/>
        <v>0</v>
      </c>
      <c r="I28" s="123">
        <f>IF(C28="SWMAAC",$I$7*'BRA Load Pricing Results'!J45/'BRA Load Pricing Results'!$B$16,0)</f>
        <v>0</v>
      </c>
      <c r="J28" s="124">
        <f t="shared" si="13"/>
        <v>0</v>
      </c>
      <c r="K28" s="123">
        <f>IF(D28="PS",$I$8*'BRA Load Pricing Results'!J45/'BRA Load Pricing Results'!$J$58,0)</f>
        <v>0</v>
      </c>
      <c r="L28" s="124">
        <f t="shared" si="14"/>
        <v>0</v>
      </c>
      <c r="M28" s="123">
        <f>IF(D28="DPL",$I$9*'BRA Load Pricing Results'!J45/'BRA Load Pricing Results'!$J$50,0)</f>
        <v>0</v>
      </c>
      <c r="N28" s="124">
        <f t="shared" si="6"/>
        <v>0</v>
      </c>
      <c r="O28" s="123">
        <f>IF(D28="PEPCO",$I$10*'BRA Load Pricing Results'!J45/'BRA Load Pricing Results'!$J$56,0)</f>
        <v>0</v>
      </c>
      <c r="P28" s="124">
        <f t="shared" si="15"/>
        <v>0</v>
      </c>
      <c r="Q28" s="123">
        <f>IF(D28="ATSI",$I$11*'BRA Load Pricing Results'!J45/'BRA Load Pricing Results'!$J$43,0)</f>
        <v>0</v>
      </c>
      <c r="R28" s="124">
        <f t="shared" si="7"/>
        <v>0</v>
      </c>
      <c r="S28" s="127">
        <f>IF(D28="COMED",$I$12*'BRA Load Pricing Results'!J45/'BRA Load Pricing Results'!$J$45,0)</f>
        <v>1248.8753991718222</v>
      </c>
      <c r="T28" s="124">
        <f>S28*$T$21</f>
        <v>69375.028423994721</v>
      </c>
      <c r="U28" s="123">
        <f>IF(D28="BGE",$I$13*'BRA Load Pricing Results'!J45/'BRA Load Pricing Results'!$J$44,0)</f>
        <v>0</v>
      </c>
      <c r="V28" s="124">
        <f t="shared" ref="V28:V42" si="19">U28*$V$21</f>
        <v>0</v>
      </c>
      <c r="W28" s="123">
        <f>IF(D28="PL",$I$14*'BRA Load Pricing Results'!J45/'BRA Load Pricing Results'!$J$57,0)</f>
        <v>0</v>
      </c>
      <c r="X28" s="124">
        <f t="shared" si="18"/>
        <v>0</v>
      </c>
      <c r="Y28" s="123">
        <f>IF(D28="DAYTON",$I$15*'BRA Load Pricing Results'!J45/'BRA Load Pricing Results'!$J$46,0)</f>
        <v>0</v>
      </c>
      <c r="Z28" s="124">
        <f t="shared" si="9"/>
        <v>0</v>
      </c>
      <c r="AA28" s="123">
        <f>IF(D28="DEOK",$I$16*'BRA Load Pricing Results'!J45/'BRA Load Pricing Results'!$J$47,0)</f>
        <v>0</v>
      </c>
      <c r="AB28" s="124">
        <f t="shared" si="10"/>
        <v>0</v>
      </c>
      <c r="AC28" s="125">
        <f t="shared" si="16"/>
        <v>1248.8753991718222</v>
      </c>
      <c r="AD28" s="31">
        <f t="shared" ref="AD28:AD41" si="20">F28+H28+J28+L28+N28+P28+R28+T28+V28+X28+Z28+AB28</f>
        <v>69375.028423994721</v>
      </c>
      <c r="AE28" s="251">
        <f>AD28/'BRA Load Pricing Results'!J45</f>
        <v>2.7768921561798634</v>
      </c>
      <c r="AF28" s="321">
        <f t="shared" ref="AF28:AF42" si="21">IF(AC28=0,0,AD28/AC28)</f>
        <v>55.55</v>
      </c>
      <c r="AG28" s="318"/>
      <c r="AH28" s="237"/>
      <c r="AI28" s="316"/>
      <c r="AJ28" s="316"/>
      <c r="AK28" s="317"/>
    </row>
    <row r="29" spans="1:37" x14ac:dyDescent="0.2">
      <c r="A29" s="53" t="s">
        <v>21</v>
      </c>
      <c r="B29" s="91"/>
      <c r="C29" s="91"/>
      <c r="D29" s="92" t="s">
        <v>21</v>
      </c>
      <c r="E29" s="123">
        <f>IF(B29="MAAC",$I$5*'BRA Load Pricing Results'!J46/'BRA Load Pricing Results'!$B$14,0)</f>
        <v>0</v>
      </c>
      <c r="F29" s="124">
        <f t="shared" si="12"/>
        <v>0</v>
      </c>
      <c r="G29" s="123">
        <f>IF(C29="EMAAC",$I$6*'BRA Load Pricing Results'!J46/'BRA Load Pricing Results'!$B$15,0)</f>
        <v>0</v>
      </c>
      <c r="H29" s="124">
        <f>G29*$H$21</f>
        <v>0</v>
      </c>
      <c r="I29" s="123">
        <f>IF(C29="SWMAAC",$I$7*'BRA Load Pricing Results'!J46/'BRA Load Pricing Results'!$B$16,0)</f>
        <v>0</v>
      </c>
      <c r="J29" s="124">
        <f>I29*$J$21</f>
        <v>0</v>
      </c>
      <c r="K29" s="123">
        <f>IF(D29="PS",$I$8*'BRA Load Pricing Results'!J46/'BRA Load Pricing Results'!$J$58,0)</f>
        <v>0</v>
      </c>
      <c r="L29" s="124">
        <f t="shared" si="14"/>
        <v>0</v>
      </c>
      <c r="M29" s="123">
        <f>IF(D29="DPL",$I$9*'BRA Load Pricing Results'!J46/'BRA Load Pricing Results'!$J$50,0)</f>
        <v>0</v>
      </c>
      <c r="N29" s="124">
        <f t="shared" si="6"/>
        <v>0</v>
      </c>
      <c r="O29" s="123">
        <f>IF(D29="PEPCO",$I$10*'BRA Load Pricing Results'!J46/'BRA Load Pricing Results'!$J$56,0)</f>
        <v>0</v>
      </c>
      <c r="P29" s="124">
        <f t="shared" si="15"/>
        <v>0</v>
      </c>
      <c r="Q29" s="123">
        <f>IF(D29="ATSI",$I$11*'BRA Load Pricing Results'!J46/'BRA Load Pricing Results'!$J$43,0)</f>
        <v>0</v>
      </c>
      <c r="R29" s="124">
        <f t="shared" si="7"/>
        <v>0</v>
      </c>
      <c r="S29" s="123">
        <f>IF(D29="COMED",$I$12*'BRA Load Pricing Results'!J46/'BRA Load Pricing Results'!$J$45,0)</f>
        <v>0</v>
      </c>
      <c r="T29" s="124">
        <f t="shared" si="8"/>
        <v>0</v>
      </c>
      <c r="U29" s="123">
        <f>IF(D29="BGE",$I$13*'BRA Load Pricing Results'!J46/'BRA Load Pricing Results'!$J$44,0)</f>
        <v>0</v>
      </c>
      <c r="V29" s="124">
        <f t="shared" si="19"/>
        <v>0</v>
      </c>
      <c r="W29" s="123">
        <f>IF(D29="PL",$I$14*'BRA Load Pricing Results'!J46/'BRA Load Pricing Results'!$J$57,0)</f>
        <v>0</v>
      </c>
      <c r="X29" s="124">
        <f t="shared" si="18"/>
        <v>0</v>
      </c>
      <c r="Y29" s="123">
        <f>IF(D29="DAYTON",$I$15*'BRA Load Pricing Results'!J46/'BRA Load Pricing Results'!$J$46,0)</f>
        <v>2149.5166091018164</v>
      </c>
      <c r="Z29" s="124">
        <f t="shared" si="9"/>
        <v>0</v>
      </c>
      <c r="AA29" s="123">
        <f>IF(D29="DEOK",$I$16*'BRA Load Pricing Results'!J46/'BRA Load Pricing Results'!$J$47,0)</f>
        <v>0</v>
      </c>
      <c r="AB29" s="124">
        <f t="shared" si="10"/>
        <v>0</v>
      </c>
      <c r="AC29" s="125">
        <f t="shared" si="16"/>
        <v>2149.5166091018164</v>
      </c>
      <c r="AD29" s="31">
        <f t="shared" si="20"/>
        <v>0</v>
      </c>
      <c r="AE29" s="251">
        <f>AD29/'BRA Load Pricing Results'!J46</f>
        <v>0</v>
      </c>
      <c r="AF29" s="321">
        <f t="shared" si="21"/>
        <v>0</v>
      </c>
      <c r="AG29" s="318"/>
      <c r="AH29" s="237"/>
      <c r="AI29" s="316"/>
      <c r="AJ29" s="316"/>
      <c r="AK29" s="317"/>
    </row>
    <row r="30" spans="1:37" x14ac:dyDescent="0.2">
      <c r="A30" s="53" t="s">
        <v>50</v>
      </c>
      <c r="B30" s="91"/>
      <c r="C30" s="91"/>
      <c r="D30" s="92" t="s">
        <v>50</v>
      </c>
      <c r="E30" s="123">
        <f>IF(B30="MAAC",$I$5*'BRA Load Pricing Results'!J47/'BRA Load Pricing Results'!$B$14,0)</f>
        <v>0</v>
      </c>
      <c r="F30" s="124">
        <f t="shared" si="12"/>
        <v>0</v>
      </c>
      <c r="G30" s="123">
        <f>IF(C30="EMAAC",$I$6*'BRA Load Pricing Results'!J47/'BRA Load Pricing Results'!$B$15,0)</f>
        <v>0</v>
      </c>
      <c r="H30" s="124">
        <f>G30*$H$21</f>
        <v>0</v>
      </c>
      <c r="I30" s="123">
        <f>IF(C30="SWMAAC",$I$7*'BRA Load Pricing Results'!J47/'BRA Load Pricing Results'!$B$16,0)</f>
        <v>0</v>
      </c>
      <c r="J30" s="124">
        <f>I30*$J$21</f>
        <v>0</v>
      </c>
      <c r="K30" s="123">
        <f>IF(D30="PS",$I$8*'BRA Load Pricing Results'!J47/'BRA Load Pricing Results'!$J$58,0)</f>
        <v>0</v>
      </c>
      <c r="L30" s="124">
        <f>K30*$L$21</f>
        <v>0</v>
      </c>
      <c r="M30" s="123">
        <f>IF(D30="DPL",$I$9*'BRA Load Pricing Results'!J47/'BRA Load Pricing Results'!$J$50,0)</f>
        <v>0</v>
      </c>
      <c r="N30" s="124">
        <f>M30*$N$21</f>
        <v>0</v>
      </c>
      <c r="O30" s="123">
        <f>IF(D30="PEPCO",$I$10*'BRA Load Pricing Results'!J47/'BRA Load Pricing Results'!$J$56,0)</f>
        <v>0</v>
      </c>
      <c r="P30" s="124">
        <f>O30*$P$21</f>
        <v>0</v>
      </c>
      <c r="Q30" s="123">
        <f>IF(D30="ATSI",$I$11*'BRA Load Pricing Results'!J47/'BRA Load Pricing Results'!$J$43,0)</f>
        <v>0</v>
      </c>
      <c r="R30" s="124">
        <f t="shared" si="7"/>
        <v>0</v>
      </c>
      <c r="S30" s="123">
        <f>IF(D30="COMED",$I$12*'BRA Load Pricing Results'!J47/'BRA Load Pricing Results'!$J$45,0)</f>
        <v>0</v>
      </c>
      <c r="T30" s="124">
        <f t="shared" si="8"/>
        <v>0</v>
      </c>
      <c r="U30" s="123">
        <f>IF(D30="BGE",$I$13*'BRA Load Pricing Results'!J47/'BRA Load Pricing Results'!$J$44,0)</f>
        <v>0</v>
      </c>
      <c r="V30" s="124">
        <f t="shared" si="19"/>
        <v>0</v>
      </c>
      <c r="W30" s="123">
        <f>IF(D30="PL",$I$14*'BRA Load Pricing Results'!J47/'BRA Load Pricing Results'!$J$57,0)</f>
        <v>0</v>
      </c>
      <c r="X30" s="124">
        <f t="shared" si="18"/>
        <v>0</v>
      </c>
      <c r="Y30" s="123">
        <f>IF(D30="DAYTON",$I$15*'BRA Load Pricing Results'!J47/'BRA Load Pricing Results'!$J$46,0)</f>
        <v>0</v>
      </c>
      <c r="Z30" s="124">
        <f t="shared" si="9"/>
        <v>0</v>
      </c>
      <c r="AA30" s="123">
        <f>IF(D30="DEOK",$I$16*'BRA Load Pricing Results'!J47/'BRA Load Pricing Results'!$J$47,0)</f>
        <v>2301.5018450111102</v>
      </c>
      <c r="AB30" s="124">
        <f t="shared" si="10"/>
        <v>0</v>
      </c>
      <c r="AC30" s="125">
        <f t="shared" si="16"/>
        <v>2301.5018450111102</v>
      </c>
      <c r="AD30" s="31">
        <f t="shared" si="20"/>
        <v>0</v>
      </c>
      <c r="AE30" s="251">
        <f>AD30/'BRA Load Pricing Results'!J47</f>
        <v>0</v>
      </c>
      <c r="AF30" s="321">
        <f t="shared" si="21"/>
        <v>0</v>
      </c>
      <c r="AG30" s="318"/>
      <c r="AH30" s="237"/>
      <c r="AI30" s="316"/>
      <c r="AJ30" s="316"/>
      <c r="AK30" s="317"/>
    </row>
    <row r="31" spans="1:37" x14ac:dyDescent="0.2">
      <c r="A31" s="53" t="s">
        <v>42</v>
      </c>
      <c r="B31" s="91"/>
      <c r="C31" s="91"/>
      <c r="D31" s="92"/>
      <c r="E31" s="123">
        <f>IF(B31="MAAC",$I$5*'BRA Load Pricing Results'!J48/'BRA Load Pricing Results'!$B$14,0)</f>
        <v>0</v>
      </c>
      <c r="F31" s="124">
        <f t="shared" si="12"/>
        <v>0</v>
      </c>
      <c r="G31" s="123">
        <f>IF(C31="EMAAC",$I$6*'BRA Load Pricing Results'!J48/'BRA Load Pricing Results'!$B$15,0)</f>
        <v>0</v>
      </c>
      <c r="H31" s="124">
        <f>G31*$H$21</f>
        <v>0</v>
      </c>
      <c r="I31" s="123">
        <f>IF(C31="SWMAAC",$I$7*'BRA Load Pricing Results'!J48/'BRA Load Pricing Results'!$B$16,0)</f>
        <v>0</v>
      </c>
      <c r="J31" s="124">
        <f>I31*$J$21</f>
        <v>0</v>
      </c>
      <c r="K31" s="123">
        <f>IF(D31="PS",$I$8*'BRA Load Pricing Results'!J48/'BRA Load Pricing Results'!$J$58,0)</f>
        <v>0</v>
      </c>
      <c r="L31" s="124">
        <f>K31*$L$21</f>
        <v>0</v>
      </c>
      <c r="M31" s="123">
        <f>IF(D31="DPL",$I$9*'BRA Load Pricing Results'!J48/'BRA Load Pricing Results'!$J$50,0)</f>
        <v>0</v>
      </c>
      <c r="N31" s="124">
        <f>M31*$N$21</f>
        <v>0</v>
      </c>
      <c r="O31" s="123">
        <f>IF(D31="PEPCO",$I$10*'BRA Load Pricing Results'!#REF!/'BRA Load Pricing Results'!$J$56,0)</f>
        <v>0</v>
      </c>
      <c r="P31" s="124">
        <f>O31*$P$21</f>
        <v>0</v>
      </c>
      <c r="Q31" s="123">
        <f>IF(D31="ATSI",$I$11*'BRA Load Pricing Results'!J48/'BRA Load Pricing Results'!$J$43,0)</f>
        <v>0</v>
      </c>
      <c r="R31" s="124">
        <f t="shared" si="7"/>
        <v>0</v>
      </c>
      <c r="S31" s="123">
        <f>IF(D31="COMED",$I$12*'BRA Load Pricing Results'!J48/'BRA Load Pricing Results'!$J$45,0)</f>
        <v>0</v>
      </c>
      <c r="T31" s="124">
        <f t="shared" si="8"/>
        <v>0</v>
      </c>
      <c r="U31" s="123">
        <f>IF(D31="BGE",$I$13*'BRA Load Pricing Results'!J48/'BRA Load Pricing Results'!$J$44,0)</f>
        <v>0</v>
      </c>
      <c r="V31" s="124">
        <f t="shared" si="19"/>
        <v>0</v>
      </c>
      <c r="W31" s="123">
        <f>IF(D31="PL",$I$14*'BRA Load Pricing Results'!J48/'BRA Load Pricing Results'!$J$57,0)</f>
        <v>0</v>
      </c>
      <c r="X31" s="124">
        <f t="shared" si="18"/>
        <v>0</v>
      </c>
      <c r="Y31" s="123">
        <f>IF(D31="DAYTON",$I$15*'BRA Load Pricing Results'!J48/'BRA Load Pricing Results'!$J$46,0)</f>
        <v>0</v>
      </c>
      <c r="Z31" s="124">
        <f t="shared" si="9"/>
        <v>0</v>
      </c>
      <c r="AA31" s="123">
        <f>IF(D31="DEOK",$I$16*'BRA Load Pricing Results'!J48/'BRA Load Pricing Results'!$J$47,0)</f>
        <v>0</v>
      </c>
      <c r="AB31" s="124">
        <f t="shared" si="10"/>
        <v>0</v>
      </c>
      <c r="AC31" s="125">
        <f t="shared" si="16"/>
        <v>0</v>
      </c>
      <c r="AD31" s="31">
        <f t="shared" si="20"/>
        <v>0</v>
      </c>
      <c r="AE31" s="251">
        <f>AD31/'BRA Load Pricing Results'!J48</f>
        <v>0</v>
      </c>
      <c r="AF31" s="321">
        <f t="shared" si="21"/>
        <v>0</v>
      </c>
      <c r="AG31" s="318"/>
      <c r="AH31" s="237"/>
      <c r="AI31" s="316"/>
      <c r="AJ31" s="316"/>
      <c r="AK31" s="317"/>
    </row>
    <row r="32" spans="1:37" x14ac:dyDescent="0.2">
      <c r="A32" s="53" t="s">
        <v>30</v>
      </c>
      <c r="B32" s="91"/>
      <c r="C32" s="91"/>
      <c r="D32" s="92"/>
      <c r="E32" s="123">
        <f>IF(B32="MAAC",$I$5*'BRA Load Pricing Results'!J49/'BRA Load Pricing Results'!$B$14,0)</f>
        <v>0</v>
      </c>
      <c r="F32" s="124">
        <f t="shared" si="12"/>
        <v>0</v>
      </c>
      <c r="G32" s="123">
        <f>IF(C32="EMAAC",$I$6*'BRA Load Pricing Results'!J49/'BRA Load Pricing Results'!$B$15,0)</f>
        <v>0</v>
      </c>
      <c r="H32" s="124">
        <f t="shared" si="17"/>
        <v>0</v>
      </c>
      <c r="I32" s="123">
        <f>IF(C32="SWMAAC",$I$7*'BRA Load Pricing Results'!J49/'BRA Load Pricing Results'!$B$16,0)</f>
        <v>0</v>
      </c>
      <c r="J32" s="124">
        <f t="shared" si="13"/>
        <v>0</v>
      </c>
      <c r="K32" s="123">
        <f>IF(D32="PS",$I$8*'BRA Load Pricing Results'!J49/'BRA Load Pricing Results'!$J$58,0)</f>
        <v>0</v>
      </c>
      <c r="L32" s="124">
        <f t="shared" si="14"/>
        <v>0</v>
      </c>
      <c r="M32" s="123">
        <f>IF(D32="DPL",$I$9*'BRA Load Pricing Results'!J49/'BRA Load Pricing Results'!$J$50,0)</f>
        <v>0</v>
      </c>
      <c r="N32" s="124">
        <f t="shared" si="6"/>
        <v>0</v>
      </c>
      <c r="O32" s="123">
        <f>IF(D32="PEPCO",$I$10*'BRA Load Pricing Results'!J49/'BRA Load Pricing Results'!$J$56,0)</f>
        <v>0</v>
      </c>
      <c r="P32" s="124">
        <f t="shared" si="15"/>
        <v>0</v>
      </c>
      <c r="Q32" s="123">
        <f>IF(D32="ATSI",$I$11*'BRA Load Pricing Results'!J49/'BRA Load Pricing Results'!$J$43,0)</f>
        <v>0</v>
      </c>
      <c r="R32" s="124">
        <f t="shared" si="7"/>
        <v>0</v>
      </c>
      <c r="S32" s="123">
        <f>IF(D32="COMED",$I$12*'BRA Load Pricing Results'!J49/'BRA Load Pricing Results'!$J$45,0)</f>
        <v>0</v>
      </c>
      <c r="T32" s="124">
        <f t="shared" si="8"/>
        <v>0</v>
      </c>
      <c r="U32" s="123">
        <f>IF(D32="BGE",$I$13*'BRA Load Pricing Results'!J49/'BRA Load Pricing Results'!$J$44,0)</f>
        <v>0</v>
      </c>
      <c r="V32" s="124">
        <f t="shared" si="19"/>
        <v>0</v>
      </c>
      <c r="W32" s="123">
        <f>IF(D32="PL",$I$14*'BRA Load Pricing Results'!J49/'BRA Load Pricing Results'!$J$57,0)</f>
        <v>0</v>
      </c>
      <c r="X32" s="124">
        <f t="shared" si="18"/>
        <v>0</v>
      </c>
      <c r="Y32" s="123">
        <f>IF(D32="DAYTON",$I$15*'BRA Load Pricing Results'!J49/'BRA Load Pricing Results'!$J$46,0)</f>
        <v>0</v>
      </c>
      <c r="Z32" s="124">
        <f t="shared" si="9"/>
        <v>0</v>
      </c>
      <c r="AA32" s="123">
        <f>IF(D32="DEOK",$I$16*'BRA Load Pricing Results'!J49/'BRA Load Pricing Results'!$J$47,0)</f>
        <v>0</v>
      </c>
      <c r="AB32" s="124">
        <f t="shared" si="10"/>
        <v>0</v>
      </c>
      <c r="AC32" s="125">
        <f t="shared" si="16"/>
        <v>0</v>
      </c>
      <c r="AD32" s="31">
        <f t="shared" si="20"/>
        <v>0</v>
      </c>
      <c r="AE32" s="251">
        <f>AD32/'BRA Load Pricing Results'!J49</f>
        <v>0</v>
      </c>
      <c r="AF32" s="321">
        <f t="shared" si="21"/>
        <v>0</v>
      </c>
      <c r="AG32" s="318"/>
      <c r="AH32" s="237"/>
      <c r="AI32" s="316"/>
      <c r="AJ32" s="316"/>
      <c r="AK32" s="317"/>
    </row>
    <row r="33" spans="1:37" x14ac:dyDescent="0.2">
      <c r="A33" s="53" t="s">
        <v>17</v>
      </c>
      <c r="B33" s="91" t="s">
        <v>28</v>
      </c>
      <c r="C33" s="91" t="s">
        <v>33</v>
      </c>
      <c r="D33" s="92" t="s">
        <v>17</v>
      </c>
      <c r="E33" s="123">
        <f>IF(B33="MAAC",$I$5*'BRA Load Pricing Results'!J50/'BRA Load Pricing Results'!$B$14,0)</f>
        <v>-234.08569079904768</v>
      </c>
      <c r="F33" s="124">
        <f t="shared" ref="F33:F42" si="22">E33*$F$21</f>
        <v>0</v>
      </c>
      <c r="G33" s="123">
        <f>IF(C33="EMAAC",$I$6*'BRA Load Pricing Results'!J50/'BRA Load Pricing Results'!$B$15,0)</f>
        <v>549.10132231458681</v>
      </c>
      <c r="H33" s="124">
        <f>G33*$H$21</f>
        <v>14128.377023154319</v>
      </c>
      <c r="I33" s="123">
        <f>IF(C33="SWMAAC",$I$7*'BRA Load Pricing Results'!J50/'BRA Load Pricing Results'!$B$16,0)</f>
        <v>0</v>
      </c>
      <c r="J33" s="124">
        <f t="shared" si="13"/>
        <v>0</v>
      </c>
      <c r="K33" s="123">
        <f>IF(D33="PS",$I$8*'BRA Load Pricing Results'!J50/'BRA Load Pricing Results'!$J$58,0)</f>
        <v>0</v>
      </c>
      <c r="L33" s="124">
        <f t="shared" si="14"/>
        <v>0</v>
      </c>
      <c r="M33" s="123">
        <f>IF(D33="DPL",$I$9*'BRA Load Pricing Results'!J50/'BRA Load Pricing Results'!$J$50,0)</f>
        <v>-1127.7896728824035</v>
      </c>
      <c r="N33" s="124">
        <f t="shared" si="6"/>
        <v>0</v>
      </c>
      <c r="O33" s="123">
        <f>IF(D33="PEPCO",$I$10*'BRA Load Pricing Results'!J50/'BRA Load Pricing Results'!$J$56,0)</f>
        <v>0</v>
      </c>
      <c r="P33" s="124">
        <f t="shared" si="15"/>
        <v>0</v>
      </c>
      <c r="Q33" s="123">
        <f>IF(D33="ATSI",$I$11*'BRA Load Pricing Results'!J50/'BRA Load Pricing Results'!$J$43,0)</f>
        <v>0</v>
      </c>
      <c r="R33" s="124">
        <f t="shared" si="7"/>
        <v>0</v>
      </c>
      <c r="S33" s="123">
        <f>IF(D33="COMED",$I$12*'BRA Load Pricing Results'!J50/'BRA Load Pricing Results'!$J$45,0)</f>
        <v>0</v>
      </c>
      <c r="T33" s="124">
        <f t="shared" si="8"/>
        <v>0</v>
      </c>
      <c r="U33" s="123">
        <f>IF(D33="BGE",$I$13*'BRA Load Pricing Results'!J50/'BRA Load Pricing Results'!$J$44,0)</f>
        <v>0</v>
      </c>
      <c r="V33" s="124">
        <f t="shared" si="19"/>
        <v>0</v>
      </c>
      <c r="W33" s="123">
        <f>IF(D33="PL",$I$14*'BRA Load Pricing Results'!J50/'BRA Load Pricing Results'!$J$57,0)</f>
        <v>0</v>
      </c>
      <c r="X33" s="124">
        <f t="shared" si="18"/>
        <v>0</v>
      </c>
      <c r="Y33" s="123">
        <f>IF(D33="DAYTON",$I$15*'BRA Load Pricing Results'!J50/'BRA Load Pricing Results'!$J$46,0)</f>
        <v>0</v>
      </c>
      <c r="Z33" s="124">
        <f t="shared" si="9"/>
        <v>0</v>
      </c>
      <c r="AA33" s="123">
        <f>IF(D33="DEOK",$I$16*'BRA Load Pricing Results'!J50/'BRA Load Pricing Results'!$J$47,0)</f>
        <v>0</v>
      </c>
      <c r="AB33" s="124">
        <f t="shared" si="10"/>
        <v>0</v>
      </c>
      <c r="AC33" s="125">
        <f t="shared" si="16"/>
        <v>549.10132231458681</v>
      </c>
      <c r="AD33" s="31">
        <f t="shared" si="20"/>
        <v>14128.377023154319</v>
      </c>
      <c r="AE33" s="251">
        <f>AD33/'BRA Load Pricing Results'!J50</f>
        <v>3.2308126362159366</v>
      </c>
      <c r="AF33" s="321">
        <f t="shared" si="21"/>
        <v>25.73</v>
      </c>
      <c r="AG33" s="318"/>
      <c r="AH33" s="237"/>
      <c r="AI33" s="316"/>
      <c r="AJ33" s="316"/>
      <c r="AK33" s="317"/>
    </row>
    <row r="34" spans="1:37" x14ac:dyDescent="0.2">
      <c r="A34" s="53" t="s">
        <v>116</v>
      </c>
      <c r="B34" s="91"/>
      <c r="C34" s="91"/>
      <c r="D34" s="92"/>
      <c r="E34" s="123">
        <f>IF(B34="MAAC",$I$5*'BRA Load Pricing Results'!J51/'BRA Load Pricing Results'!$B$14,0)</f>
        <v>0</v>
      </c>
      <c r="F34" s="124">
        <f t="shared" si="22"/>
        <v>0</v>
      </c>
      <c r="G34" s="123">
        <f>IF(C34="EMAAC",$I$6*'BRA Load Pricing Results'!J51/'BRA Load Pricing Results'!$B$15,0)</f>
        <v>0</v>
      </c>
      <c r="H34" s="124">
        <f>G34*$H$21</f>
        <v>0</v>
      </c>
      <c r="I34" s="123">
        <f>IF(C34="SWMAAC",$I$7*'BRA Load Pricing Results'!J51/'BRA Load Pricing Results'!$B$16,0)</f>
        <v>0</v>
      </c>
      <c r="J34" s="124">
        <f>I34*$J$21</f>
        <v>0</v>
      </c>
      <c r="K34" s="123">
        <f>IF(D34="PS",$I$8*'BRA Load Pricing Results'!J51/'BRA Load Pricing Results'!$J$58,0)</f>
        <v>0</v>
      </c>
      <c r="L34" s="124">
        <f>K34*$L$21</f>
        <v>0</v>
      </c>
      <c r="M34" s="123">
        <f>IF(D34="DPL",$I$9*'BRA Load Pricing Results'!J51/'BRA Load Pricing Results'!$J$50,0)</f>
        <v>0</v>
      </c>
      <c r="N34" s="124">
        <f>M34*$N$21</f>
        <v>0</v>
      </c>
      <c r="O34" s="123">
        <f>IF(D34="PEPCO",$I$10*'BRA Load Pricing Results'!J51/'BRA Load Pricing Results'!$J$56,0)</f>
        <v>0</v>
      </c>
      <c r="P34" s="124">
        <f>O34*$P$21</f>
        <v>0</v>
      </c>
      <c r="Q34" s="123">
        <f>IF(D34="ATSI",$I$11*'BRA Load Pricing Results'!J51/'BRA Load Pricing Results'!$J$43,0)</f>
        <v>0</v>
      </c>
      <c r="R34" s="124">
        <f>Q34*$R$21</f>
        <v>0</v>
      </c>
      <c r="S34" s="123">
        <f>IF(D34="COMED",$I$12*'BRA Load Pricing Results'!J51/'BRA Load Pricing Results'!$J$45,0)</f>
        <v>0</v>
      </c>
      <c r="T34" s="124">
        <f t="shared" si="8"/>
        <v>0</v>
      </c>
      <c r="U34" s="123">
        <f>IF(D34="BGE",$I$13*'BRA Load Pricing Results'!J51/'BRA Load Pricing Results'!$J$44,0)</f>
        <v>0</v>
      </c>
      <c r="V34" s="124">
        <f t="shared" si="19"/>
        <v>0</v>
      </c>
      <c r="W34" s="123">
        <f>IF(D34="PL",$I$14*'BRA Load Pricing Results'!J51/'BRA Load Pricing Results'!$J$57,0)</f>
        <v>0</v>
      </c>
      <c r="X34" s="124">
        <f t="shared" si="18"/>
        <v>0</v>
      </c>
      <c r="Y34" s="123">
        <f>IF(D34="DAYTON",$I$15*'BRA Load Pricing Results'!J51/'BRA Load Pricing Results'!$J$46,0)</f>
        <v>0</v>
      </c>
      <c r="Z34" s="124">
        <f t="shared" si="9"/>
        <v>0</v>
      </c>
      <c r="AA34" s="123">
        <f>IF(D34="DEOK",$I$16*'BRA Load Pricing Results'!J51/'BRA Load Pricing Results'!$J$47,0)</f>
        <v>0</v>
      </c>
      <c r="AB34" s="124">
        <f t="shared" si="10"/>
        <v>0</v>
      </c>
      <c r="AC34" s="125">
        <f t="shared" si="16"/>
        <v>0</v>
      </c>
      <c r="AD34" s="31">
        <f t="shared" si="20"/>
        <v>0</v>
      </c>
      <c r="AE34" s="251">
        <f>AD34/'BRA Load Pricing Results'!J51</f>
        <v>0</v>
      </c>
      <c r="AF34" s="321">
        <f>IF(AC34=0,0,AD34/AC34)</f>
        <v>0</v>
      </c>
      <c r="AG34" s="318"/>
      <c r="AH34" s="237"/>
      <c r="AI34" s="316"/>
      <c r="AJ34" s="316"/>
      <c r="AK34" s="317"/>
    </row>
    <row r="35" spans="1:37" x14ac:dyDescent="0.2">
      <c r="A35" s="53" t="s">
        <v>12</v>
      </c>
      <c r="B35" s="91" t="s">
        <v>28</v>
      </c>
      <c r="C35" s="91" t="s">
        <v>33</v>
      </c>
      <c r="D35" s="92"/>
      <c r="E35" s="123">
        <f>IF(B35="MAAC",$I$5*'BRA Load Pricing Results'!J52/'BRA Load Pricing Results'!$B$14,0)</f>
        <v>-350.00671978899135</v>
      </c>
      <c r="F35" s="124">
        <f t="shared" si="22"/>
        <v>0</v>
      </c>
      <c r="G35" s="123">
        <f>IF(C35="EMAAC",$I$6*'BRA Load Pricing Results'!J52/'BRA Load Pricing Results'!$B$15,0)</f>
        <v>821.02050748634713</v>
      </c>
      <c r="H35" s="124">
        <f>G35*$H$21</f>
        <v>21124.857657623714</v>
      </c>
      <c r="I35" s="123">
        <f>IF(C35="SWMAAC",$I$7*'BRA Load Pricing Results'!J52/'BRA Load Pricing Results'!$B$16,0)</f>
        <v>0</v>
      </c>
      <c r="J35" s="124">
        <f t="shared" si="13"/>
        <v>0</v>
      </c>
      <c r="K35" s="123">
        <f>IF(D35="PS",$I$8*'BRA Load Pricing Results'!J52/'BRA Load Pricing Results'!$J$58,0)</f>
        <v>0</v>
      </c>
      <c r="L35" s="124">
        <f t="shared" si="14"/>
        <v>0</v>
      </c>
      <c r="M35" s="123">
        <f>IF(D35="DPL",$I$9*'BRA Load Pricing Results'!J52/'BRA Load Pricing Results'!$J$50,0)</f>
        <v>0</v>
      </c>
      <c r="N35" s="124">
        <f t="shared" si="6"/>
        <v>0</v>
      </c>
      <c r="O35" s="123">
        <f>IF(D35="PEPCO",$I$10*'BRA Load Pricing Results'!J52/'BRA Load Pricing Results'!$J$56,0)</f>
        <v>0</v>
      </c>
      <c r="P35" s="124">
        <f t="shared" si="15"/>
        <v>0</v>
      </c>
      <c r="Q35" s="123">
        <f>IF(D35="ATSI",$I$11*'BRA Load Pricing Results'!J52/'BRA Load Pricing Results'!$J$43,0)</f>
        <v>0</v>
      </c>
      <c r="R35" s="124">
        <f t="shared" si="7"/>
        <v>0</v>
      </c>
      <c r="S35" s="123">
        <f>IF(D35="COMED",$I$12*'BRA Load Pricing Results'!J52/'BRA Load Pricing Results'!$J$45,0)</f>
        <v>0</v>
      </c>
      <c r="T35" s="124">
        <f t="shared" si="8"/>
        <v>0</v>
      </c>
      <c r="U35" s="123">
        <f>IF(D35="BGE",$I$13*'BRA Load Pricing Results'!J52/'BRA Load Pricing Results'!$J$44,0)</f>
        <v>0</v>
      </c>
      <c r="V35" s="124">
        <f t="shared" si="19"/>
        <v>0</v>
      </c>
      <c r="W35" s="123">
        <f>IF(D35="PL",$I$14*'BRA Load Pricing Results'!J52/'BRA Load Pricing Results'!$J$57,0)</f>
        <v>0</v>
      </c>
      <c r="X35" s="124">
        <f t="shared" si="18"/>
        <v>0</v>
      </c>
      <c r="Y35" s="123">
        <f>IF(D35="DAYTON",$I$15*'BRA Load Pricing Results'!J52/'BRA Load Pricing Results'!$J$46,0)</f>
        <v>0</v>
      </c>
      <c r="Z35" s="124">
        <f t="shared" si="9"/>
        <v>0</v>
      </c>
      <c r="AA35" s="123">
        <f>IF(D35="DEOK",$I$16*'BRA Load Pricing Results'!J52/'BRA Load Pricing Results'!$J$47,0)</f>
        <v>0</v>
      </c>
      <c r="AB35" s="124">
        <f t="shared" si="10"/>
        <v>0</v>
      </c>
      <c r="AC35" s="125">
        <f t="shared" si="16"/>
        <v>821.02050748634713</v>
      </c>
      <c r="AD35" s="31">
        <f t="shared" si="20"/>
        <v>21124.857657623714</v>
      </c>
      <c r="AE35" s="251">
        <f>AD35/'BRA Load Pricing Results'!J52</f>
        <v>3.2308126362159379</v>
      </c>
      <c r="AF35" s="321">
        <f t="shared" si="21"/>
        <v>25.730000000000004</v>
      </c>
      <c r="AG35" s="318"/>
      <c r="AH35" s="237"/>
      <c r="AI35" s="316"/>
      <c r="AJ35" s="316"/>
      <c r="AK35" s="317"/>
    </row>
    <row r="36" spans="1:37" x14ac:dyDescent="0.2">
      <c r="A36" s="53" t="s">
        <v>13</v>
      </c>
      <c r="B36" s="91" t="s">
        <v>28</v>
      </c>
      <c r="C36" s="91"/>
      <c r="D36" s="92"/>
      <c r="E36" s="123">
        <f>IF(B36="MAAC",$I$5*'BRA Load Pricing Results'!J53/'BRA Load Pricing Results'!$B$14,0)</f>
        <v>-178.68042479256374</v>
      </c>
      <c r="F36" s="124">
        <f t="shared" si="22"/>
        <v>0</v>
      </c>
      <c r="G36" s="123">
        <f>IF(C36="EMAAC",$I$6*'BRA Load Pricing Results'!J53/'BRA Load Pricing Results'!$B$15,0)</f>
        <v>0</v>
      </c>
      <c r="H36" s="124">
        <f t="shared" si="17"/>
        <v>0</v>
      </c>
      <c r="I36" s="123">
        <f>IF(C36="SWMAAC",$I$7*'BRA Load Pricing Results'!J53/'BRA Load Pricing Results'!$B$16,0)</f>
        <v>0</v>
      </c>
      <c r="J36" s="124">
        <f t="shared" si="13"/>
        <v>0</v>
      </c>
      <c r="K36" s="123">
        <f>IF(D36="PS",$I$8*'BRA Load Pricing Results'!J53/'BRA Load Pricing Results'!$J$58,0)</f>
        <v>0</v>
      </c>
      <c r="L36" s="124">
        <f t="shared" si="14"/>
        <v>0</v>
      </c>
      <c r="M36" s="123">
        <f>IF(D36="DPL",$I$9*'BRA Load Pricing Results'!J53/'BRA Load Pricing Results'!$J$50,0)</f>
        <v>0</v>
      </c>
      <c r="N36" s="124">
        <f t="shared" si="6"/>
        <v>0</v>
      </c>
      <c r="O36" s="123">
        <f>IF(D36="PEPCO",$I$10*'BRA Load Pricing Results'!J53/'BRA Load Pricing Results'!$J$56,0)</f>
        <v>0</v>
      </c>
      <c r="P36" s="124">
        <f t="shared" si="15"/>
        <v>0</v>
      </c>
      <c r="Q36" s="123">
        <f>IF(D36="ATSI",$I$11*'BRA Load Pricing Results'!J53/'BRA Load Pricing Results'!$J$43,0)</f>
        <v>0</v>
      </c>
      <c r="R36" s="124">
        <f t="shared" si="7"/>
        <v>0</v>
      </c>
      <c r="S36" s="123">
        <f>IF(D36="COMED",$I$12*'BRA Load Pricing Results'!J53/'BRA Load Pricing Results'!$J$45,0)</f>
        <v>0</v>
      </c>
      <c r="T36" s="124">
        <f t="shared" si="8"/>
        <v>0</v>
      </c>
      <c r="U36" s="123">
        <f>IF(D36="BGE",$I$13*'BRA Load Pricing Results'!J53/'BRA Load Pricing Results'!$J$44,0)</f>
        <v>0</v>
      </c>
      <c r="V36" s="124">
        <f t="shared" si="19"/>
        <v>0</v>
      </c>
      <c r="W36" s="123">
        <f>IF(D36="PL",$I$14*'BRA Load Pricing Results'!J53/'BRA Load Pricing Results'!$J$57,0)</f>
        <v>0</v>
      </c>
      <c r="X36" s="124">
        <f t="shared" si="18"/>
        <v>0</v>
      </c>
      <c r="Y36" s="123">
        <f>IF(D36="DAYTON",$I$15*'BRA Load Pricing Results'!J53/'BRA Load Pricing Results'!$J$46,0)</f>
        <v>0</v>
      </c>
      <c r="Z36" s="124">
        <f t="shared" si="9"/>
        <v>0</v>
      </c>
      <c r="AA36" s="123">
        <f>IF(D36="DEOK",$I$16*'BRA Load Pricing Results'!J53/'BRA Load Pricing Results'!$J$47,0)</f>
        <v>0</v>
      </c>
      <c r="AB36" s="124">
        <f t="shared" si="10"/>
        <v>0</v>
      </c>
      <c r="AC36" s="125">
        <f t="shared" si="16"/>
        <v>0</v>
      </c>
      <c r="AD36" s="31">
        <f t="shared" si="20"/>
        <v>0</v>
      </c>
      <c r="AE36" s="251">
        <f>AD36/'BRA Load Pricing Results'!J53</f>
        <v>0</v>
      </c>
      <c r="AF36" s="321">
        <f t="shared" si="21"/>
        <v>0</v>
      </c>
      <c r="AG36" s="318"/>
      <c r="AH36" s="237"/>
      <c r="AI36" s="316"/>
      <c r="AJ36" s="316"/>
      <c r="AK36" s="317"/>
    </row>
    <row r="37" spans="1:37" x14ac:dyDescent="0.2">
      <c r="A37" s="53" t="s">
        <v>9</v>
      </c>
      <c r="B37" s="91" t="s">
        <v>28</v>
      </c>
      <c r="C37" s="91" t="s">
        <v>33</v>
      </c>
      <c r="D37" s="92"/>
      <c r="E37" s="123">
        <f>IF(B37="MAAC",$I$5*'BRA Load Pricing Results'!J54/'BRA Load Pricing Results'!$B$14,0)</f>
        <v>-520.46049091130101</v>
      </c>
      <c r="F37" s="124">
        <f t="shared" si="22"/>
        <v>0</v>
      </c>
      <c r="G37" s="123">
        <f>IF(C37="EMAAC",$I$6*'BRA Load Pricing Results'!J54/'BRA Load Pricing Results'!$B$15,0)</f>
        <v>1220.8586641770803</v>
      </c>
      <c r="H37" s="124">
        <f>G37*$H$21</f>
        <v>31412.693429276278</v>
      </c>
      <c r="I37" s="123">
        <f>IF(C37="SWMAAC",$I$7*'BRA Load Pricing Results'!J54/'BRA Load Pricing Results'!$B$16,0)</f>
        <v>0</v>
      </c>
      <c r="J37" s="124">
        <f t="shared" si="13"/>
        <v>0</v>
      </c>
      <c r="K37" s="123">
        <f>IF(D37="PS",$I$8*'BRA Load Pricing Results'!J54/'BRA Load Pricing Results'!$J$58,0)</f>
        <v>0</v>
      </c>
      <c r="L37" s="124">
        <f t="shared" si="14"/>
        <v>0</v>
      </c>
      <c r="M37" s="123">
        <f>IF(D37="DPL",$I$9*'BRA Load Pricing Results'!J54/'BRA Load Pricing Results'!$J$50,0)</f>
        <v>0</v>
      </c>
      <c r="N37" s="124">
        <f t="shared" si="6"/>
        <v>0</v>
      </c>
      <c r="O37" s="123">
        <f>IF(D37="PEPCO",$I$10*'BRA Load Pricing Results'!J54/'BRA Load Pricing Results'!$J$56,0)</f>
        <v>0</v>
      </c>
      <c r="P37" s="124">
        <f t="shared" si="15"/>
        <v>0</v>
      </c>
      <c r="Q37" s="123">
        <f>IF(D37="ATSI",$I$11*'BRA Load Pricing Results'!J54/'BRA Load Pricing Results'!$J$43,0)</f>
        <v>0</v>
      </c>
      <c r="R37" s="124">
        <f t="shared" si="7"/>
        <v>0</v>
      </c>
      <c r="S37" s="123">
        <f>IF(D37="COMED",$I$12*'BRA Load Pricing Results'!J54/'BRA Load Pricing Results'!$J$45,0)</f>
        <v>0</v>
      </c>
      <c r="T37" s="124">
        <f t="shared" si="8"/>
        <v>0</v>
      </c>
      <c r="U37" s="123">
        <f>IF(D37="BGE",$I$13*'BRA Load Pricing Results'!J54/'BRA Load Pricing Results'!$J$44,0)</f>
        <v>0</v>
      </c>
      <c r="V37" s="124">
        <f t="shared" si="19"/>
        <v>0</v>
      </c>
      <c r="W37" s="123">
        <f>IF(D37="PL",$I$14*'BRA Load Pricing Results'!J54/'BRA Load Pricing Results'!$J$57,0)</f>
        <v>0</v>
      </c>
      <c r="X37" s="124">
        <f t="shared" si="18"/>
        <v>0</v>
      </c>
      <c r="Y37" s="123">
        <f>IF(D37="DAYTON",$I$15*'BRA Load Pricing Results'!J54/'BRA Load Pricing Results'!$J$46,0)</f>
        <v>0</v>
      </c>
      <c r="Z37" s="124">
        <f t="shared" si="9"/>
        <v>0</v>
      </c>
      <c r="AA37" s="123">
        <f>IF(D37="DEOK",$I$16*'BRA Load Pricing Results'!J54/'BRA Load Pricing Results'!$J$47,0)</f>
        <v>0</v>
      </c>
      <c r="AB37" s="124">
        <f t="shared" si="10"/>
        <v>0</v>
      </c>
      <c r="AC37" s="125">
        <f t="shared" si="16"/>
        <v>1220.8586641770803</v>
      </c>
      <c r="AD37" s="31">
        <f t="shared" si="20"/>
        <v>31412.693429276278</v>
      </c>
      <c r="AE37" s="251">
        <f>AD37/'BRA Load Pricing Results'!J54</f>
        <v>3.2308126362159371</v>
      </c>
      <c r="AF37" s="321">
        <f t="shared" si="21"/>
        <v>25.73</v>
      </c>
      <c r="AG37" s="318"/>
      <c r="AH37" s="237"/>
      <c r="AI37" s="316"/>
      <c r="AJ37" s="316"/>
      <c r="AK37" s="317"/>
    </row>
    <row r="38" spans="1:37" x14ac:dyDescent="0.2">
      <c r="A38" s="53" t="s">
        <v>14</v>
      </c>
      <c r="B38" s="91" t="s">
        <v>28</v>
      </c>
      <c r="C38" s="91"/>
      <c r="D38" s="92"/>
      <c r="E38" s="123">
        <f>IF(B38="MAAC",$I$5*'BRA Load Pricing Results'!J55/'BRA Load Pricing Results'!$B$14,0)</f>
        <v>-171.63791066575536</v>
      </c>
      <c r="F38" s="124">
        <f t="shared" si="22"/>
        <v>0</v>
      </c>
      <c r="G38" s="123">
        <f>IF(C38="EMAAC",$I$6*'BRA Load Pricing Results'!J55/'BRA Load Pricing Results'!$B$15,0)</f>
        <v>0</v>
      </c>
      <c r="H38" s="124">
        <f t="shared" si="17"/>
        <v>0</v>
      </c>
      <c r="I38" s="123">
        <f>IF(C38="SWMAAC",$I$7*'BRA Load Pricing Results'!J55/'BRA Load Pricing Results'!$B$16,0)</f>
        <v>0</v>
      </c>
      <c r="J38" s="124">
        <f t="shared" si="13"/>
        <v>0</v>
      </c>
      <c r="K38" s="123">
        <f>IF(D38="PS",$I$8*'BRA Load Pricing Results'!J55/'BRA Load Pricing Results'!$J$58,0)</f>
        <v>0</v>
      </c>
      <c r="L38" s="124">
        <f t="shared" si="14"/>
        <v>0</v>
      </c>
      <c r="M38" s="123">
        <f>IF(D38="DPL",$I$9*'BRA Load Pricing Results'!J55/'BRA Load Pricing Results'!$J$50,0)</f>
        <v>0</v>
      </c>
      <c r="N38" s="124">
        <f t="shared" si="6"/>
        <v>0</v>
      </c>
      <c r="O38" s="123">
        <f>IF(D38="PEPCO",$I$10*'BRA Load Pricing Results'!J55/'BRA Load Pricing Results'!$J$56,0)</f>
        <v>0</v>
      </c>
      <c r="P38" s="124">
        <f t="shared" si="15"/>
        <v>0</v>
      </c>
      <c r="Q38" s="123">
        <f>IF(D38="ATSI",$I$11*'BRA Load Pricing Results'!J55/'BRA Load Pricing Results'!$J$43,0)</f>
        <v>0</v>
      </c>
      <c r="R38" s="124">
        <f t="shared" si="7"/>
        <v>0</v>
      </c>
      <c r="S38" s="123">
        <f>IF(D38="COMED",$I$12*'BRA Load Pricing Results'!J55/'BRA Load Pricing Results'!$J$45,0)</f>
        <v>0</v>
      </c>
      <c r="T38" s="124">
        <f t="shared" si="8"/>
        <v>0</v>
      </c>
      <c r="U38" s="123">
        <f>IF(D38="BGE",$I$13*'BRA Load Pricing Results'!J55/'BRA Load Pricing Results'!$J$44,0)</f>
        <v>0</v>
      </c>
      <c r="V38" s="124">
        <f t="shared" si="19"/>
        <v>0</v>
      </c>
      <c r="W38" s="123">
        <f>IF(D38="PL",$I$14*'BRA Load Pricing Results'!J55/'BRA Load Pricing Results'!$J$57,0)</f>
        <v>0</v>
      </c>
      <c r="X38" s="124">
        <f>W38*$X$21</f>
        <v>0</v>
      </c>
      <c r="Y38" s="123">
        <f>IF(D38="DAYTON",$I$15*'BRA Load Pricing Results'!J55/'BRA Load Pricing Results'!$J$46,0)</f>
        <v>0</v>
      </c>
      <c r="Z38" s="124">
        <f t="shared" si="9"/>
        <v>0</v>
      </c>
      <c r="AA38" s="123">
        <f>IF(D38="DEOK",$I$16*'BRA Load Pricing Results'!J55/'BRA Load Pricing Results'!$J$47,0)</f>
        <v>0</v>
      </c>
      <c r="AB38" s="124">
        <f t="shared" si="10"/>
        <v>0</v>
      </c>
      <c r="AC38" s="125">
        <f t="shared" si="16"/>
        <v>0</v>
      </c>
      <c r="AD38" s="31">
        <f t="shared" si="20"/>
        <v>0</v>
      </c>
      <c r="AE38" s="251">
        <f>AD38/'BRA Load Pricing Results'!J55</f>
        <v>0</v>
      </c>
      <c r="AF38" s="321">
        <f t="shared" si="21"/>
        <v>0</v>
      </c>
      <c r="AG38" s="318"/>
      <c r="AH38" s="237"/>
      <c r="AI38" s="316"/>
      <c r="AJ38" s="316"/>
      <c r="AK38" s="317"/>
    </row>
    <row r="39" spans="1:37" x14ac:dyDescent="0.2">
      <c r="A39" s="53" t="s">
        <v>15</v>
      </c>
      <c r="B39" s="91" t="s">
        <v>28</v>
      </c>
      <c r="C39" s="91" t="s">
        <v>5</v>
      </c>
      <c r="D39" s="92" t="s">
        <v>15</v>
      </c>
      <c r="E39" s="123">
        <f>IF(B39="MAAC",$I$5*'BRA Load Pricing Results'!J56/'BRA Load Pricing Results'!$B$14,0)</f>
        <v>-380.91899418630965</v>
      </c>
      <c r="F39" s="124">
        <f t="shared" si="22"/>
        <v>0</v>
      </c>
      <c r="G39" s="123">
        <f>IF(C39="EMAAC",$I$6*'BRA Load Pricing Results'!J56/'BRA Load Pricing Results'!$B$15,0)</f>
        <v>0</v>
      </c>
      <c r="H39" s="124">
        <f t="shared" si="17"/>
        <v>0</v>
      </c>
      <c r="I39" s="123">
        <f>IF(C39="SWMAAC",$I$7*'BRA Load Pricing Results'!J56/'BRA Load Pricing Results'!$B$16,0)</f>
        <v>1932.3794067997765</v>
      </c>
      <c r="J39" s="124">
        <f>I39*$J$21</f>
        <v>0</v>
      </c>
      <c r="K39" s="123">
        <f>IF(D39="PS",$I$8*'BRA Load Pricing Results'!J56/'BRA Load Pricing Results'!$J$58,0)</f>
        <v>0</v>
      </c>
      <c r="L39" s="124">
        <f t="shared" si="14"/>
        <v>0</v>
      </c>
      <c r="M39" s="123">
        <f>IF(D39="DPL",$I$9*'BRA Load Pricing Results'!J56/'BRA Load Pricing Results'!$J$50,0)</f>
        <v>0</v>
      </c>
      <c r="N39" s="124">
        <f>M39*N21</f>
        <v>0</v>
      </c>
      <c r="O39" s="123">
        <f>IF(D39="PEPCO",$I$10*'BRA Load Pricing Results'!J56/'BRA Load Pricing Results'!$J$56,0)</f>
        <v>992.23810419135862</v>
      </c>
      <c r="P39" s="124">
        <f>O39*$P$21</f>
        <v>0</v>
      </c>
      <c r="Q39" s="123">
        <f>IF(D39="ATSI",$I$11*'BRA Load Pricing Results'!J56/'BRA Load Pricing Results'!$J$43,0)</f>
        <v>0</v>
      </c>
      <c r="R39" s="124">
        <f t="shared" si="7"/>
        <v>0</v>
      </c>
      <c r="S39" s="123">
        <f>IF(D39="COMED",$I$12*'BRA Load Pricing Results'!J56/'BRA Load Pricing Results'!$J$45,0)</f>
        <v>0</v>
      </c>
      <c r="T39" s="124">
        <f t="shared" si="8"/>
        <v>0</v>
      </c>
      <c r="U39" s="123">
        <f>IF(D39="BGE",$I$13*'BRA Load Pricing Results'!J56/'BRA Load Pricing Results'!$J$44,0)</f>
        <v>0</v>
      </c>
      <c r="V39" s="124">
        <f t="shared" si="19"/>
        <v>0</v>
      </c>
      <c r="W39" s="123">
        <f>IF(D39="PL",$I$14*'BRA Load Pricing Results'!J56/'BRA Load Pricing Results'!$J$57,0)</f>
        <v>0</v>
      </c>
      <c r="X39" s="124">
        <f t="shared" si="18"/>
        <v>0</v>
      </c>
      <c r="Y39" s="123">
        <f>IF(D39="DAYTON",$I$15*'BRA Load Pricing Results'!J56/'BRA Load Pricing Results'!$J$46,0)</f>
        <v>0</v>
      </c>
      <c r="Z39" s="124">
        <f t="shared" si="9"/>
        <v>0</v>
      </c>
      <c r="AA39" s="123">
        <f>IF(D39="DEOK",$I$16*'BRA Load Pricing Results'!J56/'BRA Load Pricing Results'!$J$47,0)</f>
        <v>0</v>
      </c>
      <c r="AB39" s="124">
        <f t="shared" si="10"/>
        <v>0</v>
      </c>
      <c r="AC39" s="125">
        <f t="shared" si="16"/>
        <v>1932.3794067997765</v>
      </c>
      <c r="AD39" s="31">
        <f t="shared" si="20"/>
        <v>0</v>
      </c>
      <c r="AE39" s="251">
        <f>AD39/'BRA Load Pricing Results'!J56</f>
        <v>0</v>
      </c>
      <c r="AF39" s="321">
        <f t="shared" si="21"/>
        <v>0</v>
      </c>
      <c r="AG39" s="318"/>
      <c r="AH39" s="237"/>
      <c r="AI39" s="316"/>
      <c r="AJ39" s="316"/>
      <c r="AK39" s="317"/>
    </row>
    <row r="40" spans="1:37" x14ac:dyDescent="0.2">
      <c r="A40" s="53" t="s">
        <v>10</v>
      </c>
      <c r="B40" s="91" t="s">
        <v>28</v>
      </c>
      <c r="C40" s="91"/>
      <c r="D40" s="92" t="s">
        <v>10</v>
      </c>
      <c r="E40" s="123">
        <f>IF(B40="MAAC",$I$5*'BRA Load Pricing Results'!J57/'BRA Load Pricing Results'!$B$14,0)</f>
        <v>-438.06930794102925</v>
      </c>
      <c r="F40" s="124">
        <f t="shared" si="22"/>
        <v>0</v>
      </c>
      <c r="G40" s="123">
        <f>IF(C40="EMAAC",$I$6*'BRA Load Pricing Results'!J57/'BRA Load Pricing Results'!$B$15,0)</f>
        <v>0</v>
      </c>
      <c r="H40" s="124">
        <f t="shared" si="17"/>
        <v>0</v>
      </c>
      <c r="I40" s="123">
        <f>IF(C40="SWMAAC",$I$7*'BRA Load Pricing Results'!J57/'BRA Load Pricing Results'!$B$16,0)</f>
        <v>0</v>
      </c>
      <c r="J40" s="124">
        <f t="shared" si="13"/>
        <v>0</v>
      </c>
      <c r="K40" s="123">
        <f>IF(D40="PS",$I$8*'BRA Load Pricing Results'!J57/'BRA Load Pricing Results'!$J$58,0)</f>
        <v>0</v>
      </c>
      <c r="L40" s="124">
        <f t="shared" si="14"/>
        <v>0</v>
      </c>
      <c r="M40" s="123">
        <f>IF(D40="DPL",$I$9*'BRA Load Pricing Results'!J57/'BRA Load Pricing Results'!$J$50,0)</f>
        <v>0</v>
      </c>
      <c r="N40" s="124">
        <f>M40*$N$21</f>
        <v>0</v>
      </c>
      <c r="O40" s="123">
        <f>IF(D40="PEPCO",$I$10*'BRA Load Pricing Results'!J57/'BRA Load Pricing Results'!$J$56,0)</f>
        <v>0</v>
      </c>
      <c r="P40" s="124">
        <f>O40*$P$21</f>
        <v>0</v>
      </c>
      <c r="Q40" s="123">
        <f>IF(D40="ATSI",$I$11*'BRA Load Pricing Results'!J57/'BRA Load Pricing Results'!$J$43,0)</f>
        <v>0</v>
      </c>
      <c r="R40" s="124">
        <f>Q40*$R$21</f>
        <v>0</v>
      </c>
      <c r="S40" s="123">
        <f>IF(D40="COMED",$I$12*'BRA Load Pricing Results'!J57/'BRA Load Pricing Results'!$J$45,0)</f>
        <v>0</v>
      </c>
      <c r="T40" s="124">
        <f t="shared" si="8"/>
        <v>0</v>
      </c>
      <c r="U40" s="123">
        <f>IF(D40="BGE",$I$13*'BRA Load Pricing Results'!J57/'BRA Load Pricing Results'!$J$44,0)</f>
        <v>0</v>
      </c>
      <c r="V40" s="124">
        <f t="shared" si="19"/>
        <v>0</v>
      </c>
      <c r="W40" s="123">
        <f>IF(D40="PL",$I$14*'BRA Load Pricing Results'!J57/'BRA Load Pricing Results'!$J$57,0)</f>
        <v>-3049.4233255299305</v>
      </c>
      <c r="X40" s="124">
        <f>W40*$X$21</f>
        <v>0</v>
      </c>
      <c r="Y40" s="123">
        <f>IF(D40="DAYTON",$I$15*'BRA Load Pricing Results'!J57/'BRA Load Pricing Results'!$J$46,0)</f>
        <v>0</v>
      </c>
      <c r="Z40" s="124">
        <f t="shared" si="9"/>
        <v>0</v>
      </c>
      <c r="AA40" s="123">
        <f>IF(D40="DEOK",$I$16*'BRA Load Pricing Results'!J57/'BRA Load Pricing Results'!$J$47,0)</f>
        <v>0</v>
      </c>
      <c r="AB40" s="124">
        <f>AA40*$AB$21</f>
        <v>0</v>
      </c>
      <c r="AC40" s="125">
        <f t="shared" si="16"/>
        <v>0</v>
      </c>
      <c r="AD40" s="31">
        <f t="shared" si="20"/>
        <v>0</v>
      </c>
      <c r="AE40" s="251">
        <f>AD40/'BRA Load Pricing Results'!J57</f>
        <v>0</v>
      </c>
      <c r="AF40" s="321">
        <f t="shared" si="21"/>
        <v>0</v>
      </c>
      <c r="AG40" s="318"/>
      <c r="AH40" s="237"/>
      <c r="AI40" s="316"/>
      <c r="AJ40" s="316"/>
      <c r="AK40" s="317"/>
    </row>
    <row r="41" spans="1:37" x14ac:dyDescent="0.2">
      <c r="A41" s="53" t="s">
        <v>8</v>
      </c>
      <c r="B41" s="91" t="s">
        <v>28</v>
      </c>
      <c r="C41" s="91" t="s">
        <v>33</v>
      </c>
      <c r="D41" s="92" t="s">
        <v>8</v>
      </c>
      <c r="E41" s="123">
        <f>IF(B41="MAAC",$I$5*'BRA Load Pricing Results'!J58/'BRA Load Pricing Results'!$B$14,0)</f>
        <v>-583.53150238324895</v>
      </c>
      <c r="F41" s="124">
        <f t="shared" si="22"/>
        <v>0</v>
      </c>
      <c r="G41" s="123">
        <f>IF(C41="EMAAC",$I$6*'BRA Load Pricing Results'!J58/'BRA Load Pricing Results'!$B$15,0)</f>
        <v>1368.8060918081671</v>
      </c>
      <c r="H41" s="124">
        <f>G41*$H$21</f>
        <v>35219.380742224144</v>
      </c>
      <c r="I41" s="123">
        <f>IF(C41="SWMAAC",$I$7*'BRA Load Pricing Results'!J58/'BRA Load Pricing Results'!$B$16,0)</f>
        <v>0</v>
      </c>
      <c r="J41" s="124">
        <f t="shared" si="13"/>
        <v>0</v>
      </c>
      <c r="K41" s="123">
        <f>IF(D41="PS",$I$8*'BRA Load Pricing Results'!J58/'BRA Load Pricing Results'!$J$58,0)</f>
        <v>4990.4904400431442</v>
      </c>
      <c r="L41" s="124">
        <f>K41*$L$21</f>
        <v>192433.31136806365</v>
      </c>
      <c r="M41" s="123">
        <f>IF(D41="DPL",$I$9*'BRA Load Pricing Results'!J58/'BRA Load Pricing Results'!$J$50,0)</f>
        <v>0</v>
      </c>
      <c r="N41" s="124">
        <f>M41*$N$21</f>
        <v>0</v>
      </c>
      <c r="O41" s="123">
        <f>IF(D41="PEPCO",$I$10*'BRA Load Pricing Results'!J58/'BRA Load Pricing Results'!$J$56,0)</f>
        <v>0</v>
      </c>
      <c r="P41" s="124">
        <f>O41*$P$21</f>
        <v>0</v>
      </c>
      <c r="Q41" s="123">
        <f>IF(D41="ATSI",$I$11*'BRA Load Pricing Results'!J58/'BRA Load Pricing Results'!$J$43,0)</f>
        <v>0</v>
      </c>
      <c r="R41" s="124">
        <f t="shared" si="7"/>
        <v>0</v>
      </c>
      <c r="S41" s="123">
        <f>IF(D41="COMED",$I$12*'BRA Load Pricing Results'!J58/'BRA Load Pricing Results'!$J$45,0)</f>
        <v>0</v>
      </c>
      <c r="T41" s="124">
        <f t="shared" si="8"/>
        <v>0</v>
      </c>
      <c r="U41" s="123">
        <f>IF(D41="BGE",$I$13*'BRA Load Pricing Results'!J58/'BRA Load Pricing Results'!$J$44,0)</f>
        <v>0</v>
      </c>
      <c r="V41" s="124">
        <f t="shared" si="19"/>
        <v>0</v>
      </c>
      <c r="W41" s="123">
        <f>IF(D41="PL",$I$14*'BRA Load Pricing Results'!J58/'BRA Load Pricing Results'!$J$57,0)</f>
        <v>0</v>
      </c>
      <c r="X41" s="124">
        <f>W41*$X$21</f>
        <v>0</v>
      </c>
      <c r="Y41" s="123">
        <f>IF(D41="DAYTON",$I$15*'BRA Load Pricing Results'!J58/'BRA Load Pricing Results'!$J$46,0)</f>
        <v>0</v>
      </c>
      <c r="Z41" s="124">
        <f t="shared" si="9"/>
        <v>0</v>
      </c>
      <c r="AA41" s="123">
        <f>IF(D41="DEOK",$I$16*'BRA Load Pricing Results'!J58/'BRA Load Pricing Results'!$J$47,0)</f>
        <v>0</v>
      </c>
      <c r="AB41" s="124">
        <f>AA41*$AB$21</f>
        <v>0</v>
      </c>
      <c r="AC41" s="125">
        <f t="shared" si="16"/>
        <v>4990.4904400431442</v>
      </c>
      <c r="AD41" s="31">
        <f t="shared" si="20"/>
        <v>227652.69211028778</v>
      </c>
      <c r="AE41" s="251">
        <f>AD41/'BRA Load Pricing Results'!J58</f>
        <v>20.883478892537909</v>
      </c>
      <c r="AF41" s="321">
        <f t="shared" si="21"/>
        <v>45.617298509105986</v>
      </c>
      <c r="AG41" s="318"/>
      <c r="AH41" s="237"/>
      <c r="AI41" s="316"/>
      <c r="AJ41" s="316"/>
      <c r="AK41" s="317"/>
    </row>
    <row r="42" spans="1:37" ht="13.5" thickBot="1" x14ac:dyDescent="0.25">
      <c r="A42" s="128" t="s">
        <v>18</v>
      </c>
      <c r="B42" s="95" t="s">
        <v>28</v>
      </c>
      <c r="C42" s="95" t="s">
        <v>33</v>
      </c>
      <c r="D42" s="96"/>
      <c r="E42" s="129">
        <f>IF(B42="MAAC",$I$5*'BRA Load Pricing Results'!J59/'BRA Load Pricing Results'!$B$14,0)</f>
        <v>-23.620467735047669</v>
      </c>
      <c r="F42" s="130">
        <f t="shared" si="22"/>
        <v>0</v>
      </c>
      <c r="G42" s="129">
        <f>IF(C42="EMAAC",$I$6*'BRA Load Pricing Results'!J59/'BRA Load Pricing Results'!$B$15,0)</f>
        <v>55.407188806503825</v>
      </c>
      <c r="H42" s="130">
        <f>G42*$H$21</f>
        <v>1425.6269679913435</v>
      </c>
      <c r="I42" s="129">
        <f>IF(C42="SWMAAC",$I$7*'BRA Load Pricing Results'!J59/'BRA Load Pricing Results'!$B$16,0)</f>
        <v>0</v>
      </c>
      <c r="J42" s="130">
        <f t="shared" si="13"/>
        <v>0</v>
      </c>
      <c r="K42" s="129">
        <f>IF(D42="PS",$I$8*'BRA Load Pricing Results'!J59/'BRA Load Pricing Results'!$J$58,0)</f>
        <v>0</v>
      </c>
      <c r="L42" s="130">
        <f t="shared" si="14"/>
        <v>0</v>
      </c>
      <c r="M42" s="129">
        <f>IF(D42="DPL",$I$9*'BRA Load Pricing Results'!J59/'BRA Load Pricing Results'!$J$50,0)</f>
        <v>0</v>
      </c>
      <c r="N42" s="130">
        <f>M42*$N$21</f>
        <v>0</v>
      </c>
      <c r="O42" s="129">
        <f>IF(D42="PEPCO",$I$10*'BRA Load Pricing Results'!J59/'BRA Load Pricing Results'!$J$56,0)</f>
        <v>0</v>
      </c>
      <c r="P42" s="130">
        <f>O42*$P$21</f>
        <v>0</v>
      </c>
      <c r="Q42" s="129">
        <f>IF(D42="ATSI",$I$11*'BRA Load Pricing Results'!J59/'BRA Load Pricing Results'!$J$43,0)</f>
        <v>0</v>
      </c>
      <c r="R42" s="130">
        <f t="shared" si="7"/>
        <v>0</v>
      </c>
      <c r="S42" s="123">
        <f>IF(D42="COMED",$I$12*'BRA Load Pricing Results'!J59/'BRA Load Pricing Results'!$J$45,0)</f>
        <v>0</v>
      </c>
      <c r="T42" s="124">
        <f t="shared" si="8"/>
        <v>0</v>
      </c>
      <c r="U42" s="123">
        <f>IF(D42="BGE",$I$13*'BRA Load Pricing Results'!J59/'BRA Load Pricing Results'!$J$44,0)</f>
        <v>0</v>
      </c>
      <c r="V42" s="124">
        <f t="shared" si="19"/>
        <v>0</v>
      </c>
      <c r="W42" s="123">
        <f>IF(D42="PL",$I$14*'BRA Load Pricing Results'!J59/'BRA Load Pricing Results'!$J$57,0)</f>
        <v>0</v>
      </c>
      <c r="X42" s="124">
        <f>W42*$X$21</f>
        <v>0</v>
      </c>
      <c r="Y42" s="123">
        <f>IF(D42="DAYTON",$I$15*'BRA Load Pricing Results'!J59/'BRA Load Pricing Results'!$J$46,0)</f>
        <v>0</v>
      </c>
      <c r="Z42" s="124">
        <f>Y42*$Z$21</f>
        <v>0</v>
      </c>
      <c r="AA42" s="123">
        <f>IF(D42="DEOK",$I$16*'BRA Load Pricing Results'!J59/'BRA Load Pricing Results'!$J$57,0)</f>
        <v>0</v>
      </c>
      <c r="AB42" s="124">
        <f>AA42*$AB$21</f>
        <v>0</v>
      </c>
      <c r="AC42" s="125">
        <f>MAX(E42,G42,I42,K42,M42,O42,Q42+S42+U42+W42+Y42+AA42)</f>
        <v>55.407188806503825</v>
      </c>
      <c r="AD42" s="31">
        <f>F42+H42+J42+L42+N42+P42+R42+T42+V42+X42+Z42+AB42</f>
        <v>1425.6269679913435</v>
      </c>
      <c r="AE42" s="322">
        <f>AD42/'BRA Load Pricing Results'!J59</f>
        <v>3.2308126362159371</v>
      </c>
      <c r="AF42" s="323">
        <f t="shared" si="21"/>
        <v>25.73</v>
      </c>
      <c r="AG42" s="318"/>
      <c r="AH42" s="237"/>
      <c r="AI42" s="316"/>
      <c r="AJ42" s="316"/>
      <c r="AK42" s="317"/>
    </row>
    <row r="43" spans="1:37" ht="13.5" thickBot="1" x14ac:dyDescent="0.25">
      <c r="A43" s="742" t="s">
        <v>66</v>
      </c>
      <c r="B43" s="743"/>
      <c r="C43" s="743"/>
      <c r="D43" s="744"/>
      <c r="E43" s="131">
        <f>SUM(E23:E42)</f>
        <v>-3422.8488350304833</v>
      </c>
      <c r="F43" s="132">
        <f>SUM(F23:F42)</f>
        <v>0</v>
      </c>
      <c r="G43" s="131">
        <f>SUM(G23:G42)</f>
        <v>4352.60747318216</v>
      </c>
      <c r="H43" s="132">
        <f t="shared" ref="H43:L43" si="23">SUM(H23:H42)</f>
        <v>111992.59028497698</v>
      </c>
      <c r="I43" s="131">
        <f t="shared" si="23"/>
        <v>3951.3870788912973</v>
      </c>
      <c r="J43" s="132">
        <f t="shared" si="23"/>
        <v>0</v>
      </c>
      <c r="K43" s="131">
        <f>SUM(K23:K42)</f>
        <v>4990.4904400431442</v>
      </c>
      <c r="L43" s="132">
        <f t="shared" si="23"/>
        <v>192433.31136806365</v>
      </c>
      <c r="M43" s="131">
        <f t="shared" ref="M43:R43" si="24">SUM(M23:M42)</f>
        <v>-1127.7896728824035</v>
      </c>
      <c r="N43" s="132">
        <f t="shared" si="24"/>
        <v>0</v>
      </c>
      <c r="O43" s="131">
        <f t="shared" si="24"/>
        <v>992.23810419135862</v>
      </c>
      <c r="P43" s="132">
        <f t="shared" si="24"/>
        <v>0</v>
      </c>
      <c r="Q43" s="131">
        <f t="shared" si="24"/>
        <v>6402.8308583889793</v>
      </c>
      <c r="R43" s="132">
        <f t="shared" si="24"/>
        <v>200600.69079332671</v>
      </c>
      <c r="S43" s="131">
        <f t="shared" ref="S43:V43" si="25">SUM(S23:S42)</f>
        <v>1248.8753991718222</v>
      </c>
      <c r="T43" s="132">
        <f>SUM(T23:T42)</f>
        <v>69375.028423994721</v>
      </c>
      <c r="U43" s="131">
        <f t="shared" si="25"/>
        <v>5125.6489746999396</v>
      </c>
      <c r="V43" s="132">
        <f t="shared" si="25"/>
        <v>309076.63317440636</v>
      </c>
      <c r="W43" s="131">
        <f>SUM(W23:W42)</f>
        <v>-3049.4233255299305</v>
      </c>
      <c r="X43" s="132">
        <f>SUM(X23:X42)</f>
        <v>0</v>
      </c>
      <c r="Y43" s="131">
        <f t="shared" ref="Y43:Z43" si="26">SUM(Y23:Y42)</f>
        <v>2149.5166091018164</v>
      </c>
      <c r="Z43" s="132">
        <f t="shared" si="26"/>
        <v>0</v>
      </c>
      <c r="AA43" s="131">
        <f>SUM(AA23:AA42)</f>
        <v>2301.5018450111102</v>
      </c>
      <c r="AB43" s="132">
        <f t="shared" ref="AB43" si="27">SUM(AB23:AB42)</f>
        <v>0</v>
      </c>
      <c r="AC43" s="133"/>
      <c r="AD43" s="134">
        <f>SUM(AD23:AD42)</f>
        <v>883478.25404476828</v>
      </c>
      <c r="AE43" s="135"/>
      <c r="AF43" s="136"/>
      <c r="AG43" s="13"/>
    </row>
    <row r="44" spans="1:37" x14ac:dyDescent="0.2">
      <c r="A44" s="23" t="s">
        <v>67</v>
      </c>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row>
    <row r="45" spans="1:37" x14ac:dyDescent="0.2">
      <c r="A45" s="23" t="s">
        <v>68</v>
      </c>
      <c r="B45" s="21"/>
      <c r="C45" s="21"/>
      <c r="D45" s="21"/>
      <c r="E45" s="21"/>
      <c r="F45" s="21"/>
      <c r="G45" s="21"/>
      <c r="H45" s="21"/>
      <c r="I45" s="21"/>
      <c r="J45" s="21"/>
      <c r="K45" s="52"/>
      <c r="L45" s="21"/>
      <c r="M45" s="21"/>
      <c r="N45" s="21"/>
      <c r="O45" s="21"/>
      <c r="P45" s="21"/>
      <c r="Q45" s="21"/>
      <c r="R45" s="21"/>
      <c r="S45" s="21"/>
      <c r="T45" s="21"/>
      <c r="U45" s="21"/>
      <c r="V45" s="21"/>
      <c r="W45" s="21"/>
      <c r="X45" s="21"/>
      <c r="Y45" s="21"/>
      <c r="Z45" s="21"/>
      <c r="AA45" s="21"/>
      <c r="AB45" s="21"/>
    </row>
    <row r="46" spans="1:37" x14ac:dyDescent="0.2">
      <c r="A46" s="23" t="s">
        <v>133</v>
      </c>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row>
    <row r="47" spans="1:37" x14ac:dyDescent="0.2">
      <c r="A47" s="23" t="s">
        <v>69</v>
      </c>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row>
    <row r="48" spans="1:37" x14ac:dyDescent="0.2">
      <c r="A48" s="23" t="s">
        <v>70</v>
      </c>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row>
    <row r="49" spans="1:28" x14ac:dyDescent="0.2">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row>
    <row r="50" spans="1:28" x14ac:dyDescent="0.2">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row>
  </sheetData>
  <mergeCells count="14">
    <mergeCell ref="Y20:Z20"/>
    <mergeCell ref="AA20:AB20"/>
    <mergeCell ref="K20:L20"/>
    <mergeCell ref="M20:N20"/>
    <mergeCell ref="I20:J20"/>
    <mergeCell ref="U20:V20"/>
    <mergeCell ref="W20:X20"/>
    <mergeCell ref="A19:D21"/>
    <mergeCell ref="A43:D43"/>
    <mergeCell ref="E20:F20"/>
    <mergeCell ref="G20:H20"/>
    <mergeCell ref="S20:T20"/>
    <mergeCell ref="Q20:R20"/>
    <mergeCell ref="O20:P20"/>
  </mergeCells>
  <printOptions horizontalCentered="1" verticalCentered="1"/>
  <pageMargins left="0.45" right="0.45" top="0.5" bottom="0.5" header="0.3" footer="0.3"/>
  <pageSetup paperSize="17" scale="4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74"/>
  <sheetViews>
    <sheetView zoomScaleNormal="100" workbookViewId="0"/>
  </sheetViews>
  <sheetFormatPr defaultRowHeight="12.75" x14ac:dyDescent="0.2"/>
  <cols>
    <col min="1" max="1" width="54.7109375" customWidth="1"/>
    <col min="2" max="2" width="15.7109375" customWidth="1"/>
    <col min="3" max="3" width="15" customWidth="1"/>
    <col min="4" max="4" width="14.7109375" customWidth="1"/>
    <col min="5" max="7" width="15.7109375" customWidth="1"/>
    <col min="8" max="8" width="14.85546875" customWidth="1"/>
    <col min="9" max="17" width="15.7109375" customWidth="1"/>
    <col min="18" max="18" width="14.85546875" customWidth="1"/>
    <col min="19" max="21" width="15.7109375" customWidth="1"/>
    <col min="22" max="22" width="14.85546875" customWidth="1"/>
    <col min="23" max="25" width="15.7109375" customWidth="1"/>
    <col min="26" max="26" width="14" customWidth="1"/>
    <col min="27" max="28" width="15.7109375" customWidth="1"/>
    <col min="29" max="29" width="19.42578125" customWidth="1"/>
    <col min="30" max="30" width="15.7109375" customWidth="1"/>
    <col min="31" max="31" width="19.42578125" customWidth="1"/>
    <col min="32" max="32" width="15.7109375" customWidth="1"/>
    <col min="33" max="33" width="19.42578125" customWidth="1"/>
    <col min="34" max="34" width="15.7109375" customWidth="1"/>
    <col min="35" max="35" width="8.7109375" customWidth="1"/>
    <col min="36" max="36" width="18.7109375" customWidth="1"/>
  </cols>
  <sheetData>
    <row r="1" spans="1:23" ht="18.75" x14ac:dyDescent="0.3">
      <c r="A1" s="101" t="s">
        <v>219</v>
      </c>
      <c r="B1" s="11" t="s">
        <v>24</v>
      </c>
    </row>
    <row r="2" spans="1:23" ht="19.5" thickBot="1" x14ac:dyDescent="0.35">
      <c r="A2" s="3"/>
      <c r="C2" s="18"/>
      <c r="E2" s="399" t="s">
        <v>24</v>
      </c>
      <c r="F2" s="399" t="s">
        <v>24</v>
      </c>
      <c r="G2" s="399" t="s">
        <v>24</v>
      </c>
      <c r="H2" s="374" t="s">
        <v>24</v>
      </c>
    </row>
    <row r="3" spans="1:23" ht="13.5" thickBot="1" x14ac:dyDescent="0.25">
      <c r="A3" s="755" t="s">
        <v>58</v>
      </c>
      <c r="B3" s="21"/>
      <c r="C3" s="139" t="s">
        <v>120</v>
      </c>
      <c r="D3" s="21"/>
      <c r="E3" s="21"/>
      <c r="F3" s="21"/>
      <c r="G3" s="21"/>
      <c r="H3" s="21"/>
      <c r="I3" s="139" t="s">
        <v>120</v>
      </c>
      <c r="J3" s="21"/>
      <c r="K3" s="21"/>
      <c r="L3" s="21"/>
      <c r="M3" s="21"/>
      <c r="N3" s="21"/>
      <c r="O3" s="21"/>
      <c r="P3" s="21"/>
      <c r="Q3" s="21"/>
      <c r="R3" s="21"/>
      <c r="S3" s="21"/>
      <c r="T3" s="21"/>
      <c r="U3" s="21"/>
      <c r="V3" s="21"/>
      <c r="W3" s="21"/>
    </row>
    <row r="4" spans="1:23" ht="18.75" customHeight="1" thickBot="1" x14ac:dyDescent="0.25">
      <c r="A4" s="756"/>
      <c r="B4" s="204" t="s">
        <v>28</v>
      </c>
      <c r="C4" s="204" t="s">
        <v>28</v>
      </c>
      <c r="D4" s="205" t="s">
        <v>33</v>
      </c>
      <c r="E4" s="205" t="s">
        <v>5</v>
      </c>
      <c r="F4" s="205" t="s">
        <v>8</v>
      </c>
      <c r="G4" s="205" t="s">
        <v>34</v>
      </c>
      <c r="H4" s="205" t="s">
        <v>35</v>
      </c>
      <c r="I4" s="205" t="s">
        <v>35</v>
      </c>
      <c r="J4" s="205" t="s">
        <v>15</v>
      </c>
      <c r="K4" s="205" t="s">
        <v>11</v>
      </c>
      <c r="L4" s="205" t="s">
        <v>50</v>
      </c>
      <c r="M4" s="205" t="s">
        <v>20</v>
      </c>
      <c r="N4" s="146"/>
      <c r="O4" s="146"/>
      <c r="P4" s="146"/>
      <c r="Q4" s="21"/>
      <c r="R4" s="21"/>
      <c r="S4" s="21"/>
      <c r="T4" s="21"/>
      <c r="U4" s="21"/>
      <c r="V4" s="21"/>
      <c r="W4" s="21"/>
    </row>
    <row r="5" spans="1:23" ht="26.25" thickBot="1" x14ac:dyDescent="0.25">
      <c r="A5" s="273" t="s">
        <v>91</v>
      </c>
      <c r="B5" s="349" t="s">
        <v>101</v>
      </c>
      <c r="C5" s="349" t="s">
        <v>121</v>
      </c>
      <c r="D5" s="350" t="s">
        <v>122</v>
      </c>
      <c r="E5" s="350" t="s">
        <v>122</v>
      </c>
      <c r="F5" s="350" t="s">
        <v>122</v>
      </c>
      <c r="G5" s="350" t="s">
        <v>122</v>
      </c>
      <c r="H5" s="350" t="s">
        <v>101</v>
      </c>
      <c r="I5" s="350" t="s">
        <v>121</v>
      </c>
      <c r="J5" s="350" t="s">
        <v>122</v>
      </c>
      <c r="K5" s="350" t="s">
        <v>122</v>
      </c>
      <c r="L5" s="350" t="s">
        <v>122</v>
      </c>
      <c r="M5" s="350" t="s">
        <v>122</v>
      </c>
      <c r="N5" s="146"/>
      <c r="O5" s="146"/>
      <c r="P5" s="146"/>
      <c r="Q5" s="32"/>
      <c r="R5" s="21"/>
      <c r="S5" s="21"/>
      <c r="T5" s="21"/>
      <c r="U5" s="21"/>
      <c r="V5" s="21"/>
      <c r="W5" s="21"/>
    </row>
    <row r="6" spans="1:23" ht="20.100000000000001" customHeight="1" x14ac:dyDescent="0.2">
      <c r="A6" s="206" t="s">
        <v>139</v>
      </c>
      <c r="B6" s="352"/>
      <c r="C6" s="352"/>
      <c r="D6" s="353"/>
      <c r="E6" s="353"/>
      <c r="F6" s="353"/>
      <c r="G6" s="353"/>
      <c r="H6" s="353"/>
      <c r="I6" s="353"/>
      <c r="J6" s="353"/>
      <c r="K6" s="353"/>
      <c r="L6" s="353"/>
      <c r="M6" s="353"/>
      <c r="N6" s="146"/>
      <c r="O6" s="146"/>
      <c r="P6" s="146"/>
      <c r="Q6" s="32"/>
      <c r="R6" s="21"/>
      <c r="S6" s="21"/>
      <c r="T6" s="21"/>
      <c r="U6" s="21"/>
      <c r="V6" s="21"/>
      <c r="W6" s="21"/>
    </row>
    <row r="7" spans="1:23" ht="20.100000000000001" customHeight="1" x14ac:dyDescent="0.2">
      <c r="A7" s="207" t="s">
        <v>85</v>
      </c>
      <c r="B7" s="187">
        <v>160</v>
      </c>
      <c r="C7" s="188">
        <v>0</v>
      </c>
      <c r="D7" s="188">
        <v>0</v>
      </c>
      <c r="E7" s="188">
        <v>0</v>
      </c>
      <c r="F7" s="188">
        <v>0</v>
      </c>
      <c r="G7" s="188">
        <v>0</v>
      </c>
      <c r="H7" s="188">
        <v>0</v>
      </c>
      <c r="I7" s="188">
        <v>0</v>
      </c>
      <c r="J7" s="188">
        <v>0</v>
      </c>
      <c r="K7" s="188">
        <v>0</v>
      </c>
      <c r="L7" s="188">
        <v>0</v>
      </c>
      <c r="M7" s="188">
        <v>0</v>
      </c>
      <c r="N7" s="38"/>
      <c r="O7" s="38"/>
      <c r="P7" s="38"/>
      <c r="Q7" s="32"/>
      <c r="R7" s="21"/>
      <c r="S7" s="21"/>
      <c r="T7" s="21"/>
      <c r="U7" s="21"/>
      <c r="V7" s="21"/>
      <c r="W7" s="21"/>
    </row>
    <row r="8" spans="1:23" ht="20.100000000000001" customHeight="1" x14ac:dyDescent="0.2">
      <c r="A8" s="207" t="s">
        <v>86</v>
      </c>
      <c r="B8" s="187">
        <v>106</v>
      </c>
      <c r="C8" s="188">
        <v>0</v>
      </c>
      <c r="D8" s="188">
        <v>0</v>
      </c>
      <c r="E8" s="188">
        <v>0</v>
      </c>
      <c r="F8" s="188">
        <v>0</v>
      </c>
      <c r="G8" s="188">
        <v>0</v>
      </c>
      <c r="H8" s="188">
        <v>0</v>
      </c>
      <c r="I8" s="188">
        <v>0</v>
      </c>
      <c r="J8" s="188">
        <v>0</v>
      </c>
      <c r="K8" s="188">
        <v>0</v>
      </c>
      <c r="L8" s="188">
        <v>0</v>
      </c>
      <c r="M8" s="188">
        <v>0</v>
      </c>
      <c r="N8" s="38"/>
      <c r="O8" s="38"/>
      <c r="P8" s="38"/>
      <c r="Q8" s="32"/>
      <c r="R8" s="21"/>
      <c r="S8" s="21"/>
      <c r="T8" s="21"/>
      <c r="U8" s="21"/>
      <c r="V8" s="21"/>
      <c r="W8" s="21"/>
    </row>
    <row r="9" spans="1:23" ht="20.100000000000001" customHeight="1" x14ac:dyDescent="0.2">
      <c r="A9" s="207" t="s">
        <v>89</v>
      </c>
      <c r="B9" s="187">
        <v>117</v>
      </c>
      <c r="C9" s="188">
        <v>0</v>
      </c>
      <c r="D9" s="188">
        <v>0</v>
      </c>
      <c r="E9" s="188">
        <v>0</v>
      </c>
      <c r="F9" s="188">
        <v>0</v>
      </c>
      <c r="G9" s="188">
        <v>0</v>
      </c>
      <c r="H9" s="188">
        <v>0</v>
      </c>
      <c r="I9" s="188">
        <v>0</v>
      </c>
      <c r="J9" s="188">
        <v>0</v>
      </c>
      <c r="K9" s="188">
        <v>0</v>
      </c>
      <c r="L9" s="188">
        <v>0</v>
      </c>
      <c r="M9" s="188">
        <v>0</v>
      </c>
      <c r="N9" s="38"/>
      <c r="O9" s="38"/>
      <c r="P9" s="38"/>
      <c r="Q9" s="32"/>
      <c r="R9" s="21"/>
      <c r="S9" s="21"/>
      <c r="T9" s="21"/>
      <c r="U9" s="21"/>
      <c r="V9" s="21"/>
      <c r="W9" s="21"/>
    </row>
    <row r="10" spans="1:23" ht="24.95" customHeight="1" x14ac:dyDescent="0.2">
      <c r="A10" s="207" t="s">
        <v>90</v>
      </c>
      <c r="B10" s="187">
        <v>0</v>
      </c>
      <c r="C10" s="188">
        <v>0</v>
      </c>
      <c r="D10" s="188">
        <v>898</v>
      </c>
      <c r="E10" s="188">
        <v>0</v>
      </c>
      <c r="F10" s="188">
        <v>68.900000000000006</v>
      </c>
      <c r="G10" s="188">
        <v>105.5</v>
      </c>
      <c r="H10" s="188">
        <v>0</v>
      </c>
      <c r="I10" s="188">
        <v>0</v>
      </c>
      <c r="J10" s="188">
        <v>0</v>
      </c>
      <c r="K10" s="188">
        <v>0</v>
      </c>
      <c r="L10" s="188">
        <v>0</v>
      </c>
      <c r="M10" s="188">
        <v>0</v>
      </c>
      <c r="N10" s="38"/>
      <c r="O10" s="38"/>
      <c r="P10" s="38"/>
      <c r="Q10" s="32"/>
      <c r="R10" s="21"/>
      <c r="S10" s="21"/>
      <c r="T10" s="21"/>
      <c r="U10" s="21"/>
      <c r="V10" s="21"/>
      <c r="W10" s="21"/>
    </row>
    <row r="11" spans="1:23" ht="20.100000000000001" customHeight="1" x14ac:dyDescent="0.2">
      <c r="A11" s="207" t="s">
        <v>117</v>
      </c>
      <c r="B11" s="187">
        <v>339</v>
      </c>
      <c r="C11" s="188">
        <v>0</v>
      </c>
      <c r="D11" s="188">
        <v>0</v>
      </c>
      <c r="E11" s="188">
        <v>0</v>
      </c>
      <c r="F11" s="188">
        <v>0</v>
      </c>
      <c r="G11" s="188">
        <v>0</v>
      </c>
      <c r="H11" s="188">
        <v>0</v>
      </c>
      <c r="I11" s="188">
        <v>0</v>
      </c>
      <c r="J11" s="188">
        <v>0</v>
      </c>
      <c r="K11" s="188">
        <v>0</v>
      </c>
      <c r="L11" s="188">
        <v>0</v>
      </c>
      <c r="M11" s="188">
        <v>0</v>
      </c>
      <c r="N11" s="38"/>
      <c r="O11" s="38"/>
      <c r="P11" s="38"/>
      <c r="Q11" s="32"/>
      <c r="R11" s="21"/>
      <c r="S11" s="21"/>
      <c r="T11" s="21"/>
      <c r="U11" s="21"/>
      <c r="V11" s="21"/>
      <c r="W11" s="21"/>
    </row>
    <row r="12" spans="1:23" ht="24.95" customHeight="1" x14ac:dyDescent="0.2">
      <c r="A12" s="207" t="s">
        <v>140</v>
      </c>
      <c r="B12" s="187">
        <v>0</v>
      </c>
      <c r="C12" s="188">
        <v>0</v>
      </c>
      <c r="D12" s="188">
        <v>0</v>
      </c>
      <c r="E12" s="188">
        <v>256</v>
      </c>
      <c r="F12" s="188">
        <v>0</v>
      </c>
      <c r="G12" s="188">
        <v>0</v>
      </c>
      <c r="H12" s="188">
        <v>0</v>
      </c>
      <c r="I12" s="188">
        <v>0</v>
      </c>
      <c r="J12" s="188">
        <v>0</v>
      </c>
      <c r="K12" s="188">
        <v>0</v>
      </c>
      <c r="L12" s="188">
        <v>0</v>
      </c>
      <c r="M12" s="188">
        <v>0</v>
      </c>
      <c r="N12" s="38"/>
      <c r="O12" s="38"/>
      <c r="P12" s="38"/>
      <c r="Q12" s="32"/>
      <c r="R12" s="21"/>
      <c r="S12" s="21"/>
      <c r="T12" s="21"/>
      <c r="U12" s="21"/>
      <c r="V12" s="21"/>
      <c r="W12" s="21"/>
    </row>
    <row r="13" spans="1:23" ht="20.100000000000001" customHeight="1" thickBot="1" x14ac:dyDescent="0.25">
      <c r="A13" s="328" t="s">
        <v>198</v>
      </c>
      <c r="B13" s="329">
        <f>SUM(B7:B12)</f>
        <v>722</v>
      </c>
      <c r="C13" s="329">
        <f>SUM(C7:C12)</f>
        <v>0</v>
      </c>
      <c r="D13" s="354">
        <f>SUM(D7:D12)</f>
        <v>898</v>
      </c>
      <c r="E13" s="354">
        <f t="shared" ref="E13:H13" si="0">SUM(E7:E12)</f>
        <v>256</v>
      </c>
      <c r="F13" s="354">
        <f t="shared" si="0"/>
        <v>68.900000000000006</v>
      </c>
      <c r="G13" s="354">
        <f t="shared" si="0"/>
        <v>105.5</v>
      </c>
      <c r="H13" s="354">
        <f t="shared" si="0"/>
        <v>0</v>
      </c>
      <c r="I13" s="354">
        <f>SUM(I7:I12)</f>
        <v>0</v>
      </c>
      <c r="J13" s="354">
        <f>SUM(J7:J12)</f>
        <v>0</v>
      </c>
      <c r="K13" s="354">
        <f>SUM(K7:K12)</f>
        <v>0</v>
      </c>
      <c r="L13" s="354">
        <f>SUM(L7:L12)</f>
        <v>0</v>
      </c>
      <c r="M13" s="354">
        <f>SUM(M7:M12)</f>
        <v>0</v>
      </c>
      <c r="N13" s="38"/>
      <c r="O13" s="38"/>
      <c r="P13" s="38"/>
      <c r="Q13" s="32"/>
      <c r="R13" s="21"/>
      <c r="S13" s="21"/>
      <c r="T13" s="21"/>
      <c r="U13" s="21"/>
      <c r="V13" s="21"/>
      <c r="W13" s="21"/>
    </row>
    <row r="14" spans="1:23" ht="20.100000000000001" customHeight="1" x14ac:dyDescent="0.2">
      <c r="A14" s="206" t="s">
        <v>136</v>
      </c>
      <c r="B14" s="355" t="s">
        <v>24</v>
      </c>
      <c r="C14" s="355" t="s">
        <v>24</v>
      </c>
      <c r="D14" s="356"/>
      <c r="E14" s="356"/>
      <c r="F14" s="356"/>
      <c r="G14" s="356"/>
      <c r="H14" s="356"/>
      <c r="I14" s="356"/>
      <c r="J14" s="356"/>
      <c r="K14" s="356"/>
      <c r="L14" s="356"/>
      <c r="M14" s="356"/>
      <c r="N14" s="62"/>
      <c r="O14" s="62"/>
      <c r="P14" s="147"/>
      <c r="Q14" s="32"/>
      <c r="R14" s="21"/>
      <c r="S14" s="21"/>
      <c r="T14" s="21"/>
      <c r="U14" s="21"/>
      <c r="V14" s="21"/>
      <c r="W14" s="21"/>
    </row>
    <row r="15" spans="1:23" ht="24.95" customHeight="1" x14ac:dyDescent="0.2">
      <c r="A15" s="207" t="s">
        <v>149</v>
      </c>
      <c r="B15" s="187">
        <v>16</v>
      </c>
      <c r="C15" s="188">
        <v>0</v>
      </c>
      <c r="D15" s="188">
        <v>0</v>
      </c>
      <c r="E15" s="188">
        <v>237</v>
      </c>
      <c r="F15" s="188">
        <v>0</v>
      </c>
      <c r="G15" s="188">
        <v>0</v>
      </c>
      <c r="H15" s="188">
        <v>0</v>
      </c>
      <c r="I15" s="188">
        <v>0</v>
      </c>
      <c r="J15" s="188">
        <v>0</v>
      </c>
      <c r="K15" s="188">
        <v>124</v>
      </c>
      <c r="L15" s="188">
        <v>0</v>
      </c>
      <c r="M15" s="188">
        <v>0</v>
      </c>
      <c r="N15" s="62"/>
      <c r="O15" s="62"/>
      <c r="P15" s="147"/>
      <c r="Q15" s="32"/>
      <c r="R15" s="21"/>
      <c r="S15" s="21"/>
      <c r="T15" s="21"/>
      <c r="U15" s="21"/>
      <c r="V15" s="21"/>
      <c r="W15" s="21"/>
    </row>
    <row r="16" spans="1:23" ht="24.95" customHeight="1" x14ac:dyDescent="0.2">
      <c r="A16" s="207" t="s">
        <v>112</v>
      </c>
      <c r="B16" s="187">
        <v>0</v>
      </c>
      <c r="C16" s="188">
        <v>0</v>
      </c>
      <c r="D16" s="188">
        <v>0</v>
      </c>
      <c r="E16" s="188">
        <v>0</v>
      </c>
      <c r="F16" s="188">
        <v>340.2</v>
      </c>
      <c r="G16" s="188">
        <v>494.5</v>
      </c>
      <c r="H16" s="188">
        <v>0</v>
      </c>
      <c r="I16" s="188">
        <v>0</v>
      </c>
      <c r="J16" s="188">
        <v>0</v>
      </c>
      <c r="K16" s="188">
        <v>0</v>
      </c>
      <c r="L16" s="188">
        <v>0</v>
      </c>
      <c r="M16" s="188">
        <v>0</v>
      </c>
      <c r="N16" s="62"/>
      <c r="O16" s="62"/>
      <c r="P16" s="147"/>
      <c r="Q16" s="32"/>
      <c r="R16" s="21"/>
      <c r="S16" s="21"/>
      <c r="T16" s="21"/>
      <c r="U16" s="21"/>
      <c r="V16" s="21"/>
      <c r="W16" s="21"/>
    </row>
    <row r="17" spans="1:23" ht="24.95" customHeight="1" x14ac:dyDescent="0.2">
      <c r="A17" s="207" t="s">
        <v>87</v>
      </c>
      <c r="B17" s="187">
        <v>0</v>
      </c>
      <c r="C17" s="188">
        <v>0</v>
      </c>
      <c r="D17" s="188">
        <v>0</v>
      </c>
      <c r="E17" s="188">
        <v>0</v>
      </c>
      <c r="F17" s="188">
        <v>90.3</v>
      </c>
      <c r="G17" s="188">
        <v>0</v>
      </c>
      <c r="H17" s="188">
        <v>0</v>
      </c>
      <c r="I17" s="188">
        <v>0</v>
      </c>
      <c r="J17" s="188">
        <v>0</v>
      </c>
      <c r="K17" s="188">
        <v>0</v>
      </c>
      <c r="L17" s="188">
        <v>0</v>
      </c>
      <c r="M17" s="188">
        <v>0</v>
      </c>
      <c r="N17" s="62"/>
      <c r="O17" s="62"/>
      <c r="P17" s="147"/>
      <c r="Q17" s="32"/>
      <c r="R17" s="21"/>
      <c r="S17" s="21"/>
      <c r="T17" s="21"/>
      <c r="U17" s="21"/>
      <c r="V17" s="21"/>
      <c r="W17" s="21"/>
    </row>
    <row r="18" spans="1:23" ht="24.95" customHeight="1" x14ac:dyDescent="0.2">
      <c r="A18" s="207" t="s">
        <v>151</v>
      </c>
      <c r="B18" s="187">
        <v>0</v>
      </c>
      <c r="C18" s="188">
        <v>0</v>
      </c>
      <c r="D18" s="188">
        <v>0</v>
      </c>
      <c r="E18" s="188">
        <v>0</v>
      </c>
      <c r="F18" s="188">
        <v>0</v>
      </c>
      <c r="G18" s="188">
        <v>0</v>
      </c>
      <c r="H18" s="188">
        <v>0</v>
      </c>
      <c r="I18" s="188">
        <v>0</v>
      </c>
      <c r="J18" s="188">
        <v>0</v>
      </c>
      <c r="K18" s="188">
        <v>182</v>
      </c>
      <c r="L18" s="188">
        <v>0</v>
      </c>
      <c r="M18" s="188">
        <v>0</v>
      </c>
      <c r="N18" s="62"/>
      <c r="O18" s="62"/>
      <c r="P18" s="147"/>
      <c r="Q18" s="32"/>
      <c r="R18" s="21"/>
      <c r="S18" s="21"/>
      <c r="T18" s="21"/>
      <c r="U18" s="21"/>
      <c r="V18" s="21"/>
      <c r="W18" s="21"/>
    </row>
    <row r="19" spans="1:23" ht="65.099999999999994" customHeight="1" x14ac:dyDescent="0.2">
      <c r="A19" s="357" t="s">
        <v>167</v>
      </c>
      <c r="B19" s="187">
        <v>0</v>
      </c>
      <c r="C19" s="189">
        <v>0</v>
      </c>
      <c r="D19" s="188">
        <v>50</v>
      </c>
      <c r="E19" s="188">
        <v>0</v>
      </c>
      <c r="F19" s="188">
        <v>0</v>
      </c>
      <c r="G19" s="188">
        <v>0</v>
      </c>
      <c r="H19" s="188">
        <v>0</v>
      </c>
      <c r="I19" s="188">
        <v>0</v>
      </c>
      <c r="J19" s="188">
        <v>175</v>
      </c>
      <c r="K19" s="188">
        <v>0</v>
      </c>
      <c r="L19" s="188">
        <v>0</v>
      </c>
      <c r="M19" s="188">
        <v>0</v>
      </c>
      <c r="N19" s="62"/>
      <c r="O19" s="62"/>
      <c r="P19" s="147"/>
      <c r="Q19" s="32"/>
      <c r="R19" s="21"/>
      <c r="S19" s="21"/>
      <c r="T19" s="21"/>
      <c r="U19" s="21"/>
      <c r="V19" s="21"/>
      <c r="W19" s="21"/>
    </row>
    <row r="20" spans="1:23" ht="20.100000000000001" customHeight="1" thickBot="1" x14ac:dyDescent="0.25">
      <c r="A20" s="328" t="s">
        <v>92</v>
      </c>
      <c r="B20" s="329">
        <f>SUM(B15:B19)</f>
        <v>16</v>
      </c>
      <c r="C20" s="329">
        <f>SUM(C15:C18)</f>
        <v>0</v>
      </c>
      <c r="D20" s="354">
        <f t="shared" ref="D20:M20" si="1">SUM(D15:D19)</f>
        <v>50</v>
      </c>
      <c r="E20" s="354">
        <f t="shared" si="1"/>
        <v>237</v>
      </c>
      <c r="F20" s="354">
        <f t="shared" si="1"/>
        <v>430.5</v>
      </c>
      <c r="G20" s="354">
        <f t="shared" si="1"/>
        <v>494.5</v>
      </c>
      <c r="H20" s="354">
        <f t="shared" si="1"/>
        <v>0</v>
      </c>
      <c r="I20" s="354">
        <f t="shared" si="1"/>
        <v>0</v>
      </c>
      <c r="J20" s="354">
        <f t="shared" si="1"/>
        <v>175</v>
      </c>
      <c r="K20" s="354">
        <f t="shared" si="1"/>
        <v>306</v>
      </c>
      <c r="L20" s="354">
        <f t="shared" si="1"/>
        <v>0</v>
      </c>
      <c r="M20" s="354">
        <f t="shared" si="1"/>
        <v>0</v>
      </c>
      <c r="N20" s="62"/>
      <c r="O20" s="62"/>
      <c r="P20" s="147"/>
      <c r="Q20" s="32"/>
      <c r="R20" s="21"/>
      <c r="S20" s="21"/>
      <c r="T20" s="21"/>
      <c r="U20" s="21"/>
      <c r="V20" s="21"/>
      <c r="W20" s="21"/>
    </row>
    <row r="21" spans="1:23" ht="20.100000000000001" customHeight="1" x14ac:dyDescent="0.2">
      <c r="A21" s="206" t="s">
        <v>74</v>
      </c>
      <c r="B21" s="360"/>
      <c r="C21" s="360"/>
      <c r="D21" s="361"/>
      <c r="E21" s="361"/>
      <c r="F21" s="361"/>
      <c r="G21" s="361"/>
      <c r="H21" s="361"/>
      <c r="I21" s="361"/>
      <c r="J21" s="361"/>
      <c r="K21" s="361"/>
      <c r="L21" s="361"/>
      <c r="M21" s="361"/>
      <c r="N21" s="62"/>
      <c r="O21" s="62"/>
      <c r="P21" s="147"/>
      <c r="Q21" s="32"/>
      <c r="R21" s="21"/>
      <c r="S21" s="21"/>
      <c r="T21" s="21"/>
      <c r="U21" s="21"/>
      <c r="V21" s="21"/>
      <c r="W21" s="21"/>
    </row>
    <row r="22" spans="1:23" ht="24.95" customHeight="1" x14ac:dyDescent="0.2">
      <c r="A22" s="207" t="s">
        <v>88</v>
      </c>
      <c r="B22" s="187">
        <v>159</v>
      </c>
      <c r="C22" s="188">
        <v>0</v>
      </c>
      <c r="D22" s="188">
        <v>0</v>
      </c>
      <c r="E22" s="188">
        <v>0</v>
      </c>
      <c r="F22" s="188">
        <v>0</v>
      </c>
      <c r="G22" s="188">
        <v>0</v>
      </c>
      <c r="H22" s="188">
        <v>0</v>
      </c>
      <c r="I22" s="188">
        <v>0</v>
      </c>
      <c r="J22" s="188">
        <v>0</v>
      </c>
      <c r="K22" s="188">
        <v>0</v>
      </c>
      <c r="L22" s="188">
        <v>0</v>
      </c>
      <c r="M22" s="188">
        <v>0</v>
      </c>
      <c r="N22" s="62"/>
      <c r="O22" s="62"/>
      <c r="P22" s="147"/>
      <c r="Q22" s="32"/>
      <c r="R22" s="21"/>
      <c r="S22" s="21"/>
      <c r="T22" s="21"/>
      <c r="U22" s="21"/>
      <c r="V22" s="21"/>
      <c r="W22" s="21"/>
    </row>
    <row r="23" spans="1:23" ht="24.95" customHeight="1" x14ac:dyDescent="0.2">
      <c r="A23" s="207" t="s">
        <v>152</v>
      </c>
      <c r="B23" s="187">
        <v>0</v>
      </c>
      <c r="C23" s="188">
        <v>0</v>
      </c>
      <c r="D23" s="188">
        <v>0</v>
      </c>
      <c r="E23" s="188">
        <v>0</v>
      </c>
      <c r="F23" s="188">
        <v>0</v>
      </c>
      <c r="G23" s="188">
        <v>0</v>
      </c>
      <c r="H23" s="188">
        <v>37</v>
      </c>
      <c r="I23" s="188">
        <v>0</v>
      </c>
      <c r="J23" s="188">
        <v>0</v>
      </c>
      <c r="K23" s="188">
        <v>0</v>
      </c>
      <c r="L23" s="188">
        <v>0</v>
      </c>
      <c r="M23" s="188">
        <v>0</v>
      </c>
      <c r="N23" s="62"/>
      <c r="O23" s="62"/>
      <c r="P23" s="147"/>
      <c r="Q23" s="32"/>
      <c r="R23" s="21"/>
      <c r="S23" s="21"/>
      <c r="T23" s="21"/>
      <c r="U23" s="21"/>
      <c r="V23" s="21"/>
      <c r="W23" s="21"/>
    </row>
    <row r="24" spans="1:23" ht="24.95" customHeight="1" x14ac:dyDescent="0.2">
      <c r="A24" s="207" t="s">
        <v>165</v>
      </c>
      <c r="B24" s="187">
        <v>0</v>
      </c>
      <c r="C24" s="188">
        <v>0</v>
      </c>
      <c r="D24" s="188">
        <v>0</v>
      </c>
      <c r="E24" s="189">
        <v>0</v>
      </c>
      <c r="F24" s="189">
        <v>0</v>
      </c>
      <c r="G24" s="189">
        <v>0</v>
      </c>
      <c r="H24" s="189">
        <v>35</v>
      </c>
      <c r="I24" s="188">
        <v>0</v>
      </c>
      <c r="J24" s="189">
        <v>0</v>
      </c>
      <c r="K24" s="188">
        <v>0</v>
      </c>
      <c r="L24" s="188">
        <v>0</v>
      </c>
      <c r="M24" s="188">
        <v>0</v>
      </c>
      <c r="N24" s="62"/>
      <c r="O24" s="62"/>
      <c r="P24" s="147"/>
      <c r="Q24" s="32"/>
      <c r="R24" s="21"/>
      <c r="S24" s="21"/>
      <c r="T24" s="21"/>
      <c r="U24" s="21"/>
      <c r="V24" s="21"/>
      <c r="W24" s="21"/>
    </row>
    <row r="25" spans="1:23" ht="24.95" customHeight="1" x14ac:dyDescent="0.2">
      <c r="A25" s="207" t="s">
        <v>164</v>
      </c>
      <c r="B25" s="187">
        <v>0</v>
      </c>
      <c r="C25" s="188">
        <v>0</v>
      </c>
      <c r="D25" s="188">
        <v>0</v>
      </c>
      <c r="E25" s="189">
        <v>0</v>
      </c>
      <c r="F25" s="189">
        <v>0</v>
      </c>
      <c r="G25" s="189">
        <v>0</v>
      </c>
      <c r="H25" s="189">
        <v>0</v>
      </c>
      <c r="I25" s="188">
        <v>0</v>
      </c>
      <c r="J25" s="189">
        <v>0</v>
      </c>
      <c r="K25" s="188">
        <v>0</v>
      </c>
      <c r="L25" s="188">
        <v>155</v>
      </c>
      <c r="M25" s="188">
        <v>0</v>
      </c>
      <c r="N25" s="62"/>
      <c r="O25" s="62"/>
      <c r="P25" s="147"/>
      <c r="Q25" s="32"/>
      <c r="R25" s="21"/>
      <c r="S25" s="21"/>
      <c r="T25" s="21"/>
      <c r="U25" s="21"/>
      <c r="V25" s="21"/>
      <c r="W25" s="21"/>
    </row>
    <row r="26" spans="1:23" ht="20.100000000000001" customHeight="1" x14ac:dyDescent="0.2">
      <c r="A26" s="207" t="s">
        <v>153</v>
      </c>
      <c r="B26" s="187">
        <v>733</v>
      </c>
      <c r="C26" s="188">
        <v>0</v>
      </c>
      <c r="D26" s="188">
        <v>0</v>
      </c>
      <c r="E26" s="189">
        <v>0</v>
      </c>
      <c r="F26" s="189">
        <v>0</v>
      </c>
      <c r="G26" s="189">
        <v>0</v>
      </c>
      <c r="H26" s="189">
        <v>0</v>
      </c>
      <c r="I26" s="188">
        <v>0</v>
      </c>
      <c r="J26" s="189">
        <v>0</v>
      </c>
      <c r="K26" s="188">
        <v>0</v>
      </c>
      <c r="L26" s="188">
        <v>0</v>
      </c>
      <c r="M26" s="188">
        <v>0</v>
      </c>
      <c r="N26" s="62"/>
      <c r="O26" s="62"/>
      <c r="P26" s="147"/>
      <c r="Q26" s="32"/>
      <c r="R26" s="21"/>
      <c r="S26" s="21"/>
      <c r="T26" s="21"/>
      <c r="U26" s="21"/>
      <c r="V26" s="21"/>
      <c r="W26" s="21"/>
    </row>
    <row r="27" spans="1:23" ht="20.100000000000001" customHeight="1" x14ac:dyDescent="0.2">
      <c r="A27" s="207" t="s">
        <v>150</v>
      </c>
      <c r="B27" s="187">
        <v>0</v>
      </c>
      <c r="C27" s="188">
        <v>0</v>
      </c>
      <c r="D27" s="188">
        <v>0</v>
      </c>
      <c r="E27" s="189">
        <v>0</v>
      </c>
      <c r="F27" s="189">
        <v>0</v>
      </c>
      <c r="G27" s="189">
        <v>0</v>
      </c>
      <c r="H27" s="189">
        <v>0</v>
      </c>
      <c r="I27" s="189">
        <v>0</v>
      </c>
      <c r="J27" s="189">
        <v>0</v>
      </c>
      <c r="K27" s="188">
        <v>65.7</v>
      </c>
      <c r="L27" s="188">
        <v>0</v>
      </c>
      <c r="M27" s="188">
        <v>0</v>
      </c>
      <c r="N27" s="62"/>
      <c r="O27" s="62"/>
      <c r="P27" s="147"/>
      <c r="Q27" s="32"/>
      <c r="R27" s="21"/>
      <c r="S27" s="21"/>
      <c r="T27" s="21"/>
      <c r="U27" s="21"/>
      <c r="V27" s="21"/>
      <c r="W27" s="21"/>
    </row>
    <row r="28" spans="1:23" ht="20.100000000000001" customHeight="1" x14ac:dyDescent="0.2">
      <c r="A28" s="207" t="s">
        <v>166</v>
      </c>
      <c r="B28" s="187">
        <v>0</v>
      </c>
      <c r="C28" s="188">
        <v>0</v>
      </c>
      <c r="D28" s="188">
        <v>0</v>
      </c>
      <c r="E28" s="189">
        <v>0</v>
      </c>
      <c r="F28" s="189">
        <v>41</v>
      </c>
      <c r="G28" s="189">
        <v>21</v>
      </c>
      <c r="H28" s="189">
        <v>0</v>
      </c>
      <c r="I28" s="189">
        <v>0</v>
      </c>
      <c r="J28" s="189">
        <v>0</v>
      </c>
      <c r="K28" s="188">
        <v>0</v>
      </c>
      <c r="L28" s="188">
        <v>0</v>
      </c>
      <c r="M28" s="188">
        <v>0</v>
      </c>
      <c r="N28" s="62"/>
      <c r="O28" s="62"/>
      <c r="P28" s="147"/>
      <c r="Q28" s="32"/>
      <c r="R28" s="21"/>
      <c r="S28" s="21"/>
      <c r="T28" s="21"/>
      <c r="U28" s="21"/>
      <c r="V28" s="21"/>
      <c r="W28" s="21"/>
    </row>
    <row r="29" spans="1:23" ht="20.100000000000001" customHeight="1" x14ac:dyDescent="0.2">
      <c r="A29" s="207" t="s">
        <v>176</v>
      </c>
      <c r="B29" s="187">
        <v>665</v>
      </c>
      <c r="C29" s="188">
        <v>0</v>
      </c>
      <c r="D29" s="188">
        <v>40</v>
      </c>
      <c r="E29" s="189">
        <v>0</v>
      </c>
      <c r="F29" s="189">
        <v>0</v>
      </c>
      <c r="G29" s="189">
        <v>0</v>
      </c>
      <c r="H29" s="189">
        <v>0</v>
      </c>
      <c r="I29" s="189">
        <v>0</v>
      </c>
      <c r="J29" s="189">
        <v>0</v>
      </c>
      <c r="K29" s="188">
        <v>0</v>
      </c>
      <c r="L29" s="188">
        <v>0</v>
      </c>
      <c r="M29" s="188">
        <v>0</v>
      </c>
      <c r="N29" s="62"/>
      <c r="O29" s="62"/>
      <c r="P29" s="147"/>
      <c r="Q29" s="32"/>
      <c r="R29" s="21"/>
      <c r="S29" s="21"/>
      <c r="T29" s="21"/>
      <c r="U29" s="21"/>
      <c r="V29" s="21"/>
      <c r="W29" s="21"/>
    </row>
    <row r="30" spans="1:23" ht="20.100000000000001" customHeight="1" x14ac:dyDescent="0.2">
      <c r="A30" s="375" t="s">
        <v>220</v>
      </c>
      <c r="B30" s="376">
        <v>0</v>
      </c>
      <c r="C30" s="377">
        <v>0</v>
      </c>
      <c r="D30" s="378">
        <v>0</v>
      </c>
      <c r="E30" s="377">
        <v>0</v>
      </c>
      <c r="F30" s="377">
        <v>0</v>
      </c>
      <c r="G30" s="377">
        <v>0</v>
      </c>
      <c r="H30" s="377">
        <v>0</v>
      </c>
      <c r="I30" s="377">
        <v>0</v>
      </c>
      <c r="J30" s="377">
        <v>0</v>
      </c>
      <c r="K30" s="378">
        <v>0</v>
      </c>
      <c r="L30" s="378">
        <v>0</v>
      </c>
      <c r="M30" s="378">
        <v>1097</v>
      </c>
      <c r="N30" s="62"/>
      <c r="O30" s="62"/>
      <c r="P30" s="147"/>
      <c r="Q30" s="32"/>
      <c r="R30" s="21"/>
      <c r="S30" s="21"/>
      <c r="T30" s="21"/>
      <c r="U30" s="21"/>
      <c r="V30" s="21"/>
      <c r="W30" s="21"/>
    </row>
    <row r="31" spans="1:23" ht="20.100000000000001" customHeight="1" x14ac:dyDescent="0.2">
      <c r="A31" s="641" t="s">
        <v>336</v>
      </c>
      <c r="B31" s="642">
        <v>0</v>
      </c>
      <c r="C31" s="643">
        <v>0</v>
      </c>
      <c r="D31" s="644">
        <v>0</v>
      </c>
      <c r="E31" s="643">
        <v>0</v>
      </c>
      <c r="F31" s="643">
        <v>0</v>
      </c>
      <c r="G31" s="643">
        <v>0</v>
      </c>
      <c r="H31" s="643">
        <v>0</v>
      </c>
      <c r="I31" s="643">
        <v>0</v>
      </c>
      <c r="J31" s="643">
        <v>0</v>
      </c>
      <c r="K31" s="644">
        <v>0</v>
      </c>
      <c r="L31" s="644">
        <v>0</v>
      </c>
      <c r="M31" s="644">
        <v>279</v>
      </c>
      <c r="N31" s="62"/>
      <c r="O31" s="62"/>
      <c r="P31" s="147"/>
      <c r="Q31" s="32"/>
      <c r="R31" s="21"/>
      <c r="S31" s="21"/>
      <c r="T31" s="21"/>
      <c r="U31" s="21"/>
      <c r="V31" s="21"/>
      <c r="W31" s="21"/>
    </row>
    <row r="32" spans="1:23" ht="20.100000000000001" customHeight="1" thickBot="1" x14ac:dyDescent="0.25">
      <c r="A32" s="328" t="s">
        <v>79</v>
      </c>
      <c r="B32" s="329">
        <f>SUM(B22:B31)</f>
        <v>1557</v>
      </c>
      <c r="C32" s="329">
        <f t="shared" ref="C32:M32" si="2">SUM(C22:C31)</f>
        <v>0</v>
      </c>
      <c r="D32" s="329">
        <f t="shared" si="2"/>
        <v>40</v>
      </c>
      <c r="E32" s="329">
        <f t="shared" si="2"/>
        <v>0</v>
      </c>
      <c r="F32" s="329">
        <f t="shared" si="2"/>
        <v>41</v>
      </c>
      <c r="G32" s="329">
        <f t="shared" si="2"/>
        <v>21</v>
      </c>
      <c r="H32" s="329">
        <f t="shared" si="2"/>
        <v>72</v>
      </c>
      <c r="I32" s="329">
        <f t="shared" si="2"/>
        <v>0</v>
      </c>
      <c r="J32" s="329">
        <f t="shared" si="2"/>
        <v>0</v>
      </c>
      <c r="K32" s="329">
        <f t="shared" si="2"/>
        <v>65.7</v>
      </c>
      <c r="L32" s="329">
        <f t="shared" si="2"/>
        <v>155</v>
      </c>
      <c r="M32" s="329">
        <f t="shared" si="2"/>
        <v>1376</v>
      </c>
      <c r="N32" s="62"/>
      <c r="O32" s="62"/>
      <c r="P32" s="147"/>
      <c r="Q32" s="32"/>
      <c r="R32" s="21"/>
      <c r="S32" s="21"/>
      <c r="T32" s="21"/>
      <c r="U32" s="21"/>
      <c r="V32" s="21"/>
      <c r="W32" s="21"/>
    </row>
    <row r="33" spans="1:58" x14ac:dyDescent="0.2">
      <c r="A33" s="358"/>
      <c r="B33" s="351"/>
      <c r="C33" s="351"/>
      <c r="D33" s="359"/>
      <c r="E33" s="359"/>
      <c r="F33" s="359"/>
      <c r="G33" s="359"/>
      <c r="H33" s="359"/>
      <c r="I33" s="359"/>
      <c r="J33" s="359"/>
      <c r="K33" s="359"/>
      <c r="L33" s="359"/>
      <c r="M33" s="359"/>
      <c r="N33" s="62"/>
      <c r="O33" s="62"/>
      <c r="P33" s="147"/>
      <c r="Q33" s="32"/>
      <c r="R33" s="21"/>
      <c r="S33" s="21"/>
      <c r="T33" s="21"/>
      <c r="U33" s="21"/>
      <c r="V33" s="21"/>
      <c r="W33" s="21"/>
    </row>
    <row r="34" spans="1:58" ht="20.100000000000001" customHeight="1" thickBot="1" x14ac:dyDescent="0.25">
      <c r="A34" s="328" t="s">
        <v>80</v>
      </c>
      <c r="B34" s="329">
        <f t="shared" ref="B34:M34" si="3">B13+B20+B32</f>
        <v>2295</v>
      </c>
      <c r="C34" s="329">
        <f t="shared" si="3"/>
        <v>0</v>
      </c>
      <c r="D34" s="330">
        <f t="shared" si="3"/>
        <v>988</v>
      </c>
      <c r="E34" s="330">
        <f t="shared" si="3"/>
        <v>493</v>
      </c>
      <c r="F34" s="330">
        <f t="shared" si="3"/>
        <v>540.4</v>
      </c>
      <c r="G34" s="330">
        <f t="shared" si="3"/>
        <v>621</v>
      </c>
      <c r="H34" s="330">
        <f t="shared" si="3"/>
        <v>72</v>
      </c>
      <c r="I34" s="330">
        <f t="shared" si="3"/>
        <v>0</v>
      </c>
      <c r="J34" s="330">
        <f t="shared" si="3"/>
        <v>175</v>
      </c>
      <c r="K34" s="330">
        <f t="shared" si="3"/>
        <v>371.7</v>
      </c>
      <c r="L34" s="330">
        <f t="shared" si="3"/>
        <v>155</v>
      </c>
      <c r="M34" s="330">
        <f t="shared" si="3"/>
        <v>1376</v>
      </c>
      <c r="N34" s="148"/>
      <c r="O34" s="148"/>
      <c r="P34" s="38"/>
      <c r="Q34" s="32"/>
      <c r="R34" s="21"/>
      <c r="S34" s="21"/>
      <c r="T34" s="21"/>
      <c r="U34" s="21"/>
      <c r="V34" s="21"/>
      <c r="W34" s="21"/>
    </row>
    <row r="35" spans="1:58" s="15" customFormat="1" ht="19.5" customHeight="1" x14ac:dyDescent="0.2">
      <c r="A35" s="347" t="s">
        <v>104</v>
      </c>
      <c r="B35" s="379"/>
      <c r="C35" s="379"/>
      <c r="D35" s="379"/>
      <c r="E35" s="379"/>
      <c r="F35" s="379"/>
      <c r="G35" s="379"/>
      <c r="H35" s="379"/>
      <c r="I35" s="379"/>
      <c r="J35" s="379"/>
      <c r="K35" s="379"/>
      <c r="L35" s="195"/>
      <c r="M35" s="149"/>
      <c r="N35" s="34"/>
      <c r="O35" s="32"/>
      <c r="P35" s="32"/>
      <c r="Q35" s="32"/>
      <c r="R35" s="32"/>
      <c r="S35" s="32"/>
      <c r="T35" s="32"/>
      <c r="U35" s="32"/>
      <c r="V35" s="32"/>
      <c r="W35" s="32"/>
      <c r="X35" s="32"/>
      <c r="Y35" s="32"/>
    </row>
    <row r="36" spans="1:58" s="15" customFormat="1" x14ac:dyDescent="0.2">
      <c r="A36" s="23"/>
      <c r="B36" s="150"/>
      <c r="C36" s="150"/>
      <c r="D36" s="40"/>
      <c r="E36" s="149"/>
      <c r="F36" s="149"/>
      <c r="G36" s="149"/>
      <c r="H36" s="149"/>
      <c r="I36" s="149"/>
      <c r="J36" s="34"/>
      <c r="K36" s="149"/>
      <c r="L36" s="149"/>
      <c r="M36" s="149"/>
      <c r="N36" s="34"/>
      <c r="O36" s="32"/>
      <c r="P36" s="32"/>
      <c r="Q36" s="32"/>
      <c r="R36" s="32"/>
      <c r="S36" s="32"/>
      <c r="T36" s="32"/>
      <c r="U36" s="32"/>
      <c r="V36" s="32"/>
      <c r="W36" s="32"/>
      <c r="X36" s="32"/>
      <c r="Y36" s="32"/>
    </row>
    <row r="37" spans="1:58" s="15" customFormat="1" x14ac:dyDescent="0.2">
      <c r="A37" s="151"/>
      <c r="B37" s="150"/>
      <c r="C37" s="150"/>
      <c r="D37" s="40"/>
      <c r="E37" s="149"/>
      <c r="F37" s="149"/>
      <c r="G37" s="149"/>
      <c r="H37" s="149"/>
      <c r="I37" s="149"/>
      <c r="J37" s="34"/>
      <c r="K37" s="149"/>
      <c r="L37" s="149"/>
      <c r="M37" s="149"/>
      <c r="N37" s="34"/>
      <c r="O37" s="32"/>
      <c r="P37" s="32"/>
      <c r="Q37" s="32"/>
      <c r="R37" s="32"/>
      <c r="S37" s="32"/>
      <c r="T37" s="32"/>
      <c r="U37" s="32"/>
      <c r="V37" s="32"/>
      <c r="W37" s="32"/>
      <c r="X37" s="32"/>
      <c r="Y37" s="32"/>
    </row>
    <row r="38" spans="1:58" ht="32.25" thickBot="1" x14ac:dyDescent="0.3">
      <c r="A38" s="174" t="s">
        <v>93</v>
      </c>
      <c r="B38" s="152" t="s">
        <v>24</v>
      </c>
      <c r="C38" s="152" t="s">
        <v>24</v>
      </c>
      <c r="D38" s="66"/>
      <c r="E38" s="149"/>
      <c r="F38" s="149"/>
      <c r="G38" s="149"/>
      <c r="H38" s="149"/>
      <c r="I38" s="212"/>
      <c r="J38" s="209"/>
      <c r="K38" s="209"/>
      <c r="L38" s="210"/>
      <c r="M38" s="149"/>
      <c r="N38" s="34"/>
      <c r="O38" s="21"/>
      <c r="P38" s="21"/>
      <c r="Q38" s="21"/>
      <c r="R38" s="21"/>
      <c r="S38" s="21"/>
      <c r="T38" s="21"/>
      <c r="U38" s="21"/>
      <c r="V38" s="21"/>
      <c r="W38" s="21"/>
      <c r="X38" s="21"/>
      <c r="Y38" s="21"/>
    </row>
    <row r="39" spans="1:58" ht="39" thickBot="1" x14ac:dyDescent="0.25">
      <c r="A39" s="341" t="s">
        <v>56</v>
      </c>
      <c r="B39" s="342" t="s">
        <v>141</v>
      </c>
      <c r="C39" s="343" t="s">
        <v>94</v>
      </c>
      <c r="D39" s="296" t="s">
        <v>95</v>
      </c>
      <c r="E39" s="296" t="s">
        <v>96</v>
      </c>
      <c r="F39" s="343" t="s">
        <v>123</v>
      </c>
      <c r="G39" s="382" t="s">
        <v>168</v>
      </c>
      <c r="H39" s="390"/>
      <c r="I39" s="233"/>
      <c r="J39" s="234" t="s">
        <v>24</v>
      </c>
      <c r="K39" s="234"/>
      <c r="L39" s="234"/>
      <c r="M39" s="234"/>
      <c r="N39" s="234"/>
      <c r="O39" s="234"/>
      <c r="P39" s="21"/>
      <c r="Q39" s="21"/>
      <c r="R39" s="21"/>
      <c r="S39" s="21"/>
      <c r="T39" s="21"/>
      <c r="U39" s="21"/>
      <c r="V39" s="21"/>
      <c r="W39" s="21"/>
      <c r="X39" s="21"/>
    </row>
    <row r="40" spans="1:58" x14ac:dyDescent="0.2">
      <c r="A40" s="338" t="s">
        <v>16</v>
      </c>
      <c r="B40" s="380">
        <v>1.66E-2</v>
      </c>
      <c r="C40" s="232">
        <v>9.0300000000000005E-2</v>
      </c>
      <c r="D40" s="232">
        <v>2.8E-3</v>
      </c>
      <c r="E40" s="232">
        <v>0</v>
      </c>
      <c r="F40" s="232">
        <v>0</v>
      </c>
      <c r="G40" s="383">
        <v>1.9599999999999999E-2</v>
      </c>
      <c r="H40" s="391"/>
      <c r="I40" s="387"/>
      <c r="J40" s="388" t="s">
        <v>24</v>
      </c>
      <c r="K40" s="388"/>
      <c r="L40" s="388"/>
      <c r="M40" s="388"/>
      <c r="N40" s="389"/>
      <c r="O40" s="262"/>
      <c r="P40" s="261"/>
      <c r="Q40" s="262"/>
      <c r="R40" s="261"/>
      <c r="S40" s="260"/>
      <c r="T40" s="261"/>
      <c r="U40" s="260"/>
      <c r="V40" s="261"/>
      <c r="W40" s="260"/>
      <c r="X40" s="260"/>
      <c r="Y40" s="261"/>
      <c r="Z40" s="262"/>
      <c r="AA40" s="261"/>
      <c r="AB40" s="262"/>
      <c r="AC40" s="261"/>
      <c r="AD40" s="262"/>
      <c r="AE40" s="261"/>
      <c r="AF40" s="260"/>
      <c r="AG40" s="261"/>
      <c r="AH40" s="262"/>
      <c r="AI40" s="261"/>
      <c r="AJ40" s="263"/>
      <c r="AK40" s="261"/>
      <c r="AL40" s="262"/>
      <c r="AM40" s="261"/>
      <c r="AN40" s="262"/>
      <c r="AO40" s="261"/>
      <c r="AP40" s="262"/>
      <c r="AQ40" s="261"/>
      <c r="AR40" s="262"/>
      <c r="AS40" s="261"/>
      <c r="AT40" s="260"/>
      <c r="AU40" s="261"/>
      <c r="AV40" s="262"/>
      <c r="AW40" s="261"/>
      <c r="AX40" s="262"/>
      <c r="AY40" s="261"/>
      <c r="AZ40" s="260"/>
      <c r="BA40" s="261"/>
      <c r="BB40" s="263"/>
      <c r="BC40" s="261"/>
      <c r="BD40" s="260"/>
      <c r="BE40" s="261"/>
      <c r="BF40" s="260"/>
    </row>
    <row r="41" spans="1:58" x14ac:dyDescent="0.2">
      <c r="A41" s="339" t="s">
        <v>29</v>
      </c>
      <c r="B41" s="380">
        <v>0.1416</v>
      </c>
      <c r="C41" s="232">
        <v>0</v>
      </c>
      <c r="D41" s="232">
        <v>0</v>
      </c>
      <c r="E41" s="232">
        <v>0</v>
      </c>
      <c r="F41" s="232">
        <v>0</v>
      </c>
      <c r="G41" s="384">
        <v>0</v>
      </c>
      <c r="H41" s="391"/>
      <c r="I41" s="387"/>
      <c r="J41" s="388" t="s">
        <v>24</v>
      </c>
      <c r="K41" s="388"/>
      <c r="L41" s="388"/>
      <c r="M41" s="388"/>
      <c r="N41" s="389"/>
      <c r="O41" s="262"/>
      <c r="P41" s="261"/>
      <c r="Q41" s="262"/>
      <c r="R41" s="261"/>
      <c r="S41" s="260"/>
      <c r="T41" s="261"/>
      <c r="U41" s="260"/>
      <c r="V41" s="261"/>
      <c r="W41" s="260"/>
      <c r="X41" s="260"/>
      <c r="Y41" s="261"/>
      <c r="Z41" s="262"/>
      <c r="AA41" s="261"/>
      <c r="AB41" s="262"/>
      <c r="AC41" s="261"/>
      <c r="AD41" s="262"/>
      <c r="AE41" s="261"/>
      <c r="AF41" s="260"/>
      <c r="AG41" s="261"/>
      <c r="AH41" s="262"/>
      <c r="AI41" s="261"/>
      <c r="AJ41" s="263"/>
      <c r="AK41" s="261"/>
      <c r="AL41" s="262"/>
      <c r="AM41" s="261"/>
      <c r="AN41" s="262"/>
      <c r="AO41" s="261"/>
      <c r="AP41" s="262"/>
      <c r="AQ41" s="261"/>
      <c r="AR41" s="262"/>
      <c r="AS41" s="261"/>
      <c r="AT41" s="260"/>
      <c r="AU41" s="261"/>
      <c r="AV41" s="262"/>
      <c r="AW41" s="261"/>
      <c r="AX41" s="262"/>
      <c r="AY41" s="261"/>
      <c r="AZ41" s="260"/>
      <c r="BA41" s="261"/>
      <c r="BB41" s="263"/>
      <c r="BC41" s="261"/>
      <c r="BD41" s="260"/>
      <c r="BE41" s="261"/>
      <c r="BF41" s="260"/>
    </row>
    <row r="42" spans="1:58" x14ac:dyDescent="0.2">
      <c r="A42" s="339" t="s">
        <v>19</v>
      </c>
      <c r="B42" s="380">
        <v>5.7299999999999997E-2</v>
      </c>
      <c r="C42" s="232">
        <v>0</v>
      </c>
      <c r="D42" s="232">
        <v>0</v>
      </c>
      <c r="E42" s="232">
        <v>0</v>
      </c>
      <c r="F42" s="232">
        <v>4.4200000000000003E-2</v>
      </c>
      <c r="G42" s="384">
        <v>0</v>
      </c>
      <c r="H42" s="391"/>
      <c r="I42" s="387"/>
      <c r="J42" s="388" t="s">
        <v>24</v>
      </c>
      <c r="K42" s="388"/>
      <c r="L42" s="388"/>
      <c r="M42" s="388"/>
      <c r="N42" s="389"/>
      <c r="O42" s="262"/>
      <c r="P42" s="261"/>
      <c r="Q42" s="262"/>
      <c r="R42" s="261"/>
      <c r="S42" s="260"/>
      <c r="T42" s="261"/>
      <c r="U42" s="260"/>
      <c r="V42" s="261"/>
      <c r="W42" s="260"/>
      <c r="X42" s="260"/>
      <c r="Y42" s="261"/>
      <c r="Z42" s="262"/>
      <c r="AA42" s="261"/>
      <c r="AB42" s="262"/>
      <c r="AC42" s="261"/>
      <c r="AD42" s="262"/>
      <c r="AE42" s="261"/>
      <c r="AF42" s="260"/>
      <c r="AG42" s="261"/>
      <c r="AH42" s="262"/>
      <c r="AI42" s="261"/>
      <c r="AJ42" s="263"/>
      <c r="AK42" s="261"/>
      <c r="AL42" s="262"/>
      <c r="AM42" s="261"/>
      <c r="AN42" s="262"/>
      <c r="AO42" s="261"/>
      <c r="AP42" s="262"/>
      <c r="AQ42" s="261"/>
      <c r="AR42" s="262"/>
      <c r="AS42" s="261"/>
      <c r="AT42" s="260"/>
      <c r="AU42" s="261"/>
      <c r="AV42" s="262"/>
      <c r="AW42" s="261"/>
      <c r="AX42" s="262"/>
      <c r="AY42" s="261"/>
      <c r="AZ42" s="260"/>
      <c r="BA42" s="261"/>
      <c r="BB42" s="263"/>
      <c r="BC42" s="261"/>
      <c r="BD42" s="260"/>
      <c r="BE42" s="261"/>
      <c r="BF42" s="260"/>
    </row>
    <row r="43" spans="1:58" s="15" customFormat="1" x14ac:dyDescent="0.2">
      <c r="A43" s="339" t="s">
        <v>43</v>
      </c>
      <c r="B43" s="380">
        <v>7.8799999999999995E-2</v>
      </c>
      <c r="C43" s="232">
        <v>0</v>
      </c>
      <c r="D43" s="232">
        <v>0</v>
      </c>
      <c r="E43" s="232">
        <v>0</v>
      </c>
      <c r="F43" s="232">
        <v>0</v>
      </c>
      <c r="G43" s="384">
        <v>0</v>
      </c>
      <c r="H43" s="391"/>
      <c r="I43" s="387"/>
      <c r="J43" s="388" t="s">
        <v>24</v>
      </c>
      <c r="K43" s="388"/>
      <c r="L43" s="388"/>
      <c r="M43" s="388"/>
      <c r="N43" s="389"/>
      <c r="O43" s="262"/>
      <c r="P43" s="261"/>
      <c r="Q43" s="262"/>
      <c r="R43" s="261"/>
      <c r="S43" s="260"/>
      <c r="T43" s="261"/>
      <c r="U43" s="260"/>
      <c r="V43" s="261"/>
      <c r="W43" s="260"/>
      <c r="X43" s="260"/>
      <c r="Y43" s="261"/>
      <c r="Z43" s="262"/>
      <c r="AA43" s="261"/>
      <c r="AB43" s="262"/>
      <c r="AC43" s="261"/>
      <c r="AD43" s="262"/>
      <c r="AE43" s="261"/>
      <c r="AF43" s="260"/>
      <c r="AG43" s="261"/>
      <c r="AH43" s="262"/>
      <c r="AI43" s="261"/>
      <c r="AJ43" s="263"/>
      <c r="AK43" s="261"/>
      <c r="AL43" s="262"/>
      <c r="AM43" s="261"/>
      <c r="AN43" s="262"/>
      <c r="AO43" s="261"/>
      <c r="AP43" s="262"/>
      <c r="AQ43" s="261"/>
      <c r="AR43" s="262"/>
      <c r="AS43" s="261"/>
      <c r="AT43" s="260"/>
      <c r="AU43" s="261"/>
      <c r="AV43" s="262"/>
      <c r="AW43" s="261"/>
      <c r="AX43" s="262"/>
      <c r="AY43" s="261"/>
      <c r="AZ43" s="260"/>
      <c r="BA43" s="261"/>
      <c r="BB43" s="263"/>
      <c r="BC43" s="261"/>
      <c r="BD43" s="260"/>
      <c r="BE43" s="261"/>
      <c r="BF43" s="260"/>
    </row>
    <row r="44" spans="1:58" s="15" customFormat="1" x14ac:dyDescent="0.2">
      <c r="A44" s="339" t="s">
        <v>11</v>
      </c>
      <c r="B44" s="380">
        <v>4.2200000000000001E-2</v>
      </c>
      <c r="C44" s="232">
        <v>0</v>
      </c>
      <c r="D44" s="232">
        <v>1.18E-2</v>
      </c>
      <c r="E44" s="232">
        <v>0</v>
      </c>
      <c r="F44" s="232">
        <v>0.66949999999999998</v>
      </c>
      <c r="G44" s="384">
        <v>0.14369999999999999</v>
      </c>
      <c r="H44" s="391"/>
      <c r="I44" s="387"/>
      <c r="J44" s="388" t="s">
        <v>24</v>
      </c>
      <c r="K44" s="388"/>
      <c r="L44" s="388"/>
      <c r="M44" s="388"/>
      <c r="N44" s="389"/>
      <c r="O44" s="262"/>
      <c r="P44" s="261"/>
      <c r="Q44" s="262"/>
      <c r="R44" s="261"/>
      <c r="S44" s="260"/>
      <c r="T44" s="261"/>
      <c r="U44" s="260"/>
      <c r="V44" s="261"/>
      <c r="W44" s="260"/>
      <c r="X44" s="260"/>
      <c r="Y44" s="261"/>
      <c r="Z44" s="262"/>
      <c r="AA44" s="261"/>
      <c r="AB44" s="262"/>
      <c r="AC44" s="261"/>
      <c r="AD44" s="262"/>
      <c r="AE44" s="261"/>
      <c r="AF44" s="260"/>
      <c r="AG44" s="261"/>
      <c r="AH44" s="262"/>
      <c r="AI44" s="261"/>
      <c r="AJ44" s="263"/>
      <c r="AK44" s="261"/>
      <c r="AL44" s="262"/>
      <c r="AM44" s="261"/>
      <c r="AN44" s="262"/>
      <c r="AO44" s="261"/>
      <c r="AP44" s="262"/>
      <c r="AQ44" s="261"/>
      <c r="AR44" s="262"/>
      <c r="AS44" s="261"/>
      <c r="AT44" s="260"/>
      <c r="AU44" s="261"/>
      <c r="AV44" s="262"/>
      <c r="AW44" s="261"/>
      <c r="AX44" s="262"/>
      <c r="AY44" s="261"/>
      <c r="AZ44" s="260"/>
      <c r="BA44" s="261"/>
      <c r="BB44" s="263"/>
      <c r="BC44" s="261"/>
      <c r="BD44" s="260"/>
      <c r="BE44" s="261"/>
      <c r="BF44" s="260"/>
    </row>
    <row r="45" spans="1:58" s="15" customFormat="1" x14ac:dyDescent="0.2">
      <c r="A45" s="339" t="s">
        <v>177</v>
      </c>
      <c r="B45" s="380">
        <v>0.1331</v>
      </c>
      <c r="C45" s="232">
        <v>0</v>
      </c>
      <c r="D45" s="232">
        <v>2.8299999999999999E-2</v>
      </c>
      <c r="E45" s="232">
        <v>0</v>
      </c>
      <c r="F45" s="232">
        <v>4.1200000000000001E-2</v>
      </c>
      <c r="G45" s="384">
        <v>0</v>
      </c>
      <c r="H45" s="391"/>
      <c r="I45" s="387"/>
      <c r="J45" s="388" t="s">
        <v>24</v>
      </c>
      <c r="K45" s="388"/>
      <c r="L45" s="388"/>
      <c r="M45" s="388"/>
      <c r="N45" s="389"/>
      <c r="O45" s="262"/>
      <c r="P45" s="261"/>
      <c r="Q45" s="262"/>
      <c r="R45" s="261"/>
      <c r="S45" s="260"/>
      <c r="T45" s="261"/>
      <c r="U45" s="260"/>
      <c r="V45" s="261"/>
      <c r="W45" s="260"/>
      <c r="X45" s="260"/>
      <c r="Y45" s="261"/>
      <c r="Z45" s="262"/>
      <c r="AA45" s="261"/>
      <c r="AB45" s="262"/>
      <c r="AC45" s="261"/>
      <c r="AD45" s="262"/>
      <c r="AE45" s="261"/>
      <c r="AF45" s="260"/>
      <c r="AG45" s="261"/>
      <c r="AH45" s="262"/>
      <c r="AI45" s="261"/>
      <c r="AJ45" s="263"/>
      <c r="AK45" s="261"/>
      <c r="AL45" s="262"/>
      <c r="AM45" s="261"/>
      <c r="AN45" s="262"/>
      <c r="AO45" s="261"/>
      <c r="AP45" s="262"/>
      <c r="AQ45" s="261"/>
      <c r="AR45" s="262"/>
      <c r="AS45" s="261"/>
      <c r="AT45" s="260"/>
      <c r="AU45" s="261"/>
      <c r="AV45" s="262"/>
      <c r="AW45" s="261"/>
      <c r="AX45" s="262"/>
      <c r="AY45" s="261"/>
      <c r="AZ45" s="260"/>
      <c r="BA45" s="261"/>
      <c r="BB45" s="263"/>
      <c r="BC45" s="261"/>
      <c r="BD45" s="260"/>
      <c r="BE45" s="261"/>
      <c r="BF45" s="260"/>
    </row>
    <row r="46" spans="1:58" x14ac:dyDescent="0.2">
      <c r="A46" s="339" t="s">
        <v>105</v>
      </c>
      <c r="B46" s="380">
        <v>0</v>
      </c>
      <c r="C46" s="232">
        <v>0</v>
      </c>
      <c r="D46" s="232">
        <v>0</v>
      </c>
      <c r="E46" s="232">
        <v>0</v>
      </c>
      <c r="F46" s="232">
        <v>0</v>
      </c>
      <c r="G46" s="384">
        <v>0</v>
      </c>
      <c r="H46" s="391"/>
      <c r="I46" s="387"/>
      <c r="J46" s="388" t="s">
        <v>24</v>
      </c>
      <c r="K46" s="388"/>
      <c r="L46" s="388"/>
      <c r="M46" s="388"/>
      <c r="N46" s="389"/>
      <c r="O46" s="262"/>
      <c r="P46" s="261"/>
      <c r="Q46" s="262"/>
      <c r="R46" s="261"/>
      <c r="S46" s="260"/>
      <c r="T46" s="261"/>
      <c r="U46" s="260"/>
      <c r="V46" s="261"/>
      <c r="W46" s="260"/>
      <c r="X46" s="260"/>
      <c r="Y46" s="261"/>
      <c r="Z46" s="262"/>
      <c r="AA46" s="261"/>
      <c r="AB46" s="262"/>
      <c r="AC46" s="261"/>
      <c r="AD46" s="262"/>
      <c r="AE46" s="261"/>
      <c r="AF46" s="260"/>
      <c r="AG46" s="261"/>
      <c r="AH46" s="262"/>
      <c r="AI46" s="261"/>
      <c r="AJ46" s="263"/>
      <c r="AK46" s="261"/>
      <c r="AL46" s="262"/>
      <c r="AM46" s="261"/>
      <c r="AN46" s="262"/>
      <c r="AO46" s="261"/>
      <c r="AP46" s="262"/>
      <c r="AQ46" s="261"/>
      <c r="AR46" s="262"/>
      <c r="AS46" s="261"/>
      <c r="AT46" s="260"/>
      <c r="AU46" s="261"/>
      <c r="AV46" s="262"/>
      <c r="AW46" s="261"/>
      <c r="AX46" s="262"/>
      <c r="AY46" s="261"/>
      <c r="AZ46" s="260"/>
      <c r="BA46" s="261"/>
      <c r="BB46" s="263"/>
      <c r="BC46" s="261"/>
      <c r="BD46" s="260"/>
      <c r="BE46" s="261"/>
      <c r="BF46" s="260"/>
    </row>
    <row r="47" spans="1:58" x14ac:dyDescent="0.2">
      <c r="A47" s="339" t="s">
        <v>178</v>
      </c>
      <c r="B47" s="380">
        <v>2.1100000000000001E-2</v>
      </c>
      <c r="C47" s="232">
        <v>0</v>
      </c>
      <c r="D47" s="232">
        <v>1.6000000000000001E-3</v>
      </c>
      <c r="E47" s="232">
        <v>0</v>
      </c>
      <c r="F47" s="232">
        <v>4.8999999999999998E-3</v>
      </c>
      <c r="G47" s="384">
        <v>0</v>
      </c>
      <c r="H47" s="391"/>
      <c r="I47" s="387"/>
      <c r="J47" s="388" t="s">
        <v>24</v>
      </c>
      <c r="K47" s="388"/>
      <c r="L47" s="388"/>
      <c r="M47" s="388"/>
      <c r="N47" s="389"/>
      <c r="O47" s="262"/>
      <c r="P47" s="261"/>
      <c r="Q47" s="262"/>
      <c r="R47" s="261"/>
      <c r="S47" s="260"/>
      <c r="T47" s="261"/>
      <c r="U47" s="260"/>
      <c r="V47" s="261"/>
      <c r="W47" s="260"/>
      <c r="X47" s="260"/>
      <c r="Y47" s="261"/>
      <c r="Z47" s="262"/>
      <c r="AA47" s="261"/>
      <c r="AB47" s="262"/>
      <c r="AC47" s="261"/>
      <c r="AD47" s="262"/>
      <c r="AE47" s="261"/>
      <c r="AF47" s="260"/>
      <c r="AG47" s="261"/>
      <c r="AH47" s="262"/>
      <c r="AI47" s="261"/>
      <c r="AJ47" s="263"/>
      <c r="AK47" s="261"/>
      <c r="AL47" s="262"/>
      <c r="AM47" s="261"/>
      <c r="AN47" s="262"/>
      <c r="AO47" s="261"/>
      <c r="AP47" s="262"/>
      <c r="AQ47" s="261"/>
      <c r="AR47" s="262"/>
      <c r="AS47" s="261"/>
      <c r="AT47" s="260"/>
      <c r="AU47" s="261"/>
      <c r="AV47" s="262"/>
      <c r="AW47" s="261"/>
      <c r="AX47" s="262"/>
      <c r="AY47" s="261"/>
      <c r="AZ47" s="260"/>
      <c r="BA47" s="261"/>
      <c r="BB47" s="263"/>
      <c r="BC47" s="261"/>
      <c r="BD47" s="260"/>
      <c r="BE47" s="261"/>
      <c r="BF47" s="260"/>
    </row>
    <row r="48" spans="1:58" x14ac:dyDescent="0.2">
      <c r="A48" s="339" t="s">
        <v>179</v>
      </c>
      <c r="B48" s="380">
        <v>3.2899999999999999E-2</v>
      </c>
      <c r="C48" s="232">
        <v>0</v>
      </c>
      <c r="D48" s="232">
        <v>0</v>
      </c>
      <c r="E48" s="232">
        <v>0</v>
      </c>
      <c r="F48" s="232">
        <v>0</v>
      </c>
      <c r="G48" s="384">
        <v>0</v>
      </c>
      <c r="H48" s="391"/>
      <c r="I48" s="387"/>
      <c r="J48" s="388"/>
      <c r="K48" s="388"/>
      <c r="L48" s="388"/>
      <c r="M48" s="388"/>
      <c r="N48" s="389"/>
      <c r="O48" s="262"/>
      <c r="P48" s="261"/>
      <c r="Q48" s="262"/>
      <c r="R48" s="261"/>
      <c r="S48" s="260"/>
      <c r="T48" s="261"/>
      <c r="U48" s="260"/>
      <c r="V48" s="261"/>
      <c r="W48" s="260"/>
      <c r="X48" s="260"/>
      <c r="Y48" s="261"/>
      <c r="Z48" s="262"/>
      <c r="AA48" s="261"/>
      <c r="AB48" s="262"/>
      <c r="AC48" s="261"/>
      <c r="AD48" s="262"/>
      <c r="AE48" s="261"/>
      <c r="AF48" s="260"/>
      <c r="AG48" s="261"/>
      <c r="AH48" s="262"/>
      <c r="AI48" s="261"/>
      <c r="AJ48" s="263"/>
      <c r="AK48" s="261"/>
      <c r="AL48" s="262"/>
      <c r="AM48" s="261"/>
      <c r="AN48" s="262"/>
      <c r="AO48" s="261"/>
      <c r="AP48" s="262"/>
      <c r="AQ48" s="261"/>
      <c r="AR48" s="262"/>
      <c r="AS48" s="261"/>
      <c r="AT48" s="260"/>
      <c r="AU48" s="261"/>
      <c r="AV48" s="262"/>
      <c r="AW48" s="261"/>
      <c r="AX48" s="262"/>
      <c r="AY48" s="261"/>
      <c r="AZ48" s="260"/>
      <c r="BA48" s="261"/>
      <c r="BB48" s="263"/>
      <c r="BC48" s="261"/>
      <c r="BD48" s="260"/>
      <c r="BE48" s="261"/>
      <c r="BF48" s="260"/>
    </row>
    <row r="49" spans="1:58" x14ac:dyDescent="0.2">
      <c r="A49" s="339" t="s">
        <v>180</v>
      </c>
      <c r="B49" s="380">
        <v>1.7500000000000002E-2</v>
      </c>
      <c r="C49" s="232">
        <v>0</v>
      </c>
      <c r="D49" s="232">
        <v>0</v>
      </c>
      <c r="E49" s="232">
        <v>0</v>
      </c>
      <c r="F49" s="232">
        <v>0</v>
      </c>
      <c r="G49" s="384">
        <v>0</v>
      </c>
      <c r="H49" s="391"/>
      <c r="I49" s="387"/>
      <c r="J49" s="388"/>
      <c r="K49" s="388"/>
      <c r="L49" s="388"/>
      <c r="M49" s="388"/>
      <c r="N49" s="389"/>
      <c r="O49" s="262"/>
      <c r="P49" s="261"/>
      <c r="Q49" s="262"/>
      <c r="R49" s="261"/>
      <c r="S49" s="260"/>
      <c r="T49" s="261"/>
      <c r="U49" s="260"/>
      <c r="V49" s="261"/>
      <c r="W49" s="260"/>
      <c r="X49" s="260"/>
      <c r="Y49" s="261"/>
      <c r="Z49" s="262"/>
      <c r="AA49" s="261"/>
      <c r="AB49" s="262"/>
      <c r="AC49" s="261"/>
      <c r="AD49" s="262"/>
      <c r="AE49" s="261"/>
      <c r="AF49" s="260"/>
      <c r="AG49" s="261"/>
      <c r="AH49" s="262"/>
      <c r="AI49" s="261"/>
      <c r="AJ49" s="263"/>
      <c r="AK49" s="261"/>
      <c r="AL49" s="262"/>
      <c r="AM49" s="261"/>
      <c r="AN49" s="262"/>
      <c r="AO49" s="261"/>
      <c r="AP49" s="262"/>
      <c r="AQ49" s="261"/>
      <c r="AR49" s="262"/>
      <c r="AS49" s="261"/>
      <c r="AT49" s="260"/>
      <c r="AU49" s="261"/>
      <c r="AV49" s="262"/>
      <c r="AW49" s="261"/>
      <c r="AX49" s="262"/>
      <c r="AY49" s="261"/>
      <c r="AZ49" s="260"/>
      <c r="BA49" s="261"/>
      <c r="BB49" s="263"/>
      <c r="BC49" s="261"/>
      <c r="BD49" s="260"/>
      <c r="BE49" s="261"/>
      <c r="BF49" s="260"/>
    </row>
    <row r="50" spans="1:58" x14ac:dyDescent="0.2">
      <c r="A50" s="339" t="s">
        <v>181</v>
      </c>
      <c r="B50" s="380">
        <v>2.5000000000000001E-2</v>
      </c>
      <c r="C50" s="232">
        <v>0.16900000000000001</v>
      </c>
      <c r="D50" s="232">
        <v>0</v>
      </c>
      <c r="E50" s="232">
        <v>0</v>
      </c>
      <c r="F50" s="232">
        <v>0</v>
      </c>
      <c r="G50" s="384">
        <v>3.7600000000000001E-2</v>
      </c>
      <c r="H50" s="391"/>
      <c r="I50" s="387"/>
      <c r="J50" s="388"/>
      <c r="K50" s="388"/>
      <c r="L50" s="388"/>
      <c r="M50" s="388"/>
      <c r="N50" s="389"/>
      <c r="O50" s="262"/>
      <c r="P50" s="261"/>
      <c r="Q50" s="262"/>
      <c r="R50" s="261"/>
      <c r="S50" s="260"/>
      <c r="T50" s="261"/>
      <c r="U50" s="260"/>
      <c r="V50" s="261"/>
      <c r="W50" s="260"/>
      <c r="X50" s="260"/>
      <c r="Y50" s="261"/>
      <c r="Z50" s="262"/>
      <c r="AA50" s="261"/>
      <c r="AB50" s="262"/>
      <c r="AC50" s="261"/>
      <c r="AD50" s="262"/>
      <c r="AE50" s="261"/>
      <c r="AF50" s="260"/>
      <c r="AG50" s="261"/>
      <c r="AH50" s="262"/>
      <c r="AI50" s="261"/>
      <c r="AJ50" s="263"/>
      <c r="AK50" s="261"/>
      <c r="AL50" s="262"/>
      <c r="AM50" s="261"/>
      <c r="AN50" s="262"/>
      <c r="AO50" s="261"/>
      <c r="AP50" s="262"/>
      <c r="AQ50" s="261"/>
      <c r="AR50" s="262"/>
      <c r="AS50" s="261"/>
      <c r="AT50" s="260"/>
      <c r="AU50" s="261"/>
      <c r="AV50" s="262"/>
      <c r="AW50" s="261"/>
      <c r="AX50" s="262"/>
      <c r="AY50" s="261"/>
      <c r="AZ50" s="260"/>
      <c r="BA50" s="261"/>
      <c r="BB50" s="263"/>
      <c r="BC50" s="261"/>
      <c r="BD50" s="260"/>
      <c r="BE50" s="261"/>
      <c r="BF50" s="260"/>
    </row>
    <row r="51" spans="1:58" x14ac:dyDescent="0.2">
      <c r="A51" s="339" t="s">
        <v>182</v>
      </c>
      <c r="B51" s="380">
        <v>0.12859999999999999</v>
      </c>
      <c r="C51" s="232">
        <v>0</v>
      </c>
      <c r="D51" s="232">
        <v>0</v>
      </c>
      <c r="E51" s="232">
        <v>0</v>
      </c>
      <c r="F51" s="232">
        <v>0.18759999999999999</v>
      </c>
      <c r="G51" s="384">
        <v>0.35110000000000002</v>
      </c>
      <c r="H51" s="391"/>
      <c r="I51" s="387"/>
      <c r="J51" s="388"/>
      <c r="K51" s="388"/>
      <c r="L51" s="388"/>
      <c r="M51" s="388"/>
      <c r="N51" s="389"/>
      <c r="O51" s="262"/>
      <c r="P51" s="261"/>
      <c r="Q51" s="262"/>
      <c r="R51" s="261"/>
      <c r="S51" s="260"/>
      <c r="T51" s="261"/>
      <c r="U51" s="260"/>
      <c r="V51" s="261"/>
      <c r="W51" s="260"/>
      <c r="X51" s="260"/>
      <c r="Y51" s="261"/>
      <c r="Z51" s="262"/>
      <c r="AA51" s="261"/>
      <c r="AB51" s="262"/>
      <c r="AC51" s="261"/>
      <c r="AD51" s="262"/>
      <c r="AE51" s="261"/>
      <c r="AF51" s="260"/>
      <c r="AG51" s="261"/>
      <c r="AH51" s="262"/>
      <c r="AI51" s="261"/>
      <c r="AJ51" s="263"/>
      <c r="AK51" s="261"/>
      <c r="AL51" s="262"/>
      <c r="AM51" s="261"/>
      <c r="AN51" s="262"/>
      <c r="AO51" s="261"/>
      <c r="AP51" s="262"/>
      <c r="AQ51" s="261"/>
      <c r="AR51" s="262"/>
      <c r="AS51" s="261"/>
      <c r="AT51" s="260"/>
      <c r="AU51" s="261"/>
      <c r="AV51" s="262"/>
      <c r="AW51" s="261"/>
      <c r="AX51" s="262"/>
      <c r="AY51" s="261"/>
      <c r="AZ51" s="260"/>
      <c r="BA51" s="261"/>
      <c r="BB51" s="263"/>
      <c r="BC51" s="261"/>
      <c r="BD51" s="260"/>
      <c r="BE51" s="261"/>
      <c r="BF51" s="260"/>
    </row>
    <row r="52" spans="1:58" x14ac:dyDescent="0.2">
      <c r="A52" s="339" t="s">
        <v>116</v>
      </c>
      <c r="B52" s="380">
        <v>1.8700000000000001E-2</v>
      </c>
      <c r="C52" s="232">
        <v>0</v>
      </c>
      <c r="D52" s="232">
        <v>0</v>
      </c>
      <c r="E52" s="232">
        <v>0</v>
      </c>
      <c r="F52" s="232">
        <v>0</v>
      </c>
      <c r="G52" s="384">
        <v>0</v>
      </c>
      <c r="H52" s="391"/>
      <c r="I52" s="387"/>
      <c r="J52" s="388"/>
      <c r="K52" s="388"/>
      <c r="L52" s="388"/>
      <c r="M52" s="388"/>
      <c r="N52" s="389"/>
      <c r="O52" s="262"/>
      <c r="P52" s="261"/>
      <c r="Q52" s="262"/>
      <c r="R52" s="261"/>
      <c r="S52" s="260"/>
      <c r="T52" s="261"/>
      <c r="U52" s="260"/>
      <c r="V52" s="261"/>
      <c r="W52" s="260"/>
      <c r="X52" s="260"/>
      <c r="Y52" s="261"/>
      <c r="Z52" s="262"/>
      <c r="AA52" s="261"/>
      <c r="AB52" s="262"/>
      <c r="AC52" s="261"/>
      <c r="AD52" s="262"/>
      <c r="AE52" s="261"/>
      <c r="AF52" s="260"/>
      <c r="AG52" s="261"/>
      <c r="AH52" s="262"/>
      <c r="AI52" s="261"/>
      <c r="AJ52" s="263"/>
      <c r="AK52" s="261"/>
      <c r="AL52" s="262"/>
      <c r="AM52" s="261"/>
      <c r="AN52" s="262"/>
      <c r="AO52" s="261"/>
      <c r="AP52" s="262"/>
      <c r="AQ52" s="261"/>
      <c r="AR52" s="262"/>
      <c r="AS52" s="261"/>
      <c r="AT52" s="260"/>
      <c r="AU52" s="261"/>
      <c r="AV52" s="262"/>
      <c r="AW52" s="261"/>
      <c r="AX52" s="262"/>
      <c r="AY52" s="261"/>
      <c r="AZ52" s="260"/>
      <c r="BA52" s="261"/>
      <c r="BB52" s="263"/>
      <c r="BC52" s="261"/>
      <c r="BD52" s="260"/>
      <c r="BE52" s="261"/>
      <c r="BF52" s="260"/>
    </row>
    <row r="53" spans="1:58" x14ac:dyDescent="0.2">
      <c r="A53" s="339" t="s">
        <v>183</v>
      </c>
      <c r="B53" s="380">
        <v>0</v>
      </c>
      <c r="C53" s="232">
        <v>0</v>
      </c>
      <c r="D53" s="232">
        <v>0</v>
      </c>
      <c r="E53" s="232">
        <v>0</v>
      </c>
      <c r="F53" s="232">
        <v>0</v>
      </c>
      <c r="G53" s="384">
        <v>3.3999999999999998E-3</v>
      </c>
      <c r="H53" s="391"/>
      <c r="I53" s="387"/>
      <c r="J53" s="388"/>
      <c r="K53" s="388"/>
      <c r="L53" s="388"/>
      <c r="M53" s="388"/>
      <c r="N53" s="389"/>
      <c r="O53" s="262"/>
      <c r="P53" s="261"/>
      <c r="Q53" s="262"/>
      <c r="R53" s="261"/>
      <c r="S53" s="260"/>
      <c r="T53" s="261"/>
      <c r="U53" s="260"/>
      <c r="V53" s="261"/>
      <c r="W53" s="260"/>
      <c r="X53" s="260"/>
      <c r="Y53" s="261"/>
      <c r="Z53" s="262"/>
      <c r="AA53" s="261"/>
      <c r="AB53" s="262"/>
      <c r="AC53" s="261"/>
      <c r="AD53" s="262"/>
      <c r="AE53" s="261"/>
      <c r="AF53" s="260"/>
      <c r="AG53" s="261"/>
      <c r="AH53" s="262"/>
      <c r="AI53" s="261"/>
      <c r="AJ53" s="263"/>
      <c r="AK53" s="261"/>
      <c r="AL53" s="262"/>
      <c r="AM53" s="261"/>
      <c r="AN53" s="262"/>
      <c r="AO53" s="261"/>
      <c r="AP53" s="262"/>
      <c r="AQ53" s="261"/>
      <c r="AR53" s="262"/>
      <c r="AS53" s="261"/>
      <c r="AT53" s="260"/>
      <c r="AU53" s="261"/>
      <c r="AV53" s="262"/>
      <c r="AW53" s="261"/>
      <c r="AX53" s="262"/>
      <c r="AY53" s="261"/>
      <c r="AZ53" s="260"/>
      <c r="BA53" s="261"/>
      <c r="BB53" s="263"/>
      <c r="BC53" s="261"/>
      <c r="BD53" s="260"/>
      <c r="BE53" s="261"/>
      <c r="BF53" s="260"/>
    </row>
    <row r="54" spans="1:58" x14ac:dyDescent="0.2">
      <c r="A54" s="339" t="s">
        <v>12</v>
      </c>
      <c r="B54" s="380">
        <v>3.7400000000000003E-2</v>
      </c>
      <c r="C54" s="232">
        <v>9.6699999999999994E-2</v>
      </c>
      <c r="D54" s="232">
        <v>1.43E-2</v>
      </c>
      <c r="E54" s="232">
        <v>0.1303</v>
      </c>
      <c r="F54" s="232">
        <v>0</v>
      </c>
      <c r="G54" s="384">
        <v>3.3099999999999997E-2</v>
      </c>
      <c r="H54" s="391"/>
      <c r="I54" s="387"/>
      <c r="J54" s="388"/>
      <c r="K54" s="388"/>
      <c r="L54" s="388"/>
      <c r="M54" s="388"/>
      <c r="N54" s="389"/>
      <c r="O54" s="262"/>
      <c r="P54" s="261"/>
      <c r="Q54" s="262"/>
      <c r="R54" s="261"/>
      <c r="S54" s="260"/>
      <c r="T54" s="261"/>
      <c r="U54" s="260"/>
      <c r="V54" s="261"/>
      <c r="W54" s="260"/>
      <c r="X54" s="260"/>
      <c r="Y54" s="261"/>
      <c r="Z54" s="262"/>
      <c r="AA54" s="261"/>
      <c r="AB54" s="262"/>
      <c r="AC54" s="261"/>
      <c r="AD54" s="262"/>
      <c r="AE54" s="261"/>
      <c r="AF54" s="260"/>
      <c r="AG54" s="261"/>
      <c r="AH54" s="262"/>
      <c r="AI54" s="261"/>
      <c r="AJ54" s="263"/>
      <c r="AK54" s="261"/>
      <c r="AL54" s="262"/>
      <c r="AM54" s="261"/>
      <c r="AN54" s="262"/>
      <c r="AO54" s="261"/>
      <c r="AP54" s="262"/>
      <c r="AQ54" s="261"/>
      <c r="AR54" s="262"/>
      <c r="AS54" s="261"/>
      <c r="AT54" s="260"/>
      <c r="AU54" s="261"/>
      <c r="AV54" s="262"/>
      <c r="AW54" s="261"/>
      <c r="AX54" s="262"/>
      <c r="AY54" s="261"/>
      <c r="AZ54" s="260"/>
      <c r="BA54" s="261"/>
      <c r="BB54" s="263"/>
      <c r="BC54" s="261"/>
      <c r="BD54" s="260"/>
      <c r="BE54" s="261"/>
      <c r="BF54" s="260"/>
    </row>
    <row r="55" spans="1:58" x14ac:dyDescent="0.2">
      <c r="A55" s="339" t="s">
        <v>184</v>
      </c>
      <c r="B55" s="380">
        <v>1.9E-2</v>
      </c>
      <c r="C55" s="232">
        <v>1.4800000000000001E-2</v>
      </c>
      <c r="D55" s="232">
        <v>0</v>
      </c>
      <c r="E55" s="232">
        <v>0</v>
      </c>
      <c r="F55" s="232">
        <v>0</v>
      </c>
      <c r="G55" s="384">
        <v>2.5100000000000001E-2</v>
      </c>
      <c r="H55" s="391"/>
      <c r="I55" s="387"/>
      <c r="J55" s="388"/>
      <c r="K55" s="388"/>
      <c r="L55" s="388"/>
      <c r="M55" s="388"/>
      <c r="N55" s="389"/>
      <c r="O55" s="262"/>
      <c r="P55" s="261"/>
      <c r="Q55" s="262"/>
      <c r="R55" s="261"/>
      <c r="S55" s="260"/>
      <c r="T55" s="261"/>
      <c r="U55" s="260"/>
      <c r="V55" s="261"/>
      <c r="W55" s="260"/>
      <c r="X55" s="260"/>
      <c r="Y55" s="261"/>
      <c r="Z55" s="262"/>
      <c r="AA55" s="261"/>
      <c r="AB55" s="262"/>
      <c r="AC55" s="261"/>
      <c r="AD55" s="262"/>
      <c r="AE55" s="261"/>
      <c r="AF55" s="260"/>
      <c r="AG55" s="261"/>
      <c r="AH55" s="262"/>
      <c r="AI55" s="261"/>
      <c r="AJ55" s="263"/>
      <c r="AK55" s="261"/>
      <c r="AL55" s="262"/>
      <c r="AM55" s="261"/>
      <c r="AN55" s="262"/>
      <c r="AO55" s="261"/>
      <c r="AP55" s="262"/>
      <c r="AQ55" s="261"/>
      <c r="AR55" s="262"/>
      <c r="AS55" s="261"/>
      <c r="AT55" s="260"/>
      <c r="AU55" s="261"/>
      <c r="AV55" s="262"/>
      <c r="AW55" s="261"/>
      <c r="AX55" s="262"/>
      <c r="AY55" s="261"/>
      <c r="AZ55" s="260"/>
      <c r="BA55" s="261"/>
      <c r="BB55" s="263"/>
      <c r="BC55" s="261"/>
      <c r="BD55" s="260"/>
      <c r="BE55" s="261"/>
      <c r="BF55" s="260"/>
    </row>
    <row r="56" spans="1:58" x14ac:dyDescent="0.2">
      <c r="A56" s="339" t="s">
        <v>106</v>
      </c>
      <c r="B56" s="380">
        <v>4.4000000000000003E-3</v>
      </c>
      <c r="C56" s="232">
        <v>9.4999999999999998E-3</v>
      </c>
      <c r="D56" s="232">
        <v>8.9999999999999998E-4</v>
      </c>
      <c r="E56" s="232">
        <v>1.2E-2</v>
      </c>
      <c r="F56" s="232">
        <v>0</v>
      </c>
      <c r="G56" s="384">
        <v>6.3E-3</v>
      </c>
      <c r="H56" s="391"/>
      <c r="I56" s="387"/>
      <c r="J56" s="388"/>
      <c r="K56" s="388"/>
      <c r="L56" s="388"/>
      <c r="M56" s="388"/>
      <c r="N56" s="389"/>
      <c r="O56" s="262"/>
      <c r="P56" s="261"/>
      <c r="Q56" s="262"/>
      <c r="R56" s="261"/>
      <c r="S56" s="260"/>
      <c r="T56" s="261"/>
      <c r="U56" s="260"/>
      <c r="V56" s="261"/>
      <c r="W56" s="260"/>
      <c r="X56" s="260"/>
      <c r="Y56" s="261"/>
      <c r="Z56" s="262"/>
      <c r="AA56" s="261"/>
      <c r="AB56" s="262"/>
      <c r="AC56" s="261"/>
      <c r="AD56" s="262"/>
      <c r="AE56" s="261"/>
      <c r="AF56" s="260"/>
      <c r="AG56" s="261"/>
      <c r="AH56" s="262"/>
      <c r="AI56" s="261"/>
      <c r="AJ56" s="263"/>
      <c r="AK56" s="261"/>
      <c r="AL56" s="262"/>
      <c r="AM56" s="261"/>
      <c r="AN56" s="262"/>
      <c r="AO56" s="261"/>
      <c r="AP56" s="262"/>
      <c r="AQ56" s="261"/>
      <c r="AR56" s="262"/>
      <c r="AS56" s="261"/>
      <c r="AT56" s="260"/>
      <c r="AU56" s="261"/>
      <c r="AV56" s="262"/>
      <c r="AW56" s="261"/>
      <c r="AX56" s="262"/>
      <c r="AY56" s="261"/>
      <c r="AZ56" s="260"/>
      <c r="BA56" s="261"/>
      <c r="BB56" s="263"/>
      <c r="BC56" s="261"/>
      <c r="BD56" s="260"/>
      <c r="BE56" s="261"/>
      <c r="BF56" s="260"/>
    </row>
    <row r="57" spans="1:58" x14ac:dyDescent="0.2">
      <c r="A57" s="339" t="s">
        <v>9</v>
      </c>
      <c r="B57" s="380">
        <v>5.3400000000000003E-2</v>
      </c>
      <c r="C57" s="232">
        <v>0.30880000000000002</v>
      </c>
      <c r="D57" s="232">
        <v>0</v>
      </c>
      <c r="E57" s="232">
        <v>0.51929999999999998</v>
      </c>
      <c r="F57" s="232">
        <v>0</v>
      </c>
      <c r="G57" s="384">
        <v>6.2600000000000003E-2</v>
      </c>
      <c r="H57" s="391"/>
      <c r="I57" s="387"/>
      <c r="J57" s="388"/>
      <c r="K57" s="388"/>
      <c r="L57" s="388"/>
      <c r="M57" s="388"/>
      <c r="N57" s="389"/>
      <c r="O57" s="262"/>
      <c r="P57" s="261"/>
      <c r="Q57" s="262"/>
      <c r="R57" s="261"/>
      <c r="S57" s="260"/>
      <c r="T57" s="261"/>
      <c r="U57" s="260"/>
      <c r="V57" s="261"/>
      <c r="W57" s="260"/>
      <c r="X57" s="260"/>
      <c r="Y57" s="261"/>
      <c r="Z57" s="262"/>
      <c r="AA57" s="261"/>
      <c r="AB57" s="262"/>
      <c r="AC57" s="261"/>
      <c r="AD57" s="262"/>
      <c r="AE57" s="261"/>
      <c r="AF57" s="260"/>
      <c r="AG57" s="261"/>
      <c r="AH57" s="262"/>
      <c r="AI57" s="261"/>
      <c r="AJ57" s="263"/>
      <c r="AK57" s="261"/>
      <c r="AL57" s="262"/>
      <c r="AM57" s="261"/>
      <c r="AN57" s="262"/>
      <c r="AO57" s="261"/>
      <c r="AP57" s="262"/>
      <c r="AQ57" s="261"/>
      <c r="AR57" s="262"/>
      <c r="AS57" s="261"/>
      <c r="AT57" s="260"/>
      <c r="AU57" s="261"/>
      <c r="AV57" s="262"/>
      <c r="AW57" s="261"/>
      <c r="AX57" s="262"/>
      <c r="AY57" s="261"/>
      <c r="AZ57" s="260"/>
      <c r="BA57" s="261"/>
      <c r="BB57" s="263"/>
      <c r="BC57" s="261"/>
      <c r="BD57" s="260"/>
      <c r="BE57" s="261"/>
      <c r="BF57" s="260"/>
    </row>
    <row r="58" spans="1:58" x14ac:dyDescent="0.2">
      <c r="A58" s="339" t="s">
        <v>185</v>
      </c>
      <c r="B58" s="380">
        <v>1.89E-2</v>
      </c>
      <c r="C58" s="232">
        <v>0</v>
      </c>
      <c r="D58" s="232">
        <v>3.6299999999999999E-2</v>
      </c>
      <c r="E58" s="232">
        <v>0</v>
      </c>
      <c r="F58" s="232">
        <v>5.0000000000000001E-4</v>
      </c>
      <c r="G58" s="384">
        <v>0</v>
      </c>
      <c r="H58" s="391"/>
      <c r="I58" s="387"/>
      <c r="J58" s="388"/>
      <c r="K58" s="388"/>
      <c r="L58" s="388"/>
      <c r="M58" s="388"/>
      <c r="N58" s="389"/>
      <c r="O58" s="262"/>
      <c r="P58" s="261"/>
      <c r="Q58" s="262"/>
      <c r="R58" s="261"/>
      <c r="S58" s="260"/>
      <c r="T58" s="261"/>
      <c r="U58" s="260"/>
      <c r="V58" s="261"/>
      <c r="W58" s="260"/>
      <c r="X58" s="260"/>
      <c r="Y58" s="261"/>
      <c r="Z58" s="262"/>
      <c r="AA58" s="261"/>
      <c r="AB58" s="262"/>
      <c r="AC58" s="261"/>
      <c r="AD58" s="262"/>
      <c r="AE58" s="261"/>
      <c r="AF58" s="260"/>
      <c r="AG58" s="261"/>
      <c r="AH58" s="262"/>
      <c r="AI58" s="261"/>
      <c r="AJ58" s="263"/>
      <c r="AK58" s="261"/>
      <c r="AL58" s="262"/>
      <c r="AM58" s="261"/>
      <c r="AN58" s="262"/>
      <c r="AO58" s="261"/>
      <c r="AP58" s="262"/>
      <c r="AQ58" s="261"/>
      <c r="AR58" s="262"/>
      <c r="AS58" s="261"/>
      <c r="AT58" s="260"/>
      <c r="AU58" s="261"/>
      <c r="AV58" s="262"/>
      <c r="AW58" s="261"/>
      <c r="AX58" s="262"/>
      <c r="AY58" s="261"/>
      <c r="AZ58" s="260"/>
      <c r="BA58" s="261"/>
      <c r="BB58" s="263"/>
      <c r="BC58" s="261"/>
      <c r="BD58" s="260"/>
      <c r="BE58" s="261"/>
      <c r="BF58" s="260"/>
    </row>
    <row r="59" spans="1:58" x14ac:dyDescent="0.2">
      <c r="A59" s="339" t="s">
        <v>15</v>
      </c>
      <c r="B59" s="380">
        <v>3.9899999999999998E-2</v>
      </c>
      <c r="C59" s="232">
        <v>0</v>
      </c>
      <c r="D59" s="232">
        <v>1.2699999999999999E-2</v>
      </c>
      <c r="E59" s="232">
        <v>5.7999999999999996E-3</v>
      </c>
      <c r="F59" s="232">
        <v>5.21E-2</v>
      </c>
      <c r="G59" s="384">
        <v>0.20230000000000001</v>
      </c>
      <c r="H59" s="391"/>
      <c r="I59" s="387"/>
      <c r="J59" s="388"/>
      <c r="K59" s="388"/>
      <c r="L59" s="388"/>
      <c r="M59" s="388"/>
      <c r="N59" s="389"/>
      <c r="O59" s="262"/>
      <c r="P59" s="261"/>
      <c r="Q59" s="262"/>
      <c r="R59" s="261"/>
      <c r="S59" s="260"/>
      <c r="T59" s="261"/>
      <c r="U59" s="260"/>
      <c r="V59" s="261"/>
      <c r="W59" s="260"/>
      <c r="X59" s="260"/>
      <c r="Y59" s="261"/>
      <c r="Z59" s="262"/>
      <c r="AA59" s="261"/>
      <c r="AB59" s="262"/>
      <c r="AC59" s="261"/>
      <c r="AD59" s="262"/>
      <c r="AE59" s="261"/>
      <c r="AF59" s="260"/>
      <c r="AG59" s="261"/>
      <c r="AH59" s="262"/>
      <c r="AI59" s="261"/>
      <c r="AJ59" s="263"/>
      <c r="AK59" s="261"/>
      <c r="AL59" s="262"/>
      <c r="AM59" s="261"/>
      <c r="AN59" s="262"/>
      <c r="AO59" s="261"/>
      <c r="AP59" s="262"/>
      <c r="AQ59" s="261"/>
      <c r="AR59" s="262"/>
      <c r="AS59" s="261"/>
      <c r="AT59" s="260"/>
      <c r="AU59" s="261"/>
      <c r="AV59" s="262"/>
      <c r="AW59" s="261"/>
      <c r="AX59" s="262"/>
      <c r="AY59" s="261"/>
      <c r="AZ59" s="260"/>
      <c r="BA59" s="261"/>
      <c r="BB59" s="263"/>
      <c r="BC59" s="261"/>
      <c r="BD59" s="260"/>
      <c r="BE59" s="261"/>
      <c r="BF59" s="260"/>
    </row>
    <row r="60" spans="1:58" s="15" customFormat="1" x14ac:dyDescent="0.2">
      <c r="A60" s="339" t="s">
        <v>186</v>
      </c>
      <c r="B60" s="380">
        <v>4.8399999999999999E-2</v>
      </c>
      <c r="C60" s="232">
        <v>0.1646</v>
      </c>
      <c r="D60" s="232">
        <v>0</v>
      </c>
      <c r="E60" s="232">
        <v>0</v>
      </c>
      <c r="F60" s="232">
        <v>0</v>
      </c>
      <c r="G60" s="384">
        <v>3.9399999999999998E-2</v>
      </c>
      <c r="H60" s="391"/>
      <c r="I60" s="387"/>
      <c r="J60" s="388"/>
      <c r="K60" s="388"/>
      <c r="L60" s="388"/>
      <c r="M60" s="388"/>
      <c r="N60" s="389"/>
      <c r="O60" s="262"/>
      <c r="P60" s="261"/>
      <c r="Q60" s="262"/>
      <c r="R60" s="261"/>
      <c r="S60" s="260"/>
      <c r="T60" s="261"/>
      <c r="U60" s="260"/>
      <c r="V60" s="261"/>
      <c r="W60" s="260"/>
      <c r="X60" s="260"/>
      <c r="Y60" s="261"/>
      <c r="Z60" s="262"/>
      <c r="AA60" s="261"/>
      <c r="AB60" s="262"/>
      <c r="AC60" s="261"/>
      <c r="AD60" s="262"/>
      <c r="AE60" s="261"/>
      <c r="AF60" s="260"/>
      <c r="AG60" s="261"/>
      <c r="AH60" s="262"/>
      <c r="AI60" s="261"/>
      <c r="AJ60" s="263"/>
      <c r="AK60" s="261"/>
      <c r="AL60" s="262"/>
      <c r="AM60" s="261"/>
      <c r="AN60" s="262"/>
      <c r="AO60" s="261"/>
      <c r="AP60" s="262"/>
      <c r="AQ60" s="261"/>
      <c r="AR60" s="262"/>
      <c r="AS60" s="261"/>
      <c r="AT60" s="260"/>
      <c r="AU60" s="261"/>
      <c r="AV60" s="262"/>
      <c r="AW60" s="261"/>
      <c r="AX60" s="262"/>
      <c r="AY60" s="261"/>
      <c r="AZ60" s="260"/>
      <c r="BA60" s="261"/>
      <c r="BB60" s="263"/>
      <c r="BC60" s="261"/>
      <c r="BD60" s="260"/>
      <c r="BE60" s="261"/>
      <c r="BF60" s="260"/>
    </row>
    <row r="61" spans="1:58" x14ac:dyDescent="0.2">
      <c r="A61" s="339" t="s">
        <v>187</v>
      </c>
      <c r="B61" s="380">
        <v>6.2600000000000003E-2</v>
      </c>
      <c r="C61" s="232">
        <v>0.1411</v>
      </c>
      <c r="D61" s="232">
        <v>0.85729999999999995</v>
      </c>
      <c r="E61" s="232">
        <v>0.31990000000000002</v>
      </c>
      <c r="F61" s="232">
        <v>0</v>
      </c>
      <c r="G61" s="384">
        <v>7.2900000000000006E-2</v>
      </c>
      <c r="H61" s="391"/>
      <c r="I61" s="387"/>
      <c r="J61" s="388"/>
      <c r="K61" s="388"/>
      <c r="L61" s="388"/>
      <c r="M61" s="388"/>
      <c r="N61" s="389"/>
      <c r="O61" s="262"/>
      <c r="P61" s="261"/>
      <c r="Q61" s="262"/>
      <c r="R61" s="261"/>
      <c r="S61" s="260"/>
      <c r="T61" s="261"/>
      <c r="U61" s="260"/>
      <c r="V61" s="261"/>
      <c r="W61" s="260"/>
      <c r="X61" s="260"/>
      <c r="Y61" s="261"/>
      <c r="Z61" s="262"/>
      <c r="AA61" s="261"/>
      <c r="AB61" s="262"/>
      <c r="AC61" s="261"/>
      <c r="AD61" s="262"/>
      <c r="AE61" s="261"/>
      <c r="AF61" s="260"/>
      <c r="AG61" s="261"/>
      <c r="AH61" s="262"/>
      <c r="AI61" s="261"/>
      <c r="AJ61" s="263"/>
      <c r="AK61" s="261"/>
      <c r="AL61" s="262"/>
      <c r="AM61" s="261"/>
      <c r="AN61" s="262"/>
      <c r="AO61" s="261"/>
      <c r="AP61" s="262"/>
      <c r="AQ61" s="261"/>
      <c r="AR61" s="262"/>
      <c r="AS61" s="261"/>
      <c r="AT61" s="260"/>
      <c r="AU61" s="261"/>
      <c r="AV61" s="262"/>
      <c r="AW61" s="261"/>
      <c r="AX61" s="262"/>
      <c r="AY61" s="261"/>
      <c r="AZ61" s="260"/>
      <c r="BA61" s="261"/>
      <c r="BB61" s="263"/>
      <c r="BC61" s="261"/>
      <c r="BD61" s="260"/>
      <c r="BE61" s="261"/>
      <c r="BF61" s="260"/>
    </row>
    <row r="62" spans="1:58" x14ac:dyDescent="0.2">
      <c r="A62" s="339" t="s">
        <v>188</v>
      </c>
      <c r="B62" s="380">
        <v>2.5999999999999999E-3</v>
      </c>
      <c r="C62" s="232">
        <v>5.1999999999999998E-3</v>
      </c>
      <c r="D62" s="232">
        <v>3.4000000000000002E-2</v>
      </c>
      <c r="E62" s="232">
        <v>1.2699999999999999E-2</v>
      </c>
      <c r="F62" s="232">
        <v>0</v>
      </c>
      <c r="G62" s="384">
        <v>0</v>
      </c>
      <c r="H62" s="391"/>
      <c r="I62" s="387"/>
      <c r="J62" s="388"/>
      <c r="K62" s="388"/>
      <c r="L62" s="388"/>
      <c r="M62" s="388"/>
      <c r="N62" s="389"/>
      <c r="O62" s="262"/>
      <c r="P62" s="261"/>
      <c r="Q62" s="262"/>
      <c r="R62" s="261"/>
      <c r="S62" s="260"/>
      <c r="T62" s="261"/>
      <c r="U62" s="260"/>
      <c r="V62" s="261"/>
      <c r="W62" s="260"/>
      <c r="X62" s="260"/>
      <c r="Y62" s="261"/>
      <c r="Z62" s="262"/>
      <c r="AA62" s="261"/>
      <c r="AB62" s="262"/>
      <c r="AC62" s="261"/>
      <c r="AD62" s="262"/>
      <c r="AE62" s="261"/>
      <c r="AF62" s="260"/>
      <c r="AG62" s="261"/>
      <c r="AH62" s="262"/>
      <c r="AI62" s="261"/>
      <c r="AJ62" s="263"/>
      <c r="AK62" s="261"/>
      <c r="AL62" s="262"/>
      <c r="AM62" s="261"/>
      <c r="AN62" s="262"/>
      <c r="AO62" s="261"/>
      <c r="AP62" s="262"/>
      <c r="AQ62" s="261"/>
      <c r="AR62" s="262"/>
      <c r="AS62" s="261"/>
      <c r="AT62" s="260"/>
      <c r="AU62" s="261"/>
      <c r="AV62" s="262"/>
      <c r="AW62" s="261"/>
      <c r="AX62" s="262"/>
      <c r="AY62" s="261"/>
      <c r="AZ62" s="260"/>
      <c r="BA62" s="261"/>
      <c r="BB62" s="263"/>
      <c r="BC62" s="261"/>
      <c r="BD62" s="260"/>
      <c r="BE62" s="261"/>
      <c r="BF62" s="260"/>
    </row>
    <row r="63" spans="1:58" ht="13.5" thickBot="1" x14ac:dyDescent="0.25">
      <c r="A63" s="340" t="s">
        <v>189</v>
      </c>
      <c r="B63" s="381">
        <v>0</v>
      </c>
      <c r="C63" s="232">
        <v>0</v>
      </c>
      <c r="D63" s="232">
        <v>0</v>
      </c>
      <c r="E63" s="232">
        <v>0</v>
      </c>
      <c r="F63" s="232">
        <v>0</v>
      </c>
      <c r="G63" s="385">
        <v>2.8999999999999998E-3</v>
      </c>
      <c r="H63" s="391"/>
      <c r="I63" s="389"/>
      <c r="J63" s="388"/>
      <c r="K63" s="388"/>
      <c r="L63" s="388"/>
      <c r="M63" s="388"/>
      <c r="N63" s="389"/>
      <c r="O63" s="262"/>
      <c r="P63" s="261"/>
      <c r="Q63" s="262"/>
      <c r="R63" s="261"/>
      <c r="S63" s="263"/>
      <c r="T63" s="261"/>
      <c r="U63" s="263"/>
      <c r="V63" s="261"/>
      <c r="W63" s="263"/>
      <c r="X63" s="263"/>
      <c r="Y63" s="261"/>
      <c r="Z63" s="262"/>
      <c r="AA63" s="261"/>
      <c r="AB63" s="262"/>
      <c r="AC63" s="261"/>
      <c r="AD63" s="262"/>
      <c r="AE63" s="261"/>
      <c r="AF63" s="263"/>
      <c r="AG63" s="261"/>
      <c r="AH63" s="262"/>
      <c r="AI63" s="261"/>
      <c r="AJ63" s="263"/>
      <c r="AK63" s="261"/>
      <c r="AL63" s="262"/>
      <c r="AM63" s="261"/>
      <c r="AN63" s="262"/>
      <c r="AO63" s="261"/>
      <c r="AP63" s="262"/>
      <c r="AQ63" s="261"/>
      <c r="AR63" s="262"/>
      <c r="AS63" s="261"/>
      <c r="AT63" s="263"/>
      <c r="AU63" s="261"/>
      <c r="AV63" s="262"/>
      <c r="AW63" s="261"/>
      <c r="AX63" s="262"/>
      <c r="AY63" s="261"/>
      <c r="AZ63" s="263"/>
      <c r="BA63" s="261"/>
      <c r="BB63" s="263"/>
      <c r="BC63" s="261"/>
      <c r="BD63" s="263"/>
      <c r="BE63" s="261"/>
      <c r="BF63" s="263"/>
    </row>
    <row r="64" spans="1:58" ht="13.5" thickBot="1" x14ac:dyDescent="0.25">
      <c r="A64" s="348"/>
      <c r="B64" s="345">
        <f t="shared" ref="B64:F64" si="4">SUM(B40:B63)</f>
        <v>1.0000000000000002</v>
      </c>
      <c r="C64" s="346">
        <f t="shared" si="4"/>
        <v>1</v>
      </c>
      <c r="D64" s="346">
        <f t="shared" si="4"/>
        <v>1</v>
      </c>
      <c r="E64" s="346">
        <f t="shared" si="4"/>
        <v>1</v>
      </c>
      <c r="F64" s="346">
        <f t="shared" si="4"/>
        <v>1</v>
      </c>
      <c r="G64" s="386">
        <f t="shared" ref="G64" si="5">SUM(G40:G63)</f>
        <v>1</v>
      </c>
      <c r="H64" s="392"/>
      <c r="I64" s="141"/>
      <c r="J64" s="141"/>
      <c r="K64" s="141"/>
      <c r="L64" s="141"/>
      <c r="M64" s="141"/>
      <c r="N64" s="141"/>
      <c r="O64" s="141"/>
      <c r="P64" s="21"/>
      <c r="Q64" s="21"/>
      <c r="R64" s="21"/>
      <c r="S64" s="21"/>
      <c r="T64" s="21"/>
      <c r="U64" s="21"/>
      <c r="V64" s="21"/>
      <c r="W64" s="21"/>
      <c r="X64" s="21"/>
    </row>
    <row r="65" spans="1:36" ht="20.100000000000001" customHeight="1" x14ac:dyDescent="0.2">
      <c r="A65" s="347" t="s">
        <v>224</v>
      </c>
      <c r="B65" s="344"/>
      <c r="C65" s="344"/>
      <c r="D65" s="344"/>
      <c r="E65" s="344"/>
      <c r="F65" s="344"/>
      <c r="G65" s="344"/>
      <c r="H65" s="21"/>
      <c r="I65" s="763"/>
      <c r="J65" s="763"/>
      <c r="K65" s="763"/>
      <c r="L65" s="763"/>
      <c r="M65" s="21"/>
      <c r="N65" s="21"/>
      <c r="O65" s="21"/>
      <c r="P65" s="21"/>
      <c r="Q65" s="21"/>
      <c r="R65" s="21"/>
      <c r="S65" s="21"/>
      <c r="T65" s="21"/>
      <c r="U65" s="21"/>
      <c r="V65" s="21"/>
      <c r="W65" s="21"/>
      <c r="X65" s="21"/>
      <c r="Y65" s="21"/>
    </row>
    <row r="66" spans="1:36" x14ac:dyDescent="0.2">
      <c r="A66" s="23"/>
      <c r="B66" s="141"/>
      <c r="C66" s="141"/>
      <c r="D66" s="141"/>
      <c r="E66" s="21"/>
      <c r="F66" s="21"/>
      <c r="G66" s="21"/>
      <c r="H66" s="21"/>
      <c r="I66" s="21"/>
      <c r="J66" s="21"/>
      <c r="K66" s="21"/>
      <c r="L66" s="21"/>
      <c r="M66" s="21"/>
      <c r="N66" s="21"/>
      <c r="O66" s="21"/>
      <c r="P66" s="21"/>
      <c r="Q66" s="21"/>
      <c r="R66" s="21"/>
      <c r="S66" s="21"/>
      <c r="T66" s="21"/>
      <c r="U66" s="21"/>
      <c r="V66" s="21"/>
      <c r="W66" s="21"/>
      <c r="X66" s="21"/>
      <c r="Y66" s="21"/>
    </row>
    <row r="67" spans="1:36" ht="13.5" thickBot="1" x14ac:dyDescent="0.25">
      <c r="A67" s="23"/>
      <c r="B67" s="141"/>
      <c r="C67" s="141"/>
      <c r="D67" s="141"/>
      <c r="E67" s="21"/>
      <c r="F67" s="21"/>
      <c r="G67" s="21"/>
      <c r="H67" s="21"/>
      <c r="I67" s="21"/>
      <c r="J67" s="21"/>
      <c r="K67" s="21"/>
      <c r="L67" s="21"/>
      <c r="M67" s="21"/>
      <c r="N67" s="21"/>
      <c r="O67" s="21"/>
      <c r="P67" s="21"/>
      <c r="Q67" s="21"/>
      <c r="R67" s="21"/>
      <c r="S67" s="21"/>
      <c r="T67" s="21"/>
      <c r="U67" s="21"/>
      <c r="V67" s="21"/>
      <c r="W67" s="21"/>
      <c r="X67" s="21"/>
      <c r="Y67" s="21"/>
    </row>
    <row r="68" spans="1:36" ht="13.5" thickBot="1" x14ac:dyDescent="0.25">
      <c r="A68" s="760" t="s">
        <v>135</v>
      </c>
      <c r="B68" s="150"/>
      <c r="C68" s="150"/>
      <c r="D68" s="40"/>
      <c r="E68" s="21"/>
      <c r="F68" s="109" t="s">
        <v>24</v>
      </c>
      <c r="G68" s="21"/>
      <c r="H68" s="21"/>
      <c r="I68" s="21"/>
      <c r="J68" s="21"/>
      <c r="K68" s="21"/>
      <c r="L68" s="21"/>
      <c r="M68" s="21"/>
      <c r="N68" s="21"/>
      <c r="O68" s="21"/>
      <c r="P68" s="21"/>
      <c r="Q68" s="21"/>
      <c r="R68" s="21"/>
      <c r="S68" s="21"/>
      <c r="T68" s="21"/>
      <c r="U68" s="21"/>
      <c r="V68" s="21"/>
      <c r="W68" s="21"/>
      <c r="X68" s="21"/>
      <c r="Y68" s="21"/>
    </row>
    <row r="69" spans="1:36" ht="13.5" thickBot="1" x14ac:dyDescent="0.25">
      <c r="A69" s="761"/>
      <c r="B69" s="747" t="s">
        <v>28</v>
      </c>
      <c r="C69" s="748"/>
      <c r="D69" s="748"/>
      <c r="E69" s="749"/>
      <c r="F69" s="747" t="s">
        <v>33</v>
      </c>
      <c r="G69" s="748"/>
      <c r="H69" s="748"/>
      <c r="I69" s="749"/>
      <c r="J69" s="747" t="s">
        <v>5</v>
      </c>
      <c r="K69" s="748"/>
      <c r="L69" s="748"/>
      <c r="M69" s="749"/>
      <c r="N69" s="747" t="s">
        <v>8</v>
      </c>
      <c r="O69" s="748"/>
      <c r="P69" s="748"/>
      <c r="Q69" s="748"/>
      <c r="R69" s="749"/>
      <c r="S69" s="747" t="s">
        <v>34</v>
      </c>
      <c r="T69" s="748"/>
      <c r="U69" s="748"/>
      <c r="V69" s="749"/>
      <c r="W69" s="409" t="s">
        <v>15</v>
      </c>
      <c r="X69" s="410"/>
      <c r="Y69" s="747" t="s">
        <v>11</v>
      </c>
      <c r="Z69" s="748"/>
      <c r="AA69" s="748"/>
      <c r="AB69" s="749"/>
      <c r="AC69" s="747" t="s">
        <v>35</v>
      </c>
      <c r="AD69" s="749"/>
      <c r="AE69" s="747" t="s">
        <v>50</v>
      </c>
      <c r="AF69" s="749"/>
      <c r="AG69" s="747" t="s">
        <v>20</v>
      </c>
      <c r="AH69" s="749"/>
    </row>
    <row r="70" spans="1:36" ht="26.25" customHeight="1" thickBot="1" x14ac:dyDescent="0.25">
      <c r="A70" s="762"/>
      <c r="B70" s="757" t="s">
        <v>197</v>
      </c>
      <c r="C70" s="758"/>
      <c r="D70" s="759"/>
      <c r="E70" s="272">
        <f>'BRA Resource Clearing Results'!C6</f>
        <v>0</v>
      </c>
      <c r="F70" s="757" t="s">
        <v>197</v>
      </c>
      <c r="G70" s="758"/>
      <c r="H70" s="759"/>
      <c r="I70" s="272">
        <f>'BRA Resource Clearing Results'!C7</f>
        <v>25.73</v>
      </c>
      <c r="J70" s="750" t="s">
        <v>197</v>
      </c>
      <c r="K70" s="751"/>
      <c r="L70" s="752"/>
      <c r="M70" s="272">
        <f>'BRA Resource Clearing Results'!C8</f>
        <v>0</v>
      </c>
      <c r="N70" s="757" t="s">
        <v>197</v>
      </c>
      <c r="O70" s="758"/>
      <c r="P70" s="758"/>
      <c r="Q70" s="759"/>
      <c r="R70" s="304">
        <f>'BRA Resource Clearing Results'!C9</f>
        <v>38.56</v>
      </c>
      <c r="S70" s="764" t="s">
        <v>197</v>
      </c>
      <c r="T70" s="765"/>
      <c r="U70" s="766"/>
      <c r="V70" s="272">
        <f>'BRA Resource Clearing Results'!C10</f>
        <v>0</v>
      </c>
      <c r="W70" s="411" t="s">
        <v>197</v>
      </c>
      <c r="X70" s="272">
        <f>'BRA Resource Clearing Results'!C12</f>
        <v>0</v>
      </c>
      <c r="Y70" s="750" t="s">
        <v>197</v>
      </c>
      <c r="Z70" s="751"/>
      <c r="AA70" s="752"/>
      <c r="AB70" s="272">
        <f>'BRA Resource Clearing Results'!C16</f>
        <v>60.3</v>
      </c>
      <c r="AC70" s="199" t="s">
        <v>197</v>
      </c>
      <c r="AD70" s="272">
        <f>'BRA Resource Clearing Results'!C11</f>
        <v>0</v>
      </c>
      <c r="AE70" s="199" t="s">
        <v>197</v>
      </c>
      <c r="AF70" s="272">
        <f>'BRA Resource Clearing Results'!C19</f>
        <v>0</v>
      </c>
      <c r="AG70" s="199" t="s">
        <v>197</v>
      </c>
      <c r="AH70" s="272">
        <f>'BRA Resource Clearing Results'!C15</f>
        <v>55.55</v>
      </c>
      <c r="AJ70" s="316" t="s">
        <v>24</v>
      </c>
    </row>
    <row r="71" spans="1:36" ht="51.75" thickBot="1" x14ac:dyDescent="0.25">
      <c r="A71" s="286" t="s">
        <v>56</v>
      </c>
      <c r="B71" s="273" t="s">
        <v>199</v>
      </c>
      <c r="C71" s="274" t="s">
        <v>97</v>
      </c>
      <c r="D71" s="275" t="s">
        <v>57</v>
      </c>
      <c r="E71" s="276" t="s">
        <v>71</v>
      </c>
      <c r="F71" s="295" t="s">
        <v>200</v>
      </c>
      <c r="G71" s="296" t="s">
        <v>170</v>
      </c>
      <c r="H71" s="296" t="s">
        <v>57</v>
      </c>
      <c r="I71" s="297" t="s">
        <v>71</v>
      </c>
      <c r="J71" s="233" t="s">
        <v>200</v>
      </c>
      <c r="K71" s="290" t="s">
        <v>97</v>
      </c>
      <c r="L71" s="298" t="s">
        <v>57</v>
      </c>
      <c r="M71" s="299" t="s">
        <v>71</v>
      </c>
      <c r="N71" s="305" t="s">
        <v>200</v>
      </c>
      <c r="O71" s="306" t="s">
        <v>98</v>
      </c>
      <c r="P71" s="306" t="s">
        <v>99</v>
      </c>
      <c r="Q71" s="275" t="s">
        <v>57</v>
      </c>
      <c r="R71" s="276" t="s">
        <v>71</v>
      </c>
      <c r="S71" s="307" t="s">
        <v>200</v>
      </c>
      <c r="T71" s="290" t="s">
        <v>98</v>
      </c>
      <c r="U71" s="298" t="s">
        <v>57</v>
      </c>
      <c r="V71" s="308" t="s">
        <v>71</v>
      </c>
      <c r="W71" s="274" t="s">
        <v>169</v>
      </c>
      <c r="X71" s="276" t="s">
        <v>71</v>
      </c>
      <c r="Y71" s="290" t="s">
        <v>97</v>
      </c>
      <c r="Z71" s="310" t="s">
        <v>124</v>
      </c>
      <c r="AA71" s="298" t="s">
        <v>57</v>
      </c>
      <c r="AB71" s="311" t="s">
        <v>71</v>
      </c>
      <c r="AC71" s="753" t="s">
        <v>201</v>
      </c>
      <c r="AD71" s="754"/>
      <c r="AE71" s="753" t="s">
        <v>201</v>
      </c>
      <c r="AF71" s="754"/>
      <c r="AG71" s="753" t="s">
        <v>201</v>
      </c>
      <c r="AH71" s="754"/>
    </row>
    <row r="72" spans="1:36" x14ac:dyDescent="0.2">
      <c r="A72" s="287" t="s">
        <v>16</v>
      </c>
      <c r="B72" s="280">
        <f>B40*$C$13</f>
        <v>0</v>
      </c>
      <c r="C72" s="281">
        <f>C40*$C$15</f>
        <v>0</v>
      </c>
      <c r="D72" s="281">
        <f>B72+C72</f>
        <v>0</v>
      </c>
      <c r="E72" s="282">
        <f>D72*$E$70</f>
        <v>0</v>
      </c>
      <c r="F72" s="280">
        <f>B40*$D$13</f>
        <v>14.9068</v>
      </c>
      <c r="G72" s="281">
        <f t="shared" ref="G72:G95" si="6">G40*$D$19</f>
        <v>0.98</v>
      </c>
      <c r="H72" s="281">
        <f>F72+G72</f>
        <v>15.886800000000001</v>
      </c>
      <c r="I72" s="291">
        <f>H72*$I$70</f>
        <v>408.76736400000004</v>
      </c>
      <c r="J72" s="280">
        <f t="shared" ref="J72:J95" si="7">B40*$E$13</f>
        <v>4.2496</v>
      </c>
      <c r="K72" s="281">
        <f t="shared" ref="K72:K95" si="8">C40*$E$15</f>
        <v>21.4011</v>
      </c>
      <c r="L72" s="413">
        <f>J72+K72</f>
        <v>25.650700000000001</v>
      </c>
      <c r="M72" s="302">
        <f>L72*$M$70</f>
        <v>0</v>
      </c>
      <c r="N72" s="280">
        <f t="shared" ref="N72:N95" si="9">B40*$F$13</f>
        <v>1.1437400000000002</v>
      </c>
      <c r="O72" s="281">
        <f t="shared" ref="O72:O95" si="10">D40*$F$16</f>
        <v>0.95255999999999996</v>
      </c>
      <c r="P72" s="281">
        <f t="shared" ref="P72:P95" si="11">E40*$F$17</f>
        <v>0</v>
      </c>
      <c r="Q72" s="281">
        <f>N72+O72+P72</f>
        <v>2.0963000000000003</v>
      </c>
      <c r="R72" s="282">
        <f>Q72*$R$70</f>
        <v>80.833328000000009</v>
      </c>
      <c r="S72" s="280">
        <f t="shared" ref="S72:S95" si="12">B40*$G$13</f>
        <v>1.7513000000000001</v>
      </c>
      <c r="T72" s="281">
        <f t="shared" ref="T72:T95" si="13">D40*$G$16</f>
        <v>1.3846000000000001</v>
      </c>
      <c r="U72" s="281">
        <f t="shared" ref="U72:U77" si="14">S72+T72</f>
        <v>3.1359000000000004</v>
      </c>
      <c r="V72" s="282">
        <f t="shared" ref="V72:V95" si="15">U72*$V$70</f>
        <v>0</v>
      </c>
      <c r="W72" s="281">
        <f t="shared" ref="W72:W95" si="16">G40*$J$19</f>
        <v>3.4299999999999997</v>
      </c>
      <c r="X72" s="291">
        <f>W72*$X$70</f>
        <v>0</v>
      </c>
      <c r="Y72" s="280">
        <f t="shared" ref="Y72:Y95" si="17">C40*$K$15</f>
        <v>11.1972</v>
      </c>
      <c r="Z72" s="312">
        <f t="shared" ref="Z72:Z95" si="18">F40*$K$18</f>
        <v>0</v>
      </c>
      <c r="AA72" s="313">
        <f t="shared" ref="AA72:AA77" si="19">Y72+Z72</f>
        <v>11.1972</v>
      </c>
      <c r="AB72" s="291">
        <f>AA72*$AB$70</f>
        <v>675.19115999999997</v>
      </c>
      <c r="AC72" s="4"/>
      <c r="AD72" s="4"/>
    </row>
    <row r="73" spans="1:36" x14ac:dyDescent="0.2">
      <c r="A73" s="288" t="s">
        <v>29</v>
      </c>
      <c r="B73" s="123">
        <f t="shared" ref="B73:B95" si="20">B41*$C$13</f>
        <v>0</v>
      </c>
      <c r="C73" s="142">
        <f t="shared" ref="C73:C95" si="21">C41*$C$15</f>
        <v>0</v>
      </c>
      <c r="D73" s="142">
        <f>B73+C73</f>
        <v>0</v>
      </c>
      <c r="E73" s="51">
        <f>D73*$E$70</f>
        <v>0</v>
      </c>
      <c r="F73" s="123">
        <f t="shared" ref="F73:F80" si="22">B41*$D$13</f>
        <v>127.1568</v>
      </c>
      <c r="G73" s="142">
        <f t="shared" si="6"/>
        <v>0</v>
      </c>
      <c r="H73" s="142">
        <f t="shared" ref="H73:H95" si="23">F73+G73</f>
        <v>127.1568</v>
      </c>
      <c r="I73" s="126">
        <f t="shared" ref="I73:I95" si="24">H73*$I$70</f>
        <v>3271.7444640000003</v>
      </c>
      <c r="J73" s="123">
        <f t="shared" si="7"/>
        <v>36.249600000000001</v>
      </c>
      <c r="K73" s="142">
        <f t="shared" si="8"/>
        <v>0</v>
      </c>
      <c r="L73" s="142">
        <f t="shared" ref="L73:L95" si="25">J73+K73</f>
        <v>36.249600000000001</v>
      </c>
      <c r="M73" s="197">
        <f>L73*$M$70</f>
        <v>0</v>
      </c>
      <c r="N73" s="123">
        <f t="shared" si="9"/>
        <v>9.7562400000000018</v>
      </c>
      <c r="O73" s="142">
        <f t="shared" si="10"/>
        <v>0</v>
      </c>
      <c r="P73" s="142">
        <f t="shared" si="11"/>
        <v>0</v>
      </c>
      <c r="Q73" s="142">
        <f>N73+O73+P73</f>
        <v>9.7562400000000018</v>
      </c>
      <c r="R73" s="51">
        <f>Q73*$R$70</f>
        <v>376.20061440000012</v>
      </c>
      <c r="S73" s="123">
        <f t="shared" si="12"/>
        <v>14.938800000000001</v>
      </c>
      <c r="T73" s="142">
        <f t="shared" si="13"/>
        <v>0</v>
      </c>
      <c r="U73" s="142">
        <f t="shared" si="14"/>
        <v>14.938800000000001</v>
      </c>
      <c r="V73" s="51">
        <f t="shared" si="15"/>
        <v>0</v>
      </c>
      <c r="W73" s="142">
        <f t="shared" si="16"/>
        <v>0</v>
      </c>
      <c r="X73" s="126">
        <f>W73*$X$70</f>
        <v>0</v>
      </c>
      <c r="Y73" s="123">
        <f t="shared" si="17"/>
        <v>0</v>
      </c>
      <c r="Z73" s="191">
        <f t="shared" si="18"/>
        <v>0</v>
      </c>
      <c r="AA73" s="198">
        <f t="shared" si="19"/>
        <v>0</v>
      </c>
      <c r="AB73" s="126">
        <f t="shared" ref="AB73:AB95" si="26">AA73*$AB$70</f>
        <v>0</v>
      </c>
      <c r="AC73" s="4"/>
      <c r="AD73" s="4"/>
    </row>
    <row r="74" spans="1:36" x14ac:dyDescent="0.2">
      <c r="A74" s="288" t="s">
        <v>19</v>
      </c>
      <c r="B74" s="123">
        <f t="shared" si="20"/>
        <v>0</v>
      </c>
      <c r="C74" s="142">
        <f t="shared" si="21"/>
        <v>0</v>
      </c>
      <c r="D74" s="142">
        <f>B74+C74</f>
        <v>0</v>
      </c>
      <c r="E74" s="51">
        <f t="shared" ref="E74:E94" si="27">D74*$E$70</f>
        <v>0</v>
      </c>
      <c r="F74" s="123">
        <f t="shared" si="22"/>
        <v>51.455399999999997</v>
      </c>
      <c r="G74" s="142">
        <f t="shared" si="6"/>
        <v>0</v>
      </c>
      <c r="H74" s="142">
        <f t="shared" si="23"/>
        <v>51.455399999999997</v>
      </c>
      <c r="I74" s="126">
        <f t="shared" si="24"/>
        <v>1323.9474419999999</v>
      </c>
      <c r="J74" s="123">
        <f t="shared" si="7"/>
        <v>14.668799999999999</v>
      </c>
      <c r="K74" s="142">
        <f t="shared" si="8"/>
        <v>0</v>
      </c>
      <c r="L74" s="142">
        <f t="shared" si="25"/>
        <v>14.668799999999999</v>
      </c>
      <c r="M74" s="197">
        <f>L74*$M$70</f>
        <v>0</v>
      </c>
      <c r="N74" s="123">
        <f t="shared" si="9"/>
        <v>3.9479700000000002</v>
      </c>
      <c r="O74" s="142">
        <f t="shared" si="10"/>
        <v>0</v>
      </c>
      <c r="P74" s="142">
        <f t="shared" si="11"/>
        <v>0</v>
      </c>
      <c r="Q74" s="142">
        <f>N74+O74+P74</f>
        <v>3.9479700000000002</v>
      </c>
      <c r="R74" s="51">
        <f t="shared" ref="R74:R95" si="28">Q74*$R$70</f>
        <v>152.23372320000001</v>
      </c>
      <c r="S74" s="123">
        <f t="shared" si="12"/>
        <v>6.0451499999999996</v>
      </c>
      <c r="T74" s="142">
        <f t="shared" si="13"/>
        <v>0</v>
      </c>
      <c r="U74" s="142">
        <f t="shared" si="14"/>
        <v>6.0451499999999996</v>
      </c>
      <c r="V74" s="51">
        <f t="shared" si="15"/>
        <v>0</v>
      </c>
      <c r="W74" s="142">
        <f t="shared" si="16"/>
        <v>0</v>
      </c>
      <c r="X74" s="126">
        <f t="shared" ref="X74:X94" si="29">W74*$X$70</f>
        <v>0</v>
      </c>
      <c r="Y74" s="123">
        <f t="shared" si="17"/>
        <v>0</v>
      </c>
      <c r="Z74" s="191">
        <f t="shared" si="18"/>
        <v>8.0444000000000013</v>
      </c>
      <c r="AA74" s="198">
        <f t="shared" si="19"/>
        <v>8.0444000000000013</v>
      </c>
      <c r="AB74" s="126">
        <f t="shared" si="26"/>
        <v>485.07732000000004</v>
      </c>
      <c r="AC74" s="4"/>
      <c r="AD74" s="4"/>
    </row>
    <row r="75" spans="1:36" x14ac:dyDescent="0.2">
      <c r="A75" s="288" t="s">
        <v>43</v>
      </c>
      <c r="B75" s="123">
        <f t="shared" si="20"/>
        <v>0</v>
      </c>
      <c r="C75" s="142">
        <f t="shared" si="21"/>
        <v>0</v>
      </c>
      <c r="D75" s="142">
        <f t="shared" ref="D75:D94" si="30">B75+C75</f>
        <v>0</v>
      </c>
      <c r="E75" s="51">
        <f t="shared" si="27"/>
        <v>0</v>
      </c>
      <c r="F75" s="123">
        <f t="shared" si="22"/>
        <v>70.7624</v>
      </c>
      <c r="G75" s="142">
        <f t="shared" si="6"/>
        <v>0</v>
      </c>
      <c r="H75" s="142">
        <f t="shared" si="23"/>
        <v>70.7624</v>
      </c>
      <c r="I75" s="126">
        <f t="shared" si="24"/>
        <v>1820.7165520000001</v>
      </c>
      <c r="J75" s="123">
        <f t="shared" si="7"/>
        <v>20.172799999999999</v>
      </c>
      <c r="K75" s="142">
        <f t="shared" si="8"/>
        <v>0</v>
      </c>
      <c r="L75" s="142">
        <f t="shared" si="25"/>
        <v>20.172799999999999</v>
      </c>
      <c r="M75" s="197">
        <f>L75*$M$70</f>
        <v>0</v>
      </c>
      <c r="N75" s="123">
        <f t="shared" si="9"/>
        <v>5.4293199999999997</v>
      </c>
      <c r="O75" s="142">
        <f t="shared" si="10"/>
        <v>0</v>
      </c>
      <c r="P75" s="142">
        <f t="shared" si="11"/>
        <v>0</v>
      </c>
      <c r="Q75" s="142">
        <f t="shared" ref="Q75:Q90" si="31">N75+O75+P75</f>
        <v>5.4293199999999997</v>
      </c>
      <c r="R75" s="51">
        <f t="shared" si="28"/>
        <v>209.35457919999999</v>
      </c>
      <c r="S75" s="123">
        <f t="shared" si="12"/>
        <v>8.3133999999999997</v>
      </c>
      <c r="T75" s="142">
        <f t="shared" si="13"/>
        <v>0</v>
      </c>
      <c r="U75" s="142">
        <f t="shared" si="14"/>
        <v>8.3133999999999997</v>
      </c>
      <c r="V75" s="51">
        <f t="shared" si="15"/>
        <v>0</v>
      </c>
      <c r="W75" s="142">
        <f t="shared" si="16"/>
        <v>0</v>
      </c>
      <c r="X75" s="126">
        <f t="shared" si="29"/>
        <v>0</v>
      </c>
      <c r="Y75" s="123">
        <f t="shared" si="17"/>
        <v>0</v>
      </c>
      <c r="Z75" s="191">
        <f t="shared" si="18"/>
        <v>0</v>
      </c>
      <c r="AA75" s="198">
        <f t="shared" si="19"/>
        <v>0</v>
      </c>
      <c r="AB75" s="126">
        <f t="shared" si="26"/>
        <v>0</v>
      </c>
      <c r="AC75" s="4"/>
      <c r="AD75" s="4"/>
    </row>
    <row r="76" spans="1:36" x14ac:dyDescent="0.2">
      <c r="A76" s="288" t="s">
        <v>11</v>
      </c>
      <c r="B76" s="123">
        <f t="shared" si="20"/>
        <v>0</v>
      </c>
      <c r="C76" s="142">
        <f t="shared" si="21"/>
        <v>0</v>
      </c>
      <c r="D76" s="142">
        <f t="shared" si="30"/>
        <v>0</v>
      </c>
      <c r="E76" s="51">
        <f t="shared" si="27"/>
        <v>0</v>
      </c>
      <c r="F76" s="123">
        <f t="shared" si="22"/>
        <v>37.895600000000002</v>
      </c>
      <c r="G76" s="142">
        <f t="shared" si="6"/>
        <v>7.1849999999999996</v>
      </c>
      <c r="H76" s="142">
        <f t="shared" si="23"/>
        <v>45.080600000000004</v>
      </c>
      <c r="I76" s="126">
        <f t="shared" si="24"/>
        <v>1159.9238380000002</v>
      </c>
      <c r="J76" s="123">
        <f t="shared" si="7"/>
        <v>10.8032</v>
      </c>
      <c r="K76" s="142">
        <f t="shared" si="8"/>
        <v>0</v>
      </c>
      <c r="L76" s="142">
        <f t="shared" si="25"/>
        <v>10.8032</v>
      </c>
      <c r="M76" s="197">
        <f t="shared" ref="M76:M90" si="32">L76*$M$70</f>
        <v>0</v>
      </c>
      <c r="N76" s="123">
        <f t="shared" si="9"/>
        <v>2.9075800000000003</v>
      </c>
      <c r="O76" s="142">
        <f t="shared" si="10"/>
        <v>4.0143599999999999</v>
      </c>
      <c r="P76" s="142">
        <f t="shared" si="11"/>
        <v>0</v>
      </c>
      <c r="Q76" s="142">
        <f t="shared" si="31"/>
        <v>6.9219400000000002</v>
      </c>
      <c r="R76" s="51">
        <f t="shared" si="28"/>
        <v>266.91000640000004</v>
      </c>
      <c r="S76" s="123">
        <f t="shared" si="12"/>
        <v>4.4520999999999997</v>
      </c>
      <c r="T76" s="142">
        <f t="shared" si="13"/>
        <v>5.8350999999999997</v>
      </c>
      <c r="U76" s="142">
        <f t="shared" si="14"/>
        <v>10.287199999999999</v>
      </c>
      <c r="V76" s="51">
        <f t="shared" si="15"/>
        <v>0</v>
      </c>
      <c r="W76" s="142">
        <f t="shared" si="16"/>
        <v>25.147499999999997</v>
      </c>
      <c r="X76" s="126">
        <f t="shared" si="29"/>
        <v>0</v>
      </c>
      <c r="Y76" s="123">
        <f t="shared" si="17"/>
        <v>0</v>
      </c>
      <c r="Z76" s="191">
        <f t="shared" si="18"/>
        <v>121.849</v>
      </c>
      <c r="AA76" s="198">
        <f t="shared" si="19"/>
        <v>121.849</v>
      </c>
      <c r="AB76" s="126">
        <f t="shared" si="26"/>
        <v>7347.4947000000002</v>
      </c>
      <c r="AC76" s="4"/>
      <c r="AD76" s="4"/>
    </row>
    <row r="77" spans="1:36" x14ac:dyDescent="0.2">
      <c r="A77" s="288" t="s">
        <v>177</v>
      </c>
      <c r="B77" s="123">
        <f t="shared" si="20"/>
        <v>0</v>
      </c>
      <c r="C77" s="142">
        <f t="shared" si="21"/>
        <v>0</v>
      </c>
      <c r="D77" s="142">
        <f t="shared" si="30"/>
        <v>0</v>
      </c>
      <c r="E77" s="51">
        <f t="shared" si="27"/>
        <v>0</v>
      </c>
      <c r="F77" s="123">
        <f t="shared" si="22"/>
        <v>119.52379999999999</v>
      </c>
      <c r="G77" s="142">
        <f t="shared" si="6"/>
        <v>0</v>
      </c>
      <c r="H77" s="142">
        <f t="shared" si="23"/>
        <v>119.52379999999999</v>
      </c>
      <c r="I77" s="126">
        <f t="shared" si="24"/>
        <v>3075.3473739999999</v>
      </c>
      <c r="J77" s="123">
        <f t="shared" si="7"/>
        <v>34.073599999999999</v>
      </c>
      <c r="K77" s="142">
        <f t="shared" si="8"/>
        <v>0</v>
      </c>
      <c r="L77" s="142">
        <f t="shared" si="25"/>
        <v>34.073599999999999</v>
      </c>
      <c r="M77" s="197">
        <f t="shared" si="32"/>
        <v>0</v>
      </c>
      <c r="N77" s="123">
        <f t="shared" si="9"/>
        <v>9.1705900000000007</v>
      </c>
      <c r="O77" s="142">
        <f t="shared" si="10"/>
        <v>9.6276599999999988</v>
      </c>
      <c r="P77" s="142">
        <f t="shared" si="11"/>
        <v>0</v>
      </c>
      <c r="Q77" s="142">
        <f t="shared" si="31"/>
        <v>18.798249999999999</v>
      </c>
      <c r="R77" s="51">
        <f t="shared" si="28"/>
        <v>724.86052000000007</v>
      </c>
      <c r="S77" s="123">
        <f t="shared" si="12"/>
        <v>14.04205</v>
      </c>
      <c r="T77" s="142">
        <f t="shared" si="13"/>
        <v>13.994349999999999</v>
      </c>
      <c r="U77" s="142">
        <f t="shared" si="14"/>
        <v>28.0364</v>
      </c>
      <c r="V77" s="51">
        <f t="shared" si="15"/>
        <v>0</v>
      </c>
      <c r="W77" s="142">
        <f t="shared" si="16"/>
        <v>0</v>
      </c>
      <c r="X77" s="126">
        <f t="shared" si="29"/>
        <v>0</v>
      </c>
      <c r="Y77" s="123">
        <f t="shared" si="17"/>
        <v>0</v>
      </c>
      <c r="Z77" s="191">
        <f t="shared" si="18"/>
        <v>7.4984000000000002</v>
      </c>
      <c r="AA77" s="198">
        <f t="shared" si="19"/>
        <v>7.4984000000000002</v>
      </c>
      <c r="AB77" s="126">
        <f t="shared" si="26"/>
        <v>452.15352000000001</v>
      </c>
      <c r="AC77" s="4"/>
      <c r="AD77" s="4"/>
    </row>
    <row r="78" spans="1:36" x14ac:dyDescent="0.2">
      <c r="A78" s="288" t="s">
        <v>105</v>
      </c>
      <c r="B78" s="123">
        <f t="shared" si="20"/>
        <v>0</v>
      </c>
      <c r="C78" s="142">
        <f t="shared" si="21"/>
        <v>0</v>
      </c>
      <c r="D78" s="142">
        <f t="shared" si="30"/>
        <v>0</v>
      </c>
      <c r="E78" s="51">
        <f t="shared" si="27"/>
        <v>0</v>
      </c>
      <c r="F78" s="123">
        <f t="shared" si="22"/>
        <v>0</v>
      </c>
      <c r="G78" s="142">
        <f t="shared" si="6"/>
        <v>0</v>
      </c>
      <c r="H78" s="142">
        <f t="shared" si="23"/>
        <v>0</v>
      </c>
      <c r="I78" s="126">
        <f t="shared" si="24"/>
        <v>0</v>
      </c>
      <c r="J78" s="123">
        <f t="shared" si="7"/>
        <v>0</v>
      </c>
      <c r="K78" s="142">
        <f t="shared" si="8"/>
        <v>0</v>
      </c>
      <c r="L78" s="142">
        <f t="shared" si="25"/>
        <v>0</v>
      </c>
      <c r="M78" s="197">
        <f t="shared" si="32"/>
        <v>0</v>
      </c>
      <c r="N78" s="123">
        <f t="shared" si="9"/>
        <v>0</v>
      </c>
      <c r="O78" s="142">
        <f t="shared" si="10"/>
        <v>0</v>
      </c>
      <c r="P78" s="142">
        <f t="shared" si="11"/>
        <v>0</v>
      </c>
      <c r="Q78" s="142">
        <f t="shared" si="31"/>
        <v>0</v>
      </c>
      <c r="R78" s="51">
        <f t="shared" si="28"/>
        <v>0</v>
      </c>
      <c r="S78" s="123">
        <f t="shared" si="12"/>
        <v>0</v>
      </c>
      <c r="T78" s="142">
        <f t="shared" si="13"/>
        <v>0</v>
      </c>
      <c r="U78" s="142">
        <f t="shared" ref="U78:U94" si="33">S78+T78</f>
        <v>0</v>
      </c>
      <c r="V78" s="51">
        <f t="shared" si="15"/>
        <v>0</v>
      </c>
      <c r="W78" s="142">
        <f t="shared" si="16"/>
        <v>0</v>
      </c>
      <c r="X78" s="126">
        <f t="shared" si="29"/>
        <v>0</v>
      </c>
      <c r="Y78" s="123">
        <f t="shared" si="17"/>
        <v>0</v>
      </c>
      <c r="Z78" s="191">
        <f t="shared" si="18"/>
        <v>0</v>
      </c>
      <c r="AA78" s="198">
        <f t="shared" ref="AA78:AA95" si="34">Y78+Z78</f>
        <v>0</v>
      </c>
      <c r="AB78" s="126">
        <f t="shared" si="26"/>
        <v>0</v>
      </c>
      <c r="AC78" s="4"/>
      <c r="AD78" s="4"/>
    </row>
    <row r="79" spans="1:36" x14ac:dyDescent="0.2">
      <c r="A79" s="288" t="s">
        <v>178</v>
      </c>
      <c r="B79" s="123">
        <f t="shared" si="20"/>
        <v>0</v>
      </c>
      <c r="C79" s="142">
        <f t="shared" si="21"/>
        <v>0</v>
      </c>
      <c r="D79" s="142">
        <f t="shared" si="30"/>
        <v>0</v>
      </c>
      <c r="E79" s="51">
        <f t="shared" si="27"/>
        <v>0</v>
      </c>
      <c r="F79" s="123">
        <f t="shared" si="22"/>
        <v>18.947800000000001</v>
      </c>
      <c r="G79" s="142">
        <f t="shared" si="6"/>
        <v>0</v>
      </c>
      <c r="H79" s="142">
        <f t="shared" si="23"/>
        <v>18.947800000000001</v>
      </c>
      <c r="I79" s="126">
        <f t="shared" si="24"/>
        <v>487.52689400000003</v>
      </c>
      <c r="J79" s="123">
        <f t="shared" si="7"/>
        <v>5.4016000000000002</v>
      </c>
      <c r="K79" s="142">
        <f t="shared" si="8"/>
        <v>0</v>
      </c>
      <c r="L79" s="142">
        <f t="shared" si="25"/>
        <v>5.4016000000000002</v>
      </c>
      <c r="M79" s="197">
        <f t="shared" si="32"/>
        <v>0</v>
      </c>
      <c r="N79" s="123">
        <f t="shared" si="9"/>
        <v>1.4537900000000001</v>
      </c>
      <c r="O79" s="142">
        <f t="shared" si="10"/>
        <v>0.54432000000000003</v>
      </c>
      <c r="P79" s="142">
        <f t="shared" si="11"/>
        <v>0</v>
      </c>
      <c r="Q79" s="142">
        <f t="shared" si="31"/>
        <v>1.9981100000000001</v>
      </c>
      <c r="R79" s="51">
        <f t="shared" si="28"/>
        <v>77.047121600000011</v>
      </c>
      <c r="S79" s="123">
        <f t="shared" si="12"/>
        <v>2.2260499999999999</v>
      </c>
      <c r="T79" s="142">
        <f t="shared" si="13"/>
        <v>0.79120000000000001</v>
      </c>
      <c r="U79" s="142">
        <f t="shared" si="33"/>
        <v>3.0172499999999998</v>
      </c>
      <c r="V79" s="51">
        <f t="shared" si="15"/>
        <v>0</v>
      </c>
      <c r="W79" s="142">
        <f t="shared" si="16"/>
        <v>0</v>
      </c>
      <c r="X79" s="126">
        <f t="shared" si="29"/>
        <v>0</v>
      </c>
      <c r="Y79" s="123">
        <f t="shared" si="17"/>
        <v>0</v>
      </c>
      <c r="Z79" s="191">
        <f t="shared" si="18"/>
        <v>0.89179999999999993</v>
      </c>
      <c r="AA79" s="198">
        <f t="shared" si="34"/>
        <v>0.89179999999999993</v>
      </c>
      <c r="AB79" s="126">
        <f t="shared" si="26"/>
        <v>53.775539999999992</v>
      </c>
      <c r="AC79" s="4"/>
      <c r="AD79" s="4"/>
    </row>
    <row r="80" spans="1:36" x14ac:dyDescent="0.2">
      <c r="A80" s="288" t="s">
        <v>179</v>
      </c>
      <c r="B80" s="123">
        <f t="shared" si="20"/>
        <v>0</v>
      </c>
      <c r="C80" s="142">
        <f t="shared" si="21"/>
        <v>0</v>
      </c>
      <c r="D80" s="142">
        <f t="shared" si="30"/>
        <v>0</v>
      </c>
      <c r="E80" s="51">
        <f t="shared" si="27"/>
        <v>0</v>
      </c>
      <c r="F80" s="123">
        <f t="shared" si="22"/>
        <v>29.5442</v>
      </c>
      <c r="G80" s="142">
        <f t="shared" si="6"/>
        <v>0</v>
      </c>
      <c r="H80" s="142">
        <f t="shared" si="23"/>
        <v>29.5442</v>
      </c>
      <c r="I80" s="126">
        <f t="shared" si="24"/>
        <v>760.17226600000004</v>
      </c>
      <c r="J80" s="123">
        <f t="shared" si="7"/>
        <v>8.4223999999999997</v>
      </c>
      <c r="K80" s="142">
        <f t="shared" si="8"/>
        <v>0</v>
      </c>
      <c r="L80" s="142">
        <f t="shared" si="25"/>
        <v>8.4223999999999997</v>
      </c>
      <c r="M80" s="197">
        <f t="shared" si="32"/>
        <v>0</v>
      </c>
      <c r="N80" s="123">
        <f t="shared" si="9"/>
        <v>2.26681</v>
      </c>
      <c r="O80" s="142">
        <f t="shared" si="10"/>
        <v>0</v>
      </c>
      <c r="P80" s="142">
        <f t="shared" si="11"/>
        <v>0</v>
      </c>
      <c r="Q80" s="142">
        <f t="shared" si="31"/>
        <v>2.26681</v>
      </c>
      <c r="R80" s="51">
        <f t="shared" si="28"/>
        <v>87.408193600000004</v>
      </c>
      <c r="S80" s="123">
        <f t="shared" si="12"/>
        <v>3.4709499999999998</v>
      </c>
      <c r="T80" s="142">
        <f t="shared" si="13"/>
        <v>0</v>
      </c>
      <c r="U80" s="142">
        <f t="shared" si="33"/>
        <v>3.4709499999999998</v>
      </c>
      <c r="V80" s="51">
        <f t="shared" si="15"/>
        <v>0</v>
      </c>
      <c r="W80" s="142">
        <f t="shared" si="16"/>
        <v>0</v>
      </c>
      <c r="X80" s="126">
        <f t="shared" si="29"/>
        <v>0</v>
      </c>
      <c r="Y80" s="123">
        <f t="shared" si="17"/>
        <v>0</v>
      </c>
      <c r="Z80" s="191">
        <f t="shared" si="18"/>
        <v>0</v>
      </c>
      <c r="AA80" s="198">
        <f t="shared" si="34"/>
        <v>0</v>
      </c>
      <c r="AB80" s="126">
        <f t="shared" si="26"/>
        <v>0</v>
      </c>
      <c r="AC80" s="4"/>
      <c r="AD80" s="4"/>
    </row>
    <row r="81" spans="1:30" x14ac:dyDescent="0.2">
      <c r="A81" s="288" t="s">
        <v>180</v>
      </c>
      <c r="B81" s="123">
        <f t="shared" si="20"/>
        <v>0</v>
      </c>
      <c r="C81" s="142">
        <f t="shared" si="21"/>
        <v>0</v>
      </c>
      <c r="D81" s="142">
        <f t="shared" si="30"/>
        <v>0</v>
      </c>
      <c r="E81" s="51">
        <f t="shared" si="27"/>
        <v>0</v>
      </c>
      <c r="F81" s="123">
        <f t="shared" ref="F81:F95" si="35">B49*$D$13</f>
        <v>15.715000000000002</v>
      </c>
      <c r="G81" s="142">
        <f t="shared" si="6"/>
        <v>0</v>
      </c>
      <c r="H81" s="142">
        <f t="shared" si="23"/>
        <v>15.715000000000002</v>
      </c>
      <c r="I81" s="126">
        <f t="shared" si="24"/>
        <v>404.34695000000005</v>
      </c>
      <c r="J81" s="123">
        <f t="shared" si="7"/>
        <v>4.4800000000000004</v>
      </c>
      <c r="K81" s="142">
        <f t="shared" si="8"/>
        <v>0</v>
      </c>
      <c r="L81" s="142">
        <f t="shared" si="25"/>
        <v>4.4800000000000004</v>
      </c>
      <c r="M81" s="197">
        <f t="shared" si="32"/>
        <v>0</v>
      </c>
      <c r="N81" s="123">
        <f t="shared" si="9"/>
        <v>1.2057500000000003</v>
      </c>
      <c r="O81" s="142">
        <f t="shared" si="10"/>
        <v>0</v>
      </c>
      <c r="P81" s="142">
        <f t="shared" si="11"/>
        <v>0</v>
      </c>
      <c r="Q81" s="142">
        <f t="shared" si="31"/>
        <v>1.2057500000000003</v>
      </c>
      <c r="R81" s="51">
        <f t="shared" si="28"/>
        <v>46.493720000000017</v>
      </c>
      <c r="S81" s="123">
        <f t="shared" si="12"/>
        <v>1.8462500000000002</v>
      </c>
      <c r="T81" s="142">
        <f t="shared" si="13"/>
        <v>0</v>
      </c>
      <c r="U81" s="142">
        <f t="shared" si="33"/>
        <v>1.8462500000000002</v>
      </c>
      <c r="V81" s="51">
        <f t="shared" si="15"/>
        <v>0</v>
      </c>
      <c r="W81" s="142">
        <f t="shared" si="16"/>
        <v>0</v>
      </c>
      <c r="X81" s="126">
        <f t="shared" si="29"/>
        <v>0</v>
      </c>
      <c r="Y81" s="123">
        <f t="shared" si="17"/>
        <v>0</v>
      </c>
      <c r="Z81" s="191">
        <f t="shared" si="18"/>
        <v>0</v>
      </c>
      <c r="AA81" s="198">
        <f t="shared" si="34"/>
        <v>0</v>
      </c>
      <c r="AB81" s="126">
        <f t="shared" si="26"/>
        <v>0</v>
      </c>
      <c r="AC81" s="4"/>
      <c r="AD81" s="4"/>
    </row>
    <row r="82" spans="1:30" x14ac:dyDescent="0.2">
      <c r="A82" s="288" t="s">
        <v>181</v>
      </c>
      <c r="B82" s="123">
        <f t="shared" si="20"/>
        <v>0</v>
      </c>
      <c r="C82" s="142">
        <f t="shared" si="21"/>
        <v>0</v>
      </c>
      <c r="D82" s="142">
        <f t="shared" si="30"/>
        <v>0</v>
      </c>
      <c r="E82" s="51">
        <f t="shared" si="27"/>
        <v>0</v>
      </c>
      <c r="F82" s="123">
        <f t="shared" si="35"/>
        <v>22.450000000000003</v>
      </c>
      <c r="G82" s="142">
        <f t="shared" si="6"/>
        <v>1.8800000000000001</v>
      </c>
      <c r="H82" s="142">
        <f t="shared" si="23"/>
        <v>24.330000000000002</v>
      </c>
      <c r="I82" s="126">
        <f t="shared" si="24"/>
        <v>626.01090000000011</v>
      </c>
      <c r="J82" s="123">
        <f t="shared" si="7"/>
        <v>6.4</v>
      </c>
      <c r="K82" s="142">
        <f t="shared" si="8"/>
        <v>40.053000000000004</v>
      </c>
      <c r="L82" s="142">
        <f t="shared" si="25"/>
        <v>46.453000000000003</v>
      </c>
      <c r="M82" s="197">
        <f t="shared" si="32"/>
        <v>0</v>
      </c>
      <c r="N82" s="123">
        <f t="shared" si="9"/>
        <v>1.7225000000000001</v>
      </c>
      <c r="O82" s="142">
        <f t="shared" si="10"/>
        <v>0</v>
      </c>
      <c r="P82" s="142">
        <f t="shared" si="11"/>
        <v>0</v>
      </c>
      <c r="Q82" s="142">
        <f t="shared" si="31"/>
        <v>1.7225000000000001</v>
      </c>
      <c r="R82" s="51">
        <f t="shared" si="28"/>
        <v>66.419600000000003</v>
      </c>
      <c r="S82" s="123">
        <f t="shared" si="12"/>
        <v>2.6375000000000002</v>
      </c>
      <c r="T82" s="142">
        <f t="shared" si="13"/>
        <v>0</v>
      </c>
      <c r="U82" s="142">
        <f t="shared" si="33"/>
        <v>2.6375000000000002</v>
      </c>
      <c r="V82" s="51">
        <f t="shared" si="15"/>
        <v>0</v>
      </c>
      <c r="W82" s="142">
        <f t="shared" si="16"/>
        <v>6.58</v>
      </c>
      <c r="X82" s="126">
        <f t="shared" si="29"/>
        <v>0</v>
      </c>
      <c r="Y82" s="123">
        <f t="shared" si="17"/>
        <v>20.956000000000003</v>
      </c>
      <c r="Z82" s="191">
        <f t="shared" si="18"/>
        <v>0</v>
      </c>
      <c r="AA82" s="198">
        <f t="shared" si="34"/>
        <v>20.956000000000003</v>
      </c>
      <c r="AB82" s="126">
        <f t="shared" si="26"/>
        <v>1263.6468000000002</v>
      </c>
      <c r="AC82" s="4"/>
      <c r="AD82" s="4"/>
    </row>
    <row r="83" spans="1:30" x14ac:dyDescent="0.2">
      <c r="A83" s="288" t="s">
        <v>182</v>
      </c>
      <c r="B83" s="123">
        <f t="shared" si="20"/>
        <v>0</v>
      </c>
      <c r="C83" s="142">
        <f t="shared" si="21"/>
        <v>0</v>
      </c>
      <c r="D83" s="142">
        <f>B83+C83</f>
        <v>0</v>
      </c>
      <c r="E83" s="51">
        <f>D83*$E$70</f>
        <v>0</v>
      </c>
      <c r="F83" s="123">
        <f t="shared" si="35"/>
        <v>115.4828</v>
      </c>
      <c r="G83" s="142">
        <f t="shared" si="6"/>
        <v>17.555</v>
      </c>
      <c r="H83" s="142">
        <f t="shared" si="23"/>
        <v>133.0378</v>
      </c>
      <c r="I83" s="126">
        <f t="shared" si="24"/>
        <v>3423.062594</v>
      </c>
      <c r="J83" s="123">
        <f t="shared" si="7"/>
        <v>32.921599999999998</v>
      </c>
      <c r="K83" s="142">
        <f t="shared" si="8"/>
        <v>0</v>
      </c>
      <c r="L83" s="142">
        <f t="shared" si="25"/>
        <v>32.921599999999998</v>
      </c>
      <c r="M83" s="197">
        <f t="shared" si="32"/>
        <v>0</v>
      </c>
      <c r="N83" s="123">
        <f t="shared" si="9"/>
        <v>8.8605400000000003</v>
      </c>
      <c r="O83" s="142">
        <f t="shared" si="10"/>
        <v>0</v>
      </c>
      <c r="P83" s="142">
        <f t="shared" si="11"/>
        <v>0</v>
      </c>
      <c r="Q83" s="142">
        <f>N83+O83+P83</f>
        <v>8.8605400000000003</v>
      </c>
      <c r="R83" s="51">
        <f t="shared" si="28"/>
        <v>341.66242240000003</v>
      </c>
      <c r="S83" s="123">
        <f t="shared" si="12"/>
        <v>13.567299999999999</v>
      </c>
      <c r="T83" s="142">
        <f t="shared" si="13"/>
        <v>0</v>
      </c>
      <c r="U83" s="142">
        <f>S83+T83</f>
        <v>13.567299999999999</v>
      </c>
      <c r="V83" s="51">
        <f t="shared" si="15"/>
        <v>0</v>
      </c>
      <c r="W83" s="142">
        <f t="shared" si="16"/>
        <v>61.442500000000003</v>
      </c>
      <c r="X83" s="126">
        <f t="shared" si="29"/>
        <v>0</v>
      </c>
      <c r="Y83" s="123">
        <f t="shared" si="17"/>
        <v>0</v>
      </c>
      <c r="Z83" s="191">
        <f t="shared" si="18"/>
        <v>34.1432</v>
      </c>
      <c r="AA83" s="198">
        <f t="shared" si="34"/>
        <v>34.1432</v>
      </c>
      <c r="AB83" s="126">
        <f t="shared" si="26"/>
        <v>2058.8349600000001</v>
      </c>
      <c r="AC83" s="4"/>
      <c r="AD83" s="4"/>
    </row>
    <row r="84" spans="1:30" x14ac:dyDescent="0.2">
      <c r="A84" s="288" t="s">
        <v>116</v>
      </c>
      <c r="B84" s="123">
        <f t="shared" si="20"/>
        <v>0</v>
      </c>
      <c r="C84" s="142">
        <f t="shared" si="21"/>
        <v>0</v>
      </c>
      <c r="D84" s="142">
        <f t="shared" si="30"/>
        <v>0</v>
      </c>
      <c r="E84" s="51">
        <f t="shared" si="27"/>
        <v>0</v>
      </c>
      <c r="F84" s="123">
        <f t="shared" si="35"/>
        <v>16.7926</v>
      </c>
      <c r="G84" s="142">
        <f t="shared" si="6"/>
        <v>0</v>
      </c>
      <c r="H84" s="142">
        <f t="shared" si="23"/>
        <v>16.7926</v>
      </c>
      <c r="I84" s="126">
        <f t="shared" si="24"/>
        <v>432.073598</v>
      </c>
      <c r="J84" s="123">
        <f t="shared" si="7"/>
        <v>4.7872000000000003</v>
      </c>
      <c r="K84" s="142">
        <f t="shared" si="8"/>
        <v>0</v>
      </c>
      <c r="L84" s="142">
        <f t="shared" si="25"/>
        <v>4.7872000000000003</v>
      </c>
      <c r="M84" s="197">
        <f t="shared" si="32"/>
        <v>0</v>
      </c>
      <c r="N84" s="123">
        <f t="shared" si="9"/>
        <v>1.2884300000000002</v>
      </c>
      <c r="O84" s="142">
        <f t="shared" si="10"/>
        <v>0</v>
      </c>
      <c r="P84" s="142">
        <f t="shared" si="11"/>
        <v>0</v>
      </c>
      <c r="Q84" s="142">
        <f t="shared" si="31"/>
        <v>1.2884300000000002</v>
      </c>
      <c r="R84" s="51">
        <f t="shared" si="28"/>
        <v>49.68186080000001</v>
      </c>
      <c r="S84" s="123">
        <f t="shared" si="12"/>
        <v>1.9728500000000002</v>
      </c>
      <c r="T84" s="142">
        <f t="shared" si="13"/>
        <v>0</v>
      </c>
      <c r="U84" s="142">
        <f t="shared" si="33"/>
        <v>1.9728500000000002</v>
      </c>
      <c r="V84" s="51">
        <f t="shared" si="15"/>
        <v>0</v>
      </c>
      <c r="W84" s="142">
        <f t="shared" si="16"/>
        <v>0</v>
      </c>
      <c r="X84" s="126">
        <f t="shared" si="29"/>
        <v>0</v>
      </c>
      <c r="Y84" s="123">
        <f t="shared" si="17"/>
        <v>0</v>
      </c>
      <c r="Z84" s="191">
        <f t="shared" si="18"/>
        <v>0</v>
      </c>
      <c r="AA84" s="198">
        <f t="shared" si="34"/>
        <v>0</v>
      </c>
      <c r="AB84" s="126">
        <f t="shared" si="26"/>
        <v>0</v>
      </c>
      <c r="AC84" s="4"/>
      <c r="AD84" s="4"/>
    </row>
    <row r="85" spans="1:30" x14ac:dyDescent="0.2">
      <c r="A85" s="288" t="s">
        <v>183</v>
      </c>
      <c r="B85" s="123">
        <f t="shared" si="20"/>
        <v>0</v>
      </c>
      <c r="C85" s="142">
        <f t="shared" si="21"/>
        <v>0</v>
      </c>
      <c r="D85" s="142">
        <f t="shared" si="30"/>
        <v>0</v>
      </c>
      <c r="E85" s="51">
        <f t="shared" si="27"/>
        <v>0</v>
      </c>
      <c r="F85" s="123">
        <f t="shared" si="35"/>
        <v>0</v>
      </c>
      <c r="G85" s="142">
        <f t="shared" si="6"/>
        <v>0.16999999999999998</v>
      </c>
      <c r="H85" s="142">
        <f t="shared" si="23"/>
        <v>0.16999999999999998</v>
      </c>
      <c r="I85" s="126">
        <f t="shared" si="24"/>
        <v>4.3740999999999994</v>
      </c>
      <c r="J85" s="123">
        <f t="shared" si="7"/>
        <v>0</v>
      </c>
      <c r="K85" s="142">
        <f t="shared" si="8"/>
        <v>0</v>
      </c>
      <c r="L85" s="142">
        <f t="shared" si="25"/>
        <v>0</v>
      </c>
      <c r="M85" s="197">
        <f t="shared" si="32"/>
        <v>0</v>
      </c>
      <c r="N85" s="123">
        <f t="shared" si="9"/>
        <v>0</v>
      </c>
      <c r="O85" s="142">
        <f t="shared" si="10"/>
        <v>0</v>
      </c>
      <c r="P85" s="142">
        <f t="shared" si="11"/>
        <v>0</v>
      </c>
      <c r="Q85" s="142">
        <f t="shared" si="31"/>
        <v>0</v>
      </c>
      <c r="R85" s="51">
        <f t="shared" si="28"/>
        <v>0</v>
      </c>
      <c r="S85" s="123">
        <f t="shared" si="12"/>
        <v>0</v>
      </c>
      <c r="T85" s="142">
        <f t="shared" si="13"/>
        <v>0</v>
      </c>
      <c r="U85" s="142">
        <f t="shared" si="33"/>
        <v>0</v>
      </c>
      <c r="V85" s="51">
        <f t="shared" si="15"/>
        <v>0</v>
      </c>
      <c r="W85" s="142">
        <f t="shared" si="16"/>
        <v>0.59499999999999997</v>
      </c>
      <c r="X85" s="126">
        <f t="shared" si="29"/>
        <v>0</v>
      </c>
      <c r="Y85" s="123">
        <f t="shared" si="17"/>
        <v>0</v>
      </c>
      <c r="Z85" s="191">
        <f t="shared" si="18"/>
        <v>0</v>
      </c>
      <c r="AA85" s="198">
        <f t="shared" si="34"/>
        <v>0</v>
      </c>
      <c r="AB85" s="126">
        <f t="shared" si="26"/>
        <v>0</v>
      </c>
      <c r="AC85" s="4"/>
      <c r="AD85" s="4"/>
    </row>
    <row r="86" spans="1:30" x14ac:dyDescent="0.2">
      <c r="A86" s="288" t="s">
        <v>12</v>
      </c>
      <c r="B86" s="123">
        <f t="shared" si="20"/>
        <v>0</v>
      </c>
      <c r="C86" s="142">
        <f t="shared" si="21"/>
        <v>0</v>
      </c>
      <c r="D86" s="142">
        <f t="shared" si="30"/>
        <v>0</v>
      </c>
      <c r="E86" s="51">
        <f t="shared" si="27"/>
        <v>0</v>
      </c>
      <c r="F86" s="123">
        <f t="shared" si="35"/>
        <v>33.5852</v>
      </c>
      <c r="G86" s="142">
        <f t="shared" si="6"/>
        <v>1.6549999999999998</v>
      </c>
      <c r="H86" s="142">
        <f t="shared" si="23"/>
        <v>35.240200000000002</v>
      </c>
      <c r="I86" s="126">
        <f t="shared" si="24"/>
        <v>906.73034600000005</v>
      </c>
      <c r="J86" s="123">
        <f t="shared" si="7"/>
        <v>9.5744000000000007</v>
      </c>
      <c r="K86" s="142">
        <f t="shared" si="8"/>
        <v>22.917899999999999</v>
      </c>
      <c r="L86" s="142">
        <f t="shared" si="25"/>
        <v>32.4923</v>
      </c>
      <c r="M86" s="197">
        <f t="shared" si="32"/>
        <v>0</v>
      </c>
      <c r="N86" s="123">
        <f t="shared" si="9"/>
        <v>2.5768600000000004</v>
      </c>
      <c r="O86" s="142">
        <f t="shared" si="10"/>
        <v>4.8648600000000002</v>
      </c>
      <c r="P86" s="142">
        <f t="shared" si="11"/>
        <v>11.76609</v>
      </c>
      <c r="Q86" s="142">
        <f t="shared" si="31"/>
        <v>19.207810000000002</v>
      </c>
      <c r="R86" s="51">
        <f t="shared" si="28"/>
        <v>740.65315360000011</v>
      </c>
      <c r="S86" s="123">
        <f t="shared" si="12"/>
        <v>3.9457000000000004</v>
      </c>
      <c r="T86" s="142">
        <f t="shared" si="13"/>
        <v>7.0713499999999998</v>
      </c>
      <c r="U86" s="142">
        <f t="shared" si="33"/>
        <v>11.017050000000001</v>
      </c>
      <c r="V86" s="51">
        <f t="shared" si="15"/>
        <v>0</v>
      </c>
      <c r="W86" s="142">
        <f t="shared" si="16"/>
        <v>5.7924999999999995</v>
      </c>
      <c r="X86" s="126">
        <f t="shared" si="29"/>
        <v>0</v>
      </c>
      <c r="Y86" s="123">
        <f t="shared" si="17"/>
        <v>11.9908</v>
      </c>
      <c r="Z86" s="191">
        <f t="shared" si="18"/>
        <v>0</v>
      </c>
      <c r="AA86" s="198">
        <f t="shared" si="34"/>
        <v>11.9908</v>
      </c>
      <c r="AB86" s="126">
        <f t="shared" si="26"/>
        <v>723.04523999999992</v>
      </c>
      <c r="AC86" s="4"/>
      <c r="AD86" s="4"/>
    </row>
    <row r="87" spans="1:30" x14ac:dyDescent="0.2">
      <c r="A87" s="288" t="s">
        <v>184</v>
      </c>
      <c r="B87" s="123">
        <f t="shared" si="20"/>
        <v>0</v>
      </c>
      <c r="C87" s="142">
        <f t="shared" si="21"/>
        <v>0</v>
      </c>
      <c r="D87" s="142">
        <f t="shared" si="30"/>
        <v>0</v>
      </c>
      <c r="E87" s="51">
        <f t="shared" si="27"/>
        <v>0</v>
      </c>
      <c r="F87" s="123">
        <f t="shared" si="35"/>
        <v>17.062000000000001</v>
      </c>
      <c r="G87" s="142">
        <f t="shared" si="6"/>
        <v>1.2550000000000001</v>
      </c>
      <c r="H87" s="142">
        <f t="shared" si="23"/>
        <v>18.317</v>
      </c>
      <c r="I87" s="126">
        <f t="shared" si="24"/>
        <v>471.29641000000004</v>
      </c>
      <c r="J87" s="123">
        <f t="shared" si="7"/>
        <v>4.8639999999999999</v>
      </c>
      <c r="K87" s="142">
        <f t="shared" si="8"/>
        <v>3.5076000000000001</v>
      </c>
      <c r="L87" s="142">
        <f t="shared" si="25"/>
        <v>8.3716000000000008</v>
      </c>
      <c r="M87" s="197">
        <f t="shared" si="32"/>
        <v>0</v>
      </c>
      <c r="N87" s="123">
        <f t="shared" si="9"/>
        <v>1.3091000000000002</v>
      </c>
      <c r="O87" s="142">
        <f t="shared" si="10"/>
        <v>0</v>
      </c>
      <c r="P87" s="142">
        <f t="shared" si="11"/>
        <v>0</v>
      </c>
      <c r="Q87" s="142">
        <f t="shared" si="31"/>
        <v>1.3091000000000002</v>
      </c>
      <c r="R87" s="51">
        <f t="shared" si="28"/>
        <v>50.478896000000006</v>
      </c>
      <c r="S87" s="123">
        <f t="shared" si="12"/>
        <v>2.0045000000000002</v>
      </c>
      <c r="T87" s="142">
        <f t="shared" si="13"/>
        <v>0</v>
      </c>
      <c r="U87" s="142">
        <f t="shared" si="33"/>
        <v>2.0045000000000002</v>
      </c>
      <c r="V87" s="51">
        <f t="shared" si="15"/>
        <v>0</v>
      </c>
      <c r="W87" s="142">
        <f t="shared" si="16"/>
        <v>4.3925000000000001</v>
      </c>
      <c r="X87" s="126">
        <f t="shared" si="29"/>
        <v>0</v>
      </c>
      <c r="Y87" s="123">
        <f t="shared" si="17"/>
        <v>1.8352000000000002</v>
      </c>
      <c r="Z87" s="191">
        <f t="shared" si="18"/>
        <v>0</v>
      </c>
      <c r="AA87" s="198">
        <f t="shared" si="34"/>
        <v>1.8352000000000002</v>
      </c>
      <c r="AB87" s="126">
        <f t="shared" si="26"/>
        <v>110.66256</v>
      </c>
      <c r="AC87" s="4"/>
      <c r="AD87" s="4"/>
    </row>
    <row r="88" spans="1:30" x14ac:dyDescent="0.2">
      <c r="A88" s="288" t="s">
        <v>106</v>
      </c>
      <c r="B88" s="123">
        <f t="shared" si="20"/>
        <v>0</v>
      </c>
      <c r="C88" s="142">
        <f t="shared" si="21"/>
        <v>0</v>
      </c>
      <c r="D88" s="142">
        <f t="shared" si="30"/>
        <v>0</v>
      </c>
      <c r="E88" s="51">
        <f t="shared" si="27"/>
        <v>0</v>
      </c>
      <c r="F88" s="123">
        <f t="shared" si="35"/>
        <v>3.9512</v>
      </c>
      <c r="G88" s="142">
        <f t="shared" si="6"/>
        <v>0.315</v>
      </c>
      <c r="H88" s="142">
        <f t="shared" si="23"/>
        <v>4.2662000000000004</v>
      </c>
      <c r="I88" s="126">
        <f t="shared" si="24"/>
        <v>109.76932600000001</v>
      </c>
      <c r="J88" s="123">
        <f t="shared" si="7"/>
        <v>1.1264000000000001</v>
      </c>
      <c r="K88" s="142">
        <f t="shared" si="8"/>
        <v>2.2515000000000001</v>
      </c>
      <c r="L88" s="142">
        <f t="shared" si="25"/>
        <v>3.3779000000000003</v>
      </c>
      <c r="M88" s="197">
        <f t="shared" si="32"/>
        <v>0</v>
      </c>
      <c r="N88" s="123">
        <f t="shared" si="9"/>
        <v>0.30316000000000004</v>
      </c>
      <c r="O88" s="142">
        <f t="shared" si="10"/>
        <v>0.30618000000000001</v>
      </c>
      <c r="P88" s="142">
        <f t="shared" si="11"/>
        <v>1.0835999999999999</v>
      </c>
      <c r="Q88" s="142">
        <f t="shared" si="31"/>
        <v>1.6929399999999999</v>
      </c>
      <c r="R88" s="51">
        <f t="shared" si="28"/>
        <v>65.2797664</v>
      </c>
      <c r="S88" s="123">
        <f t="shared" si="12"/>
        <v>0.4642</v>
      </c>
      <c r="T88" s="142">
        <f t="shared" si="13"/>
        <v>0.44505</v>
      </c>
      <c r="U88" s="142">
        <f t="shared" si="33"/>
        <v>0.90925</v>
      </c>
      <c r="V88" s="51">
        <f t="shared" si="15"/>
        <v>0</v>
      </c>
      <c r="W88" s="142">
        <f t="shared" si="16"/>
        <v>1.1025</v>
      </c>
      <c r="X88" s="126">
        <f t="shared" si="29"/>
        <v>0</v>
      </c>
      <c r="Y88" s="123">
        <f t="shared" si="17"/>
        <v>1.1779999999999999</v>
      </c>
      <c r="Z88" s="191">
        <f t="shared" si="18"/>
        <v>0</v>
      </c>
      <c r="AA88" s="198">
        <f t="shared" si="34"/>
        <v>1.1779999999999999</v>
      </c>
      <c r="AB88" s="126">
        <f t="shared" si="26"/>
        <v>71.033399999999986</v>
      </c>
      <c r="AC88" s="4"/>
      <c r="AD88" s="4"/>
    </row>
    <row r="89" spans="1:30" x14ac:dyDescent="0.2">
      <c r="A89" s="288" t="s">
        <v>9</v>
      </c>
      <c r="B89" s="123">
        <f t="shared" si="20"/>
        <v>0</v>
      </c>
      <c r="C89" s="142">
        <f t="shared" si="21"/>
        <v>0</v>
      </c>
      <c r="D89" s="142">
        <f t="shared" si="30"/>
        <v>0</v>
      </c>
      <c r="E89" s="51">
        <f t="shared" si="27"/>
        <v>0</v>
      </c>
      <c r="F89" s="123">
        <f t="shared" si="35"/>
        <v>47.953200000000002</v>
      </c>
      <c r="G89" s="142">
        <f t="shared" si="6"/>
        <v>3.1300000000000003</v>
      </c>
      <c r="H89" s="142">
        <f t="shared" si="23"/>
        <v>51.083200000000005</v>
      </c>
      <c r="I89" s="126">
        <f t="shared" si="24"/>
        <v>1314.3707360000001</v>
      </c>
      <c r="J89" s="123">
        <f t="shared" si="7"/>
        <v>13.670400000000001</v>
      </c>
      <c r="K89" s="142">
        <f t="shared" si="8"/>
        <v>73.185600000000008</v>
      </c>
      <c r="L89" s="142">
        <f t="shared" si="25"/>
        <v>86.856000000000009</v>
      </c>
      <c r="M89" s="197">
        <f t="shared" si="32"/>
        <v>0</v>
      </c>
      <c r="N89" s="123">
        <f t="shared" si="9"/>
        <v>3.6792600000000006</v>
      </c>
      <c r="O89" s="142">
        <f t="shared" si="10"/>
        <v>0</v>
      </c>
      <c r="P89" s="142">
        <f t="shared" si="11"/>
        <v>46.892789999999998</v>
      </c>
      <c r="Q89" s="142">
        <f t="shared" si="31"/>
        <v>50.572049999999997</v>
      </c>
      <c r="R89" s="51">
        <f t="shared" si="28"/>
        <v>1950.058248</v>
      </c>
      <c r="S89" s="123">
        <f t="shared" si="12"/>
        <v>5.6337000000000002</v>
      </c>
      <c r="T89" s="142">
        <f t="shared" si="13"/>
        <v>0</v>
      </c>
      <c r="U89" s="142">
        <f t="shared" si="33"/>
        <v>5.6337000000000002</v>
      </c>
      <c r="V89" s="51">
        <f t="shared" si="15"/>
        <v>0</v>
      </c>
      <c r="W89" s="142">
        <f t="shared" si="16"/>
        <v>10.955</v>
      </c>
      <c r="X89" s="126">
        <f t="shared" si="29"/>
        <v>0</v>
      </c>
      <c r="Y89" s="123">
        <f t="shared" si="17"/>
        <v>38.291200000000003</v>
      </c>
      <c r="Z89" s="191">
        <f t="shared" si="18"/>
        <v>0</v>
      </c>
      <c r="AA89" s="198">
        <f t="shared" si="34"/>
        <v>38.291200000000003</v>
      </c>
      <c r="AB89" s="126">
        <f t="shared" si="26"/>
        <v>2308.9593600000003</v>
      </c>
      <c r="AC89" s="4"/>
      <c r="AD89" s="4"/>
    </row>
    <row r="90" spans="1:30" x14ac:dyDescent="0.2">
      <c r="A90" s="288" t="s">
        <v>185</v>
      </c>
      <c r="B90" s="123">
        <f t="shared" si="20"/>
        <v>0</v>
      </c>
      <c r="C90" s="142">
        <f t="shared" si="21"/>
        <v>0</v>
      </c>
      <c r="D90" s="142">
        <f t="shared" si="30"/>
        <v>0</v>
      </c>
      <c r="E90" s="51">
        <f t="shared" si="27"/>
        <v>0</v>
      </c>
      <c r="F90" s="123">
        <f t="shared" si="35"/>
        <v>16.972200000000001</v>
      </c>
      <c r="G90" s="142">
        <f t="shared" si="6"/>
        <v>0</v>
      </c>
      <c r="H90" s="142">
        <f t="shared" si="23"/>
        <v>16.972200000000001</v>
      </c>
      <c r="I90" s="126">
        <f t="shared" si="24"/>
        <v>436.69470600000005</v>
      </c>
      <c r="J90" s="123">
        <f t="shared" si="7"/>
        <v>4.8384</v>
      </c>
      <c r="K90" s="142">
        <f t="shared" si="8"/>
        <v>0</v>
      </c>
      <c r="L90" s="142">
        <f t="shared" si="25"/>
        <v>4.8384</v>
      </c>
      <c r="M90" s="197">
        <f t="shared" si="32"/>
        <v>0</v>
      </c>
      <c r="N90" s="123">
        <f t="shared" si="9"/>
        <v>1.3022100000000001</v>
      </c>
      <c r="O90" s="142">
        <f t="shared" si="10"/>
        <v>12.349259999999999</v>
      </c>
      <c r="P90" s="142">
        <f t="shared" si="11"/>
        <v>0</v>
      </c>
      <c r="Q90" s="142">
        <f t="shared" si="31"/>
        <v>13.65147</v>
      </c>
      <c r="R90" s="51">
        <f t="shared" si="28"/>
        <v>526.4006832</v>
      </c>
      <c r="S90" s="123">
        <f t="shared" si="12"/>
        <v>1.9939500000000001</v>
      </c>
      <c r="T90" s="142">
        <f t="shared" si="13"/>
        <v>17.95035</v>
      </c>
      <c r="U90" s="142">
        <f t="shared" si="33"/>
        <v>19.944300000000002</v>
      </c>
      <c r="V90" s="51">
        <f t="shared" si="15"/>
        <v>0</v>
      </c>
      <c r="W90" s="142">
        <f t="shared" si="16"/>
        <v>0</v>
      </c>
      <c r="X90" s="126">
        <f t="shared" si="29"/>
        <v>0</v>
      </c>
      <c r="Y90" s="123">
        <f t="shared" si="17"/>
        <v>0</v>
      </c>
      <c r="Z90" s="191">
        <f t="shared" si="18"/>
        <v>9.0999999999999998E-2</v>
      </c>
      <c r="AA90" s="198">
        <f t="shared" si="34"/>
        <v>9.0999999999999998E-2</v>
      </c>
      <c r="AB90" s="126">
        <f t="shared" si="26"/>
        <v>5.4872999999999994</v>
      </c>
      <c r="AC90" s="4"/>
      <c r="AD90" s="4"/>
    </row>
    <row r="91" spans="1:30" x14ac:dyDescent="0.2">
      <c r="A91" s="288" t="s">
        <v>15</v>
      </c>
      <c r="B91" s="123">
        <f t="shared" si="20"/>
        <v>0</v>
      </c>
      <c r="C91" s="142">
        <f t="shared" si="21"/>
        <v>0</v>
      </c>
      <c r="D91" s="142">
        <f t="shared" si="30"/>
        <v>0</v>
      </c>
      <c r="E91" s="51">
        <f t="shared" si="27"/>
        <v>0</v>
      </c>
      <c r="F91" s="123">
        <f t="shared" si="35"/>
        <v>35.830199999999998</v>
      </c>
      <c r="G91" s="142">
        <f t="shared" si="6"/>
        <v>10.115</v>
      </c>
      <c r="H91" s="142">
        <f t="shared" si="23"/>
        <v>45.9452</v>
      </c>
      <c r="I91" s="126">
        <f t="shared" si="24"/>
        <v>1182.1699960000001</v>
      </c>
      <c r="J91" s="123">
        <f t="shared" si="7"/>
        <v>10.214399999999999</v>
      </c>
      <c r="K91" s="142">
        <f t="shared" si="8"/>
        <v>0</v>
      </c>
      <c r="L91" s="142">
        <f t="shared" si="25"/>
        <v>10.214399999999999</v>
      </c>
      <c r="M91" s="197">
        <f>L91*$M$70</f>
        <v>0</v>
      </c>
      <c r="N91" s="123">
        <f t="shared" si="9"/>
        <v>2.7491099999999999</v>
      </c>
      <c r="O91" s="142">
        <f t="shared" si="10"/>
        <v>4.3205399999999994</v>
      </c>
      <c r="P91" s="142">
        <f t="shared" si="11"/>
        <v>0.52373999999999998</v>
      </c>
      <c r="Q91" s="142">
        <f>N91+O91+P91</f>
        <v>7.5933899999999994</v>
      </c>
      <c r="R91" s="51">
        <f t="shared" si="28"/>
        <v>292.80111840000001</v>
      </c>
      <c r="S91" s="123">
        <f t="shared" si="12"/>
        <v>4.2094499999999995</v>
      </c>
      <c r="T91" s="142">
        <f t="shared" si="13"/>
        <v>6.2801499999999999</v>
      </c>
      <c r="U91" s="142">
        <f t="shared" si="33"/>
        <v>10.489599999999999</v>
      </c>
      <c r="V91" s="51">
        <f t="shared" si="15"/>
        <v>0</v>
      </c>
      <c r="W91" s="142">
        <f t="shared" si="16"/>
        <v>35.402500000000003</v>
      </c>
      <c r="X91" s="126">
        <f t="shared" si="29"/>
        <v>0</v>
      </c>
      <c r="Y91" s="123">
        <f t="shared" si="17"/>
        <v>0</v>
      </c>
      <c r="Z91" s="191">
        <f t="shared" si="18"/>
        <v>9.4822000000000006</v>
      </c>
      <c r="AA91" s="198">
        <f t="shared" si="34"/>
        <v>9.4822000000000006</v>
      </c>
      <c r="AB91" s="126">
        <f t="shared" si="26"/>
        <v>571.77665999999999</v>
      </c>
      <c r="AC91" s="4"/>
      <c r="AD91" s="4"/>
    </row>
    <row r="92" spans="1:30" x14ac:dyDescent="0.2">
      <c r="A92" s="288" t="s">
        <v>186</v>
      </c>
      <c r="B92" s="123">
        <f t="shared" si="20"/>
        <v>0</v>
      </c>
      <c r="C92" s="142">
        <f t="shared" si="21"/>
        <v>0</v>
      </c>
      <c r="D92" s="142">
        <f>B92+C92</f>
        <v>0</v>
      </c>
      <c r="E92" s="51">
        <f>D92*$E$70</f>
        <v>0</v>
      </c>
      <c r="F92" s="123">
        <f t="shared" si="35"/>
        <v>43.463200000000001</v>
      </c>
      <c r="G92" s="142">
        <f t="shared" si="6"/>
        <v>1.97</v>
      </c>
      <c r="H92" s="142">
        <f t="shared" si="23"/>
        <v>45.433199999999999</v>
      </c>
      <c r="I92" s="126">
        <f t="shared" si="24"/>
        <v>1168.996236</v>
      </c>
      <c r="J92" s="123">
        <f t="shared" si="7"/>
        <v>12.3904</v>
      </c>
      <c r="K92" s="142">
        <f t="shared" si="8"/>
        <v>39.010199999999998</v>
      </c>
      <c r="L92" s="142">
        <f t="shared" si="25"/>
        <v>51.400599999999997</v>
      </c>
      <c r="M92" s="197">
        <f>L92*$M$70</f>
        <v>0</v>
      </c>
      <c r="N92" s="123">
        <f t="shared" si="9"/>
        <v>3.3347600000000002</v>
      </c>
      <c r="O92" s="142">
        <f t="shared" si="10"/>
        <v>0</v>
      </c>
      <c r="P92" s="142">
        <f t="shared" si="11"/>
        <v>0</v>
      </c>
      <c r="Q92" s="142">
        <f>N92+O92+P92</f>
        <v>3.3347600000000002</v>
      </c>
      <c r="R92" s="51">
        <f t="shared" si="28"/>
        <v>128.58834560000003</v>
      </c>
      <c r="S92" s="123">
        <f t="shared" si="12"/>
        <v>5.1061999999999994</v>
      </c>
      <c r="T92" s="142">
        <f t="shared" si="13"/>
        <v>0</v>
      </c>
      <c r="U92" s="142">
        <f>S92+T92</f>
        <v>5.1061999999999994</v>
      </c>
      <c r="V92" s="51">
        <f t="shared" si="15"/>
        <v>0</v>
      </c>
      <c r="W92" s="142">
        <f t="shared" si="16"/>
        <v>6.8949999999999996</v>
      </c>
      <c r="X92" s="126">
        <f t="shared" si="29"/>
        <v>0</v>
      </c>
      <c r="Y92" s="123">
        <f t="shared" si="17"/>
        <v>20.410399999999999</v>
      </c>
      <c r="Z92" s="191">
        <f t="shared" si="18"/>
        <v>0</v>
      </c>
      <c r="AA92" s="198">
        <f t="shared" si="34"/>
        <v>20.410399999999999</v>
      </c>
      <c r="AB92" s="126">
        <f t="shared" si="26"/>
        <v>1230.74712</v>
      </c>
      <c r="AC92" s="4"/>
      <c r="AD92" s="4"/>
    </row>
    <row r="93" spans="1:30" x14ac:dyDescent="0.2">
      <c r="A93" s="288" t="s">
        <v>187</v>
      </c>
      <c r="B93" s="123">
        <f t="shared" si="20"/>
        <v>0</v>
      </c>
      <c r="C93" s="142">
        <f t="shared" si="21"/>
        <v>0</v>
      </c>
      <c r="D93" s="142">
        <f t="shared" si="30"/>
        <v>0</v>
      </c>
      <c r="E93" s="51">
        <f t="shared" si="27"/>
        <v>0</v>
      </c>
      <c r="F93" s="123">
        <f t="shared" si="35"/>
        <v>56.214800000000004</v>
      </c>
      <c r="G93" s="142">
        <f t="shared" si="6"/>
        <v>3.6450000000000005</v>
      </c>
      <c r="H93" s="142">
        <f t="shared" si="23"/>
        <v>59.859800000000007</v>
      </c>
      <c r="I93" s="126">
        <f t="shared" si="24"/>
        <v>1540.1926540000002</v>
      </c>
      <c r="J93" s="123">
        <f t="shared" si="7"/>
        <v>16.025600000000001</v>
      </c>
      <c r="K93" s="142">
        <f t="shared" si="8"/>
        <v>33.4407</v>
      </c>
      <c r="L93" s="142">
        <f t="shared" si="25"/>
        <v>49.466300000000004</v>
      </c>
      <c r="M93" s="197">
        <f>L93*$M$70</f>
        <v>0</v>
      </c>
      <c r="N93" s="123">
        <f t="shared" si="9"/>
        <v>4.3131400000000006</v>
      </c>
      <c r="O93" s="142">
        <f t="shared" si="10"/>
        <v>291.65346</v>
      </c>
      <c r="P93" s="142">
        <f t="shared" si="11"/>
        <v>28.886970000000002</v>
      </c>
      <c r="Q93" s="142">
        <f>N93+O93+P93</f>
        <v>324.85356999999999</v>
      </c>
      <c r="R93" s="51">
        <f t="shared" si="28"/>
        <v>12526.3536592</v>
      </c>
      <c r="S93" s="123">
        <f t="shared" si="12"/>
        <v>6.6043000000000003</v>
      </c>
      <c r="T93" s="142">
        <f t="shared" si="13"/>
        <v>423.93484999999998</v>
      </c>
      <c r="U93" s="142">
        <f t="shared" si="33"/>
        <v>430.53915000000001</v>
      </c>
      <c r="V93" s="51">
        <f t="shared" si="15"/>
        <v>0</v>
      </c>
      <c r="W93" s="142">
        <f t="shared" si="16"/>
        <v>12.7575</v>
      </c>
      <c r="X93" s="126">
        <f t="shared" si="29"/>
        <v>0</v>
      </c>
      <c r="Y93" s="123">
        <f t="shared" si="17"/>
        <v>17.496400000000001</v>
      </c>
      <c r="Z93" s="191">
        <f t="shared" si="18"/>
        <v>0</v>
      </c>
      <c r="AA93" s="198">
        <f t="shared" si="34"/>
        <v>17.496400000000001</v>
      </c>
      <c r="AB93" s="126">
        <f t="shared" si="26"/>
        <v>1055.0329200000001</v>
      </c>
      <c r="AC93" s="4"/>
      <c r="AD93" s="4"/>
    </row>
    <row r="94" spans="1:30" x14ac:dyDescent="0.2">
      <c r="A94" s="288" t="s">
        <v>188</v>
      </c>
      <c r="B94" s="123">
        <f t="shared" si="20"/>
        <v>0</v>
      </c>
      <c r="C94" s="142">
        <f t="shared" si="21"/>
        <v>0</v>
      </c>
      <c r="D94" s="142">
        <f t="shared" si="30"/>
        <v>0</v>
      </c>
      <c r="E94" s="51">
        <f t="shared" si="27"/>
        <v>0</v>
      </c>
      <c r="F94" s="123">
        <f t="shared" si="35"/>
        <v>2.3348</v>
      </c>
      <c r="G94" s="142">
        <f t="shared" si="6"/>
        <v>0</v>
      </c>
      <c r="H94" s="142">
        <f t="shared" si="23"/>
        <v>2.3348</v>
      </c>
      <c r="I94" s="126">
        <f t="shared" si="24"/>
        <v>60.074404000000001</v>
      </c>
      <c r="J94" s="123">
        <f t="shared" si="7"/>
        <v>0.66559999999999997</v>
      </c>
      <c r="K94" s="142">
        <f t="shared" si="8"/>
        <v>1.2323999999999999</v>
      </c>
      <c r="L94" s="142">
        <f t="shared" si="25"/>
        <v>1.8979999999999999</v>
      </c>
      <c r="M94" s="197">
        <f>L94*$M$70</f>
        <v>0</v>
      </c>
      <c r="N94" s="123">
        <f t="shared" si="9"/>
        <v>0.17913999999999999</v>
      </c>
      <c r="O94" s="142">
        <f t="shared" si="10"/>
        <v>11.566800000000001</v>
      </c>
      <c r="P94" s="142">
        <f t="shared" si="11"/>
        <v>1.1468099999999999</v>
      </c>
      <c r="Q94" s="142">
        <f>N94+O94+P94</f>
        <v>12.892750000000001</v>
      </c>
      <c r="R94" s="51">
        <f t="shared" si="28"/>
        <v>497.14444000000009</v>
      </c>
      <c r="S94" s="123">
        <f t="shared" si="12"/>
        <v>0.27429999999999999</v>
      </c>
      <c r="T94" s="142">
        <f t="shared" si="13"/>
        <v>16.813000000000002</v>
      </c>
      <c r="U94" s="142">
        <f t="shared" si="33"/>
        <v>17.087300000000003</v>
      </c>
      <c r="V94" s="51">
        <f t="shared" si="15"/>
        <v>0</v>
      </c>
      <c r="W94" s="142">
        <f t="shared" si="16"/>
        <v>0</v>
      </c>
      <c r="X94" s="126">
        <f t="shared" si="29"/>
        <v>0</v>
      </c>
      <c r="Y94" s="123">
        <f t="shared" si="17"/>
        <v>0.64479999999999993</v>
      </c>
      <c r="Z94" s="191">
        <f t="shared" si="18"/>
        <v>0</v>
      </c>
      <c r="AA94" s="198">
        <f t="shared" si="34"/>
        <v>0.64479999999999993</v>
      </c>
      <c r="AB94" s="126">
        <f t="shared" si="26"/>
        <v>38.881439999999991</v>
      </c>
      <c r="AC94" s="4"/>
      <c r="AD94" s="4"/>
    </row>
    <row r="95" spans="1:30" ht="13.5" thickBot="1" x14ac:dyDescent="0.25">
      <c r="A95" s="289" t="s">
        <v>189</v>
      </c>
      <c r="B95" s="283">
        <f t="shared" si="20"/>
        <v>0</v>
      </c>
      <c r="C95" s="284">
        <f t="shared" si="21"/>
        <v>0</v>
      </c>
      <c r="D95" s="284">
        <f>B95+C95</f>
        <v>0</v>
      </c>
      <c r="E95" s="285">
        <f>D95*$E$70</f>
        <v>0</v>
      </c>
      <c r="F95" s="283">
        <f t="shared" si="35"/>
        <v>0</v>
      </c>
      <c r="G95" s="284">
        <f t="shared" si="6"/>
        <v>0.14499999999999999</v>
      </c>
      <c r="H95" s="284">
        <f t="shared" si="23"/>
        <v>0.14499999999999999</v>
      </c>
      <c r="I95" s="292">
        <f t="shared" si="24"/>
        <v>3.7308499999999998</v>
      </c>
      <c r="J95" s="283">
        <f t="shared" si="7"/>
        <v>0</v>
      </c>
      <c r="K95" s="284">
        <f t="shared" si="8"/>
        <v>0</v>
      </c>
      <c r="L95" s="414">
        <f t="shared" si="25"/>
        <v>0</v>
      </c>
      <c r="M95" s="303">
        <f>L95*$M$70</f>
        <v>0</v>
      </c>
      <c r="N95" s="283">
        <f t="shared" si="9"/>
        <v>0</v>
      </c>
      <c r="O95" s="284">
        <f t="shared" si="10"/>
        <v>0</v>
      </c>
      <c r="P95" s="284">
        <f t="shared" si="11"/>
        <v>0</v>
      </c>
      <c r="Q95" s="284">
        <f>N95+O95+P95</f>
        <v>0</v>
      </c>
      <c r="R95" s="285">
        <f t="shared" si="28"/>
        <v>0</v>
      </c>
      <c r="S95" s="283">
        <f t="shared" si="12"/>
        <v>0</v>
      </c>
      <c r="T95" s="284">
        <f t="shared" si="13"/>
        <v>0</v>
      </c>
      <c r="U95" s="284">
        <f>S95+T95</f>
        <v>0</v>
      </c>
      <c r="V95" s="285">
        <f t="shared" si="15"/>
        <v>0</v>
      </c>
      <c r="W95" s="284">
        <f t="shared" si="16"/>
        <v>0.50749999999999995</v>
      </c>
      <c r="X95" s="292">
        <f>W95*$X$70</f>
        <v>0</v>
      </c>
      <c r="Y95" s="283">
        <f t="shared" si="17"/>
        <v>0</v>
      </c>
      <c r="Z95" s="314">
        <f t="shared" si="18"/>
        <v>0</v>
      </c>
      <c r="AA95" s="315">
        <f t="shared" si="34"/>
        <v>0</v>
      </c>
      <c r="AB95" s="292">
        <f t="shared" si="26"/>
        <v>0</v>
      </c>
      <c r="AC95" s="4"/>
      <c r="AD95" s="4"/>
    </row>
    <row r="96" spans="1:30" ht="13.5" thickBot="1" x14ac:dyDescent="0.25">
      <c r="A96" s="139" t="s">
        <v>48</v>
      </c>
      <c r="B96" s="277">
        <f>SUM(B72:B95)</f>
        <v>0</v>
      </c>
      <c r="C96" s="278">
        <f t="shared" ref="C96:Y96" si="36">SUM(C72:C95)</f>
        <v>0</v>
      </c>
      <c r="D96" s="278">
        <f>SUM(D72:D95)</f>
        <v>0</v>
      </c>
      <c r="E96" s="279">
        <f t="shared" si="36"/>
        <v>0</v>
      </c>
      <c r="F96" s="131">
        <f t="shared" si="36"/>
        <v>898</v>
      </c>
      <c r="G96" s="293">
        <f>SUM(G72:G95)</f>
        <v>50.000000000000014</v>
      </c>
      <c r="H96" s="293">
        <f>SUM(H72:H95)</f>
        <v>947.99999999999989</v>
      </c>
      <c r="I96" s="294">
        <f t="shared" si="36"/>
        <v>24392.039999999997</v>
      </c>
      <c r="J96" s="300">
        <f>SUM(J72:J95)</f>
        <v>256.00000000000006</v>
      </c>
      <c r="K96" s="278">
        <f t="shared" si="36"/>
        <v>237.00000000000003</v>
      </c>
      <c r="L96" s="278">
        <f>SUM(L72:L95)</f>
        <v>493.00000000000006</v>
      </c>
      <c r="M96" s="301">
        <f>SUM(M72:M95)</f>
        <v>0</v>
      </c>
      <c r="N96" s="277">
        <f t="shared" si="36"/>
        <v>68.900000000000006</v>
      </c>
      <c r="O96" s="278">
        <f t="shared" si="36"/>
        <v>340.2</v>
      </c>
      <c r="P96" s="278">
        <f t="shared" si="36"/>
        <v>90.3</v>
      </c>
      <c r="Q96" s="278">
        <f>SUM(Q72:Q95)</f>
        <v>499.39999999999992</v>
      </c>
      <c r="R96" s="279">
        <f t="shared" si="36"/>
        <v>19256.864000000001</v>
      </c>
      <c r="S96" s="277">
        <f t="shared" si="36"/>
        <v>105.5</v>
      </c>
      <c r="T96" s="278">
        <f t="shared" si="36"/>
        <v>494.49999999999994</v>
      </c>
      <c r="U96" s="278">
        <f t="shared" si="36"/>
        <v>600.00000000000011</v>
      </c>
      <c r="V96" s="309">
        <f t="shared" si="36"/>
        <v>0</v>
      </c>
      <c r="W96" s="278">
        <f t="shared" si="36"/>
        <v>175</v>
      </c>
      <c r="X96" s="279">
        <f>SUM(X72:X95)</f>
        <v>0</v>
      </c>
      <c r="Y96" s="277">
        <f t="shared" si="36"/>
        <v>124</v>
      </c>
      <c r="Z96" s="300">
        <f>SUM(Z72:Z95)</f>
        <v>182.00000000000003</v>
      </c>
      <c r="AA96" s="278">
        <f>SUM(AA72:AA95)</f>
        <v>305.99999999999994</v>
      </c>
      <c r="AB96" s="279">
        <f>SUM(AB72:AB95)</f>
        <v>18451.800000000003</v>
      </c>
      <c r="AC96" s="4"/>
      <c r="AD96" s="4"/>
    </row>
    <row r="97" spans="1:27" x14ac:dyDescent="0.2">
      <c r="A97" s="143" t="s">
        <v>67</v>
      </c>
      <c r="B97" s="39"/>
      <c r="C97" s="39"/>
      <c r="D97" s="39"/>
      <c r="E97" s="36"/>
      <c r="F97" s="39"/>
      <c r="G97" s="36"/>
      <c r="H97" s="21"/>
      <c r="I97" s="21"/>
      <c r="J97" s="21"/>
      <c r="K97" s="21"/>
      <c r="L97" s="21"/>
      <c r="M97" s="21"/>
      <c r="N97" s="21"/>
      <c r="O97" s="21"/>
      <c r="P97" s="21"/>
      <c r="Q97" s="21"/>
      <c r="R97" s="21"/>
      <c r="S97" s="21"/>
      <c r="T97" s="21"/>
      <c r="U97" s="21"/>
      <c r="V97" s="21"/>
      <c r="W97" s="21"/>
      <c r="X97" s="21"/>
      <c r="Y97" s="21"/>
      <c r="Z97" s="4"/>
      <c r="AA97" s="4"/>
    </row>
    <row r="98" spans="1:27" x14ac:dyDescent="0.2">
      <c r="A98" s="143" t="s">
        <v>196</v>
      </c>
      <c r="B98" s="39"/>
      <c r="C98" s="39"/>
      <c r="D98" s="39"/>
      <c r="E98" s="36"/>
      <c r="F98" s="39"/>
      <c r="G98" s="36"/>
      <c r="H98" s="21"/>
      <c r="I98" s="21"/>
      <c r="J98" s="21"/>
      <c r="K98" s="21"/>
      <c r="L98" s="21"/>
      <c r="M98" s="21"/>
      <c r="N98" s="21"/>
      <c r="O98" s="21"/>
      <c r="P98" s="21"/>
      <c r="Q98" s="21"/>
      <c r="R98" s="21"/>
      <c r="S98" s="21"/>
      <c r="T98" s="21"/>
      <c r="U98" s="21"/>
      <c r="V98" s="21"/>
      <c r="W98" s="21"/>
      <c r="X98" s="21"/>
      <c r="Y98" s="21"/>
      <c r="Z98" s="4"/>
      <c r="AA98" s="4"/>
    </row>
    <row r="99" spans="1:27" x14ac:dyDescent="0.2">
      <c r="A99" s="121" t="s">
        <v>72</v>
      </c>
      <c r="B99" s="150"/>
      <c r="C99" s="150"/>
      <c r="D99" s="40"/>
      <c r="E99" s="21"/>
      <c r="F99" s="21"/>
      <c r="G99" s="21"/>
      <c r="H99" s="21"/>
      <c r="I99" s="21"/>
      <c r="J99" s="21"/>
      <c r="K99" s="21"/>
      <c r="L99" s="21"/>
      <c r="M99" s="21"/>
      <c r="N99" s="21"/>
      <c r="O99" s="21"/>
      <c r="P99" s="21"/>
      <c r="Q99" s="21"/>
      <c r="R99" s="21"/>
      <c r="S99" s="21"/>
      <c r="T99" s="21"/>
      <c r="U99" s="21"/>
      <c r="V99" s="21"/>
      <c r="W99" s="21"/>
      <c r="X99" s="21"/>
      <c r="Y99" s="21"/>
      <c r="Z99" s="4"/>
      <c r="AA99" s="4"/>
    </row>
    <row r="100" spans="1:27" x14ac:dyDescent="0.2">
      <c r="A100" s="121" t="s">
        <v>75</v>
      </c>
      <c r="B100" s="150"/>
      <c r="C100" s="150"/>
      <c r="D100" s="40"/>
      <c r="E100" s="21"/>
      <c r="F100" s="21"/>
      <c r="G100" s="21"/>
      <c r="H100" s="21"/>
      <c r="I100" s="21"/>
      <c r="J100" s="21"/>
      <c r="K100" s="21"/>
      <c r="L100" s="21"/>
      <c r="M100" s="21"/>
      <c r="N100" s="21"/>
      <c r="O100" s="21"/>
      <c r="P100" s="21"/>
      <c r="Q100" s="21"/>
      <c r="R100" s="21"/>
      <c r="S100" s="21"/>
      <c r="T100" s="21"/>
      <c r="U100" s="21"/>
      <c r="V100" s="21"/>
      <c r="W100" s="21"/>
      <c r="X100" s="21"/>
      <c r="Y100" s="21"/>
      <c r="Z100" s="4"/>
      <c r="AA100" s="4"/>
    </row>
    <row r="101" spans="1:27" ht="13.5" thickBot="1" x14ac:dyDescent="0.2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row>
    <row r="102" spans="1:27" ht="16.5" thickBot="1" x14ac:dyDescent="0.3">
      <c r="A102" s="159" t="s">
        <v>59</v>
      </c>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row>
    <row r="103" spans="1:27" ht="90" thickBot="1" x14ac:dyDescent="0.25">
      <c r="A103" s="331" t="s">
        <v>3</v>
      </c>
      <c r="B103" s="332" t="s">
        <v>76</v>
      </c>
      <c r="C103" s="333" t="s">
        <v>100</v>
      </c>
      <c r="D103" s="29"/>
      <c r="E103" s="21"/>
      <c r="F103" s="21"/>
      <c r="G103" s="21"/>
      <c r="H103" s="21"/>
      <c r="I103" s="21"/>
      <c r="J103" s="21"/>
      <c r="K103" s="21"/>
      <c r="L103" s="21"/>
      <c r="M103" s="21"/>
      <c r="N103" s="21"/>
      <c r="O103" s="21"/>
      <c r="P103" s="21"/>
      <c r="Q103" s="21"/>
      <c r="R103" s="21"/>
      <c r="S103" s="21"/>
      <c r="T103" s="21"/>
      <c r="U103" s="21"/>
      <c r="V103" s="21"/>
      <c r="W103" s="21"/>
      <c r="X103" s="21"/>
      <c r="Y103" s="21"/>
    </row>
    <row r="104" spans="1:27" x14ac:dyDescent="0.2">
      <c r="A104" s="336" t="s">
        <v>28</v>
      </c>
      <c r="B104" s="393">
        <f>C32*E70</f>
        <v>0</v>
      </c>
      <c r="C104" s="282">
        <f>(C13+C20)*E70</f>
        <v>0</v>
      </c>
      <c r="D104" s="21"/>
      <c r="E104" s="21"/>
      <c r="F104" s="21"/>
      <c r="G104" s="21"/>
      <c r="H104" s="21"/>
      <c r="I104" s="21"/>
      <c r="J104" s="21"/>
      <c r="K104" s="21"/>
      <c r="L104" s="21"/>
      <c r="M104" s="21"/>
      <c r="N104" s="21"/>
      <c r="O104" s="21"/>
      <c r="P104" s="21"/>
      <c r="Q104" s="21"/>
      <c r="R104" s="21"/>
      <c r="S104" s="21"/>
      <c r="T104" s="21"/>
      <c r="U104" s="21"/>
      <c r="V104" s="21"/>
      <c r="W104" s="21"/>
      <c r="X104" s="21"/>
      <c r="Y104" s="21"/>
    </row>
    <row r="105" spans="1:27" x14ac:dyDescent="0.2">
      <c r="A105" s="47" t="s">
        <v>33</v>
      </c>
      <c r="B105" s="394">
        <f>D32*I70</f>
        <v>1029.2</v>
      </c>
      <c r="C105" s="51">
        <f>(D13+D20)*I70</f>
        <v>24392.04</v>
      </c>
      <c r="D105" s="52"/>
      <c r="E105" s="21"/>
      <c r="F105" s="21"/>
      <c r="G105" s="21"/>
      <c r="H105" s="21"/>
      <c r="I105" s="21"/>
      <c r="J105" s="21"/>
      <c r="K105" s="21"/>
      <c r="L105" s="21"/>
      <c r="M105" s="21"/>
      <c r="N105" s="21"/>
      <c r="O105" s="21"/>
      <c r="P105" s="21"/>
      <c r="Q105" s="21"/>
      <c r="R105" s="21"/>
      <c r="S105" s="21"/>
      <c r="T105" s="21"/>
      <c r="U105" s="21"/>
      <c r="V105" s="21"/>
      <c r="W105" s="21"/>
      <c r="X105" s="21"/>
      <c r="Y105" s="21"/>
    </row>
    <row r="106" spans="1:27" x14ac:dyDescent="0.2">
      <c r="A106" s="47" t="s">
        <v>5</v>
      </c>
      <c r="B106" s="394">
        <f>E32*M70</f>
        <v>0</v>
      </c>
      <c r="C106" s="51">
        <f>(E13+E20)*M70</f>
        <v>0</v>
      </c>
      <c r="D106" s="21"/>
      <c r="E106" s="21"/>
      <c r="F106" s="21"/>
      <c r="G106" s="21"/>
      <c r="H106" s="21"/>
      <c r="I106" s="21"/>
      <c r="J106" s="21"/>
      <c r="K106" s="21"/>
      <c r="L106" s="21"/>
      <c r="M106" s="21"/>
      <c r="N106" s="21"/>
      <c r="O106" s="21"/>
      <c r="P106" s="21"/>
      <c r="Q106" s="21"/>
      <c r="R106" s="21"/>
      <c r="S106" s="21"/>
      <c r="T106" s="21"/>
      <c r="U106" s="21"/>
      <c r="V106" s="21"/>
      <c r="W106" s="21"/>
      <c r="X106" s="21"/>
      <c r="Y106" s="21"/>
    </row>
    <row r="107" spans="1:27" x14ac:dyDescent="0.2">
      <c r="A107" s="144" t="s">
        <v>8</v>
      </c>
      <c r="B107" s="394">
        <f>F32*R70</f>
        <v>1580.96</v>
      </c>
      <c r="C107" s="51">
        <f>(F13+F20)*R70</f>
        <v>19256.864000000001</v>
      </c>
      <c r="D107" s="21"/>
      <c r="E107" s="21"/>
      <c r="F107" s="21"/>
      <c r="G107" s="21"/>
      <c r="H107" s="21"/>
      <c r="I107" s="21"/>
      <c r="J107" s="21"/>
      <c r="K107" s="21"/>
      <c r="L107" s="21"/>
      <c r="M107" s="21"/>
      <c r="N107" s="21"/>
      <c r="O107" s="21"/>
      <c r="P107" s="21"/>
      <c r="Q107" s="21"/>
      <c r="R107" s="21"/>
      <c r="S107" s="21"/>
      <c r="T107" s="21"/>
      <c r="U107" s="21"/>
      <c r="V107" s="21"/>
      <c r="W107" s="21"/>
      <c r="X107" s="21"/>
      <c r="Y107" s="21"/>
    </row>
    <row r="108" spans="1:27" x14ac:dyDescent="0.2">
      <c r="A108" s="144" t="s">
        <v>34</v>
      </c>
      <c r="B108" s="394">
        <f>G32*V70</f>
        <v>0</v>
      </c>
      <c r="C108" s="51">
        <f>(G13+G20)*V70</f>
        <v>0</v>
      </c>
      <c r="D108" s="21"/>
      <c r="E108" s="21"/>
      <c r="F108" s="21"/>
      <c r="G108" s="21"/>
      <c r="H108" s="21"/>
      <c r="I108" s="21"/>
      <c r="J108" s="21"/>
      <c r="K108" s="21"/>
      <c r="L108" s="21"/>
      <c r="M108" s="21"/>
      <c r="N108" s="21"/>
      <c r="O108" s="21"/>
      <c r="P108" s="21"/>
      <c r="Q108" s="21"/>
      <c r="R108" s="21"/>
      <c r="S108" s="21"/>
      <c r="T108" s="21"/>
      <c r="U108" s="21"/>
      <c r="V108" s="21"/>
      <c r="W108" s="21"/>
      <c r="X108" s="21"/>
      <c r="Y108" s="21"/>
    </row>
    <row r="109" spans="1:27" x14ac:dyDescent="0.2">
      <c r="A109" s="144" t="s">
        <v>35</v>
      </c>
      <c r="B109" s="395">
        <f>I32*AD70</f>
        <v>0</v>
      </c>
      <c r="C109" s="51">
        <f>(I13+I20)*AD70</f>
        <v>0</v>
      </c>
      <c r="D109" s="21"/>
      <c r="E109" s="21"/>
      <c r="F109" s="21"/>
      <c r="G109" s="21"/>
      <c r="H109" s="21"/>
      <c r="I109" s="21"/>
      <c r="J109" s="21"/>
      <c r="K109" s="21"/>
      <c r="L109" s="21"/>
      <c r="M109" s="21"/>
      <c r="N109" s="21"/>
      <c r="O109" s="21"/>
      <c r="P109" s="21"/>
      <c r="Q109" s="21"/>
      <c r="R109" s="21"/>
      <c r="S109" s="21"/>
      <c r="T109" s="21"/>
      <c r="U109" s="21"/>
      <c r="V109" s="21"/>
      <c r="W109" s="21"/>
      <c r="X109" s="21"/>
      <c r="Y109" s="21"/>
    </row>
    <row r="110" spans="1:27" x14ac:dyDescent="0.2">
      <c r="A110" s="144" t="s">
        <v>15</v>
      </c>
      <c r="B110" s="395">
        <f>J32*X70</f>
        <v>0</v>
      </c>
      <c r="C110" s="51">
        <f>(J13+J20)*X70</f>
        <v>0</v>
      </c>
      <c r="D110" s="21"/>
      <c r="E110" s="21"/>
      <c r="F110" s="21"/>
      <c r="G110" s="21"/>
      <c r="H110" s="21"/>
      <c r="I110" s="21"/>
      <c r="J110" s="21"/>
      <c r="K110" s="21"/>
      <c r="L110" s="21"/>
      <c r="M110" s="21"/>
      <c r="N110" s="21"/>
      <c r="O110" s="21"/>
      <c r="P110" s="21"/>
      <c r="Q110" s="21"/>
      <c r="R110" s="21"/>
      <c r="S110" s="21"/>
      <c r="T110" s="21"/>
      <c r="U110" s="21"/>
      <c r="V110" s="21"/>
      <c r="W110" s="21"/>
      <c r="X110" s="21"/>
      <c r="Y110" s="21"/>
    </row>
    <row r="111" spans="1:27" x14ac:dyDescent="0.2">
      <c r="A111" s="144" t="s">
        <v>11</v>
      </c>
      <c r="B111" s="395">
        <f>K32*AB70</f>
        <v>3961.71</v>
      </c>
      <c r="C111" s="145">
        <f>(K13+K20)*AB70</f>
        <v>18451.8</v>
      </c>
      <c r="D111" s="21"/>
      <c r="E111" s="21"/>
      <c r="F111" s="21"/>
      <c r="G111" s="21"/>
      <c r="H111" s="21"/>
      <c r="I111" s="21"/>
      <c r="J111" s="21"/>
      <c r="K111" s="21"/>
      <c r="L111" s="21"/>
      <c r="M111" s="21"/>
      <c r="N111" s="21"/>
      <c r="O111" s="21"/>
      <c r="P111" s="21"/>
      <c r="Q111" s="21"/>
      <c r="R111" s="21"/>
      <c r="S111" s="21"/>
      <c r="T111" s="21"/>
      <c r="U111" s="21"/>
      <c r="V111" s="21"/>
      <c r="W111" s="21"/>
      <c r="X111" s="21"/>
      <c r="Y111" s="21"/>
    </row>
    <row r="112" spans="1:27" x14ac:dyDescent="0.2">
      <c r="A112" s="144" t="s">
        <v>50</v>
      </c>
      <c r="B112" s="395">
        <f>L32*AF70</f>
        <v>0</v>
      </c>
      <c r="C112" s="145">
        <f>(L13+L20)*AF70</f>
        <v>0</v>
      </c>
      <c r="D112" s="52"/>
      <c r="E112" s="21"/>
      <c r="F112" s="21"/>
      <c r="G112" s="21"/>
      <c r="H112" s="21"/>
      <c r="I112" s="21"/>
      <c r="J112" s="21"/>
      <c r="K112" s="21"/>
      <c r="L112" s="21"/>
      <c r="M112" s="21"/>
      <c r="N112" s="21"/>
      <c r="O112" s="21"/>
      <c r="P112" s="21"/>
      <c r="Q112" s="21"/>
      <c r="R112" s="21"/>
      <c r="S112" s="21"/>
      <c r="T112" s="21"/>
      <c r="U112" s="21"/>
      <c r="V112" s="21"/>
      <c r="W112" s="21"/>
      <c r="X112" s="21"/>
      <c r="Y112" s="21"/>
    </row>
    <row r="113" spans="1:25" ht="13.5" thickBot="1" x14ac:dyDescent="0.25">
      <c r="A113" s="337" t="s">
        <v>20</v>
      </c>
      <c r="B113" s="396">
        <f>M32*AH70</f>
        <v>76436.800000000003</v>
      </c>
      <c r="C113" s="285">
        <f>(M13+M20)*AH70</f>
        <v>0</v>
      </c>
      <c r="D113" s="52"/>
      <c r="E113" s="21"/>
      <c r="F113" s="21"/>
      <c r="G113" s="21"/>
      <c r="H113" s="21"/>
      <c r="I113" s="21"/>
      <c r="J113" s="21"/>
      <c r="K113" s="21"/>
      <c r="L113" s="21"/>
      <c r="M113" s="21"/>
      <c r="N113" s="21"/>
      <c r="O113" s="21"/>
      <c r="P113" s="21"/>
      <c r="Q113" s="21"/>
      <c r="R113" s="21"/>
      <c r="S113" s="21"/>
      <c r="T113" s="21"/>
      <c r="U113" s="21"/>
      <c r="V113" s="21"/>
      <c r="W113" s="21"/>
      <c r="X113" s="21"/>
      <c r="Y113" s="21"/>
    </row>
    <row r="114" spans="1:25" ht="13.5" thickBot="1" x14ac:dyDescent="0.25">
      <c r="A114" s="334" t="s">
        <v>48</v>
      </c>
      <c r="B114" s="397">
        <f>SUM(B104:B113)</f>
        <v>83008.67</v>
      </c>
      <c r="C114" s="335">
        <f>SUM(C104:C113)</f>
        <v>62100.703999999998</v>
      </c>
      <c r="D114" s="21"/>
      <c r="E114" s="21"/>
      <c r="F114" s="21"/>
      <c r="G114" s="21"/>
      <c r="H114" s="21"/>
      <c r="I114" s="21"/>
      <c r="J114" s="21"/>
      <c r="K114" s="21"/>
      <c r="L114" s="21"/>
      <c r="M114" s="21"/>
      <c r="N114" s="21"/>
      <c r="O114" s="21"/>
      <c r="P114" s="21"/>
      <c r="Q114" s="21"/>
      <c r="R114" s="21"/>
      <c r="S114" s="21"/>
      <c r="T114" s="21"/>
      <c r="U114" s="21"/>
      <c r="V114" s="21"/>
      <c r="W114" s="21"/>
      <c r="X114" s="21"/>
      <c r="Y114" s="21"/>
    </row>
    <row r="115" spans="1:25"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row>
    <row r="116" spans="1:25" x14ac:dyDescent="0.2">
      <c r="A116" s="21"/>
      <c r="B116" s="398" t="s">
        <v>24</v>
      </c>
      <c r="C116" s="21"/>
      <c r="D116" s="21"/>
      <c r="E116" s="21"/>
      <c r="F116" s="21"/>
      <c r="G116" s="21"/>
      <c r="H116" s="21"/>
      <c r="I116" s="21"/>
      <c r="J116" s="21"/>
      <c r="K116" s="21"/>
      <c r="L116" s="21"/>
      <c r="M116" s="21"/>
      <c r="N116" s="21"/>
      <c r="O116" s="21"/>
      <c r="P116" s="21"/>
      <c r="Q116" s="21"/>
      <c r="R116" s="21"/>
      <c r="S116" s="21"/>
      <c r="T116" s="21"/>
      <c r="U116" s="21"/>
      <c r="V116" s="21"/>
      <c r="W116" s="21"/>
      <c r="X116" s="21"/>
      <c r="Y116" s="21"/>
    </row>
    <row r="117" spans="1:25"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row>
    <row r="118" spans="1:25"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row>
    <row r="119" spans="1:25"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row>
    <row r="120" spans="1:25"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row>
    <row r="121" spans="1:25"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row>
    <row r="122" spans="1:25"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row>
    <row r="123" spans="1:25"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row>
    <row r="124" spans="1:25"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row>
    <row r="125" spans="1:25"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row>
    <row r="126" spans="1:25"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row>
    <row r="127" spans="1:25"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row>
    <row r="128" spans="1:25"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row>
    <row r="129" spans="1:25"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row>
    <row r="130" spans="1:25"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row>
    <row r="131" spans="1:25"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row>
    <row r="132" spans="1:25"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row>
    <row r="133" spans="1:25"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row>
    <row r="134" spans="1:25"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row>
    <row r="135" spans="1:25"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row>
    <row r="136" spans="1:25"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row>
    <row r="137" spans="1:25"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row>
    <row r="138" spans="1:25"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row>
    <row r="139" spans="1:25"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row>
    <row r="140" spans="1:25"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row>
    <row r="141" spans="1:25"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row>
    <row r="142" spans="1:25"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row>
    <row r="143" spans="1:25"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row>
    <row r="144" spans="1:25"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row>
    <row r="145" spans="1:25"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row>
    <row r="146" spans="1:25"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row>
    <row r="147" spans="1:25"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row>
    <row r="148" spans="1:25"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row>
    <row r="149" spans="1:25"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row>
    <row r="150" spans="1:25"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row>
    <row r="151" spans="1:25"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row>
    <row r="152" spans="1:25"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row>
    <row r="153" spans="1:25"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row>
    <row r="154" spans="1:25"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row>
    <row r="155" spans="1:25"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row>
    <row r="156" spans="1:25"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row>
    <row r="157" spans="1:25"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row>
    <row r="158" spans="1:25"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row>
    <row r="159" spans="1:25"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row>
    <row r="160" spans="1:25"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row>
    <row r="161" spans="1:25"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row>
    <row r="162" spans="1:25"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row>
    <row r="163" spans="1:25"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row>
    <row r="164" spans="1:25"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row>
    <row r="165" spans="1:25"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row>
    <row r="166" spans="1:25"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row>
    <row r="167" spans="1:25"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row>
    <row r="168" spans="1:25"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row>
    <row r="169" spans="1:25"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row>
    <row r="170" spans="1:25"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row>
    <row r="171" spans="1:25"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row>
    <row r="172" spans="1:25"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row>
    <row r="173" spans="1:25"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row>
    <row r="174" spans="1:25"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row>
  </sheetData>
  <mergeCells count="21">
    <mergeCell ref="AC69:AD69"/>
    <mergeCell ref="AE69:AF69"/>
    <mergeCell ref="AE71:AF71"/>
    <mergeCell ref="AC71:AD71"/>
    <mergeCell ref="Y70:AA70"/>
    <mergeCell ref="J69:M69"/>
    <mergeCell ref="J70:L70"/>
    <mergeCell ref="AG69:AH69"/>
    <mergeCell ref="AG71:AH71"/>
    <mergeCell ref="A3:A4"/>
    <mergeCell ref="B69:E69"/>
    <mergeCell ref="B70:D70"/>
    <mergeCell ref="A68:A70"/>
    <mergeCell ref="I65:L65"/>
    <mergeCell ref="N70:Q70"/>
    <mergeCell ref="S70:U70"/>
    <mergeCell ref="F70:H70"/>
    <mergeCell ref="F69:I69"/>
    <mergeCell ref="N69:R69"/>
    <mergeCell ref="S69:V69"/>
    <mergeCell ref="Y69:AB69"/>
  </mergeCells>
  <pageMargins left="0" right="0" top="0" bottom="0" header="0.3" footer="0.3"/>
  <pageSetup paperSize="17" scale="35" orientation="landscape" r:id="rId1"/>
  <rowBreaks count="1" manualBreakCount="1">
    <brk id="67" max="3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5"/>
  <sheetViews>
    <sheetView workbookViewId="0"/>
  </sheetViews>
  <sheetFormatPr defaultRowHeight="12.75" x14ac:dyDescent="0.2"/>
  <cols>
    <col min="1" max="1" width="22.7109375" customWidth="1"/>
    <col min="2" max="11" width="16.7109375" customWidth="1"/>
  </cols>
  <sheetData>
    <row r="1" spans="1:8" ht="18.75" x14ac:dyDescent="0.3">
      <c r="A1" s="415" t="s">
        <v>257</v>
      </c>
      <c r="B1" s="374"/>
      <c r="C1" s="374"/>
      <c r="D1" s="374"/>
      <c r="E1" s="374"/>
      <c r="F1" s="374"/>
      <c r="G1" s="374"/>
      <c r="H1" s="374"/>
    </row>
    <row r="2" spans="1:8" ht="18.75" x14ac:dyDescent="0.3">
      <c r="A2" s="3"/>
      <c r="B2" s="431"/>
      <c r="C2" s="374" t="s">
        <v>24</v>
      </c>
      <c r="D2" s="374" t="s">
        <v>24</v>
      </c>
      <c r="E2" s="432" t="s">
        <v>24</v>
      </c>
      <c r="F2" s="433"/>
      <c r="G2" s="434"/>
      <c r="H2" s="374"/>
    </row>
    <row r="3" spans="1:8" ht="15.75" x14ac:dyDescent="0.2">
      <c r="A3" s="767" t="s">
        <v>52</v>
      </c>
      <c r="B3" s="767"/>
      <c r="C3" s="435"/>
      <c r="D3" s="435"/>
      <c r="E3" s="435"/>
      <c r="F3" s="435"/>
      <c r="G3" s="435"/>
      <c r="H3" s="435"/>
    </row>
    <row r="4" spans="1:8" ht="38.25" x14ac:dyDescent="0.2">
      <c r="A4" s="183" t="s">
        <v>125</v>
      </c>
      <c r="B4" s="164" t="s">
        <v>129</v>
      </c>
      <c r="C4" s="164" t="s">
        <v>155</v>
      </c>
      <c r="D4" s="183" t="s">
        <v>171</v>
      </c>
      <c r="E4" s="233"/>
      <c r="F4" s="233"/>
      <c r="G4" s="233"/>
      <c r="H4" s="233"/>
    </row>
    <row r="5" spans="1:8" x14ac:dyDescent="0.2">
      <c r="A5" s="182" t="s">
        <v>6</v>
      </c>
      <c r="B5" s="31">
        <v>23</v>
      </c>
      <c r="C5" s="31">
        <v>0</v>
      </c>
      <c r="D5" s="35">
        <f>B5+C5</f>
        <v>23</v>
      </c>
      <c r="E5" s="436"/>
      <c r="F5" s="33"/>
      <c r="G5" s="436"/>
      <c r="H5" s="33"/>
    </row>
    <row r="6" spans="1:8" x14ac:dyDescent="0.2">
      <c r="A6" s="182" t="s">
        <v>28</v>
      </c>
      <c r="B6" s="31">
        <f>$B$5</f>
        <v>23</v>
      </c>
      <c r="C6" s="31">
        <v>0</v>
      </c>
      <c r="D6" s="35">
        <f>B6+C6</f>
        <v>23</v>
      </c>
      <c r="E6" s="436"/>
      <c r="F6" s="33"/>
      <c r="G6" s="436"/>
      <c r="H6" s="33"/>
    </row>
    <row r="7" spans="1:8" x14ac:dyDescent="0.2">
      <c r="A7" s="182" t="s">
        <v>33</v>
      </c>
      <c r="B7" s="31">
        <f t="shared" ref="B7:B19" si="0">$B$5</f>
        <v>23</v>
      </c>
      <c r="C7" s="31">
        <v>2</v>
      </c>
      <c r="D7" s="35">
        <f>B7+C6+C7</f>
        <v>25</v>
      </c>
      <c r="E7" s="436"/>
      <c r="F7" s="33"/>
      <c r="G7" s="436"/>
      <c r="H7" s="33"/>
    </row>
    <row r="8" spans="1:8" x14ac:dyDescent="0.2">
      <c r="A8" s="182" t="s">
        <v>5</v>
      </c>
      <c r="B8" s="31">
        <f t="shared" si="0"/>
        <v>23</v>
      </c>
      <c r="C8" s="31">
        <v>0</v>
      </c>
      <c r="D8" s="35">
        <f>B8+C6+C8</f>
        <v>23</v>
      </c>
      <c r="E8" s="436"/>
      <c r="F8" s="33"/>
      <c r="G8" s="436"/>
      <c r="H8" s="33"/>
    </row>
    <row r="9" spans="1:8" x14ac:dyDescent="0.2">
      <c r="A9" s="182" t="s">
        <v>8</v>
      </c>
      <c r="B9" s="31">
        <f t="shared" si="0"/>
        <v>23</v>
      </c>
      <c r="C9" s="31">
        <v>20</v>
      </c>
      <c r="D9" s="35">
        <f>B9+C6+C7+C9</f>
        <v>45</v>
      </c>
      <c r="E9" s="436"/>
      <c r="F9" s="33"/>
      <c r="G9" s="436"/>
      <c r="H9" s="33"/>
    </row>
    <row r="10" spans="1:8" x14ac:dyDescent="0.2">
      <c r="A10" s="182" t="s">
        <v>34</v>
      </c>
      <c r="B10" s="31">
        <f t="shared" si="0"/>
        <v>23</v>
      </c>
      <c r="C10" s="31">
        <v>174</v>
      </c>
      <c r="D10" s="35">
        <f>B10+C6+C7+C9+C10</f>
        <v>219</v>
      </c>
      <c r="E10" s="436"/>
      <c r="F10" s="33"/>
      <c r="G10" s="436"/>
      <c r="H10" s="33"/>
    </row>
    <row r="11" spans="1:8" x14ac:dyDescent="0.2">
      <c r="A11" s="182" t="s">
        <v>35</v>
      </c>
      <c r="B11" s="31">
        <f t="shared" si="0"/>
        <v>23</v>
      </c>
      <c r="C11" s="31">
        <v>0</v>
      </c>
      <c r="D11" s="35">
        <f>B11+C6+C7+C11</f>
        <v>25</v>
      </c>
      <c r="E11" s="436"/>
      <c r="F11" s="33"/>
      <c r="G11" s="436"/>
      <c r="H11" s="33"/>
    </row>
    <row r="12" spans="1:8" x14ac:dyDescent="0.2">
      <c r="A12" s="22" t="s">
        <v>15</v>
      </c>
      <c r="B12" s="31">
        <f t="shared" si="0"/>
        <v>23</v>
      </c>
      <c r="C12" s="35">
        <v>0</v>
      </c>
      <c r="D12" s="35">
        <f>B12+C6+C8+C12</f>
        <v>23</v>
      </c>
      <c r="E12" s="436"/>
      <c r="F12" s="33"/>
      <c r="G12" s="436"/>
      <c r="H12" s="33"/>
    </row>
    <row r="13" spans="1:8" x14ac:dyDescent="0.2">
      <c r="A13" s="22" t="s">
        <v>43</v>
      </c>
      <c r="B13" s="31">
        <f t="shared" si="0"/>
        <v>23</v>
      </c>
      <c r="C13" s="35">
        <v>0</v>
      </c>
      <c r="D13" s="35">
        <f>B13+C13</f>
        <v>23</v>
      </c>
      <c r="E13" s="436"/>
      <c r="F13" s="33"/>
      <c r="G13" s="436"/>
      <c r="H13" s="33"/>
    </row>
    <row r="14" spans="1:8" x14ac:dyDescent="0.2">
      <c r="A14" s="22" t="s">
        <v>113</v>
      </c>
      <c r="B14" s="31">
        <f t="shared" si="0"/>
        <v>23</v>
      </c>
      <c r="C14" s="35">
        <v>0</v>
      </c>
      <c r="D14" s="35">
        <f>B14+C13+C14</f>
        <v>23</v>
      </c>
      <c r="E14" s="436"/>
      <c r="F14" s="33"/>
      <c r="G14" s="436"/>
      <c r="H14" s="33"/>
    </row>
    <row r="15" spans="1:8" x14ac:dyDescent="0.2">
      <c r="A15" s="22" t="s">
        <v>20</v>
      </c>
      <c r="B15" s="31">
        <f t="shared" si="0"/>
        <v>23</v>
      </c>
      <c r="C15" s="35">
        <v>0</v>
      </c>
      <c r="D15" s="35">
        <f>B15+C15</f>
        <v>23</v>
      </c>
      <c r="E15" s="436"/>
      <c r="F15" s="33"/>
      <c r="G15" s="436"/>
      <c r="H15" s="33"/>
    </row>
    <row r="16" spans="1:8" x14ac:dyDescent="0.2">
      <c r="A16" s="22" t="s">
        <v>11</v>
      </c>
      <c r="B16" s="31">
        <f t="shared" si="0"/>
        <v>23</v>
      </c>
      <c r="C16" s="35">
        <v>37</v>
      </c>
      <c r="D16" s="35">
        <f>B16+C6+C8+C16</f>
        <v>60</v>
      </c>
      <c r="E16" s="436"/>
      <c r="F16" s="33"/>
      <c r="G16" s="436"/>
      <c r="H16" s="33"/>
    </row>
    <row r="17" spans="1:8" x14ac:dyDescent="0.2">
      <c r="A17" s="22" t="s">
        <v>10</v>
      </c>
      <c r="B17" s="31">
        <f t="shared" si="0"/>
        <v>23</v>
      </c>
      <c r="C17" s="35">
        <v>0</v>
      </c>
      <c r="D17" s="35">
        <f>B17+C6+C17</f>
        <v>23</v>
      </c>
      <c r="E17" s="436"/>
      <c r="F17" s="33"/>
      <c r="G17" s="436"/>
      <c r="H17" s="33"/>
    </row>
    <row r="18" spans="1:8" x14ac:dyDescent="0.2">
      <c r="A18" s="22" t="s">
        <v>21</v>
      </c>
      <c r="B18" s="31">
        <f t="shared" si="0"/>
        <v>23</v>
      </c>
      <c r="C18" s="35">
        <v>0</v>
      </c>
      <c r="D18" s="35">
        <f>B18+C18</f>
        <v>23</v>
      </c>
      <c r="E18" s="33"/>
      <c r="F18" s="33"/>
      <c r="G18" s="33"/>
      <c r="H18" s="33"/>
    </row>
    <row r="19" spans="1:8" x14ac:dyDescent="0.2">
      <c r="A19" s="22" t="s">
        <v>50</v>
      </c>
      <c r="B19" s="31">
        <f t="shared" si="0"/>
        <v>23</v>
      </c>
      <c r="C19" s="35">
        <v>0</v>
      </c>
      <c r="D19" s="35">
        <f>B19+C19</f>
        <v>23</v>
      </c>
      <c r="E19" s="33"/>
      <c r="F19" s="33"/>
      <c r="G19" s="33"/>
      <c r="H19" s="33"/>
    </row>
    <row r="20" spans="1:8" x14ac:dyDescent="0.2">
      <c r="A20" s="23" t="s">
        <v>142</v>
      </c>
      <c r="B20" s="34"/>
      <c r="C20" s="33"/>
      <c r="D20" s="33"/>
      <c r="E20" s="33"/>
      <c r="F20" s="33"/>
      <c r="G20" s="33"/>
      <c r="H20" s="33"/>
    </row>
    <row r="21" spans="1:8" ht="12.75" customHeight="1" x14ac:dyDescent="0.2">
      <c r="A21" s="219" t="s">
        <v>238</v>
      </c>
      <c r="B21" s="214"/>
      <c r="C21" s="214"/>
      <c r="D21" s="214"/>
      <c r="E21" s="214"/>
      <c r="F21" s="214"/>
      <c r="G21" s="214"/>
      <c r="H21" s="214"/>
    </row>
    <row r="22" spans="1:8" x14ac:dyDescent="0.2">
      <c r="A22" s="214"/>
      <c r="B22" s="214"/>
      <c r="C22" s="214"/>
      <c r="D22" s="214"/>
      <c r="E22" s="214"/>
      <c r="F22" s="214"/>
      <c r="G22" s="214"/>
      <c r="H22" s="214"/>
    </row>
    <row r="23" spans="1:8" ht="15.75" x14ac:dyDescent="0.25">
      <c r="A23" s="768" t="s">
        <v>239</v>
      </c>
      <c r="B23" s="769"/>
      <c r="C23" s="769"/>
      <c r="D23" s="769"/>
      <c r="E23" s="770"/>
      <c r="F23" s="437"/>
      <c r="G23" s="438"/>
      <c r="H23" s="438"/>
    </row>
    <row r="24" spans="1:8" ht="38.25" x14ac:dyDescent="0.2">
      <c r="A24" s="183" t="s">
        <v>3</v>
      </c>
      <c r="B24" s="439" t="s">
        <v>240</v>
      </c>
      <c r="C24" s="439" t="s">
        <v>241</v>
      </c>
      <c r="D24" s="440" t="s">
        <v>242</v>
      </c>
      <c r="E24" s="439" t="s">
        <v>243</v>
      </c>
      <c r="F24" s="41"/>
      <c r="G24" s="441"/>
      <c r="H24" s="41"/>
    </row>
    <row r="25" spans="1:8" x14ac:dyDescent="0.2">
      <c r="A25" s="182" t="s">
        <v>6</v>
      </c>
      <c r="B25" s="442">
        <v>2029.1</v>
      </c>
      <c r="C25" s="443">
        <v>2143.1999999999998</v>
      </c>
      <c r="D25" s="444">
        <f t="shared" ref="D25:D39" si="1">B25-C25</f>
        <v>-114.09999999999991</v>
      </c>
      <c r="E25" s="442">
        <v>0</v>
      </c>
      <c r="F25" s="445"/>
      <c r="G25" s="57"/>
      <c r="H25" s="57"/>
    </row>
    <row r="26" spans="1:8" x14ac:dyDescent="0.2">
      <c r="A26" s="182" t="s">
        <v>28</v>
      </c>
      <c r="B26" s="442">
        <v>828</v>
      </c>
      <c r="C26" s="443">
        <v>715.9</v>
      </c>
      <c r="D26" s="443">
        <f t="shared" si="1"/>
        <v>112.10000000000002</v>
      </c>
      <c r="E26" s="442">
        <v>0</v>
      </c>
      <c r="F26" s="446"/>
      <c r="G26" s="57"/>
      <c r="H26" s="57"/>
    </row>
    <row r="27" spans="1:8" x14ac:dyDescent="0.2">
      <c r="A27" s="182" t="s">
        <v>33</v>
      </c>
      <c r="B27" s="442">
        <v>146.6</v>
      </c>
      <c r="C27" s="443">
        <v>231.7</v>
      </c>
      <c r="D27" s="443">
        <f t="shared" si="1"/>
        <v>-85.1</v>
      </c>
      <c r="E27" s="442">
        <v>0</v>
      </c>
      <c r="F27" s="446"/>
      <c r="G27" s="57"/>
      <c r="H27" s="57"/>
    </row>
    <row r="28" spans="1:8" x14ac:dyDescent="0.2">
      <c r="A28" s="182" t="s">
        <v>5</v>
      </c>
      <c r="B28" s="442">
        <v>523.5</v>
      </c>
      <c r="C28" s="443">
        <v>256.60000000000002</v>
      </c>
      <c r="D28" s="443">
        <f t="shared" si="1"/>
        <v>266.89999999999998</v>
      </c>
      <c r="E28" s="442">
        <v>0</v>
      </c>
      <c r="F28" s="446"/>
      <c r="G28" s="370"/>
      <c r="H28" s="370"/>
    </row>
    <row r="29" spans="1:8" x14ac:dyDescent="0.2">
      <c r="A29" s="182" t="s">
        <v>8</v>
      </c>
      <c r="B29" s="442">
        <v>18.3</v>
      </c>
      <c r="C29" s="443">
        <v>97.4</v>
      </c>
      <c r="D29" s="443">
        <f t="shared" si="1"/>
        <v>-79.100000000000009</v>
      </c>
      <c r="E29" s="442">
        <v>0</v>
      </c>
      <c r="F29" s="446"/>
      <c r="G29" s="370"/>
      <c r="H29" s="370"/>
    </row>
    <row r="30" spans="1:8" x14ac:dyDescent="0.2">
      <c r="A30" s="182" t="s">
        <v>34</v>
      </c>
      <c r="B30" s="442">
        <v>0</v>
      </c>
      <c r="C30" s="443">
        <v>79.099999999999994</v>
      </c>
      <c r="D30" s="443">
        <f t="shared" si="1"/>
        <v>-79.099999999999994</v>
      </c>
      <c r="E30" s="442">
        <v>0</v>
      </c>
      <c r="F30" s="446"/>
      <c r="G30" s="370"/>
      <c r="H30" s="370"/>
    </row>
    <row r="31" spans="1:8" x14ac:dyDescent="0.2">
      <c r="A31" s="182" t="s">
        <v>35</v>
      </c>
      <c r="B31" s="442">
        <v>8.5</v>
      </c>
      <c r="C31" s="443">
        <v>15.3</v>
      </c>
      <c r="D31" s="443">
        <f t="shared" si="1"/>
        <v>-6.8000000000000007</v>
      </c>
      <c r="E31" s="442">
        <v>0</v>
      </c>
      <c r="F31" s="446"/>
      <c r="G31" s="370"/>
      <c r="H31" s="370"/>
    </row>
    <row r="32" spans="1:8" x14ac:dyDescent="0.2">
      <c r="A32" s="22" t="s">
        <v>15</v>
      </c>
      <c r="B32" s="442">
        <v>503.8</v>
      </c>
      <c r="C32" s="443">
        <v>207.9</v>
      </c>
      <c r="D32" s="443">
        <f t="shared" si="1"/>
        <v>295.89999999999998</v>
      </c>
      <c r="E32" s="442">
        <v>0</v>
      </c>
      <c r="F32" s="446"/>
      <c r="G32" s="370"/>
      <c r="H32" s="370"/>
    </row>
    <row r="33" spans="1:9" x14ac:dyDescent="0.2">
      <c r="A33" s="22" t="s">
        <v>43</v>
      </c>
      <c r="B33" s="442">
        <v>76.900000000000006</v>
      </c>
      <c r="C33" s="443">
        <v>739.3</v>
      </c>
      <c r="D33" s="443">
        <f t="shared" si="1"/>
        <v>-662.4</v>
      </c>
      <c r="E33" s="442">
        <v>0</v>
      </c>
      <c r="F33" s="446"/>
      <c r="G33" s="370"/>
      <c r="H33" s="370"/>
    </row>
    <row r="34" spans="1:9" x14ac:dyDescent="0.2">
      <c r="A34" s="22" t="s">
        <v>113</v>
      </c>
      <c r="B34" s="442">
        <v>10.4</v>
      </c>
      <c r="C34" s="443">
        <v>232.3</v>
      </c>
      <c r="D34" s="443">
        <f t="shared" si="1"/>
        <v>-221.9</v>
      </c>
      <c r="E34" s="442">
        <v>0</v>
      </c>
      <c r="F34" s="446"/>
      <c r="G34" s="370"/>
      <c r="H34" s="370"/>
    </row>
    <row r="35" spans="1:9" x14ac:dyDescent="0.2">
      <c r="A35" s="22" t="s">
        <v>20</v>
      </c>
      <c r="B35" s="442">
        <v>178</v>
      </c>
      <c r="C35" s="443">
        <v>360.4</v>
      </c>
      <c r="D35" s="443">
        <f t="shared" si="1"/>
        <v>-182.39999999999998</v>
      </c>
      <c r="E35" s="442">
        <v>0</v>
      </c>
      <c r="F35" s="446"/>
      <c r="G35" s="370"/>
      <c r="H35" s="370"/>
    </row>
    <row r="36" spans="1:9" x14ac:dyDescent="0.2">
      <c r="A36" s="22" t="s">
        <v>11</v>
      </c>
      <c r="B36" s="442">
        <v>19.7</v>
      </c>
      <c r="C36" s="443">
        <v>48.7</v>
      </c>
      <c r="D36" s="443">
        <f t="shared" si="1"/>
        <v>-29.000000000000004</v>
      </c>
      <c r="E36" s="442">
        <v>0</v>
      </c>
      <c r="F36" s="446"/>
      <c r="G36" s="370"/>
      <c r="H36" s="370"/>
    </row>
    <row r="37" spans="1:9" x14ac:dyDescent="0.2">
      <c r="A37" s="22" t="s">
        <v>10</v>
      </c>
      <c r="B37" s="442">
        <v>47.5</v>
      </c>
      <c r="C37" s="443">
        <v>27.2</v>
      </c>
      <c r="D37" s="443">
        <f t="shared" si="1"/>
        <v>20.3</v>
      </c>
      <c r="E37" s="442">
        <v>0</v>
      </c>
      <c r="F37" s="446"/>
      <c r="G37" s="370"/>
      <c r="H37" s="370"/>
    </row>
    <row r="38" spans="1:9" x14ac:dyDescent="0.2">
      <c r="A38" s="22" t="s">
        <v>21</v>
      </c>
      <c r="B38" s="442">
        <v>14.2</v>
      </c>
      <c r="C38" s="443">
        <v>1.2</v>
      </c>
      <c r="D38" s="443">
        <f t="shared" si="1"/>
        <v>13</v>
      </c>
      <c r="E38" s="442">
        <v>0</v>
      </c>
      <c r="F38" s="446"/>
      <c r="G38" s="370"/>
      <c r="H38" s="370"/>
    </row>
    <row r="39" spans="1:9" x14ac:dyDescent="0.2">
      <c r="A39" s="22" t="s">
        <v>50</v>
      </c>
      <c r="B39" s="442">
        <v>17.600000000000001</v>
      </c>
      <c r="C39" s="443">
        <v>87.6</v>
      </c>
      <c r="D39" s="443">
        <f t="shared" si="1"/>
        <v>-70</v>
      </c>
      <c r="E39" s="442">
        <v>0</v>
      </c>
      <c r="F39" s="446"/>
      <c r="G39" s="370"/>
      <c r="H39" s="370"/>
    </row>
    <row r="40" spans="1:9" x14ac:dyDescent="0.2">
      <c r="A40" s="447"/>
      <c r="B40" s="448"/>
      <c r="C40" s="449"/>
      <c r="D40" s="448"/>
      <c r="E40" s="450"/>
      <c r="F40" s="448"/>
      <c r="G40" s="449"/>
      <c r="H40" s="448"/>
    </row>
    <row r="41" spans="1:9" ht="15.75" x14ac:dyDescent="0.25">
      <c r="A41" s="771" t="s">
        <v>244</v>
      </c>
      <c r="B41" s="771"/>
      <c r="C41" s="771"/>
      <c r="D41" s="448"/>
      <c r="E41" s="451" t="s">
        <v>24</v>
      </c>
      <c r="F41" s="448"/>
      <c r="G41" s="449"/>
      <c r="H41" s="448"/>
    </row>
    <row r="42" spans="1:9" ht="38.25" x14ac:dyDescent="0.2">
      <c r="A42" s="183" t="s">
        <v>3</v>
      </c>
      <c r="B42" s="439" t="s">
        <v>245</v>
      </c>
      <c r="C42" s="439" t="s">
        <v>246</v>
      </c>
      <c r="D42" s="439" t="s">
        <v>247</v>
      </c>
      <c r="E42" s="41"/>
      <c r="F42" s="452"/>
      <c r="G42" s="41"/>
      <c r="H42" s="41"/>
    </row>
    <row r="43" spans="1:9" x14ac:dyDescent="0.2">
      <c r="A43" s="182" t="s">
        <v>6</v>
      </c>
      <c r="B43" s="443">
        <v>114.1</v>
      </c>
      <c r="C43" s="443">
        <v>0</v>
      </c>
      <c r="D43" s="444">
        <f t="shared" ref="D43:D57" si="2">B43-C43</f>
        <v>114.1</v>
      </c>
      <c r="E43" s="446"/>
      <c r="F43" s="453"/>
      <c r="G43" s="453"/>
      <c r="H43" s="453"/>
      <c r="I43" s="316"/>
    </row>
    <row r="44" spans="1:9" x14ac:dyDescent="0.2">
      <c r="A44" s="182" t="s">
        <v>28</v>
      </c>
      <c r="B44" s="443">
        <v>114.1</v>
      </c>
      <c r="C44" s="443">
        <v>0</v>
      </c>
      <c r="D44" s="443">
        <f t="shared" si="2"/>
        <v>114.1</v>
      </c>
      <c r="E44" s="446"/>
      <c r="F44" s="453"/>
      <c r="G44" s="453"/>
      <c r="H44" s="453"/>
      <c r="I44" s="316"/>
    </row>
    <row r="45" spans="1:9" x14ac:dyDescent="0.2">
      <c r="A45" s="182" t="s">
        <v>33</v>
      </c>
      <c r="B45" s="443">
        <v>85.1</v>
      </c>
      <c r="C45" s="443">
        <v>0</v>
      </c>
      <c r="D45" s="443">
        <f t="shared" si="2"/>
        <v>85.1</v>
      </c>
      <c r="E45" s="446"/>
      <c r="F45" s="453"/>
      <c r="G45" s="453"/>
      <c r="H45" s="453"/>
      <c r="I45" s="316"/>
    </row>
    <row r="46" spans="1:9" x14ac:dyDescent="0.2">
      <c r="A46" s="182" t="s">
        <v>5</v>
      </c>
      <c r="B46" s="443">
        <v>29</v>
      </c>
      <c r="C46" s="443">
        <v>0</v>
      </c>
      <c r="D46" s="443">
        <f t="shared" si="2"/>
        <v>29</v>
      </c>
      <c r="E46" s="446"/>
      <c r="F46" s="453"/>
      <c r="G46" s="453"/>
      <c r="H46" s="453"/>
      <c r="I46" s="316"/>
    </row>
    <row r="47" spans="1:9" x14ac:dyDescent="0.2">
      <c r="A47" s="182" t="s">
        <v>8</v>
      </c>
      <c r="B47" s="443">
        <v>79.099999999999994</v>
      </c>
      <c r="C47" s="443">
        <v>0</v>
      </c>
      <c r="D47" s="443">
        <f t="shared" si="2"/>
        <v>79.099999999999994</v>
      </c>
      <c r="E47" s="446"/>
      <c r="F47" s="453"/>
      <c r="G47" s="453"/>
      <c r="H47" s="453"/>
      <c r="I47" s="316"/>
    </row>
    <row r="48" spans="1:9" x14ac:dyDescent="0.2">
      <c r="A48" s="182" t="s">
        <v>34</v>
      </c>
      <c r="B48" s="443">
        <v>79.099999999999994</v>
      </c>
      <c r="C48" s="443">
        <v>0</v>
      </c>
      <c r="D48" s="443">
        <f t="shared" si="2"/>
        <v>79.099999999999994</v>
      </c>
      <c r="E48" s="446"/>
      <c r="F48" s="453"/>
      <c r="G48" s="453"/>
      <c r="H48" s="453"/>
    </row>
    <row r="49" spans="1:8" x14ac:dyDescent="0.2">
      <c r="A49" s="182" t="s">
        <v>35</v>
      </c>
      <c r="B49" s="443">
        <v>0</v>
      </c>
      <c r="C49" s="443">
        <v>0</v>
      </c>
      <c r="D49" s="443">
        <f t="shared" si="2"/>
        <v>0</v>
      </c>
      <c r="E49" s="446"/>
      <c r="F49" s="453"/>
      <c r="G49" s="453"/>
      <c r="H49" s="453"/>
    </row>
    <row r="50" spans="1:8" x14ac:dyDescent="0.2">
      <c r="A50" s="22" t="s">
        <v>15</v>
      </c>
      <c r="B50" s="443">
        <v>0</v>
      </c>
      <c r="C50" s="443">
        <v>0</v>
      </c>
      <c r="D50" s="443">
        <f t="shared" si="2"/>
        <v>0</v>
      </c>
      <c r="E50" s="446"/>
      <c r="F50" s="453"/>
      <c r="G50" s="453"/>
      <c r="H50" s="453"/>
    </row>
    <row r="51" spans="1:8" x14ac:dyDescent="0.2">
      <c r="A51" s="22" t="s">
        <v>43</v>
      </c>
      <c r="B51" s="443">
        <v>0</v>
      </c>
      <c r="C51" s="443">
        <v>0</v>
      </c>
      <c r="D51" s="443">
        <f t="shared" si="2"/>
        <v>0</v>
      </c>
      <c r="E51" s="446"/>
      <c r="F51" s="453"/>
      <c r="G51" s="453"/>
      <c r="H51" s="453"/>
    </row>
    <row r="52" spans="1:8" x14ac:dyDescent="0.2">
      <c r="A52" s="22" t="s">
        <v>113</v>
      </c>
      <c r="B52" s="443">
        <v>0</v>
      </c>
      <c r="C52" s="443">
        <v>0</v>
      </c>
      <c r="D52" s="443">
        <f t="shared" si="2"/>
        <v>0</v>
      </c>
      <c r="E52" s="446"/>
      <c r="F52" s="453"/>
      <c r="G52" s="453"/>
      <c r="H52" s="453"/>
    </row>
    <row r="53" spans="1:8" x14ac:dyDescent="0.2">
      <c r="A53" s="22" t="s">
        <v>20</v>
      </c>
      <c r="B53" s="443">
        <v>0</v>
      </c>
      <c r="C53" s="443">
        <v>0</v>
      </c>
      <c r="D53" s="443">
        <f t="shared" si="2"/>
        <v>0</v>
      </c>
      <c r="E53" s="446"/>
      <c r="F53" s="453"/>
      <c r="G53" s="453"/>
      <c r="H53" s="453"/>
    </row>
    <row r="54" spans="1:8" x14ac:dyDescent="0.2">
      <c r="A54" s="22" t="s">
        <v>11</v>
      </c>
      <c r="B54" s="443">
        <v>29</v>
      </c>
      <c r="C54" s="443">
        <v>0</v>
      </c>
      <c r="D54" s="443">
        <f t="shared" si="2"/>
        <v>29</v>
      </c>
      <c r="E54" s="446"/>
      <c r="F54" s="453"/>
      <c r="G54" s="453"/>
      <c r="H54" s="453"/>
    </row>
    <row r="55" spans="1:8" x14ac:dyDescent="0.2">
      <c r="A55" s="22" t="s">
        <v>10</v>
      </c>
      <c r="B55" s="443">
        <v>0</v>
      </c>
      <c r="C55" s="443">
        <v>0</v>
      </c>
      <c r="D55" s="443">
        <f t="shared" si="2"/>
        <v>0</v>
      </c>
      <c r="E55" s="446"/>
      <c r="F55" s="453"/>
      <c r="G55" s="453"/>
      <c r="H55" s="453"/>
    </row>
    <row r="56" spans="1:8" x14ac:dyDescent="0.2">
      <c r="A56" s="22" t="s">
        <v>21</v>
      </c>
      <c r="B56" s="443">
        <v>0</v>
      </c>
      <c r="C56" s="443">
        <v>0</v>
      </c>
      <c r="D56" s="443">
        <f t="shared" si="2"/>
        <v>0</v>
      </c>
      <c r="E56" s="446"/>
      <c r="F56" s="453"/>
      <c r="G56" s="453"/>
      <c r="H56" s="453"/>
    </row>
    <row r="57" spans="1:8" x14ac:dyDescent="0.2">
      <c r="A57" s="22" t="s">
        <v>50</v>
      </c>
      <c r="B57" s="443">
        <v>0</v>
      </c>
      <c r="C57" s="443">
        <v>0</v>
      </c>
      <c r="D57" s="443">
        <f t="shared" si="2"/>
        <v>0</v>
      </c>
      <c r="E57" s="446"/>
      <c r="F57" s="453"/>
      <c r="G57" s="453"/>
      <c r="H57" s="453"/>
    </row>
    <row r="58" spans="1:8" x14ac:dyDescent="0.2">
      <c r="A58" s="447"/>
      <c r="B58" s="448"/>
      <c r="C58" s="449"/>
      <c r="D58" s="448"/>
      <c r="E58" s="450"/>
      <c r="F58" s="448"/>
      <c r="G58" s="449"/>
      <c r="H58" s="448"/>
    </row>
    <row r="59" spans="1:8" ht="15.75" x14ac:dyDescent="0.25">
      <c r="A59" s="772" t="s">
        <v>248</v>
      </c>
      <c r="B59" s="772"/>
      <c r="C59" s="454"/>
      <c r="D59" s="454"/>
      <c r="E59" s="455"/>
      <c r="F59" s="438"/>
      <c r="G59" s="438"/>
      <c r="H59" s="438"/>
    </row>
    <row r="60" spans="1:8" ht="63.75" x14ac:dyDescent="0.2">
      <c r="A60" s="183" t="s">
        <v>3</v>
      </c>
      <c r="B60" s="439" t="s">
        <v>240</v>
      </c>
      <c r="C60" s="439" t="s">
        <v>249</v>
      </c>
      <c r="D60" s="439" t="s">
        <v>250</v>
      </c>
      <c r="E60" s="456" t="s">
        <v>251</v>
      </c>
      <c r="F60" s="457" t="s">
        <v>252</v>
      </c>
      <c r="G60" s="456" t="s">
        <v>253</v>
      </c>
      <c r="H60" s="458"/>
    </row>
    <row r="61" spans="1:8" x14ac:dyDescent="0.2">
      <c r="A61" s="182" t="s">
        <v>44</v>
      </c>
      <c r="B61" s="48">
        <f>B25-B26-B33-B35-B38-B39</f>
        <v>914.39999999999975</v>
      </c>
      <c r="C61" s="48">
        <f>C25-C26-C33-C35-C38-C39</f>
        <v>238.79999999999981</v>
      </c>
      <c r="D61" s="48">
        <f>D25-D26-D33-D35-D38-D39</f>
        <v>675.6</v>
      </c>
      <c r="E61" s="50">
        <f t="shared" ref="E61:E75" si="3">B61*D5</f>
        <v>21031.199999999993</v>
      </c>
      <c r="F61" s="50">
        <f t="shared" ref="F61:F75" si="4">C61*D5</f>
        <v>5492.399999999996</v>
      </c>
      <c r="G61" s="459">
        <f>E61-F61</f>
        <v>15538.799999999997</v>
      </c>
      <c r="H61" s="103"/>
    </row>
    <row r="62" spans="1:8" x14ac:dyDescent="0.2">
      <c r="A62" s="182" t="s">
        <v>47</v>
      </c>
      <c r="B62" s="48">
        <f>B26-B27-B28-B37</f>
        <v>110.39999999999998</v>
      </c>
      <c r="C62" s="48">
        <f>C26-C27-C28-C37</f>
        <v>200.39999999999998</v>
      </c>
      <c r="D62" s="48">
        <f>D26-D27-D28-D37</f>
        <v>-89.999999999999957</v>
      </c>
      <c r="E62" s="50">
        <f t="shared" si="3"/>
        <v>2539.1999999999994</v>
      </c>
      <c r="F62" s="50">
        <f t="shared" si="4"/>
        <v>4609.2</v>
      </c>
      <c r="G62" s="459">
        <f t="shared" ref="G62:G75" si="5">E62-F62</f>
        <v>-2070.0000000000005</v>
      </c>
      <c r="H62" s="103"/>
    </row>
    <row r="63" spans="1:8" x14ac:dyDescent="0.2">
      <c r="A63" s="182" t="s">
        <v>46</v>
      </c>
      <c r="B63" s="48">
        <f>B27-B29-B31</f>
        <v>119.79999999999998</v>
      </c>
      <c r="C63" s="48">
        <f>C27-C29-C31</f>
        <v>118.99999999999999</v>
      </c>
      <c r="D63" s="48">
        <f>D27-D29-D31</f>
        <v>0.80000000000001492</v>
      </c>
      <c r="E63" s="50">
        <f t="shared" si="3"/>
        <v>2994.9999999999995</v>
      </c>
      <c r="F63" s="50">
        <f t="shared" si="4"/>
        <v>2974.9999999999995</v>
      </c>
      <c r="G63" s="459">
        <f t="shared" si="5"/>
        <v>20</v>
      </c>
      <c r="H63" s="103"/>
    </row>
    <row r="64" spans="1:8" x14ac:dyDescent="0.2">
      <c r="A64" s="182" t="s">
        <v>45</v>
      </c>
      <c r="B64" s="48">
        <f>B28-B32-B36</f>
        <v>0</v>
      </c>
      <c r="C64" s="48">
        <f>C28-C32-C36</f>
        <v>0</v>
      </c>
      <c r="D64" s="48">
        <f>D28-D32-D36</f>
        <v>0</v>
      </c>
      <c r="E64" s="50">
        <f t="shared" si="3"/>
        <v>0</v>
      </c>
      <c r="F64" s="50">
        <f t="shared" si="4"/>
        <v>0</v>
      </c>
      <c r="G64" s="459">
        <f t="shared" si="5"/>
        <v>0</v>
      </c>
      <c r="H64" s="103"/>
    </row>
    <row r="65" spans="1:9" x14ac:dyDescent="0.2">
      <c r="A65" s="182" t="s">
        <v>37</v>
      </c>
      <c r="B65" s="48">
        <f>B29-B30</f>
        <v>18.3</v>
      </c>
      <c r="C65" s="48">
        <f>C29-C30</f>
        <v>18.300000000000011</v>
      </c>
      <c r="D65" s="48">
        <f>D29-D30</f>
        <v>0</v>
      </c>
      <c r="E65" s="50">
        <f t="shared" si="3"/>
        <v>823.5</v>
      </c>
      <c r="F65" s="50">
        <f t="shared" si="4"/>
        <v>823.50000000000045</v>
      </c>
      <c r="G65" s="459">
        <f t="shared" si="5"/>
        <v>0</v>
      </c>
      <c r="H65" s="103"/>
    </row>
    <row r="66" spans="1:9" x14ac:dyDescent="0.2">
      <c r="A66" s="182" t="s">
        <v>34</v>
      </c>
      <c r="B66" s="48">
        <f t="shared" ref="B66:D68" si="6">B30</f>
        <v>0</v>
      </c>
      <c r="C66" s="48">
        <f t="shared" si="6"/>
        <v>79.099999999999994</v>
      </c>
      <c r="D66" s="48">
        <f t="shared" si="6"/>
        <v>-79.099999999999994</v>
      </c>
      <c r="E66" s="50">
        <f t="shared" si="3"/>
        <v>0</v>
      </c>
      <c r="F66" s="50">
        <f t="shared" si="4"/>
        <v>17322.899999999998</v>
      </c>
      <c r="G66" s="459">
        <f t="shared" si="5"/>
        <v>-17322.899999999998</v>
      </c>
      <c r="H66" s="103"/>
    </row>
    <row r="67" spans="1:9" x14ac:dyDescent="0.2">
      <c r="A67" s="182" t="s">
        <v>35</v>
      </c>
      <c r="B67" s="48">
        <f t="shared" si="6"/>
        <v>8.5</v>
      </c>
      <c r="C67" s="48">
        <f t="shared" si="6"/>
        <v>15.3</v>
      </c>
      <c r="D67" s="48">
        <f t="shared" si="6"/>
        <v>-6.8000000000000007</v>
      </c>
      <c r="E67" s="50">
        <f t="shared" si="3"/>
        <v>212.5</v>
      </c>
      <c r="F67" s="50">
        <f t="shared" si="4"/>
        <v>382.5</v>
      </c>
      <c r="G67" s="459">
        <f t="shared" si="5"/>
        <v>-170</v>
      </c>
      <c r="H67" s="103"/>
    </row>
    <row r="68" spans="1:9" x14ac:dyDescent="0.2">
      <c r="A68" s="182" t="s">
        <v>15</v>
      </c>
      <c r="B68" s="48">
        <f t="shared" si="6"/>
        <v>503.8</v>
      </c>
      <c r="C68" s="48">
        <f t="shared" si="6"/>
        <v>207.9</v>
      </c>
      <c r="D68" s="48">
        <f t="shared" si="6"/>
        <v>295.89999999999998</v>
      </c>
      <c r="E68" s="50">
        <f t="shared" si="3"/>
        <v>11587.4</v>
      </c>
      <c r="F68" s="50">
        <f t="shared" si="4"/>
        <v>4781.7</v>
      </c>
      <c r="G68" s="459">
        <f t="shared" si="5"/>
        <v>6805.7</v>
      </c>
      <c r="H68" s="103"/>
    </row>
    <row r="69" spans="1:9" x14ac:dyDescent="0.2">
      <c r="A69" s="182" t="s">
        <v>114</v>
      </c>
      <c r="B69" s="48">
        <f>B33-B34</f>
        <v>66.5</v>
      </c>
      <c r="C69" s="48">
        <f>C33-C34</f>
        <v>506.99999999999994</v>
      </c>
      <c r="D69" s="48">
        <f>D33-D34</f>
        <v>-440.5</v>
      </c>
      <c r="E69" s="50">
        <f t="shared" si="3"/>
        <v>1529.5</v>
      </c>
      <c r="F69" s="50">
        <f t="shared" si="4"/>
        <v>11660.999999999998</v>
      </c>
      <c r="G69" s="459">
        <f t="shared" si="5"/>
        <v>-10131.499999999998</v>
      </c>
      <c r="H69" s="103"/>
    </row>
    <row r="70" spans="1:9" x14ac:dyDescent="0.2">
      <c r="A70" s="182" t="s">
        <v>113</v>
      </c>
      <c r="B70" s="48">
        <f t="shared" ref="B70:D75" si="7">B34</f>
        <v>10.4</v>
      </c>
      <c r="C70" s="48">
        <f t="shared" si="7"/>
        <v>232.3</v>
      </c>
      <c r="D70" s="48">
        <f t="shared" si="7"/>
        <v>-221.9</v>
      </c>
      <c r="E70" s="50">
        <f t="shared" si="3"/>
        <v>239.20000000000002</v>
      </c>
      <c r="F70" s="50">
        <f t="shared" si="4"/>
        <v>5342.9000000000005</v>
      </c>
      <c r="G70" s="459">
        <f t="shared" si="5"/>
        <v>-5103.7000000000007</v>
      </c>
      <c r="H70" s="103"/>
    </row>
    <row r="71" spans="1:9" x14ac:dyDescent="0.2">
      <c r="A71" s="22" t="s">
        <v>20</v>
      </c>
      <c r="B71" s="48">
        <f t="shared" si="7"/>
        <v>178</v>
      </c>
      <c r="C71" s="48">
        <f t="shared" si="7"/>
        <v>360.4</v>
      </c>
      <c r="D71" s="48">
        <f t="shared" si="7"/>
        <v>-182.39999999999998</v>
      </c>
      <c r="E71" s="50">
        <f t="shared" si="3"/>
        <v>4094</v>
      </c>
      <c r="F71" s="50">
        <f t="shared" si="4"/>
        <v>8289.1999999999989</v>
      </c>
      <c r="G71" s="459">
        <f t="shared" si="5"/>
        <v>-4195.1999999999989</v>
      </c>
      <c r="H71" s="103"/>
    </row>
    <row r="72" spans="1:9" x14ac:dyDescent="0.2">
      <c r="A72" s="22" t="s">
        <v>11</v>
      </c>
      <c r="B72" s="48">
        <f t="shared" si="7"/>
        <v>19.7</v>
      </c>
      <c r="C72" s="48">
        <f t="shared" si="7"/>
        <v>48.7</v>
      </c>
      <c r="D72" s="48">
        <f t="shared" si="7"/>
        <v>-29.000000000000004</v>
      </c>
      <c r="E72" s="50">
        <f t="shared" si="3"/>
        <v>1182</v>
      </c>
      <c r="F72" s="50">
        <f t="shared" si="4"/>
        <v>2922</v>
      </c>
      <c r="G72" s="459">
        <f t="shared" si="5"/>
        <v>-1740</v>
      </c>
      <c r="H72" s="103"/>
    </row>
    <row r="73" spans="1:9" x14ac:dyDescent="0.2">
      <c r="A73" s="22" t="s">
        <v>10</v>
      </c>
      <c r="B73" s="48">
        <f t="shared" si="7"/>
        <v>47.5</v>
      </c>
      <c r="C73" s="48">
        <f t="shared" si="7"/>
        <v>27.2</v>
      </c>
      <c r="D73" s="48">
        <f t="shared" si="7"/>
        <v>20.3</v>
      </c>
      <c r="E73" s="50">
        <f t="shared" si="3"/>
        <v>1092.5</v>
      </c>
      <c r="F73" s="50">
        <f t="shared" si="4"/>
        <v>625.6</v>
      </c>
      <c r="G73" s="459">
        <f t="shared" si="5"/>
        <v>466.9</v>
      </c>
      <c r="H73" s="103"/>
    </row>
    <row r="74" spans="1:9" x14ac:dyDescent="0.2">
      <c r="A74" s="22" t="s">
        <v>21</v>
      </c>
      <c r="B74" s="48">
        <f t="shared" si="7"/>
        <v>14.2</v>
      </c>
      <c r="C74" s="48">
        <f t="shared" si="7"/>
        <v>1.2</v>
      </c>
      <c r="D74" s="48">
        <f t="shared" si="7"/>
        <v>13</v>
      </c>
      <c r="E74" s="50">
        <f t="shared" si="3"/>
        <v>326.59999999999997</v>
      </c>
      <c r="F74" s="50">
        <f t="shared" si="4"/>
        <v>27.599999999999998</v>
      </c>
      <c r="G74" s="459">
        <f t="shared" si="5"/>
        <v>298.99999999999994</v>
      </c>
      <c r="H74" s="103"/>
    </row>
    <row r="75" spans="1:9" x14ac:dyDescent="0.2">
      <c r="A75" s="22" t="s">
        <v>50</v>
      </c>
      <c r="B75" s="48">
        <f t="shared" si="7"/>
        <v>17.600000000000001</v>
      </c>
      <c r="C75" s="48">
        <f t="shared" si="7"/>
        <v>87.6</v>
      </c>
      <c r="D75" s="48">
        <f t="shared" si="7"/>
        <v>-70</v>
      </c>
      <c r="E75" s="50">
        <f t="shared" si="3"/>
        <v>404.8</v>
      </c>
      <c r="F75" s="50">
        <f t="shared" si="4"/>
        <v>2014.8</v>
      </c>
      <c r="G75" s="459">
        <f t="shared" si="5"/>
        <v>-1610</v>
      </c>
      <c r="H75" s="103"/>
    </row>
    <row r="76" spans="1:9" x14ac:dyDescent="0.2">
      <c r="A76" s="67" t="s">
        <v>48</v>
      </c>
      <c r="B76" s="54">
        <f t="shared" ref="B76:G76" si="8">SUM(B61:B75)</f>
        <v>2029.0999999999997</v>
      </c>
      <c r="C76" s="54">
        <f t="shared" si="8"/>
        <v>2143.1999999999994</v>
      </c>
      <c r="D76" s="54">
        <f t="shared" si="8"/>
        <v>-114.09999999999989</v>
      </c>
      <c r="E76" s="68">
        <f t="shared" si="8"/>
        <v>48057.399999999994</v>
      </c>
      <c r="F76" s="68">
        <f t="shared" si="8"/>
        <v>67270.299999999988</v>
      </c>
      <c r="G76" s="68">
        <f t="shared" si="8"/>
        <v>-19212.899999999994</v>
      </c>
      <c r="H76" s="460"/>
    </row>
    <row r="77" spans="1:9" x14ac:dyDescent="0.2">
      <c r="A77" s="431"/>
      <c r="B77" s="461"/>
      <c r="C77" s="461"/>
      <c r="D77" s="461"/>
      <c r="E77" s="462"/>
      <c r="F77" s="461"/>
      <c r="G77" s="461"/>
      <c r="H77" s="461"/>
      <c r="I77" s="463"/>
    </row>
    <row r="78" spans="1:9" ht="15.75" x14ac:dyDescent="0.25">
      <c r="A78" s="772" t="s">
        <v>254</v>
      </c>
      <c r="B78" s="772"/>
      <c r="C78" s="464"/>
      <c r="D78" s="464"/>
      <c r="F78" s="465"/>
      <c r="G78" s="454" t="s">
        <v>24</v>
      </c>
      <c r="H78" s="454"/>
    </row>
    <row r="79" spans="1:9" ht="63.75" x14ac:dyDescent="0.2">
      <c r="A79" s="466" t="s">
        <v>3</v>
      </c>
      <c r="B79" s="164" t="s">
        <v>157</v>
      </c>
      <c r="C79" s="184" t="s">
        <v>158</v>
      </c>
      <c r="D79" s="184" t="s">
        <v>159</v>
      </c>
      <c r="E79" s="184" t="s">
        <v>160</v>
      </c>
      <c r="F79" s="185" t="s">
        <v>130</v>
      </c>
      <c r="G79" s="183" t="s">
        <v>163</v>
      </c>
      <c r="H79" s="183" t="s">
        <v>255</v>
      </c>
      <c r="I79" s="183" t="s">
        <v>256</v>
      </c>
    </row>
    <row r="80" spans="1:9" x14ac:dyDescent="0.2">
      <c r="A80" s="182" t="s">
        <v>44</v>
      </c>
      <c r="B80" s="48">
        <f>E25-E26-E33-E35-E38-E39</f>
        <v>0</v>
      </c>
      <c r="C80" s="31">
        <f t="shared" ref="C80:C94" si="9">B80*D5</f>
        <v>0</v>
      </c>
      <c r="D80" s="31">
        <v>0</v>
      </c>
      <c r="E80" s="31">
        <v>0</v>
      </c>
      <c r="F80" s="31">
        <v>0</v>
      </c>
      <c r="G80" s="50">
        <f>C80+D80*184/365+E80*181/365+F80</f>
        <v>0</v>
      </c>
      <c r="H80" s="31">
        <v>0</v>
      </c>
      <c r="I80" s="31">
        <v>0</v>
      </c>
    </row>
    <row r="81" spans="1:9" x14ac:dyDescent="0.2">
      <c r="A81" s="182" t="s">
        <v>47</v>
      </c>
      <c r="B81" s="48">
        <f>E26-E27-E28-E37</f>
        <v>0</v>
      </c>
      <c r="C81" s="31">
        <f t="shared" si="9"/>
        <v>0</v>
      </c>
      <c r="D81" s="31">
        <v>0</v>
      </c>
      <c r="E81" s="31">
        <v>0</v>
      </c>
      <c r="F81" s="31">
        <v>0</v>
      </c>
      <c r="G81" s="50">
        <f t="shared" ref="G81:G94" si="10">C81+D81*184/365+E81*181/365+F81</f>
        <v>0</v>
      </c>
      <c r="H81" s="31">
        <v>0</v>
      </c>
      <c r="I81" s="31">
        <v>0</v>
      </c>
    </row>
    <row r="82" spans="1:9" x14ac:dyDescent="0.2">
      <c r="A82" s="182" t="s">
        <v>46</v>
      </c>
      <c r="B82" s="48">
        <f>E27-E29-E31</f>
        <v>0</v>
      </c>
      <c r="C82" s="31">
        <f t="shared" si="9"/>
        <v>0</v>
      </c>
      <c r="D82" s="31">
        <v>0</v>
      </c>
      <c r="E82" s="31">
        <v>0</v>
      </c>
      <c r="F82" s="31">
        <v>0</v>
      </c>
      <c r="G82" s="50">
        <f t="shared" si="10"/>
        <v>0</v>
      </c>
      <c r="H82" s="31">
        <v>0</v>
      </c>
      <c r="I82" s="31">
        <v>0</v>
      </c>
    </row>
    <row r="83" spans="1:9" x14ac:dyDescent="0.2">
      <c r="A83" s="182" t="s">
        <v>45</v>
      </c>
      <c r="B83" s="48">
        <f>E28-E32-E36</f>
        <v>0</v>
      </c>
      <c r="C83" s="31">
        <f t="shared" si="9"/>
        <v>0</v>
      </c>
      <c r="D83" s="31">
        <v>0</v>
      </c>
      <c r="E83" s="31">
        <v>0</v>
      </c>
      <c r="F83" s="31">
        <v>0</v>
      </c>
      <c r="G83" s="50">
        <f t="shared" si="10"/>
        <v>0</v>
      </c>
      <c r="H83" s="31">
        <v>0</v>
      </c>
      <c r="I83" s="31">
        <v>0</v>
      </c>
    </row>
    <row r="84" spans="1:9" x14ac:dyDescent="0.2">
      <c r="A84" s="182" t="s">
        <v>37</v>
      </c>
      <c r="B84" s="48">
        <f>E29-E30</f>
        <v>0</v>
      </c>
      <c r="C84" s="31">
        <f t="shared" si="9"/>
        <v>0</v>
      </c>
      <c r="D84" s="31">
        <v>0</v>
      </c>
      <c r="E84" s="31">
        <v>0</v>
      </c>
      <c r="F84" s="31">
        <v>0</v>
      </c>
      <c r="G84" s="50">
        <f t="shared" si="10"/>
        <v>0</v>
      </c>
      <c r="H84" s="31">
        <v>0</v>
      </c>
      <c r="I84" s="31">
        <v>0</v>
      </c>
    </row>
    <row r="85" spans="1:9" x14ac:dyDescent="0.2">
      <c r="A85" s="182" t="s">
        <v>34</v>
      </c>
      <c r="B85" s="48">
        <f>E30</f>
        <v>0</v>
      </c>
      <c r="C85" s="31">
        <f t="shared" si="9"/>
        <v>0</v>
      </c>
      <c r="D85" s="31">
        <v>0</v>
      </c>
      <c r="E85" s="31">
        <v>0</v>
      </c>
      <c r="F85" s="31">
        <v>0</v>
      </c>
      <c r="G85" s="50">
        <f t="shared" si="10"/>
        <v>0</v>
      </c>
      <c r="H85" s="31">
        <v>0</v>
      </c>
      <c r="I85" s="31">
        <v>0</v>
      </c>
    </row>
    <row r="86" spans="1:9" x14ac:dyDescent="0.2">
      <c r="A86" s="182" t="s">
        <v>35</v>
      </c>
      <c r="B86" s="48">
        <f>E31</f>
        <v>0</v>
      </c>
      <c r="C86" s="31">
        <f t="shared" si="9"/>
        <v>0</v>
      </c>
      <c r="D86" s="31">
        <v>0</v>
      </c>
      <c r="E86" s="31">
        <v>0</v>
      </c>
      <c r="F86" s="31">
        <v>0</v>
      </c>
      <c r="G86" s="50">
        <f t="shared" si="10"/>
        <v>0</v>
      </c>
      <c r="H86" s="31">
        <v>0</v>
      </c>
      <c r="I86" s="31">
        <v>0</v>
      </c>
    </row>
    <row r="87" spans="1:9" x14ac:dyDescent="0.2">
      <c r="A87" s="182" t="s">
        <v>15</v>
      </c>
      <c r="B87" s="48">
        <f>E32</f>
        <v>0</v>
      </c>
      <c r="C87" s="31">
        <f t="shared" si="9"/>
        <v>0</v>
      </c>
      <c r="D87" s="31">
        <v>0</v>
      </c>
      <c r="E87" s="31">
        <v>0</v>
      </c>
      <c r="F87" s="31">
        <v>0</v>
      </c>
      <c r="G87" s="50">
        <f t="shared" si="10"/>
        <v>0</v>
      </c>
      <c r="H87" s="31">
        <v>0</v>
      </c>
      <c r="I87" s="31">
        <v>0</v>
      </c>
    </row>
    <row r="88" spans="1:9" x14ac:dyDescent="0.2">
      <c r="A88" s="182" t="s">
        <v>114</v>
      </c>
      <c r="B88" s="48">
        <f>E33-E34</f>
        <v>0</v>
      </c>
      <c r="C88" s="31">
        <f t="shared" si="9"/>
        <v>0</v>
      </c>
      <c r="D88" s="31">
        <v>0</v>
      </c>
      <c r="E88" s="31">
        <v>0</v>
      </c>
      <c r="F88" s="31">
        <v>0</v>
      </c>
      <c r="G88" s="50">
        <f t="shared" si="10"/>
        <v>0</v>
      </c>
      <c r="H88" s="31">
        <v>0</v>
      </c>
      <c r="I88" s="31">
        <v>0</v>
      </c>
    </row>
    <row r="89" spans="1:9" x14ac:dyDescent="0.2">
      <c r="A89" s="22" t="s">
        <v>113</v>
      </c>
      <c r="B89" s="48">
        <f t="shared" ref="B89:B94" si="11">E34</f>
        <v>0</v>
      </c>
      <c r="C89" s="31">
        <f t="shared" si="9"/>
        <v>0</v>
      </c>
      <c r="D89" s="31">
        <v>0</v>
      </c>
      <c r="E89" s="31">
        <v>0</v>
      </c>
      <c r="F89" s="31">
        <v>0</v>
      </c>
      <c r="G89" s="50">
        <f t="shared" si="10"/>
        <v>0</v>
      </c>
      <c r="H89" s="31">
        <v>0</v>
      </c>
      <c r="I89" s="31">
        <v>0</v>
      </c>
    </row>
    <row r="90" spans="1:9" x14ac:dyDescent="0.2">
      <c r="A90" s="22" t="s">
        <v>20</v>
      </c>
      <c r="B90" s="48">
        <f t="shared" si="11"/>
        <v>0</v>
      </c>
      <c r="C90" s="31">
        <f t="shared" si="9"/>
        <v>0</v>
      </c>
      <c r="D90" s="31">
        <v>0</v>
      </c>
      <c r="E90" s="31">
        <v>0</v>
      </c>
      <c r="F90" s="31">
        <v>0</v>
      </c>
      <c r="G90" s="50">
        <f t="shared" si="10"/>
        <v>0</v>
      </c>
      <c r="H90" s="31">
        <v>0</v>
      </c>
      <c r="I90" s="31">
        <v>0</v>
      </c>
    </row>
    <row r="91" spans="1:9" x14ac:dyDescent="0.2">
      <c r="A91" s="22" t="s">
        <v>11</v>
      </c>
      <c r="B91" s="48">
        <f t="shared" si="11"/>
        <v>0</v>
      </c>
      <c r="C91" s="31">
        <f t="shared" si="9"/>
        <v>0</v>
      </c>
      <c r="D91" s="31">
        <v>0</v>
      </c>
      <c r="E91" s="31">
        <v>0</v>
      </c>
      <c r="F91" s="31">
        <v>0</v>
      </c>
      <c r="G91" s="50">
        <f t="shared" si="10"/>
        <v>0</v>
      </c>
      <c r="H91" s="31">
        <v>0</v>
      </c>
      <c r="I91" s="31">
        <v>0</v>
      </c>
    </row>
    <row r="92" spans="1:9" x14ac:dyDescent="0.2">
      <c r="A92" s="22" t="s">
        <v>10</v>
      </c>
      <c r="B92" s="48">
        <f t="shared" si="11"/>
        <v>0</v>
      </c>
      <c r="C92" s="31">
        <f t="shared" si="9"/>
        <v>0</v>
      </c>
      <c r="D92" s="31">
        <v>0</v>
      </c>
      <c r="E92" s="31">
        <v>0</v>
      </c>
      <c r="F92" s="31">
        <v>0</v>
      </c>
      <c r="G92" s="50">
        <f t="shared" si="10"/>
        <v>0</v>
      </c>
      <c r="H92" s="31">
        <v>0</v>
      </c>
      <c r="I92" s="31">
        <v>0</v>
      </c>
    </row>
    <row r="93" spans="1:9" x14ac:dyDescent="0.2">
      <c r="A93" s="22" t="s">
        <v>21</v>
      </c>
      <c r="B93" s="48">
        <f t="shared" si="11"/>
        <v>0</v>
      </c>
      <c r="C93" s="31">
        <f t="shared" si="9"/>
        <v>0</v>
      </c>
      <c r="D93" s="31">
        <v>0</v>
      </c>
      <c r="E93" s="31">
        <v>0</v>
      </c>
      <c r="F93" s="31">
        <v>0</v>
      </c>
      <c r="G93" s="50">
        <f t="shared" si="10"/>
        <v>0</v>
      </c>
      <c r="H93" s="31">
        <v>0</v>
      </c>
      <c r="I93" s="31">
        <v>0</v>
      </c>
    </row>
    <row r="94" spans="1:9" x14ac:dyDescent="0.2">
      <c r="A94" s="22" t="s">
        <v>50</v>
      </c>
      <c r="B94" s="48">
        <f t="shared" si="11"/>
        <v>0</v>
      </c>
      <c r="C94" s="31">
        <f t="shared" si="9"/>
        <v>0</v>
      </c>
      <c r="D94" s="31">
        <v>0</v>
      </c>
      <c r="E94" s="31">
        <v>0</v>
      </c>
      <c r="F94" s="31">
        <v>0</v>
      </c>
      <c r="G94" s="50">
        <f t="shared" si="10"/>
        <v>0</v>
      </c>
      <c r="H94" s="31">
        <v>0</v>
      </c>
      <c r="I94" s="31">
        <v>0</v>
      </c>
    </row>
    <row r="95" spans="1:9" x14ac:dyDescent="0.2">
      <c r="A95" s="67" t="s">
        <v>48</v>
      </c>
      <c r="B95" s="54">
        <f t="shared" ref="B95:I95" si="12">SUM(B80:B94)</f>
        <v>0</v>
      </c>
      <c r="C95" s="42">
        <f t="shared" si="12"/>
        <v>0</v>
      </c>
      <c r="D95" s="42">
        <f>SUM(D80:D94)</f>
        <v>0</v>
      </c>
      <c r="E95" s="42">
        <f>SUM(E80:E92)</f>
        <v>0</v>
      </c>
      <c r="F95" s="42">
        <f>SUM(F80:F94)</f>
        <v>0</v>
      </c>
      <c r="G95" s="42">
        <f>SUM(G80:G94)</f>
        <v>0</v>
      </c>
      <c r="H95" s="42">
        <f t="shared" si="12"/>
        <v>0</v>
      </c>
      <c r="I95" s="42">
        <f t="shared" si="12"/>
        <v>0</v>
      </c>
    </row>
  </sheetData>
  <mergeCells count="5">
    <mergeCell ref="A3:B3"/>
    <mergeCell ref="A23:E23"/>
    <mergeCell ref="A41:C41"/>
    <mergeCell ref="A59:B59"/>
    <mergeCell ref="A78:B78"/>
  </mergeCells>
  <pageMargins left="0.45" right="0.45" top="0.5" bottom="0.5" header="0" footer="0"/>
  <pageSetup scale="64" orientation="portrait" horizontalDpi="200" verticalDpi="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4"/>
  <sheetViews>
    <sheetView zoomScaleNormal="100" workbookViewId="0"/>
  </sheetViews>
  <sheetFormatPr defaultRowHeight="12.75" x14ac:dyDescent="0.2"/>
  <cols>
    <col min="1" max="1" width="30.7109375" customWidth="1"/>
    <col min="2" max="15" width="15.7109375" customWidth="1"/>
  </cols>
  <sheetData>
    <row r="1" spans="1:12" ht="18.75" x14ac:dyDescent="0.3">
      <c r="A1" s="101" t="s">
        <v>281</v>
      </c>
      <c r="B1" s="374"/>
      <c r="C1" s="374"/>
      <c r="D1" s="374"/>
      <c r="G1" s="434" t="s">
        <v>24</v>
      </c>
      <c r="H1" s="374"/>
      <c r="I1" s="374"/>
      <c r="J1" s="374"/>
      <c r="K1" s="374"/>
      <c r="L1" s="374"/>
    </row>
    <row r="2" spans="1:12" x14ac:dyDescent="0.2">
      <c r="A2" s="467"/>
      <c r="B2" s="374"/>
      <c r="C2" s="374"/>
      <c r="D2" s="374"/>
      <c r="E2" s="374"/>
      <c r="F2" s="374"/>
      <c r="G2" s="374"/>
      <c r="H2" s="374"/>
      <c r="I2" s="374"/>
      <c r="J2" s="374"/>
      <c r="K2" s="374"/>
      <c r="L2" s="374"/>
    </row>
    <row r="3" spans="1:12" ht="18.75" x14ac:dyDescent="0.3">
      <c r="A3" s="468" t="s">
        <v>0</v>
      </c>
      <c r="B3" s="469"/>
      <c r="C3" s="374"/>
      <c r="D3" s="1" t="s">
        <v>24</v>
      </c>
      <c r="E3" s="374"/>
      <c r="F3" s="374"/>
      <c r="G3" s="374"/>
      <c r="H3" s="374"/>
      <c r="I3" s="374"/>
      <c r="J3" s="374"/>
      <c r="K3" s="374"/>
      <c r="L3" s="374"/>
    </row>
    <row r="4" spans="1:12" x14ac:dyDescent="0.2">
      <c r="A4" s="182" t="s">
        <v>1</v>
      </c>
      <c r="B4" s="470">
        <v>0.158</v>
      </c>
      <c r="C4" s="374"/>
      <c r="D4" s="471" t="s">
        <v>24</v>
      </c>
      <c r="E4" s="472" t="s">
        <v>24</v>
      </c>
      <c r="F4" s="472" t="s">
        <v>24</v>
      </c>
      <c r="G4" s="472" t="s">
        <v>24</v>
      </c>
      <c r="H4" s="472" t="s">
        <v>24</v>
      </c>
      <c r="I4" s="472" t="s">
        <v>24</v>
      </c>
      <c r="J4" s="472" t="s">
        <v>24</v>
      </c>
      <c r="K4" s="374"/>
      <c r="L4" s="472" t="s">
        <v>24</v>
      </c>
    </row>
    <row r="5" spans="1:12" x14ac:dyDescent="0.2">
      <c r="A5" s="170" t="s">
        <v>2</v>
      </c>
      <c r="B5" s="381">
        <v>6.0100000000000001E-2</v>
      </c>
      <c r="C5" s="374"/>
      <c r="D5" s="473" t="s">
        <v>24</v>
      </c>
      <c r="E5" s="474" t="s">
        <v>24</v>
      </c>
      <c r="F5" s="475" t="s">
        <v>24</v>
      </c>
      <c r="G5" s="475" t="s">
        <v>24</v>
      </c>
      <c r="H5" s="475" t="s">
        <v>24</v>
      </c>
      <c r="I5" s="475" t="s">
        <v>24</v>
      </c>
      <c r="J5" s="472" t="s">
        <v>24</v>
      </c>
      <c r="K5" s="472" t="s">
        <v>24</v>
      </c>
      <c r="L5" s="474" t="s">
        <v>24</v>
      </c>
    </row>
    <row r="6" spans="1:12" x14ac:dyDescent="0.2">
      <c r="A6" s="182" t="s">
        <v>4</v>
      </c>
      <c r="B6" s="476">
        <v>1.0884</v>
      </c>
      <c r="C6" s="374"/>
      <c r="D6" s="477" t="s">
        <v>24</v>
      </c>
      <c r="E6" s="478" t="s">
        <v>24</v>
      </c>
      <c r="F6" s="479" t="s">
        <v>24</v>
      </c>
      <c r="G6" s="480" t="s">
        <v>24</v>
      </c>
      <c r="H6" s="481" t="s">
        <v>24</v>
      </c>
      <c r="I6" s="481" t="s">
        <v>24</v>
      </c>
      <c r="J6" s="481" t="s">
        <v>24</v>
      </c>
      <c r="K6" s="640" t="s">
        <v>24</v>
      </c>
      <c r="L6" s="482" t="s">
        <v>24</v>
      </c>
    </row>
    <row r="7" spans="1:12" x14ac:dyDescent="0.2">
      <c r="A7" s="182" t="s">
        <v>258</v>
      </c>
      <c r="B7" s="176">
        <v>152212.4</v>
      </c>
      <c r="C7" s="374"/>
      <c r="D7" s="431" t="s">
        <v>24</v>
      </c>
      <c r="E7" s="474" t="s">
        <v>24</v>
      </c>
      <c r="F7" s="483" t="s">
        <v>24</v>
      </c>
      <c r="G7" s="479" t="s">
        <v>24</v>
      </c>
      <c r="H7" s="479" t="s">
        <v>24</v>
      </c>
      <c r="I7" s="479" t="s">
        <v>24</v>
      </c>
      <c r="J7" s="480" t="s">
        <v>24</v>
      </c>
      <c r="K7" s="640" t="s">
        <v>24</v>
      </c>
      <c r="L7" s="474" t="s">
        <v>24</v>
      </c>
    </row>
    <row r="8" spans="1:12" x14ac:dyDescent="0.2">
      <c r="A8" s="182" t="s">
        <v>23</v>
      </c>
      <c r="B8" s="484">
        <f>B13/(G62*B6)</f>
        <v>1.0757432976859502</v>
      </c>
      <c r="C8" s="485" t="s">
        <v>24</v>
      </c>
      <c r="D8" s="486" t="s">
        <v>24</v>
      </c>
      <c r="E8" s="474" t="s">
        <v>24</v>
      </c>
      <c r="F8" s="483" t="s">
        <v>24</v>
      </c>
      <c r="G8" s="480" t="s">
        <v>24</v>
      </c>
      <c r="H8" s="480" t="s">
        <v>24</v>
      </c>
      <c r="I8" s="480" t="s">
        <v>24</v>
      </c>
      <c r="J8" s="480" t="s">
        <v>24</v>
      </c>
      <c r="K8" s="481" t="s">
        <v>24</v>
      </c>
      <c r="L8" s="474" t="s">
        <v>24</v>
      </c>
    </row>
    <row r="9" spans="1:12" x14ac:dyDescent="0.2">
      <c r="A9" s="374"/>
      <c r="B9" s="399"/>
      <c r="C9" s="374"/>
      <c r="D9" s="447" t="s">
        <v>24</v>
      </c>
      <c r="E9" s="399" t="s">
        <v>24</v>
      </c>
      <c r="F9" s="487" t="s">
        <v>24</v>
      </c>
      <c r="G9" s="399" t="s">
        <v>24</v>
      </c>
      <c r="H9" s="488" t="s">
        <v>24</v>
      </c>
      <c r="I9" s="374"/>
      <c r="J9" s="374"/>
      <c r="K9" s="374"/>
      <c r="L9" s="374" t="s">
        <v>24</v>
      </c>
    </row>
    <row r="10" spans="1:12" x14ac:dyDescent="0.2">
      <c r="A10" s="447"/>
      <c r="B10" s="489"/>
      <c r="C10" s="489" t="s">
        <v>24</v>
      </c>
      <c r="D10" s="454" t="s">
        <v>24</v>
      </c>
      <c r="E10" s="455"/>
      <c r="F10" s="438"/>
      <c r="G10" s="490" t="s">
        <v>24</v>
      </c>
      <c r="H10" s="438"/>
      <c r="I10" s="491" t="s">
        <v>24</v>
      </c>
      <c r="J10" s="492"/>
      <c r="K10" s="492"/>
      <c r="L10" s="493"/>
    </row>
    <row r="11" spans="1:12" ht="15.75" x14ac:dyDescent="0.25">
      <c r="A11" s="494" t="s">
        <v>259</v>
      </c>
      <c r="B11" s="454"/>
      <c r="C11" s="454"/>
      <c r="D11" s="454"/>
      <c r="E11" s="495" t="s">
        <v>24</v>
      </c>
      <c r="F11" s="437"/>
      <c r="G11" s="437"/>
      <c r="H11" s="437"/>
      <c r="I11" s="491" t="s">
        <v>24</v>
      </c>
      <c r="J11" s="492"/>
      <c r="K11" s="492"/>
      <c r="L11" s="493"/>
    </row>
    <row r="12" spans="1:12" ht="63.75" x14ac:dyDescent="0.2">
      <c r="A12" s="183" t="s">
        <v>3</v>
      </c>
      <c r="B12" s="183" t="s">
        <v>260</v>
      </c>
      <c r="C12" s="183" t="s">
        <v>261</v>
      </c>
      <c r="D12" s="183" t="s">
        <v>262</v>
      </c>
      <c r="E12" s="183" t="s">
        <v>263</v>
      </c>
      <c r="F12" s="183" t="s">
        <v>138</v>
      </c>
      <c r="G12" s="183" t="s">
        <v>264</v>
      </c>
      <c r="H12" s="496"/>
    </row>
    <row r="13" spans="1:12" x14ac:dyDescent="0.2">
      <c r="A13" s="182" t="s">
        <v>6</v>
      </c>
      <c r="B13" s="497">
        <f>'BRA Resource Clearing Results'!F26-'1stIA Resource Clearing Results'!D25</f>
        <v>163741.4</v>
      </c>
      <c r="C13" s="498">
        <f>('BRA Resource Clearing Results'!F26*'BRA Resource Clearing Results'!B5-'1stIA Resource Clearing Results'!D25*'1stIA Resource Clearing Results'!B5)/('BRA Resource Clearing Results'!F26-'1stIA Resource Clearing Results'!D25)</f>
        <v>139.91847083266663</v>
      </c>
      <c r="D13" s="498">
        <f>('BRA Resource Clearing Results'!F26*'BRA Resource Clearing Results'!C5-'1stIA Resource Clearing Results'!D25*'1stIA Resource Clearing Results'!C5)/('BRA Resource Clearing Results'!F26-'1stIA Resource Clearing Results'!D25)</f>
        <v>0</v>
      </c>
      <c r="E13" s="35">
        <f>'BRA Resource Clearing Results'!G65+'1stIA Resource Clearing Results'!H80</f>
        <v>3746.9479452054793</v>
      </c>
      <c r="F13" s="154">
        <f>E13/B13</f>
        <v>2.2883326667571424E-2</v>
      </c>
      <c r="G13" s="155">
        <f t="shared" ref="G13:G22" si="0">C13+D13+F13</f>
        <v>139.9413541593342</v>
      </c>
      <c r="H13" s="499"/>
    </row>
    <row r="14" spans="1:12" x14ac:dyDescent="0.2">
      <c r="A14" s="182" t="s">
        <v>28</v>
      </c>
      <c r="B14" s="497">
        <f>J42+J46+J52+(SUM(J54:J61))</f>
        <v>64430.099617227199</v>
      </c>
      <c r="C14" s="498">
        <f t="shared" ref="C14:C22" si="1">$C$13</f>
        <v>139.91847083266663</v>
      </c>
      <c r="D14" s="498">
        <f>D13+('BRA Resource Clearing Results'!F27*'BRA Resource Clearing Results'!C6-'1stIA Resource Clearing Results'!D26*'1stIA Resource Clearing Results'!C6)/('BRA Resource Clearing Results'!F27-'1stIA Resource Clearing Results'!D26)</f>
        <v>0</v>
      </c>
      <c r="E14" s="35">
        <f>'BRA Resource Clearing Results'!G66+'1stIA Resource Clearing Results'!H81</f>
        <v>0</v>
      </c>
      <c r="F14" s="154">
        <f>F13+E14/B14</f>
        <v>2.2883326667571424E-2</v>
      </c>
      <c r="G14" s="155">
        <f t="shared" si="0"/>
        <v>139.9413541593342</v>
      </c>
      <c r="H14" s="499"/>
    </row>
    <row r="15" spans="1:12" x14ac:dyDescent="0.2">
      <c r="A15" s="182" t="s">
        <v>33</v>
      </c>
      <c r="B15" s="497">
        <f>J42+J52+J54+J56+J60+J61</f>
        <v>34999.8903824851</v>
      </c>
      <c r="C15" s="498">
        <f t="shared" si="1"/>
        <v>139.91847083266663</v>
      </c>
      <c r="D15" s="498">
        <f>D14+('BRA Resource Clearing Results'!F28*'BRA Resource Clearing Results'!C7-'1stIA Resource Clearing Results'!D27*'1stIA Resource Clearing Results'!C7)/('BRA Resource Clearing Results'!F28-'1stIA Resource Clearing Results'!D27)</f>
        <v>25.661250408530108</v>
      </c>
      <c r="E15" s="35">
        <f>'BRA Resource Clearing Results'!G67+'1stIA Resource Clearing Results'!H82</f>
        <v>0</v>
      </c>
      <c r="F15" s="154">
        <f>F14+E15/B15</f>
        <v>2.2883326667571424E-2</v>
      </c>
      <c r="G15" s="155">
        <f t="shared" si="0"/>
        <v>165.60260456786432</v>
      </c>
      <c r="H15" s="499"/>
    </row>
    <row r="16" spans="1:12" x14ac:dyDescent="0.2">
      <c r="A16" s="182" t="s">
        <v>5</v>
      </c>
      <c r="B16" s="497">
        <f>J46+J58</f>
        <v>14576.945614757286</v>
      </c>
      <c r="C16" s="498">
        <f t="shared" si="1"/>
        <v>139.91847083266663</v>
      </c>
      <c r="D16" s="498">
        <f>D14+('BRA Resource Clearing Results'!F29*'BRA Resource Clearing Results'!C8-'1stIA Resource Clearing Results'!D28*'1stIA Resource Clearing Results'!C8)/('BRA Resource Clearing Results'!F29-'1stIA Resource Clearing Results'!D28)</f>
        <v>0</v>
      </c>
      <c r="E16" s="35">
        <f>'BRA Resource Clearing Results'!G68+'1stIA Resource Clearing Results'!H83</f>
        <v>0</v>
      </c>
      <c r="F16" s="154">
        <f>F14+E16/B16</f>
        <v>2.2883326667571424E-2</v>
      </c>
      <c r="G16" s="155">
        <f t="shared" si="0"/>
        <v>139.9413541593342</v>
      </c>
      <c r="H16" s="499"/>
    </row>
    <row r="17" spans="1:13" x14ac:dyDescent="0.2">
      <c r="A17" s="182" t="s">
        <v>15</v>
      </c>
      <c r="B17" s="497">
        <f>J58</f>
        <v>7164.3638728272945</v>
      </c>
      <c r="C17" s="498">
        <f t="shared" si="1"/>
        <v>139.91847083266663</v>
      </c>
      <c r="D17" s="498">
        <f>D16+('BRA Resource Clearing Results'!F33*'BRA Resource Clearing Results'!C12-'1stIA Resource Clearing Results'!D32*'1stIA Resource Clearing Results'!C12)/('BRA Resource Clearing Results'!F33-'1stIA Resource Clearing Results'!D32)</f>
        <v>0</v>
      </c>
      <c r="E17" s="35">
        <f>'BRA Resource Clearing Results'!G72+'1stIA Resource Clearing Results'!H87</f>
        <v>0</v>
      </c>
      <c r="F17" s="154">
        <f>F16+E17/B17</f>
        <v>2.2883326667571424E-2</v>
      </c>
      <c r="G17" s="155">
        <f t="shared" si="0"/>
        <v>139.9413541593342</v>
      </c>
      <c r="H17" s="499"/>
    </row>
    <row r="18" spans="1:13" x14ac:dyDescent="0.2">
      <c r="A18" s="182" t="s">
        <v>20</v>
      </c>
      <c r="B18" s="497">
        <f>J47</f>
        <v>24662.552805562045</v>
      </c>
      <c r="C18" s="498">
        <f t="shared" si="1"/>
        <v>139.91847083266663</v>
      </c>
      <c r="D18" s="498">
        <f>D13+('BRA Resource Clearing Results'!F36*'BRA Resource Clearing Results'!C15-'1stIA Resource Clearing Results'!D35*'1stIA Resource Clearing Results'!C15)/('BRA Resource Clearing Results'!F36-'1stIA Resource Clearing Results'!D35)</f>
        <v>55.100483795834158</v>
      </c>
      <c r="E18" s="35">
        <f>'BRA Resource Clearing Results'!G75+'1stIA Resource Clearing Results'!H90</f>
        <v>13.899808219178084</v>
      </c>
      <c r="F18" s="154">
        <f>F13+E18/B18</f>
        <v>2.3446926402309481E-2</v>
      </c>
      <c r="G18" s="155">
        <f t="shared" si="0"/>
        <v>195.04240155490308</v>
      </c>
      <c r="H18" s="499"/>
    </row>
    <row r="19" spans="1:13" x14ac:dyDescent="0.2">
      <c r="A19" s="182" t="s">
        <v>11</v>
      </c>
      <c r="B19" s="497">
        <f>J46</f>
        <v>7412.5817419299901</v>
      </c>
      <c r="C19" s="498">
        <f t="shared" si="1"/>
        <v>139.91847083266663</v>
      </c>
      <c r="D19" s="498">
        <f>D16+('BRA Resource Clearing Results'!F37*'BRA Resource Clearing Results'!C16-'1stIA Resource Clearing Results'!D36*'1stIA Resource Clearing Results'!C16)/('BRA Resource Clearing Results'!F37-'1stIA Resource Clearing Results'!D36)</f>
        <v>59.956429552041492</v>
      </c>
      <c r="E19" s="35">
        <f>'BRA Resource Clearing Results'!G76+'1stIA Resource Clearing Results'!H91</f>
        <v>0</v>
      </c>
      <c r="F19" s="154">
        <f>F16+E19/B19</f>
        <v>2.2883326667571424E-2</v>
      </c>
      <c r="G19" s="155">
        <f t="shared" si="0"/>
        <v>199.89778371137569</v>
      </c>
      <c r="H19" s="499"/>
    </row>
    <row r="20" spans="1:13" x14ac:dyDescent="0.2">
      <c r="A20" s="182" t="s">
        <v>10</v>
      </c>
      <c r="B20" s="497">
        <f>J59</f>
        <v>8249.7316306489811</v>
      </c>
      <c r="C20" s="498">
        <f t="shared" si="1"/>
        <v>139.91847083266663</v>
      </c>
      <c r="D20" s="498">
        <f>D14+('BRA Resource Clearing Results'!F38*'BRA Resource Clearing Results'!C17-'1stIA Resource Clearing Results'!D37*'1stIA Resource Clearing Results'!C17)/('BRA Resource Clearing Results'!F38-'1stIA Resource Clearing Results'!D37)</f>
        <v>0</v>
      </c>
      <c r="E20" s="35">
        <f>'BRA Resource Clearing Results'!G77+'1stIA Resource Clearing Results'!H92</f>
        <v>0</v>
      </c>
      <c r="F20" s="154">
        <f>F14+E20/B20</f>
        <v>2.2883326667571424E-2</v>
      </c>
      <c r="G20" s="155">
        <f t="shared" si="0"/>
        <v>139.9413541593342</v>
      </c>
      <c r="H20" s="499"/>
    </row>
    <row r="21" spans="1:13" x14ac:dyDescent="0.2">
      <c r="A21" s="22" t="s">
        <v>21</v>
      </c>
      <c r="B21" s="497">
        <f>J48</f>
        <v>3775.9557917744769</v>
      </c>
      <c r="C21" s="498">
        <f t="shared" si="1"/>
        <v>139.91847083266663</v>
      </c>
      <c r="D21" s="498">
        <f>D13+('BRA Resource Clearing Results'!F39*'BRA Resource Clearing Results'!C18-'1stIA Resource Clearing Results'!D38*'1stIA Resource Clearing Results'!C18)/('BRA Resource Clearing Results'!F39-'1stIA Resource Clearing Results'!D38)</f>
        <v>0</v>
      </c>
      <c r="E21" s="35">
        <f>'BRA Resource Clearing Results'!G78+'1stIA Resource Clearing Results'!H93</f>
        <v>0</v>
      </c>
      <c r="F21" s="154">
        <f>F13+E21/B21</f>
        <v>2.2883326667571424E-2</v>
      </c>
      <c r="G21" s="155">
        <f t="shared" si="0"/>
        <v>139.9413541593342</v>
      </c>
      <c r="H21" s="499"/>
    </row>
    <row r="22" spans="1:13" x14ac:dyDescent="0.2">
      <c r="A22" s="22" t="s">
        <v>50</v>
      </c>
      <c r="B22" s="497">
        <f>J49</f>
        <v>5167.0319928498348</v>
      </c>
      <c r="C22" s="498">
        <f t="shared" si="1"/>
        <v>139.91847083266663</v>
      </c>
      <c r="D22" s="498">
        <f>D13+('BRA Resource Clearing Results'!F40*'BRA Resource Clearing Results'!C19-'1stIA Resource Clearing Results'!D39*'1stIA Resource Clearing Results'!C19)/('BRA Resource Clearing Results'!F40-'1stIA Resource Clearing Results'!D39)</f>
        <v>0</v>
      </c>
      <c r="E22" s="35">
        <f>'BRA Resource Clearing Results'!G79+'1stIA Resource Clearing Results'!H94</f>
        <v>0</v>
      </c>
      <c r="F22" s="154">
        <f>F13+E22/B22</f>
        <v>2.2883326667571424E-2</v>
      </c>
      <c r="G22" s="155">
        <f t="shared" si="0"/>
        <v>139.9413541593342</v>
      </c>
      <c r="H22" s="499"/>
    </row>
    <row r="23" spans="1:13" x14ac:dyDescent="0.2">
      <c r="A23" s="23" t="s">
        <v>208</v>
      </c>
      <c r="B23" s="34"/>
      <c r="C23" s="55"/>
      <c r="D23" s="500" t="s">
        <v>24</v>
      </c>
      <c r="E23" s="243" t="s">
        <v>24</v>
      </c>
      <c r="F23" s="57"/>
      <c r="G23" s="52" t="s">
        <v>24</v>
      </c>
      <c r="H23" s="33"/>
      <c r="I23" s="33"/>
      <c r="J23" s="446"/>
      <c r="K23" s="33"/>
      <c r="L23" s="479"/>
    </row>
    <row r="24" spans="1:13" x14ac:dyDescent="0.2">
      <c r="A24" s="501" t="s">
        <v>24</v>
      </c>
      <c r="B24" s="454"/>
      <c r="C24" s="464"/>
      <c r="D24" s="464"/>
      <c r="E24" s="464"/>
      <c r="F24" s="465"/>
      <c r="H24" s="454"/>
      <c r="I24" s="454"/>
      <c r="J24" s="464"/>
      <c r="K24" s="454"/>
      <c r="L24" s="479"/>
    </row>
    <row r="25" spans="1:13" x14ac:dyDescent="0.2">
      <c r="A25" s="501"/>
      <c r="B25" s="454"/>
      <c r="C25" s="464"/>
      <c r="D25" s="464"/>
      <c r="E25" s="464"/>
      <c r="F25" s="465"/>
      <c r="H25" s="454"/>
      <c r="I25" s="454"/>
      <c r="J25" s="464"/>
      <c r="K25" s="454"/>
      <c r="L25" s="479"/>
    </row>
    <row r="26" spans="1:13" ht="31.5" x14ac:dyDescent="0.25">
      <c r="A26" s="502" t="s">
        <v>118</v>
      </c>
      <c r="B26" s="374"/>
      <c r="C26" s="374" t="s">
        <v>24</v>
      </c>
      <c r="D26" s="503" t="s">
        <v>24</v>
      </c>
      <c r="E26" s="504" t="s">
        <v>24</v>
      </c>
      <c r="F26" s="374"/>
      <c r="G26" s="374"/>
      <c r="H26" s="374"/>
      <c r="I26" s="271" t="s">
        <v>192</v>
      </c>
      <c r="J26" s="21"/>
      <c r="K26" s="201" t="s">
        <v>24</v>
      </c>
      <c r="L26" s="374"/>
    </row>
    <row r="27" spans="1:13" ht="89.25" x14ac:dyDescent="0.2">
      <c r="A27" s="186" t="s">
        <v>54</v>
      </c>
      <c r="B27" s="183" t="s">
        <v>265</v>
      </c>
      <c r="C27" s="183" t="s">
        <v>266</v>
      </c>
      <c r="D27" s="164" t="s">
        <v>267</v>
      </c>
      <c r="E27" s="164" t="s">
        <v>268</v>
      </c>
      <c r="F27" s="164" t="s">
        <v>134</v>
      </c>
      <c r="G27" s="164" t="s">
        <v>269</v>
      </c>
      <c r="H27" s="374"/>
      <c r="I27" s="192" t="s">
        <v>7</v>
      </c>
      <c r="J27" s="190" t="s">
        <v>193</v>
      </c>
      <c r="K27" s="190" t="s">
        <v>194</v>
      </c>
    </row>
    <row r="28" spans="1:13" x14ac:dyDescent="0.2">
      <c r="A28" s="182" t="s">
        <v>37</v>
      </c>
      <c r="B28" s="182"/>
      <c r="C28" s="505">
        <f>'BRA Resource Clearing Results'!D49-'1stIA Resource Clearing Results'!D65</f>
        <v>2234.3000000000002</v>
      </c>
      <c r="D28" s="35">
        <f>('BRA Resource Clearing Results'!F30*'BRA Resource Clearing Results'!C9-'1stIA Resource Clearing Results'!D29*'1stIA Resource Clearing Results'!C9)/('BRA Resource Clearing Results'!F30-'1stIA Resource Clearing Results'!D29)</f>
        <v>38.290461380285308</v>
      </c>
      <c r="E28" s="35">
        <f>'BRA Resource Clearing Results'!G69+'1stIA Resource Clearing Results'!H84</f>
        <v>0</v>
      </c>
      <c r="F28" s="182"/>
      <c r="G28" s="182"/>
      <c r="H28" s="374"/>
      <c r="I28" s="22" t="s">
        <v>11</v>
      </c>
      <c r="J28" s="269">
        <v>240</v>
      </c>
      <c r="K28" s="35">
        <f>L46*$B$6*J28*I46/F46</f>
        <v>56979.324115642965</v>
      </c>
      <c r="L28" s="412" t="s">
        <v>24</v>
      </c>
      <c r="M28" s="374" t="s">
        <v>24</v>
      </c>
    </row>
    <row r="29" spans="1:13" x14ac:dyDescent="0.2">
      <c r="A29" s="182" t="s">
        <v>34</v>
      </c>
      <c r="B29" s="182"/>
      <c r="C29" s="505">
        <f>'BRA Resource Clearing Results'!D50-'1stIA Resource Clearing Results'!D66</f>
        <v>3212.4</v>
      </c>
      <c r="D29" s="35">
        <f>D28+('BRA Resource Clearing Results'!F31*'BRA Resource Clearing Results'!C10-'1stIA Resource Clearing Results'!D30*'1stIA Resource Clearing Results'!C10)/('BRA Resource Clearing Results'!F31-'1stIA Resource Clearing Results'!D30)</f>
        <v>42.57492159694575</v>
      </c>
      <c r="E29" s="35">
        <f>'BRA Resource Clearing Results'!G70+'1stIA Resource Clearing Results'!H85</f>
        <v>0</v>
      </c>
      <c r="F29" s="182"/>
      <c r="G29" s="182"/>
      <c r="H29" s="374"/>
      <c r="I29" s="22" t="s">
        <v>17</v>
      </c>
      <c r="J29" s="269">
        <v>75</v>
      </c>
      <c r="K29" s="35">
        <f>L52*$B$6*J29*I52/F52</f>
        <v>14591.507130530668</v>
      </c>
    </row>
    <row r="30" spans="1:13" x14ac:dyDescent="0.2">
      <c r="A30" s="67" t="s">
        <v>8</v>
      </c>
      <c r="B30" s="153">
        <f>G15</f>
        <v>165.60260456786432</v>
      </c>
      <c r="C30" s="506">
        <f>C29+C28</f>
        <v>5446.7000000000007</v>
      </c>
      <c r="D30" s="507">
        <f>(C29*D29+C28*D28)/C30</f>
        <v>40.817385940110519</v>
      </c>
      <c r="E30" s="508">
        <f>E28+E29</f>
        <v>0</v>
      </c>
      <c r="F30" s="509">
        <f>E30/J60</f>
        <v>0</v>
      </c>
      <c r="G30" s="510">
        <f>B30+D30+F30</f>
        <v>206.41999050797483</v>
      </c>
      <c r="H30" s="412"/>
      <c r="I30" s="22" t="s">
        <v>15</v>
      </c>
      <c r="J30" s="269">
        <v>195</v>
      </c>
      <c r="K30" s="35">
        <f>L58*$B$6*J30*I58/F58</f>
        <v>32067.45797305019</v>
      </c>
      <c r="L30" s="511"/>
    </row>
    <row r="31" spans="1:13" x14ac:dyDescent="0.2">
      <c r="A31" s="182" t="s">
        <v>36</v>
      </c>
      <c r="B31" s="182"/>
      <c r="C31" s="506">
        <v>3827</v>
      </c>
      <c r="D31" s="31">
        <v>0</v>
      </c>
      <c r="E31" s="35">
        <v>0</v>
      </c>
      <c r="F31" s="182"/>
      <c r="G31" s="50"/>
      <c r="H31" s="374"/>
      <c r="I31" s="178" t="s">
        <v>195</v>
      </c>
      <c r="J31" s="270">
        <f>SUM(J28:J30)</f>
        <v>510</v>
      </c>
      <c r="K31" s="241">
        <f>SUM(K28:K30)</f>
        <v>103638.28921922382</v>
      </c>
    </row>
    <row r="32" spans="1:13" x14ac:dyDescent="0.2">
      <c r="A32" s="182" t="s">
        <v>35</v>
      </c>
      <c r="B32" s="182"/>
      <c r="C32" s="505">
        <f>'BRA Resource Clearing Results'!D51-'1stIA Resource Clearing Results'!D67</f>
        <v>1680.6</v>
      </c>
      <c r="D32" s="35">
        <f>D31+('BRA Resource Clearing Results'!F32*'BRA Resource Clearing Results'!C11-'1stIA Resource Clearing Results'!D31*'1stIA Resource Clearing Results'!C11)/('BRA Resource Clearing Results'!F32-'1stIA Resource Clearing Results'!D31)</f>
        <v>0</v>
      </c>
      <c r="E32" s="35">
        <f>'BRA Resource Clearing Results'!G71+'1stIA Resource Clearing Results'!H86</f>
        <v>0</v>
      </c>
      <c r="F32" s="182"/>
      <c r="G32" s="50"/>
      <c r="H32" s="374"/>
    </row>
    <row r="33" spans="1:13" x14ac:dyDescent="0.2">
      <c r="A33" s="67" t="s">
        <v>17</v>
      </c>
      <c r="B33" s="153">
        <f>G15</f>
        <v>165.60260456786432</v>
      </c>
      <c r="C33" s="506">
        <f>C31+C32</f>
        <v>5507.6</v>
      </c>
      <c r="D33" s="507">
        <f>(C32*D32+C31*D31)/C33</f>
        <v>0</v>
      </c>
      <c r="E33" s="508">
        <f>E31+E32</f>
        <v>0</v>
      </c>
      <c r="F33" s="509">
        <f>E33/J52</f>
        <v>0</v>
      </c>
      <c r="G33" s="510">
        <f>B33+D33+F33</f>
        <v>165.60260456786432</v>
      </c>
      <c r="H33" s="412"/>
    </row>
    <row r="34" spans="1:13" x14ac:dyDescent="0.2">
      <c r="A34" s="182" t="s">
        <v>114</v>
      </c>
      <c r="B34" s="182"/>
      <c r="C34" s="505">
        <f>'BRA Resource Clearing Results'!D53-'1stIA Resource Clearing Results'!D69</f>
        <v>7199.8</v>
      </c>
      <c r="D34" s="35">
        <f>('BRA Resource Clearing Results'!F34*'BRA Resource Clearing Results'!C13-'1stIA Resource Clearing Results'!D33*'1stIA Resource Clearing Results'!C13)/('BRA Resource Clearing Results'!F34-'1stIA Resource Clearing Results'!D33)</f>
        <v>28.936261808367071</v>
      </c>
      <c r="E34" s="35">
        <f>'BRA Resource Clearing Results'!G73+'1stIA Resource Clearing Results'!H88</f>
        <v>0</v>
      </c>
      <c r="F34" s="182"/>
      <c r="G34" s="50"/>
      <c r="H34" s="412"/>
    </row>
    <row r="35" spans="1:13" x14ac:dyDescent="0.2">
      <c r="A35" s="182" t="s">
        <v>113</v>
      </c>
      <c r="B35" s="182"/>
      <c r="C35" s="505">
        <f>'BRA Resource Clearing Results'!D54-'1stIA Resource Clearing Results'!D70</f>
        <v>1469.9</v>
      </c>
      <c r="D35" s="35">
        <f>D34+('BRA Resource Clearing Results'!F35*'BRA Resource Clearing Results'!C14-'1stIA Resource Clearing Results'!D34*'1stIA Resource Clearing Results'!C14)/('BRA Resource Clearing Results'!F35-'1stIA Resource Clearing Results'!D34)</f>
        <v>28.936261808367071</v>
      </c>
      <c r="E35" s="35">
        <f>'BRA Resource Clearing Results'!G74+'1stIA Resource Clearing Results'!H89</f>
        <v>0</v>
      </c>
      <c r="F35" s="182"/>
      <c r="G35" s="50"/>
      <c r="H35" s="412"/>
    </row>
    <row r="36" spans="1:13" x14ac:dyDescent="0.2">
      <c r="A36" s="67" t="s">
        <v>43</v>
      </c>
      <c r="B36" s="153">
        <f>G13</f>
        <v>139.9413541593342</v>
      </c>
      <c r="C36" s="506">
        <f>C34+C35</f>
        <v>8669.7000000000007</v>
      </c>
      <c r="D36" s="507">
        <f>(C35*D35+C34*D34)/C36</f>
        <v>28.936261808367071</v>
      </c>
      <c r="E36" s="508">
        <f>E34+E35</f>
        <v>0</v>
      </c>
      <c r="F36" s="509">
        <f>E36/J45</f>
        <v>0</v>
      </c>
      <c r="G36" s="510">
        <f>B36+D36+F36</f>
        <v>168.87761596770127</v>
      </c>
      <c r="H36" s="412"/>
    </row>
    <row r="37" spans="1:13" x14ac:dyDescent="0.2">
      <c r="A37" s="773" t="s">
        <v>270</v>
      </c>
      <c r="B37" s="773"/>
      <c r="C37" s="773"/>
      <c r="D37" s="773"/>
      <c r="E37" s="512" t="s">
        <v>24</v>
      </c>
      <c r="F37" s="513"/>
      <c r="G37" s="513"/>
      <c r="H37" s="513"/>
      <c r="I37" s="514"/>
      <c r="J37" s="514"/>
      <c r="K37" s="515"/>
      <c r="L37" s="412"/>
    </row>
    <row r="38" spans="1:13" x14ac:dyDescent="0.2">
      <c r="A38" s="501" t="s">
        <v>24</v>
      </c>
      <c r="B38" s="501"/>
      <c r="C38" s="592" t="s">
        <v>24</v>
      </c>
      <c r="D38" s="501"/>
      <c r="E38" s="501" t="s">
        <v>24</v>
      </c>
      <c r="F38" s="501" t="s">
        <v>24</v>
      </c>
      <c r="G38" s="501" t="s">
        <v>24</v>
      </c>
      <c r="H38" s="434"/>
      <c r="I38" s="434"/>
      <c r="J38" s="434"/>
      <c r="K38" s="434"/>
      <c r="L38" s="374"/>
    </row>
    <row r="39" spans="1:13" x14ac:dyDescent="0.2">
      <c r="A39" s="431"/>
      <c r="B39" s="516"/>
      <c r="C39" s="516" t="s">
        <v>24</v>
      </c>
      <c r="D39" s="516" t="s">
        <v>24</v>
      </c>
      <c r="E39" s="477" t="s">
        <v>24</v>
      </c>
      <c r="F39" s="517" t="s">
        <v>24</v>
      </c>
      <c r="G39" s="518" t="s">
        <v>24</v>
      </c>
      <c r="H39" s="518"/>
      <c r="I39" s="518"/>
      <c r="J39" s="518"/>
      <c r="K39" s="518"/>
      <c r="L39" s="519"/>
    </row>
    <row r="40" spans="1:13" ht="18.75" x14ac:dyDescent="0.3">
      <c r="A40" s="520" t="s">
        <v>271</v>
      </c>
      <c r="B40" s="3"/>
      <c r="C40" s="2"/>
      <c r="D40" s="2"/>
      <c r="E40" s="521"/>
      <c r="F40" s="521"/>
      <c r="G40" s="522"/>
      <c r="H40" s="521"/>
      <c r="I40" s="521"/>
      <c r="J40" s="521"/>
      <c r="K40" s="521"/>
    </row>
    <row r="41" spans="1:13" ht="51" x14ac:dyDescent="0.2">
      <c r="A41" s="190" t="s">
        <v>7</v>
      </c>
      <c r="B41" s="190" t="s">
        <v>27</v>
      </c>
      <c r="C41" s="190" t="s">
        <v>26</v>
      </c>
      <c r="D41" s="190" t="s">
        <v>31</v>
      </c>
      <c r="E41" s="190" t="s">
        <v>319</v>
      </c>
      <c r="F41" s="190" t="s">
        <v>22</v>
      </c>
      <c r="G41" s="190" t="s">
        <v>320</v>
      </c>
      <c r="H41" s="523" t="s">
        <v>23</v>
      </c>
      <c r="I41" s="523" t="s">
        <v>272</v>
      </c>
      <c r="J41" s="59" t="s">
        <v>273</v>
      </c>
      <c r="K41" s="524" t="s">
        <v>274</v>
      </c>
      <c r="L41" s="524" t="s">
        <v>275</v>
      </c>
      <c r="M41" s="190" t="s">
        <v>7</v>
      </c>
    </row>
    <row r="42" spans="1:13" x14ac:dyDescent="0.2">
      <c r="A42" s="182" t="s">
        <v>16</v>
      </c>
      <c r="B42" s="91" t="s">
        <v>28</v>
      </c>
      <c r="C42" s="91" t="s">
        <v>33</v>
      </c>
      <c r="D42" s="91"/>
      <c r="E42" s="525">
        <v>2330</v>
      </c>
      <c r="F42" s="526">
        <f>G42/E42</f>
        <v>0.99227467811158798</v>
      </c>
      <c r="G42" s="527">
        <v>2312</v>
      </c>
      <c r="H42" s="93">
        <f>$B$8</f>
        <v>1.0757432976859502</v>
      </c>
      <c r="I42" s="93">
        <f>H42*F42</f>
        <v>1.0674328344420245</v>
      </c>
      <c r="J42" s="528">
        <f>E42*I42*$B$6</f>
        <v>2706.9797800256101</v>
      </c>
      <c r="K42" s="251">
        <f>G15</f>
        <v>165.60260456786432</v>
      </c>
      <c r="L42" s="251">
        <v>166.16582428735515</v>
      </c>
      <c r="M42" s="529" t="s">
        <v>16</v>
      </c>
    </row>
    <row r="43" spans="1:13" x14ac:dyDescent="0.2">
      <c r="A43" s="182" t="s">
        <v>276</v>
      </c>
      <c r="B43" s="91"/>
      <c r="C43" s="91"/>
      <c r="D43" s="91"/>
      <c r="E43" s="525">
        <v>10931.7</v>
      </c>
      <c r="F43" s="526">
        <v>1.0106538637402835</v>
      </c>
      <c r="G43" s="527">
        <f>E43*F43</f>
        <v>11048.164842249658</v>
      </c>
      <c r="H43" s="93">
        <f t="shared" ref="H43:H61" si="2">$B$8</f>
        <v>1.0757432976859502</v>
      </c>
      <c r="I43" s="93">
        <f>H43*F43</f>
        <v>1.0872041201990197</v>
      </c>
      <c r="J43" s="528">
        <f t="shared" ref="J43:J61" si="3">E43*I43*$B$6</f>
        <v>12935.622333200543</v>
      </c>
      <c r="K43" s="251">
        <f>G13</f>
        <v>139.9413541593342</v>
      </c>
      <c r="L43" s="251">
        <v>140.45355654820597</v>
      </c>
      <c r="M43" s="529" t="s">
        <v>29</v>
      </c>
    </row>
    <row r="44" spans="1:13" x14ac:dyDescent="0.2">
      <c r="A44" s="182" t="s">
        <v>19</v>
      </c>
      <c r="B44" s="91" t="s">
        <v>24</v>
      </c>
      <c r="C44" s="91"/>
      <c r="D44" s="91"/>
      <c r="E44" s="525">
        <v>8360</v>
      </c>
      <c r="F44" s="526">
        <f t="shared" ref="F44:F61" si="4">G44/E44</f>
        <v>1.0332535885167464</v>
      </c>
      <c r="G44" s="527">
        <v>8638</v>
      </c>
      <c r="H44" s="93">
        <f t="shared" si="2"/>
        <v>1.0757432976859502</v>
      </c>
      <c r="I44" s="93">
        <f>H44*F44</f>
        <v>1.1115156226568468</v>
      </c>
      <c r="J44" s="528">
        <f t="shared" si="3"/>
        <v>10113.707326929592</v>
      </c>
      <c r="K44" s="251">
        <f>G13</f>
        <v>139.9413541593342</v>
      </c>
      <c r="L44" s="251">
        <v>140.45355654820597</v>
      </c>
      <c r="M44" s="529" t="s">
        <v>19</v>
      </c>
    </row>
    <row r="45" spans="1:13" x14ac:dyDescent="0.2">
      <c r="A45" s="182" t="s">
        <v>43</v>
      </c>
      <c r="B45" s="91"/>
      <c r="C45" s="91"/>
      <c r="D45" s="91" t="s">
        <v>43</v>
      </c>
      <c r="E45" s="525">
        <v>12140</v>
      </c>
      <c r="F45" s="526">
        <f t="shared" si="4"/>
        <v>1.0149917627677101</v>
      </c>
      <c r="G45" s="527">
        <v>12322</v>
      </c>
      <c r="H45" s="93">
        <f t="shared" si="2"/>
        <v>1.0757432976859502</v>
      </c>
      <c r="I45" s="93">
        <f t="shared" ref="I45:I61" si="5">H45*F45</f>
        <v>1.091870586003812</v>
      </c>
      <c r="J45" s="528">
        <f t="shared" si="3"/>
        <v>14427.078222091504</v>
      </c>
      <c r="K45" s="251">
        <f>G36</f>
        <v>168.87761596770127</v>
      </c>
      <c r="L45" s="251">
        <v>169.38981835657307</v>
      </c>
      <c r="M45" s="529" t="s">
        <v>43</v>
      </c>
    </row>
    <row r="46" spans="1:13" x14ac:dyDescent="0.2">
      <c r="A46" s="182" t="s">
        <v>11</v>
      </c>
      <c r="B46" s="91" t="s">
        <v>28</v>
      </c>
      <c r="C46" s="91" t="s">
        <v>5</v>
      </c>
      <c r="D46" s="529" t="s">
        <v>11</v>
      </c>
      <c r="E46" s="525">
        <v>6110</v>
      </c>
      <c r="F46" s="526">
        <f t="shared" si="4"/>
        <v>1.0361702127659576</v>
      </c>
      <c r="G46" s="527">
        <v>6331</v>
      </c>
      <c r="H46" s="93">
        <f t="shared" si="2"/>
        <v>1.0757432976859502</v>
      </c>
      <c r="I46" s="93">
        <f t="shared" si="5"/>
        <v>1.1146531616448039</v>
      </c>
      <c r="J46" s="528">
        <f t="shared" si="3"/>
        <v>7412.5817419299901</v>
      </c>
      <c r="K46" s="251">
        <f>G19</f>
        <v>199.89778371137569</v>
      </c>
      <c r="L46" s="251">
        <v>202.77241313890946</v>
      </c>
      <c r="M46" s="529" t="s">
        <v>11</v>
      </c>
    </row>
    <row r="47" spans="1:13" x14ac:dyDescent="0.2">
      <c r="A47" s="182" t="s">
        <v>20</v>
      </c>
      <c r="B47" s="91"/>
      <c r="C47" s="91"/>
      <c r="D47" s="529" t="s">
        <v>20</v>
      </c>
      <c r="E47" s="525">
        <v>20110</v>
      </c>
      <c r="F47" s="526">
        <f t="shared" si="4"/>
        <v>1.0474390850323223</v>
      </c>
      <c r="G47" s="527">
        <v>21064</v>
      </c>
      <c r="H47" s="93">
        <f t="shared" si="2"/>
        <v>1.0757432976859502</v>
      </c>
      <c r="I47" s="93">
        <f t="shared" si="5"/>
        <v>1.1267755754578248</v>
      </c>
      <c r="J47" s="528">
        <f t="shared" si="3"/>
        <v>24662.552805562045</v>
      </c>
      <c r="K47" s="251">
        <f>G18</f>
        <v>195.04240155490308</v>
      </c>
      <c r="L47" s="251">
        <v>195.55460394377488</v>
      </c>
      <c r="M47" s="529" t="s">
        <v>20</v>
      </c>
    </row>
    <row r="48" spans="1:13" x14ac:dyDescent="0.2">
      <c r="A48" s="182" t="s">
        <v>21</v>
      </c>
      <c r="B48" s="91"/>
      <c r="C48" s="91"/>
      <c r="D48" s="529" t="s">
        <v>21</v>
      </c>
      <c r="E48" s="525">
        <v>3120</v>
      </c>
      <c r="F48" s="526">
        <f t="shared" si="4"/>
        <v>1.0336538461538463</v>
      </c>
      <c r="G48" s="527">
        <v>3225</v>
      </c>
      <c r="H48" s="93">
        <f t="shared" si="2"/>
        <v>1.0757432976859502</v>
      </c>
      <c r="I48" s="93">
        <f t="shared" si="5"/>
        <v>1.1119461971273044</v>
      </c>
      <c r="J48" s="528">
        <f t="shared" si="3"/>
        <v>3775.9557917744769</v>
      </c>
      <c r="K48" s="251">
        <f>G21</f>
        <v>139.9413541593342</v>
      </c>
      <c r="L48" s="251">
        <v>140.45355654820597</v>
      </c>
      <c r="M48" s="529" t="s">
        <v>21</v>
      </c>
    </row>
    <row r="49" spans="1:13" x14ac:dyDescent="0.2">
      <c r="A49" s="182" t="s">
        <v>277</v>
      </c>
      <c r="B49" s="91"/>
      <c r="C49" s="91"/>
      <c r="D49" s="529" t="s">
        <v>50</v>
      </c>
      <c r="E49" s="525">
        <v>4225.3999999999996</v>
      </c>
      <c r="F49" s="526">
        <v>1.0444223107569721</v>
      </c>
      <c r="G49" s="527">
        <f>E49*F49</f>
        <v>4413.1020318725095</v>
      </c>
      <c r="H49" s="93">
        <f t="shared" si="2"/>
        <v>1.0757432976859502</v>
      </c>
      <c r="I49" s="93">
        <f t="shared" si="5"/>
        <v>1.1235303007504855</v>
      </c>
      <c r="J49" s="528">
        <f t="shared" si="3"/>
        <v>5167.0319928498348</v>
      </c>
      <c r="K49" s="251">
        <f>G22</f>
        <v>139.9413541593342</v>
      </c>
      <c r="L49" s="251">
        <v>140.45355654820597</v>
      </c>
      <c r="M49" s="529" t="s">
        <v>50</v>
      </c>
    </row>
    <row r="50" spans="1:13" x14ac:dyDescent="0.2">
      <c r="A50" s="182" t="s">
        <v>42</v>
      </c>
      <c r="B50" s="91"/>
      <c r="C50" s="91"/>
      <c r="D50" s="91"/>
      <c r="E50" s="525">
        <v>2640</v>
      </c>
      <c r="F50" s="526">
        <f t="shared" si="4"/>
        <v>1.0356060606060606</v>
      </c>
      <c r="G50" s="527">
        <v>2734</v>
      </c>
      <c r="H50" s="93">
        <f t="shared" si="2"/>
        <v>1.0757432976859502</v>
      </c>
      <c r="I50" s="93">
        <f t="shared" si="5"/>
        <v>1.1140462787399197</v>
      </c>
      <c r="J50" s="528">
        <f t="shared" si="3"/>
        <v>3201.0738402205952</v>
      </c>
      <c r="K50" s="251">
        <f>G13</f>
        <v>139.9413541593342</v>
      </c>
      <c r="L50" s="251">
        <v>140.45355654820597</v>
      </c>
      <c r="M50" s="529" t="s">
        <v>42</v>
      </c>
    </row>
    <row r="51" spans="1:13" x14ac:dyDescent="0.2">
      <c r="A51" s="182" t="s">
        <v>30</v>
      </c>
      <c r="B51" s="91"/>
      <c r="C51" s="91"/>
      <c r="D51" s="91"/>
      <c r="E51" s="525">
        <v>18220</v>
      </c>
      <c r="F51" s="526">
        <f t="shared" si="4"/>
        <v>1.0529088913282107</v>
      </c>
      <c r="G51" s="527">
        <v>19184</v>
      </c>
      <c r="H51" s="93">
        <f t="shared" si="2"/>
        <v>1.0757432976859502</v>
      </c>
      <c r="I51" s="93">
        <f t="shared" si="5"/>
        <v>1.1326596829202673</v>
      </c>
      <c r="J51" s="528">
        <f t="shared" si="3"/>
        <v>22461.375475783432</v>
      </c>
      <c r="K51" s="251">
        <f>G13</f>
        <v>139.9413541593342</v>
      </c>
      <c r="L51" s="251">
        <v>140.45355654820597</v>
      </c>
      <c r="M51" s="529" t="s">
        <v>30</v>
      </c>
    </row>
    <row r="52" spans="1:13" x14ac:dyDescent="0.2">
      <c r="A52" s="182" t="s">
        <v>17</v>
      </c>
      <c r="B52" s="91" t="s">
        <v>28</v>
      </c>
      <c r="C52" s="91" t="s">
        <v>33</v>
      </c>
      <c r="D52" s="91" t="s">
        <v>17</v>
      </c>
      <c r="E52" s="525">
        <v>3690</v>
      </c>
      <c r="F52" s="526">
        <f t="shared" si="4"/>
        <v>1.0127371273712737</v>
      </c>
      <c r="G52" s="527">
        <v>3737</v>
      </c>
      <c r="H52" s="93">
        <f t="shared" si="2"/>
        <v>1.0757432976859502</v>
      </c>
      <c r="I52" s="93">
        <f t="shared" si="5"/>
        <v>1.0894451770873703</v>
      </c>
      <c r="J52" s="528">
        <f t="shared" si="3"/>
        <v>4375.4253624375888</v>
      </c>
      <c r="K52" s="251">
        <f>G33</f>
        <v>165.60260456786432</v>
      </c>
      <c r="L52" s="251">
        <v>166.16582428735515</v>
      </c>
      <c r="M52" s="529" t="s">
        <v>17</v>
      </c>
    </row>
    <row r="53" spans="1:13" x14ac:dyDescent="0.2">
      <c r="A53" s="182" t="s">
        <v>278</v>
      </c>
      <c r="B53" s="91"/>
      <c r="C53" s="91"/>
      <c r="D53" s="91"/>
      <c r="E53" s="525">
        <v>2140</v>
      </c>
      <c r="F53" s="526">
        <v>1.024468085106383</v>
      </c>
      <c r="G53" s="527">
        <f>E53*F53</f>
        <v>2192.3617021276596</v>
      </c>
      <c r="H53" s="93">
        <f t="shared" si="2"/>
        <v>1.0757432976859502</v>
      </c>
      <c r="I53" s="93">
        <f t="shared" si="5"/>
        <v>1.1020646762463511</v>
      </c>
      <c r="J53" s="528">
        <f t="shared" si="3"/>
        <v>2566.9025943607708</v>
      </c>
      <c r="K53" s="251">
        <f>G13</f>
        <v>139.9413541593342</v>
      </c>
      <c r="L53" s="251">
        <v>140.45355654820597</v>
      </c>
      <c r="M53" s="529" t="s">
        <v>116</v>
      </c>
    </row>
    <row r="54" spans="1:13" x14ac:dyDescent="0.2">
      <c r="A54" s="182" t="s">
        <v>12</v>
      </c>
      <c r="B54" s="91" t="s">
        <v>28</v>
      </c>
      <c r="C54" s="91" t="s">
        <v>33</v>
      </c>
      <c r="D54" s="91"/>
      <c r="E54" s="525">
        <v>5560</v>
      </c>
      <c r="F54" s="526">
        <f t="shared" si="4"/>
        <v>1.0147482014388489</v>
      </c>
      <c r="G54" s="527">
        <v>5642</v>
      </c>
      <c r="H54" s="93">
        <f t="shared" si="2"/>
        <v>1.0757432976859502</v>
      </c>
      <c r="I54" s="93">
        <f t="shared" si="5"/>
        <v>1.0916085765367143</v>
      </c>
      <c r="J54" s="528">
        <f t="shared" si="3"/>
        <v>6605.8736673462327</v>
      </c>
      <c r="K54" s="251">
        <f>G15</f>
        <v>165.60260456786432</v>
      </c>
      <c r="L54" s="251">
        <v>166.16582428735515</v>
      </c>
      <c r="M54" s="529" t="s">
        <v>12</v>
      </c>
    </row>
    <row r="55" spans="1:13" x14ac:dyDescent="0.2">
      <c r="A55" s="182" t="s">
        <v>13</v>
      </c>
      <c r="B55" s="91" t="s">
        <v>28</v>
      </c>
      <c r="C55" s="91"/>
      <c r="D55" s="91"/>
      <c r="E55" s="525">
        <v>2850</v>
      </c>
      <c r="F55" s="526">
        <f t="shared" si="4"/>
        <v>1.012280701754386</v>
      </c>
      <c r="G55" s="527">
        <v>2885</v>
      </c>
      <c r="H55" s="93">
        <f t="shared" si="2"/>
        <v>1.0757432976859502</v>
      </c>
      <c r="I55" s="93">
        <f t="shared" si="5"/>
        <v>1.088954180289111</v>
      </c>
      <c r="J55" s="528">
        <f t="shared" si="3"/>
        <v>3377.8705300060051</v>
      </c>
      <c r="K55" s="251">
        <f>G14</f>
        <v>139.9413541593342</v>
      </c>
      <c r="L55" s="251">
        <v>140.45355654820597</v>
      </c>
      <c r="M55" s="529" t="s">
        <v>13</v>
      </c>
    </row>
    <row r="56" spans="1:13" x14ac:dyDescent="0.2">
      <c r="A56" s="182" t="s">
        <v>9</v>
      </c>
      <c r="B56" s="91" t="s">
        <v>28</v>
      </c>
      <c r="C56" s="91" t="s">
        <v>33</v>
      </c>
      <c r="D56" s="91"/>
      <c r="E56" s="525">
        <v>8120</v>
      </c>
      <c r="F56" s="526">
        <f t="shared" si="4"/>
        <v>1.036576354679803</v>
      </c>
      <c r="G56" s="527">
        <v>8417</v>
      </c>
      <c r="H56" s="93">
        <f t="shared" si="2"/>
        <v>1.0757432976859502</v>
      </c>
      <c r="I56" s="93">
        <f t="shared" si="5"/>
        <v>1.1150900660865324</v>
      </c>
      <c r="J56" s="528">
        <f t="shared" si="3"/>
        <v>9854.9519067800866</v>
      </c>
      <c r="K56" s="251">
        <f>G15</f>
        <v>165.60260456786432</v>
      </c>
      <c r="L56" s="251">
        <v>166.16582428735515</v>
      </c>
      <c r="M56" s="529" t="s">
        <v>9</v>
      </c>
    </row>
    <row r="57" spans="1:13" x14ac:dyDescent="0.2">
      <c r="A57" s="182" t="s">
        <v>14</v>
      </c>
      <c r="B57" s="91" t="s">
        <v>28</v>
      </c>
      <c r="C57" s="91"/>
      <c r="D57" s="91"/>
      <c r="E57" s="525">
        <v>2790</v>
      </c>
      <c r="F57" s="526">
        <f t="shared" si="4"/>
        <v>0.98745519713261654</v>
      </c>
      <c r="G57" s="527">
        <v>2755</v>
      </c>
      <c r="H57" s="93">
        <f t="shared" si="2"/>
        <v>1.0757432976859502</v>
      </c>
      <c r="I57" s="93">
        <f t="shared" si="5"/>
        <v>1.0622483100805711</v>
      </c>
      <c r="J57" s="528">
        <f t="shared" si="3"/>
        <v>3225.661459329825</v>
      </c>
      <c r="K57" s="251">
        <f>G14</f>
        <v>139.9413541593342</v>
      </c>
      <c r="L57" s="251">
        <v>140.45355654820597</v>
      </c>
      <c r="M57" s="529" t="s">
        <v>14</v>
      </c>
    </row>
    <row r="58" spans="1:13" x14ac:dyDescent="0.2">
      <c r="A58" s="182" t="s">
        <v>15</v>
      </c>
      <c r="B58" s="91" t="s">
        <v>28</v>
      </c>
      <c r="C58" s="91" t="s">
        <v>5</v>
      </c>
      <c r="D58" s="91" t="s">
        <v>15</v>
      </c>
      <c r="E58" s="525">
        <v>5840</v>
      </c>
      <c r="F58" s="526">
        <f t="shared" si="4"/>
        <v>1.0477739726027397</v>
      </c>
      <c r="G58" s="527">
        <v>6119</v>
      </c>
      <c r="H58" s="93">
        <f t="shared" si="2"/>
        <v>1.0757432976859502</v>
      </c>
      <c r="I58" s="93">
        <f t="shared" si="5"/>
        <v>1.1271358285171797</v>
      </c>
      <c r="J58" s="528">
        <f t="shared" si="3"/>
        <v>7164.3638728272945</v>
      </c>
      <c r="K58" s="251">
        <f>G17</f>
        <v>139.9413541593342</v>
      </c>
      <c r="L58" s="251">
        <v>140.45355654820597</v>
      </c>
      <c r="M58" s="529" t="s">
        <v>15</v>
      </c>
    </row>
    <row r="59" spans="1:13" x14ac:dyDescent="0.2">
      <c r="A59" s="182" t="s">
        <v>10</v>
      </c>
      <c r="B59" s="91" t="s">
        <v>28</v>
      </c>
      <c r="C59" s="91"/>
      <c r="D59" s="529" t="s">
        <v>10</v>
      </c>
      <c r="E59" s="525">
        <f>6780+190</f>
        <v>6970</v>
      </c>
      <c r="F59" s="526">
        <f t="shared" si="4"/>
        <v>1.0109038737446199</v>
      </c>
      <c r="G59" s="527">
        <f>6865+181</f>
        <v>7046</v>
      </c>
      <c r="H59" s="93">
        <f t="shared" si="2"/>
        <v>1.0757432976859502</v>
      </c>
      <c r="I59" s="93">
        <f t="shared" si="5"/>
        <v>1.0874730667855388</v>
      </c>
      <c r="J59" s="528">
        <f t="shared" si="3"/>
        <v>8249.7316306489811</v>
      </c>
      <c r="K59" s="251">
        <f>G20</f>
        <v>139.9413541593342</v>
      </c>
      <c r="L59" s="251">
        <v>140.45355654820597</v>
      </c>
      <c r="M59" s="529" t="s">
        <v>10</v>
      </c>
    </row>
    <row r="60" spans="1:13" x14ac:dyDescent="0.2">
      <c r="A60" s="182" t="s">
        <v>8</v>
      </c>
      <c r="B60" s="91" t="s">
        <v>28</v>
      </c>
      <c r="C60" s="91" t="s">
        <v>33</v>
      </c>
      <c r="D60" s="91" t="s">
        <v>8</v>
      </c>
      <c r="E60" s="525">
        <v>9370</v>
      </c>
      <c r="F60" s="526">
        <f t="shared" si="4"/>
        <v>1.0033084311632872</v>
      </c>
      <c r="G60" s="527">
        <v>9401</v>
      </c>
      <c r="H60" s="93">
        <f t="shared" si="2"/>
        <v>1.0757432976859502</v>
      </c>
      <c r="I60" s="93">
        <f t="shared" si="5"/>
        <v>1.0793023203357117</v>
      </c>
      <c r="J60" s="528">
        <f t="shared" si="3"/>
        <v>11007.057487898252</v>
      </c>
      <c r="K60" s="251">
        <f>G30</f>
        <v>206.41999050797483</v>
      </c>
      <c r="L60" s="251">
        <v>207.02611619664347</v>
      </c>
      <c r="M60" s="529" t="s">
        <v>8</v>
      </c>
    </row>
    <row r="61" spans="1:13" x14ac:dyDescent="0.2">
      <c r="A61" s="182" t="s">
        <v>18</v>
      </c>
      <c r="B61" s="91" t="s">
        <v>28</v>
      </c>
      <c r="C61" s="91" t="s">
        <v>33</v>
      </c>
      <c r="D61" s="91"/>
      <c r="E61" s="525">
        <v>385</v>
      </c>
      <c r="F61" s="526">
        <f t="shared" si="4"/>
        <v>0.9974025974025974</v>
      </c>
      <c r="G61" s="527">
        <v>384</v>
      </c>
      <c r="H61" s="93">
        <f t="shared" si="2"/>
        <v>1.0757432976859502</v>
      </c>
      <c r="I61" s="93">
        <f t="shared" si="5"/>
        <v>1.0729491592504024</v>
      </c>
      <c r="J61" s="528">
        <f t="shared" si="3"/>
        <v>449.60217799733311</v>
      </c>
      <c r="K61" s="251">
        <f>G15</f>
        <v>165.60260456786432</v>
      </c>
      <c r="L61" s="251">
        <v>166.16582428735515</v>
      </c>
      <c r="M61" s="529" t="s">
        <v>18</v>
      </c>
    </row>
    <row r="62" spans="1:13" x14ac:dyDescent="0.2">
      <c r="A62" s="530" t="s">
        <v>67</v>
      </c>
      <c r="B62" s="23"/>
      <c r="C62" s="21"/>
      <c r="D62" s="21"/>
      <c r="E62" s="531">
        <f>SUM(E42:E61)</f>
        <v>135902.09999999998</v>
      </c>
      <c r="F62" s="532"/>
      <c r="G62" s="531">
        <f>SUM(G42:G61)</f>
        <v>139849.62857624982</v>
      </c>
      <c r="H62" s="533"/>
      <c r="I62" s="533"/>
      <c r="J62" s="534">
        <f>SUM(J42:J61)</f>
        <v>163741.39999999997</v>
      </c>
      <c r="K62" s="535" t="s">
        <v>24</v>
      </c>
      <c r="L62" s="535"/>
    </row>
    <row r="63" spans="1:13" x14ac:dyDescent="0.2">
      <c r="A63" s="97" t="s">
        <v>279</v>
      </c>
      <c r="B63" s="23"/>
      <c r="C63" s="21"/>
      <c r="D63" s="21"/>
      <c r="E63" s="536" t="s">
        <v>24</v>
      </c>
      <c r="F63" s="537"/>
      <c r="H63" s="538"/>
      <c r="I63" s="60"/>
      <c r="J63" s="60"/>
      <c r="K63" s="539"/>
      <c r="L63" s="540"/>
    </row>
    <row r="64" spans="1:13" x14ac:dyDescent="0.2">
      <c r="A64" s="344" t="s">
        <v>280</v>
      </c>
      <c r="G64" t="s">
        <v>24</v>
      </c>
    </row>
  </sheetData>
  <mergeCells count="1">
    <mergeCell ref="A37:D37"/>
  </mergeCells>
  <pageMargins left="0.45" right="0.45" top="0.5" bottom="0.5" header="0" footer="0"/>
  <pageSetup paperSize="17"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16</vt:i4>
      </vt:variant>
    </vt:vector>
  </HeadingPairs>
  <TitlesOfParts>
    <vt:vector size="35" baseType="lpstr">
      <vt:lpstr>FZSF-FZCP</vt:lpstr>
      <vt:lpstr>UCAP Oblig.-ZCP</vt:lpstr>
      <vt:lpstr>Summary</vt:lpstr>
      <vt:lpstr>BRA Resource Clearing Results</vt:lpstr>
      <vt:lpstr>BRA Load Pricing Results</vt:lpstr>
      <vt:lpstr>BRA CTRs</vt:lpstr>
      <vt:lpstr>BRA ICTRs</vt:lpstr>
      <vt:lpstr>1stIA Resource Clearing Results</vt:lpstr>
      <vt:lpstr>1st IA Load Pricing Results</vt:lpstr>
      <vt:lpstr>1st IA CTRs</vt:lpstr>
      <vt:lpstr>1st IA ICTRs</vt:lpstr>
      <vt:lpstr>2ndIA Resource Clearing Results</vt:lpstr>
      <vt:lpstr>2nd IA Load Pricing Results</vt:lpstr>
      <vt:lpstr>2nd IA CTRs</vt:lpstr>
      <vt:lpstr>2nd IA ICTRs</vt:lpstr>
      <vt:lpstr>3rdIA Resource Clearing Results</vt:lpstr>
      <vt:lpstr>3rd IA Load Pricing Results</vt:lpstr>
      <vt:lpstr>3rd IA CTRs</vt:lpstr>
      <vt:lpstr>3rd IA ICTRs</vt:lpstr>
      <vt:lpstr>'1st IA CTRs'!Print_Area</vt:lpstr>
      <vt:lpstr>'1st IA ICTRs'!Print_Area</vt:lpstr>
      <vt:lpstr>'1st IA Load Pricing Results'!Print_Area</vt:lpstr>
      <vt:lpstr>'1stIA Resource Clearing Results'!Print_Area</vt:lpstr>
      <vt:lpstr>'2nd IA CTRs'!Print_Area</vt:lpstr>
      <vt:lpstr>'2nd IA ICTRs'!Print_Area</vt:lpstr>
      <vt:lpstr>'2nd IA Load Pricing Results'!Print_Area</vt:lpstr>
      <vt:lpstr>'2ndIA Resource Clearing Results'!Print_Area</vt:lpstr>
      <vt:lpstr>'3rd IA CTRs'!Print_Area</vt:lpstr>
      <vt:lpstr>'3rd IA ICTRs'!Print_Area</vt:lpstr>
      <vt:lpstr>'3rd IA Load Pricing Results'!Print_Area</vt:lpstr>
      <vt:lpstr>'3rdIA Resource Clearing Results'!Print_Area</vt:lpstr>
      <vt:lpstr>'BRA CTRs'!Print_Area</vt:lpstr>
      <vt:lpstr>'BRA ICTRs'!Print_Area</vt:lpstr>
      <vt:lpstr>'BRA Load Pricing Results'!Print_Area</vt:lpstr>
      <vt:lpstr>'BRA Resource Clearing Results'!Print_Area</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Keech</dc:creator>
  <cp:lastModifiedBy>Marzewski, Skyler</cp:lastModifiedBy>
  <cp:lastPrinted>2019-09-17T17:18:56Z</cp:lastPrinted>
  <dcterms:created xsi:type="dcterms:W3CDTF">2007-03-21T19:37:11Z</dcterms:created>
  <dcterms:modified xsi:type="dcterms:W3CDTF">2021-03-04T19:32:23Z</dcterms:modified>
</cp:coreProperties>
</file>