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dingc\Downloads\"/>
    </mc:Choice>
  </mc:AlternateContent>
  <bookViews>
    <workbookView xWindow="0" yWindow="0" windowWidth="19200" windowHeight="7050"/>
  </bookViews>
  <sheets>
    <sheet name="PJM Buy Bids-Sell Offers" sheetId="18" r:id="rId1"/>
    <sheet name="2nd IA Configuration" sheetId="17" r:id="rId2"/>
    <sheet name="2nd IA Parameters" sheetId="25" r:id="rId3"/>
    <sheet name="April2020Forecast" sheetId="26" r:id="rId4"/>
    <sheet name="1st IA Parameters" sheetId="16" r:id="rId5"/>
    <sheet name="BRA Parameters" sheetId="1" r:id="rId6"/>
  </sheets>
  <definedNames>
    <definedName name="_xlnm.Print_Area" localSheetId="4">'1st IA Parameters'!$A$1:$P$41</definedName>
    <definedName name="_xlnm.Print_Area" localSheetId="1">'2nd IA Configuration'!$A$1:$P$20</definedName>
    <definedName name="_xlnm.Print_Area" localSheetId="2">'2nd IA Parameters'!$A$1:$P$42</definedName>
    <definedName name="_xlnm.Print_Area" localSheetId="5">'BRA Parameters'!$A$1:$P$95</definedName>
    <definedName name="_xlnm.Print_Area" localSheetId="0">'PJM Buy Bids-Sell Offers'!$A$1:$J$25</definedName>
  </definedNames>
  <calcPr calcId="162913"/>
</workbook>
</file>

<file path=xl/calcChain.xml><?xml version="1.0" encoding="utf-8"?>
<calcChain xmlns="http://schemas.openxmlformats.org/spreadsheetml/2006/main">
  <c r="P42" i="25" l="1"/>
  <c r="M42" i="25"/>
  <c r="L42" i="25"/>
  <c r="E42" i="25"/>
  <c r="D42" i="25"/>
  <c r="C42" i="25"/>
  <c r="B12" i="25" l="1"/>
  <c r="B19" i="18" l="1"/>
  <c r="B18" i="18"/>
  <c r="E18" i="18" s="1"/>
  <c r="B10" i="18"/>
  <c r="B8" i="18"/>
  <c r="E8" i="18" l="1"/>
  <c r="P14" i="25"/>
  <c r="B37" i="16" l="1"/>
  <c r="B36" i="16"/>
  <c r="B35" i="16"/>
  <c r="B34" i="16"/>
  <c r="B33" i="16"/>
  <c r="P8" i="17"/>
  <c r="O8" i="17"/>
  <c r="N8" i="17"/>
  <c r="M8" i="17"/>
  <c r="L8" i="17"/>
  <c r="K8" i="17"/>
  <c r="J8" i="17"/>
  <c r="I8" i="17"/>
  <c r="H8" i="17"/>
  <c r="G8" i="17"/>
  <c r="F8" i="17"/>
  <c r="E8" i="17"/>
  <c r="D8" i="17"/>
  <c r="C8" i="17"/>
  <c r="P15" i="25"/>
  <c r="P5" i="17" l="1"/>
  <c r="L6" i="17"/>
  <c r="K6" i="17"/>
  <c r="J6" i="17"/>
  <c r="I6" i="17"/>
  <c r="H6" i="17"/>
  <c r="G6" i="17"/>
  <c r="F6" i="17"/>
  <c r="E6" i="17"/>
  <c r="D6" i="17"/>
  <c r="C6" i="17"/>
  <c r="B6" i="17"/>
  <c r="B32" i="25" l="1"/>
  <c r="B17" i="25"/>
  <c r="B39" i="25" s="1"/>
  <c r="B16" i="25"/>
  <c r="B21" i="25" l="1"/>
  <c r="B29" i="25" s="1"/>
  <c r="B20" i="25"/>
  <c r="B28" i="25" s="1"/>
  <c r="P32" i="25"/>
  <c r="O32" i="25"/>
  <c r="N32" i="25"/>
  <c r="M32" i="25"/>
  <c r="L32" i="25"/>
  <c r="K32" i="25"/>
  <c r="J32" i="25"/>
  <c r="I32" i="25"/>
  <c r="H32" i="25"/>
  <c r="G32" i="25"/>
  <c r="F32" i="25"/>
  <c r="E32" i="25"/>
  <c r="D32" i="25"/>
  <c r="C32" i="25"/>
  <c r="E26" i="25"/>
  <c r="C26" i="25" s="1"/>
  <c r="B26" i="25" s="1"/>
  <c r="D26" i="25"/>
  <c r="P17" i="25"/>
  <c r="P39" i="25" s="1"/>
  <c r="O17" i="25"/>
  <c r="N17" i="25"/>
  <c r="M17" i="25"/>
  <c r="L17" i="25"/>
  <c r="L39" i="25" s="1"/>
  <c r="K17" i="25"/>
  <c r="J17" i="25"/>
  <c r="I17" i="25"/>
  <c r="H17" i="25"/>
  <c r="H39" i="25" s="1"/>
  <c r="G17" i="25"/>
  <c r="F17" i="25"/>
  <c r="E17" i="25"/>
  <c r="D17" i="25"/>
  <c r="D39" i="25" s="1"/>
  <c r="C17" i="25"/>
  <c r="B38" i="25"/>
  <c r="P16" i="25"/>
  <c r="O16" i="25"/>
  <c r="N16" i="25"/>
  <c r="M16" i="25"/>
  <c r="L16" i="25"/>
  <c r="K16" i="25"/>
  <c r="J16" i="25"/>
  <c r="I16" i="25"/>
  <c r="H16" i="25"/>
  <c r="G16" i="25"/>
  <c r="F16" i="25"/>
  <c r="E16" i="25"/>
  <c r="D16" i="25"/>
  <c r="C16" i="25"/>
  <c r="O14" i="25"/>
  <c r="O15" i="25" s="1"/>
  <c r="O5" i="17" s="1"/>
  <c r="N14" i="25"/>
  <c r="N15" i="25" s="1"/>
  <c r="M14" i="25"/>
  <c r="L14" i="25"/>
  <c r="K14" i="25"/>
  <c r="K15" i="25" s="1"/>
  <c r="K5" i="17" s="1"/>
  <c r="J14" i="25"/>
  <c r="J15" i="25" s="1"/>
  <c r="I14" i="25"/>
  <c r="I15" i="25" s="1"/>
  <c r="I5" i="17" s="1"/>
  <c r="H14" i="25"/>
  <c r="H15" i="25" s="1"/>
  <c r="H5" i="17" s="1"/>
  <c r="G14" i="25"/>
  <c r="G15" i="25" s="1"/>
  <c r="G5" i="17" s="1"/>
  <c r="F14" i="25"/>
  <c r="F15" i="25" s="1"/>
  <c r="E14" i="25"/>
  <c r="D14" i="25"/>
  <c r="C14" i="25"/>
  <c r="B14" i="25"/>
  <c r="B15" i="25" s="1"/>
  <c r="B5" i="17" s="1"/>
  <c r="B7" i="17" s="1"/>
  <c r="G20" i="25" l="1"/>
  <c r="G28" i="25" s="1"/>
  <c r="G39" i="25"/>
  <c r="O20" i="25"/>
  <c r="O28" i="25" s="1"/>
  <c r="O39" i="25"/>
  <c r="C20" i="25"/>
  <c r="C28" i="25" s="1"/>
  <c r="C39" i="25"/>
  <c r="K20" i="25"/>
  <c r="K28" i="25" s="1"/>
  <c r="K39" i="25"/>
  <c r="E38" i="25"/>
  <c r="E39" i="25"/>
  <c r="I38" i="25"/>
  <c r="I39" i="25"/>
  <c r="M38" i="25"/>
  <c r="M39" i="25"/>
  <c r="I20" i="25"/>
  <c r="I28" i="25" s="1"/>
  <c r="M20" i="25"/>
  <c r="M28" i="25" s="1"/>
  <c r="F38" i="25"/>
  <c r="F39" i="25"/>
  <c r="J21" i="25"/>
  <c r="J29" i="25" s="1"/>
  <c r="J39" i="25"/>
  <c r="N38" i="25"/>
  <c r="N39" i="25"/>
  <c r="J23" i="25"/>
  <c r="J33" i="25" s="1"/>
  <c r="J5" i="17"/>
  <c r="F23" i="25"/>
  <c r="F33" i="25" s="1"/>
  <c r="F5" i="17"/>
  <c r="N23" i="25"/>
  <c r="N33" i="25" s="1"/>
  <c r="N5" i="17"/>
  <c r="E15" i="25"/>
  <c r="D15" i="25"/>
  <c r="C15" i="25"/>
  <c r="C25" i="25" s="1"/>
  <c r="L15" i="25"/>
  <c r="M15" i="25"/>
  <c r="I21" i="25"/>
  <c r="I29" i="25" s="1"/>
  <c r="D20" i="25"/>
  <c r="D28" i="25" s="1"/>
  <c r="H20" i="25"/>
  <c r="H28" i="25" s="1"/>
  <c r="L20" i="25"/>
  <c r="L28" i="25" s="1"/>
  <c r="P20" i="25"/>
  <c r="P28" i="25" s="1"/>
  <c r="E20" i="25"/>
  <c r="E28" i="25" s="1"/>
  <c r="E21" i="25"/>
  <c r="E29" i="25" s="1"/>
  <c r="M21" i="25"/>
  <c r="M29" i="25" s="1"/>
  <c r="F20" i="25"/>
  <c r="F28" i="25" s="1"/>
  <c r="J20" i="25"/>
  <c r="J28" i="25" s="1"/>
  <c r="N20" i="25"/>
  <c r="N28" i="25" s="1"/>
  <c r="F21" i="25"/>
  <c r="F29" i="25" s="1"/>
  <c r="N21" i="25"/>
  <c r="N29" i="25" s="1"/>
  <c r="J38" i="25"/>
  <c r="H25" i="25"/>
  <c r="H23" i="25"/>
  <c r="H33" i="25" s="1"/>
  <c r="H24" i="25"/>
  <c r="H34" i="25" s="1"/>
  <c r="P25" i="25"/>
  <c r="P37" i="25" s="1"/>
  <c r="P23" i="25"/>
  <c r="P33" i="25" s="1"/>
  <c r="P24" i="25"/>
  <c r="P34" i="25" s="1"/>
  <c r="B23" i="25"/>
  <c r="B33" i="25" s="1"/>
  <c r="B24" i="25"/>
  <c r="B34" i="25" s="1"/>
  <c r="B25" i="25"/>
  <c r="I23" i="25"/>
  <c r="I33" i="25" s="1"/>
  <c r="I25" i="25"/>
  <c r="I24" i="25"/>
  <c r="I34" i="25" s="1"/>
  <c r="C24" i="25"/>
  <c r="C34" i="25" s="1"/>
  <c r="G24" i="25"/>
  <c r="G34" i="25" s="1"/>
  <c r="G23" i="25"/>
  <c r="G33" i="25" s="1"/>
  <c r="G25" i="25"/>
  <c r="G37" i="25" s="1"/>
  <c r="K24" i="25"/>
  <c r="K34" i="25" s="1"/>
  <c r="K25" i="25"/>
  <c r="K37" i="25" s="1"/>
  <c r="K23" i="25"/>
  <c r="K33" i="25" s="1"/>
  <c r="O24" i="25"/>
  <c r="O34" i="25" s="1"/>
  <c r="O25" i="25"/>
  <c r="O37" i="25" s="1"/>
  <c r="O23" i="25"/>
  <c r="O33" i="25" s="1"/>
  <c r="D25" i="25"/>
  <c r="D24" i="25"/>
  <c r="D34" i="25" s="1"/>
  <c r="C21" i="25"/>
  <c r="C29" i="25" s="1"/>
  <c r="G21" i="25"/>
  <c r="G29" i="25" s="1"/>
  <c r="K21" i="25"/>
  <c r="K29" i="25" s="1"/>
  <c r="O21" i="25"/>
  <c r="O29" i="25" s="1"/>
  <c r="F25" i="25"/>
  <c r="F37" i="25" s="1"/>
  <c r="J25" i="25"/>
  <c r="J37" i="25" s="1"/>
  <c r="N25" i="25"/>
  <c r="N37" i="25" s="1"/>
  <c r="C38" i="25"/>
  <c r="G38" i="25"/>
  <c r="K38" i="25"/>
  <c r="O38" i="25"/>
  <c r="D21" i="25"/>
  <c r="D29" i="25" s="1"/>
  <c r="H21" i="25"/>
  <c r="H29" i="25" s="1"/>
  <c r="L21" i="25"/>
  <c r="L29" i="25" s="1"/>
  <c r="P21" i="25"/>
  <c r="P29" i="25" s="1"/>
  <c r="F24" i="25"/>
  <c r="F34" i="25" s="1"/>
  <c r="J24" i="25"/>
  <c r="J34" i="25" s="1"/>
  <c r="N24" i="25"/>
  <c r="N34" i="25" s="1"/>
  <c r="D38" i="25"/>
  <c r="H38" i="25"/>
  <c r="L38" i="25"/>
  <c r="P38" i="25"/>
  <c r="E24" i="25" l="1"/>
  <c r="E34" i="25" s="1"/>
  <c r="E5" i="17"/>
  <c r="D23" i="25"/>
  <c r="D33" i="25" s="1"/>
  <c r="D5" i="17"/>
  <c r="B37" i="25"/>
  <c r="B36" i="25"/>
  <c r="B35" i="25" s="1"/>
  <c r="C23" i="25"/>
  <c r="C33" i="25" s="1"/>
  <c r="C5" i="17"/>
  <c r="M24" i="25"/>
  <c r="M34" i="25" s="1"/>
  <c r="M5" i="17"/>
  <c r="M23" i="25"/>
  <c r="M33" i="25" s="1"/>
  <c r="L24" i="25"/>
  <c r="L34" i="25" s="1"/>
  <c r="L5" i="17"/>
  <c r="L23" i="25"/>
  <c r="L33" i="25" s="1"/>
  <c r="L25" i="25"/>
  <c r="L37" i="25" s="1"/>
  <c r="E23" i="25"/>
  <c r="E33" i="25" s="1"/>
  <c r="E25" i="25"/>
  <c r="E37" i="25" s="1"/>
  <c r="M25" i="25"/>
  <c r="M37" i="25" s="1"/>
  <c r="D37" i="25"/>
  <c r="D36" i="25"/>
  <c r="D35" i="25" s="1"/>
  <c r="I36" i="25"/>
  <c r="I35" i="25" s="1"/>
  <c r="I37" i="25"/>
  <c r="C36" i="25"/>
  <c r="C35" i="25" s="1"/>
  <c r="C37" i="25"/>
  <c r="H37" i="25"/>
  <c r="H36" i="25"/>
  <c r="H35" i="25" s="1"/>
  <c r="E36" i="25" l="1"/>
  <c r="E35" i="25" s="1"/>
  <c r="M36" i="25"/>
  <c r="M35" i="25" s="1"/>
  <c r="I36" i="16"/>
  <c r="H36" i="16"/>
  <c r="E36" i="16"/>
  <c r="D36" i="16"/>
  <c r="D35" i="16" s="1"/>
  <c r="C36" i="16"/>
  <c r="I35" i="16"/>
  <c r="H35" i="16"/>
  <c r="E35" i="16"/>
  <c r="C35" i="16"/>
  <c r="B25" i="16" l="1"/>
  <c r="B24" i="16"/>
  <c r="B23" i="16"/>
  <c r="F33" i="16" l="1"/>
  <c r="G33" i="16"/>
  <c r="H33" i="16"/>
  <c r="I33" i="16"/>
  <c r="F34" i="16"/>
  <c r="G34" i="16"/>
  <c r="H34" i="16"/>
  <c r="I34" i="16"/>
  <c r="F37" i="16"/>
  <c r="G37" i="16"/>
  <c r="H37" i="16"/>
  <c r="I37" i="16"/>
  <c r="P32" i="16"/>
  <c r="P29" i="16"/>
  <c r="P28" i="16"/>
  <c r="J32" i="16"/>
  <c r="K32" i="16"/>
  <c r="L32" i="16"/>
  <c r="M32" i="16"/>
  <c r="N32" i="16"/>
  <c r="O32" i="16"/>
  <c r="J28" i="16"/>
  <c r="K28" i="16"/>
  <c r="L28" i="16"/>
  <c r="M28" i="16"/>
  <c r="N28" i="16"/>
  <c r="O28" i="16"/>
  <c r="J29" i="16"/>
  <c r="K29" i="16"/>
  <c r="L29" i="16"/>
  <c r="M29" i="16"/>
  <c r="N29" i="16"/>
  <c r="O29" i="16"/>
  <c r="F32" i="16"/>
  <c r="G32" i="16"/>
  <c r="F28" i="16"/>
  <c r="G28" i="16"/>
  <c r="F29" i="16"/>
  <c r="G29" i="16"/>
  <c r="E28" i="16"/>
  <c r="P41" i="1" l="1"/>
  <c r="B12" i="16" l="1"/>
  <c r="P17" i="16" l="1"/>
  <c r="P16" i="16"/>
  <c r="B17" i="16"/>
  <c r="B16" i="16"/>
  <c r="D41" i="16"/>
  <c r="E41" i="16"/>
  <c r="L41" i="16"/>
  <c r="M41" i="16"/>
  <c r="P41" i="16"/>
  <c r="B14" i="16"/>
  <c r="B15" i="16" s="1"/>
  <c r="B12" i="17" l="1"/>
  <c r="C41" i="16"/>
  <c r="P14" i="16"/>
  <c r="P15" i="16" s="1"/>
  <c r="P6" i="17" s="1"/>
  <c r="H45" i="1" l="1"/>
  <c r="B13" i="1"/>
  <c r="C17" i="16"/>
  <c r="D17" i="16"/>
  <c r="E17" i="16"/>
  <c r="F17" i="16"/>
  <c r="G17" i="16"/>
  <c r="H17" i="16"/>
  <c r="I17" i="16"/>
  <c r="J17" i="16"/>
  <c r="K17" i="16"/>
  <c r="L17" i="16"/>
  <c r="M17" i="16"/>
  <c r="N17" i="16"/>
  <c r="O17" i="16"/>
  <c r="C16" i="16"/>
  <c r="D16" i="16"/>
  <c r="E16" i="16"/>
  <c r="F16" i="16"/>
  <c r="G16" i="16"/>
  <c r="H16" i="16"/>
  <c r="I16" i="16"/>
  <c r="J16" i="16"/>
  <c r="K16" i="16"/>
  <c r="L16" i="16"/>
  <c r="M16" i="16"/>
  <c r="N16" i="16"/>
  <c r="O16" i="16"/>
  <c r="P7" i="17" l="1"/>
  <c r="P12" i="17" s="1"/>
  <c r="P13" i="17" s="1"/>
  <c r="B21" i="18" s="1"/>
  <c r="G21" i="18" s="1"/>
  <c r="C14" i="16" l="1"/>
  <c r="C15" i="16" s="1"/>
  <c r="C7" i="17" s="1"/>
  <c r="C12" i="17" s="1"/>
  <c r="P38" i="16"/>
  <c r="O38" i="16"/>
  <c r="N38" i="16"/>
  <c r="M38" i="16"/>
  <c r="L38" i="16"/>
  <c r="K38" i="16"/>
  <c r="J38" i="16"/>
  <c r="I38" i="16"/>
  <c r="H38" i="16"/>
  <c r="G38" i="16"/>
  <c r="F38" i="16"/>
  <c r="E38" i="16"/>
  <c r="D38" i="16"/>
  <c r="C38" i="16"/>
  <c r="B38" i="16"/>
  <c r="I32" i="16"/>
  <c r="H32" i="16"/>
  <c r="E32" i="16"/>
  <c r="D32" i="16"/>
  <c r="C32" i="16"/>
  <c r="B32" i="16"/>
  <c r="E26" i="16"/>
  <c r="D26" i="16"/>
  <c r="C26" i="16" s="1"/>
  <c r="B26" i="16" s="1"/>
  <c r="P21" i="16"/>
  <c r="O21" i="16"/>
  <c r="N21" i="16"/>
  <c r="M21" i="16"/>
  <c r="L21" i="16"/>
  <c r="K21" i="16"/>
  <c r="J21" i="16"/>
  <c r="I21" i="16"/>
  <c r="I29" i="16" s="1"/>
  <c r="H21" i="16"/>
  <c r="H29" i="16" s="1"/>
  <c r="G21" i="16"/>
  <c r="F21" i="16"/>
  <c r="E21" i="16"/>
  <c r="E29" i="16" s="1"/>
  <c r="D21" i="16"/>
  <c r="D29" i="16" s="1"/>
  <c r="C21" i="16"/>
  <c r="C29" i="16" s="1"/>
  <c r="B21" i="16"/>
  <c r="B29" i="16" s="1"/>
  <c r="P20" i="16"/>
  <c r="O20" i="16"/>
  <c r="N20" i="16"/>
  <c r="M20" i="16"/>
  <c r="L20" i="16"/>
  <c r="K20" i="16"/>
  <c r="J20" i="16"/>
  <c r="I20" i="16"/>
  <c r="I28" i="16" s="1"/>
  <c r="H20" i="16"/>
  <c r="H28" i="16" s="1"/>
  <c r="G20" i="16"/>
  <c r="F20" i="16"/>
  <c r="E20" i="16"/>
  <c r="D20" i="16"/>
  <c r="D28" i="16" s="1"/>
  <c r="C20" i="16"/>
  <c r="C28" i="16" s="1"/>
  <c r="B20" i="16"/>
  <c r="B28" i="16" s="1"/>
  <c r="O14" i="16"/>
  <c r="O15" i="16" s="1"/>
  <c r="N14" i="16"/>
  <c r="N15" i="16" s="1"/>
  <c r="M14" i="16"/>
  <c r="L14" i="16"/>
  <c r="K14" i="16"/>
  <c r="K15" i="16" s="1"/>
  <c r="K7" i="17" s="1"/>
  <c r="K12" i="17" s="1"/>
  <c r="K13" i="17" s="1"/>
  <c r="B16" i="18" s="1"/>
  <c r="E16" i="18" s="1"/>
  <c r="J14" i="16"/>
  <c r="J15" i="16" s="1"/>
  <c r="J7" i="17" s="1"/>
  <c r="J12" i="17" s="1"/>
  <c r="I14" i="16"/>
  <c r="I15" i="16" s="1"/>
  <c r="H14" i="16"/>
  <c r="H15" i="16" s="1"/>
  <c r="H7" i="17" s="1"/>
  <c r="H12" i="17" s="1"/>
  <c r="H13" i="17" s="1"/>
  <c r="G14" i="16"/>
  <c r="G15" i="16" s="1"/>
  <c r="G7" i="17" s="1"/>
  <c r="G12" i="17" s="1"/>
  <c r="F14" i="16"/>
  <c r="F15" i="16" s="1"/>
  <c r="F7" i="17" s="1"/>
  <c r="F12" i="17" s="1"/>
  <c r="E14" i="16"/>
  <c r="D14" i="16"/>
  <c r="B26" i="1"/>
  <c r="B25" i="1"/>
  <c r="B24" i="1"/>
  <c r="B23" i="1"/>
  <c r="B21" i="1"/>
  <c r="B29" i="1" s="1"/>
  <c r="B20" i="1"/>
  <c r="B28" i="1" s="1"/>
  <c r="J13" i="17" l="1"/>
  <c r="G13" i="17"/>
  <c r="B12" i="18" s="1"/>
  <c r="B15" i="18"/>
  <c r="G15" i="18" s="1"/>
  <c r="O6" i="17"/>
  <c r="O7" i="17" s="1"/>
  <c r="O12" i="17" s="1"/>
  <c r="O13" i="17" s="1"/>
  <c r="B20" i="18" s="1"/>
  <c r="N6" i="17"/>
  <c r="N7" i="17" s="1"/>
  <c r="N12" i="17" s="1"/>
  <c r="I25" i="16"/>
  <c r="I7" i="17"/>
  <c r="I12" i="17" s="1"/>
  <c r="M15" i="16"/>
  <c r="M6" i="17" s="1"/>
  <c r="P23" i="16"/>
  <c r="P33" i="16" s="1"/>
  <c r="E15" i="16"/>
  <c r="D15" i="16"/>
  <c r="L15" i="16"/>
  <c r="K23" i="16"/>
  <c r="K33" i="16" s="1"/>
  <c r="K24" i="16"/>
  <c r="K34" i="16" s="1"/>
  <c r="K25" i="16"/>
  <c r="K37" i="16" s="1"/>
  <c r="G23" i="16"/>
  <c r="G24" i="16"/>
  <c r="G25" i="16"/>
  <c r="O23" i="16"/>
  <c r="O33" i="16" s="1"/>
  <c r="O24" i="16"/>
  <c r="O34" i="16" s="1"/>
  <c r="O25" i="16"/>
  <c r="O37" i="16" s="1"/>
  <c r="H24" i="16"/>
  <c r="H25" i="16"/>
  <c r="H23" i="16"/>
  <c r="C23" i="16"/>
  <c r="C33" i="16" s="1"/>
  <c r="C24" i="16"/>
  <c r="C34" i="16" s="1"/>
  <c r="C25" i="16"/>
  <c r="F25" i="16"/>
  <c r="F23" i="16"/>
  <c r="F24" i="16"/>
  <c r="J25" i="16"/>
  <c r="J37" i="16" s="1"/>
  <c r="J23" i="16"/>
  <c r="J33" i="16" s="1"/>
  <c r="J24" i="16"/>
  <c r="J34" i="16" s="1"/>
  <c r="N25" i="16"/>
  <c r="N37" i="16" s="1"/>
  <c r="N23" i="16"/>
  <c r="N33" i="16" s="1"/>
  <c r="N24" i="16"/>
  <c r="N34" i="16" s="1"/>
  <c r="I23" i="16"/>
  <c r="I24" i="16"/>
  <c r="F73" i="1"/>
  <c r="F13" i="17" l="1"/>
  <c r="G20" i="18"/>
  <c r="B11" i="18"/>
  <c r="E11" i="18" s="1"/>
  <c r="N13" i="17"/>
  <c r="I13" i="17"/>
  <c r="B14" i="18" s="1"/>
  <c r="L24" i="16"/>
  <c r="L34" i="16" s="1"/>
  <c r="L7" i="17"/>
  <c r="L12" i="17" s="1"/>
  <c r="B13" i="17" s="1"/>
  <c r="M24" i="16"/>
  <c r="M34" i="16" s="1"/>
  <c r="M7" i="17"/>
  <c r="M12" i="17" s="1"/>
  <c r="E23" i="16"/>
  <c r="E33" i="16" s="1"/>
  <c r="E7" i="17"/>
  <c r="E12" i="17" s="1"/>
  <c r="D25" i="16"/>
  <c r="D7" i="17"/>
  <c r="D12" i="17" s="1"/>
  <c r="C13" i="17" s="1"/>
  <c r="P25" i="16"/>
  <c r="P37" i="16" s="1"/>
  <c r="M25" i="16"/>
  <c r="M23" i="16"/>
  <c r="M33" i="16" s="1"/>
  <c r="L25" i="16"/>
  <c r="L37" i="16" s="1"/>
  <c r="L23" i="16"/>
  <c r="L33" i="16" s="1"/>
  <c r="E25" i="16"/>
  <c r="E37" i="16" s="1"/>
  <c r="D23" i="16"/>
  <c r="D33" i="16" s="1"/>
  <c r="P24" i="16"/>
  <c r="P34" i="16" s="1"/>
  <c r="E24" i="16"/>
  <c r="E34" i="16" s="1"/>
  <c r="D24" i="16"/>
  <c r="D34" i="16" s="1"/>
  <c r="C37" i="16"/>
  <c r="D37" i="16"/>
  <c r="G61" i="1"/>
  <c r="E14" i="18" l="1"/>
  <c r="D13" i="17"/>
  <c r="L13" i="17"/>
  <c r="B17" i="18" s="1"/>
  <c r="G17" i="18" s="1"/>
  <c r="B7" i="18"/>
  <c r="M13" i="17"/>
  <c r="E13" i="17" s="1"/>
  <c r="M37" i="16"/>
  <c r="M36" i="16"/>
  <c r="M35" i="16" s="1"/>
  <c r="D26" i="1" l="1"/>
  <c r="C26" i="1" s="1"/>
  <c r="E26" i="1"/>
  <c r="B9" i="18" l="1"/>
  <c r="E9" i="18" s="1"/>
  <c r="B13" i="18"/>
  <c r="E7" i="18"/>
  <c r="B32" i="1"/>
  <c r="B22" i="18" l="1"/>
  <c r="F70" i="1"/>
  <c r="F69" i="1"/>
  <c r="F65" i="1"/>
  <c r="E65" i="1"/>
  <c r="E45" i="1" s="1"/>
  <c r="F71" i="1" l="1"/>
  <c r="F45" i="1"/>
  <c r="B7" i="1" s="1"/>
  <c r="B12" i="1" s="1"/>
  <c r="F72" i="1"/>
  <c r="M32" i="1"/>
  <c r="I32" i="1"/>
  <c r="H32" i="1"/>
  <c r="E32" i="1"/>
  <c r="D32" i="1"/>
  <c r="C32" i="1"/>
  <c r="D54" i="1" l="1"/>
  <c r="D53" i="1"/>
  <c r="D51" i="1"/>
  <c r="P13" i="1"/>
  <c r="P14" i="1" s="1"/>
  <c r="O13" i="1"/>
  <c r="O14" i="1" s="1"/>
  <c r="O15" i="1" s="1"/>
  <c r="O23" i="1" s="1"/>
  <c r="N13" i="1"/>
  <c r="P11" i="1"/>
  <c r="O11" i="1"/>
  <c r="P10" i="1"/>
  <c r="O10" i="1"/>
  <c r="P15" i="1" l="1"/>
  <c r="P24" i="1" s="1"/>
  <c r="O24" i="1"/>
  <c r="P23" i="1"/>
  <c r="O25" i="1"/>
  <c r="P25" i="1" l="1"/>
  <c r="G59" i="1"/>
  <c r="M13" i="1" l="1"/>
  <c r="L13" i="1"/>
  <c r="K13" i="1"/>
  <c r="J13" i="1"/>
  <c r="I13" i="1"/>
  <c r="H13" i="1"/>
  <c r="G13" i="1"/>
  <c r="F13" i="1"/>
  <c r="H73" i="1"/>
  <c r="B14" i="1" l="1"/>
  <c r="B15" i="1" s="1"/>
  <c r="O21" i="1" l="1"/>
  <c r="O38" i="1"/>
  <c r="O20" i="1"/>
  <c r="P21" i="1"/>
  <c r="P20" i="1"/>
  <c r="P38" i="1"/>
  <c r="H38" i="1" l="1"/>
  <c r="H20" i="1"/>
  <c r="H28" i="1" s="1"/>
  <c r="N21" i="1"/>
  <c r="N38" i="1"/>
  <c r="G20" i="1"/>
  <c r="G38" i="1"/>
  <c r="I20" i="1"/>
  <c r="I28" i="1" s="1"/>
  <c r="I38" i="1"/>
  <c r="K20" i="1"/>
  <c r="K38" i="1"/>
  <c r="L20" i="1"/>
  <c r="L38" i="1"/>
  <c r="F20" i="1"/>
  <c r="F38" i="1"/>
  <c r="M20" i="1"/>
  <c r="M28" i="1" s="1"/>
  <c r="M38" i="1"/>
  <c r="J20" i="1"/>
  <c r="J38" i="1"/>
  <c r="N20" i="1"/>
  <c r="H21" i="1"/>
  <c r="L21" i="1"/>
  <c r="I21" i="1"/>
  <c r="K21" i="1"/>
  <c r="G21" i="1"/>
  <c r="J21" i="1"/>
  <c r="M21" i="1"/>
  <c r="F21" i="1"/>
  <c r="B38" i="1" l="1"/>
  <c r="I29" i="1"/>
  <c r="H29" i="1"/>
  <c r="M29" i="1"/>
  <c r="D20" i="1"/>
  <c r="D28" i="1" s="1"/>
  <c r="D38" i="1"/>
  <c r="C20" i="1"/>
  <c r="C28" i="1" s="1"/>
  <c r="C38" i="1"/>
  <c r="E20" i="1"/>
  <c r="E28" i="1" s="1"/>
  <c r="E38" i="1"/>
  <c r="B33" i="1"/>
  <c r="E21" i="1"/>
  <c r="D21" i="1"/>
  <c r="C21" i="1"/>
  <c r="N11" i="1"/>
  <c r="N10" i="1"/>
  <c r="N14" i="1"/>
  <c r="I58" i="1"/>
  <c r="D49" i="1"/>
  <c r="M11" i="1"/>
  <c r="M41" i="1" s="1"/>
  <c r="L11" i="1"/>
  <c r="L41" i="1" s="1"/>
  <c r="M10" i="1"/>
  <c r="L10" i="1"/>
  <c r="M14" i="1"/>
  <c r="M15" i="1" s="1"/>
  <c r="L14" i="1"/>
  <c r="L15" i="1" s="1"/>
  <c r="G65" i="1"/>
  <c r="G54" i="1"/>
  <c r="K14" i="1"/>
  <c r="K15" i="1" s="1"/>
  <c r="K11" i="1"/>
  <c r="D50" i="1"/>
  <c r="K10" i="1"/>
  <c r="I59" i="1"/>
  <c r="I47" i="1"/>
  <c r="D70" i="1"/>
  <c r="J14" i="1"/>
  <c r="D58" i="1"/>
  <c r="J11" i="1"/>
  <c r="J10" i="1"/>
  <c r="H71" i="1"/>
  <c r="H70" i="1"/>
  <c r="E13" i="1" s="1"/>
  <c r="H69" i="1"/>
  <c r="D13" i="1" s="1"/>
  <c r="I46" i="1"/>
  <c r="G68" i="1"/>
  <c r="G66" i="1"/>
  <c r="G64" i="1"/>
  <c r="G63" i="1"/>
  <c r="G62" i="1"/>
  <c r="G60" i="1"/>
  <c r="G57" i="1"/>
  <c r="G56" i="1"/>
  <c r="G55" i="1"/>
  <c r="G53" i="1"/>
  <c r="G52" i="1"/>
  <c r="G51" i="1"/>
  <c r="G49" i="1"/>
  <c r="G48" i="1"/>
  <c r="G47" i="1"/>
  <c r="G46" i="1"/>
  <c r="G14" i="1"/>
  <c r="I68" i="1"/>
  <c r="I66" i="1"/>
  <c r="I64" i="1"/>
  <c r="I63" i="1"/>
  <c r="I62" i="1"/>
  <c r="I61" i="1"/>
  <c r="I60" i="1"/>
  <c r="I57" i="1"/>
  <c r="I56" i="1"/>
  <c r="I55" i="1"/>
  <c r="I53" i="1"/>
  <c r="I52" i="1"/>
  <c r="I51" i="1"/>
  <c r="I49" i="1"/>
  <c r="I48" i="1"/>
  <c r="D69" i="1"/>
  <c r="D67" i="1"/>
  <c r="D66" i="1"/>
  <c r="D64" i="1"/>
  <c r="I11" i="1"/>
  <c r="H11" i="1"/>
  <c r="G10" i="1"/>
  <c r="H10" i="1"/>
  <c r="I10" i="1"/>
  <c r="G11" i="1"/>
  <c r="F11" i="1"/>
  <c r="F10" i="1"/>
  <c r="E11" i="1"/>
  <c r="E41" i="1" s="1"/>
  <c r="E10" i="1"/>
  <c r="D11" i="1"/>
  <c r="D41" i="1" s="1"/>
  <c r="D10" i="1"/>
  <c r="C10" i="1"/>
  <c r="C11" i="1"/>
  <c r="I54" i="1"/>
  <c r="I67" i="1"/>
  <c r="I65" i="1"/>
  <c r="I50" i="1"/>
  <c r="I45" i="1" l="1"/>
  <c r="C29" i="1"/>
  <c r="E29" i="1"/>
  <c r="D29" i="1"/>
  <c r="B34" i="1"/>
  <c r="J15" i="1"/>
  <c r="G15" i="1"/>
  <c r="N15" i="1"/>
  <c r="I14" i="1"/>
  <c r="D14" i="1"/>
  <c r="D15" i="1" s="1"/>
  <c r="H72" i="1"/>
  <c r="C13" i="1" s="1"/>
  <c r="F14" i="1"/>
  <c r="H14" i="1"/>
  <c r="B37" i="1" l="1"/>
  <c r="B36" i="1"/>
  <c r="B35" i="1" s="1"/>
  <c r="G25" i="1"/>
  <c r="G24" i="1"/>
  <c r="G23" i="1"/>
  <c r="J25" i="1"/>
  <c r="J24" i="1"/>
  <c r="J23" i="1"/>
  <c r="L25" i="1"/>
  <c r="L24" i="1"/>
  <c r="L23" i="1"/>
  <c r="M25" i="1"/>
  <c r="M24" i="1"/>
  <c r="M34" i="1" s="1"/>
  <c r="M23" i="1"/>
  <c r="M33" i="1" s="1"/>
  <c r="N25" i="1"/>
  <c r="N24" i="1"/>
  <c r="N23" i="1"/>
  <c r="K25" i="1"/>
  <c r="K24" i="1"/>
  <c r="K23" i="1"/>
  <c r="F15" i="1"/>
  <c r="I15" i="1"/>
  <c r="H15" i="1"/>
  <c r="E14" i="1"/>
  <c r="E15" i="1" s="1"/>
  <c r="M37" i="1" l="1"/>
  <c r="M36" i="1"/>
  <c r="M35" i="1" s="1"/>
  <c r="F25" i="1"/>
  <c r="F24" i="1"/>
  <c r="F23" i="1"/>
  <c r="I25" i="1"/>
  <c r="I24" i="1"/>
  <c r="I34" i="1" s="1"/>
  <c r="I23" i="1"/>
  <c r="I33" i="1" s="1"/>
  <c r="D25" i="1"/>
  <c r="D24" i="1"/>
  <c r="D34" i="1" s="1"/>
  <c r="D23" i="1"/>
  <c r="D33" i="1" s="1"/>
  <c r="H25" i="1"/>
  <c r="H24" i="1"/>
  <c r="H34" i="1" s="1"/>
  <c r="H23" i="1"/>
  <c r="H33" i="1" s="1"/>
  <c r="C14" i="1"/>
  <c r="C15" i="1" s="1"/>
  <c r="H37" i="1" l="1"/>
  <c r="H36" i="1"/>
  <c r="H35" i="1" s="1"/>
  <c r="I37" i="1"/>
  <c r="I36" i="1"/>
  <c r="I35" i="1" s="1"/>
  <c r="D37" i="1"/>
  <c r="D36" i="1"/>
  <c r="D35" i="1" s="1"/>
  <c r="E25" i="1"/>
  <c r="E24" i="1"/>
  <c r="E34" i="1" s="1"/>
  <c r="E23" i="1"/>
  <c r="E33" i="1" s="1"/>
  <c r="E37" i="1" l="1"/>
  <c r="E36" i="1"/>
  <c r="E35" i="1" s="1"/>
  <c r="C25" i="1"/>
  <c r="C24" i="1"/>
  <c r="C34" i="1" s="1"/>
  <c r="C23" i="1"/>
  <c r="C33" i="1" s="1"/>
  <c r="C37" i="1" l="1"/>
  <c r="C36" i="1"/>
  <c r="C35" i="1" s="1"/>
</calcChain>
</file>

<file path=xl/sharedStrings.xml><?xml version="1.0" encoding="utf-8"?>
<sst xmlns="http://schemas.openxmlformats.org/spreadsheetml/2006/main" count="779" uniqueCount="168">
  <si>
    <t>APS</t>
  </si>
  <si>
    <t>DPL</t>
  </si>
  <si>
    <t>AE</t>
  </si>
  <si>
    <t>BGE</t>
  </si>
  <si>
    <t>DLCO</t>
  </si>
  <si>
    <t>JCPL</t>
  </si>
  <si>
    <t>PECO</t>
  </si>
  <si>
    <t>PEPCO</t>
  </si>
  <si>
    <t>PS</t>
  </si>
  <si>
    <t>CETO</t>
  </si>
  <si>
    <t>Reliability Requirement</t>
  </si>
  <si>
    <t>CETL</t>
  </si>
  <si>
    <t xml:space="preserve"> </t>
  </si>
  <si>
    <t>RTO</t>
  </si>
  <si>
    <t>SWMAAC</t>
  </si>
  <si>
    <t>Western MAAC</t>
  </si>
  <si>
    <t>EMAAC</t>
  </si>
  <si>
    <t>MAAC</t>
  </si>
  <si>
    <t>COMED</t>
  </si>
  <si>
    <t>DAYTON</t>
  </si>
  <si>
    <t>DOM</t>
  </si>
  <si>
    <t>METED</t>
  </si>
  <si>
    <t>PENLC</t>
  </si>
  <si>
    <t>DPLSOUTH</t>
  </si>
  <si>
    <t>NA</t>
  </si>
  <si>
    <t>Point (a) UCAP Price, $/MW-Day</t>
  </si>
  <si>
    <t>Point (b) UCAP Price, $/MW-Day</t>
  </si>
  <si>
    <t>Point (c) UCAP Price, $/MW-Day</t>
  </si>
  <si>
    <t>Point (a) UCAP Level, MW</t>
  </si>
  <si>
    <t>Point (b) UCAP Level, MW</t>
  </si>
  <si>
    <t>Point (c) UCAP Level, MW</t>
  </si>
  <si>
    <t>Preliminary Zonal Peak Load Forecast</t>
  </si>
  <si>
    <t>Base Zonal FRR Scaling Factor</t>
  </si>
  <si>
    <t>PL (incl. UGI)</t>
  </si>
  <si>
    <t>Western PJM</t>
  </si>
  <si>
    <t xml:space="preserve">Installed Reserve Margin (IRM) </t>
  </si>
  <si>
    <t>Pool-Wide Average EFORd</t>
  </si>
  <si>
    <t>Forecast Pool Requirement (FPR)</t>
  </si>
  <si>
    <t>Preliminary Forecast Peak Load</t>
  </si>
  <si>
    <t>LDA/Zone</t>
  </si>
  <si>
    <t>RECO</t>
  </si>
  <si>
    <t>Notes:</t>
  </si>
  <si>
    <t>PS NORTH</t>
  </si>
  <si>
    <t>DPL SOUTH</t>
  </si>
  <si>
    <t>Preliminary FRR Obligation</t>
  </si>
  <si>
    <t>Reliability Requirement adjusted for FRR</t>
  </si>
  <si>
    <t>Net CONE, $/MW-Day (UCAP Price)</t>
  </si>
  <si>
    <t>Variable Resource Requirement Curve:</t>
  </si>
  <si>
    <t>&gt; 115%</t>
  </si>
  <si>
    <t>Participant-Funded ICTRs Awarded</t>
  </si>
  <si>
    <t>ATSI</t>
  </si>
  <si>
    <t xml:space="preserve">FRR Portion of the Preliminary Peak Load Forecast       </t>
  </si>
  <si>
    <t>AEP</t>
  </si>
  <si>
    <t>DEOK</t>
  </si>
  <si>
    <t>Limiting conditions at the CETL for modeled LDAs:</t>
  </si>
  <si>
    <t>PSNORTH</t>
  </si>
  <si>
    <t>ATSI-CLEVELAND</t>
  </si>
  <si>
    <t>EKPC</t>
  </si>
  <si>
    <t>ATSI-Cleveland</t>
  </si>
  <si>
    <t>*</t>
  </si>
  <si>
    <t>CETL to CETO Ratio %</t>
  </si>
  <si>
    <t>PL</t>
  </si>
  <si>
    <t>FRR Load Requirement (% Obligation):</t>
  </si>
  <si>
    <t xml:space="preserve">LDA      </t>
  </si>
  <si>
    <t>* LDA has adequate internal resources to meet the reliability criterion.</t>
  </si>
  <si>
    <t>LDA CETO/CETL Data; Zonal Peak Loads, Base Zonal FRR Scaling Factors, and FRR load.</t>
  </si>
  <si>
    <t>Preliminary Zonal Peak Load Forecast less FRR load</t>
  </si>
  <si>
    <t>Locational Deliverability Area</t>
  </si>
  <si>
    <t xml:space="preserve">   </t>
  </si>
  <si>
    <t>Gross CONE, $/MW-Day (UCAP Price)</t>
  </si>
  <si>
    <t>Nominated PRD Value, MW</t>
  </si>
  <si>
    <t>Point (b1) UCAP Level, MW</t>
  </si>
  <si>
    <t>Point (b1) UCAP Price, $/MW-Day</t>
  </si>
  <si>
    <t>Point (a1) UCAP Price, $/MW-Day</t>
  </si>
  <si>
    <t>Point (a1) UCAP Level, MW</t>
  </si>
  <si>
    <t>Point (prd1) UCAP Price, $/MW-Day</t>
  </si>
  <si>
    <t>Point (prd2) UCAP Price, $/MW-Day</t>
  </si>
  <si>
    <t>Point (prd1) UCAP Level, MW</t>
  </si>
  <si>
    <t>Point (prd2) UCAP Level, MW</t>
  </si>
  <si>
    <t>VRR Curve adjusted for PRD:</t>
  </si>
  <si>
    <t>Pre-Auction Credit Rate, $/MW</t>
  </si>
  <si>
    <t>Minimum Internal Resource Requirement</t>
  </si>
  <si>
    <t>2021-2022 RPM Base Residual Auction Planning Parameters</t>
  </si>
  <si>
    <t>OVEC</t>
  </si>
  <si>
    <t>Load data: from 2018 Load Report with adjustments due to load served outside PJM.</t>
  </si>
  <si>
    <t>2017 IRM Study</t>
  </si>
  <si>
    <t>2017 Zonal W/N Coincident Peak Loads</t>
  </si>
  <si>
    <t>&gt;805</t>
  </si>
  <si>
    <t>&gt;610</t>
  </si>
  <si>
    <t>&gt;3910</t>
  </si>
  <si>
    <t>&gt;1392</t>
  </si>
  <si>
    <t>&gt;2829</t>
  </si>
  <si>
    <t>Violation/Limiting Facility</t>
  </si>
  <si>
    <t>Thermal / Cedar Creek - Sliver Run 230 kV for loss of Cartanza - Milford 230 kV circuit</t>
  </si>
  <si>
    <t>Thermal / South Canton - Harmon 345 kV for loss of the Sammis - Star 345 kV circuit</t>
  </si>
  <si>
    <t>Thermal / Wescosville 500/138 kV transformer pre-contingency</t>
  </si>
  <si>
    <t>Thermal / O.H. Hutchings - Sugarcreek 138 kV line for the loss of Sugarcreek - Centerville and Sugarcreek - Normandy 138 kV line</t>
  </si>
  <si>
    <t>Voltage / Voltage drop at multiple BES buses for the loss of the Burchess Hill - Possum Point 500 kV circuit</t>
  </si>
  <si>
    <t>Voltage / Voltage drop at Cochranville 230 kV for loss of Keeney - Rock Springs 500 kV circuit</t>
  </si>
  <si>
    <t>Thermal / Roseland - Cedar Grove 230 kV for the loss of the Roseland - Williams Pipeline 230 kV circuit; McCarter - Essex 230 kV pre-   contingency</t>
  </si>
  <si>
    <t xml:space="preserve">Voltage / Voltage drop at multiple BES buses for the loss of the Waugh Chapel 230 kV capacitor </t>
  </si>
  <si>
    <t>Thermal / High Ridge - Sandy Springs 230 kV for the loss of the parallel High Ridge - Sandy Springs - Burtonsville 230 kV circuit</t>
  </si>
  <si>
    <t>Thermal / Dumont - Stillwell 345kV line for the loss of Dumont - Wilton 765 kV circuit</t>
  </si>
  <si>
    <t>Thermal / Pierce 345/138 kV transformer for loss of the Pierce - Foster 345 kV circuit; Greendale - Miami Forte 138 kV for loss of the Tanners Creek - Miami Forte 345 kV circuit</t>
  </si>
  <si>
    <t>&gt;920</t>
  </si>
  <si>
    <t>&gt;2772</t>
  </si>
  <si>
    <t>&gt;3002</t>
  </si>
  <si>
    <t>&gt;4439</t>
  </si>
  <si>
    <t>Total Peak Load of FRR Entities</t>
  </si>
  <si>
    <t>Original 2/1/2018: Reliability Requirement not adjusted for FRR load.</t>
  </si>
  <si>
    <t xml:space="preserve">Revision 4/13/2018: Reliability Requirement adjusted for FRR load.  Revisions made in CETO, CETL, and Reliability Requirement values as shown in red. </t>
  </si>
  <si>
    <t xml:space="preserve">Revision 4/18/2018: Corrected DEOK Reliability Requirement adjusted for FRR load. OVEC zone removed as its integration is delayed. EMAAC CETO, CETL changes shown in red. </t>
  </si>
  <si>
    <t>EE Addback (UCAP)</t>
  </si>
  <si>
    <t>Revision 5/3/2018: VRR Curve updated to reflect adjustments for total quantity of EE Resources for which PJM accepted an EE M&amp;V Plan submitted for the auction.</t>
  </si>
  <si>
    <t>2021-2022 RPM First Incremental Auction Planning Parameters</t>
  </si>
  <si>
    <t>ATSI-C</t>
  </si>
  <si>
    <t>1st IA Reliability Requirement</t>
  </si>
  <si>
    <t>Change in Reliability Requirement * (1)</t>
  </si>
  <si>
    <t>Uncleared PJM Buy Bids from Previous IA (2)</t>
  </si>
  <si>
    <t>Net of (1), (2), and (3)</t>
  </si>
  <si>
    <t>PJM Buy Bids &amp; Sell Offers</t>
  </si>
  <si>
    <t>Price Points for PJM Buy Bids and PJM Sell Offers **</t>
  </si>
  <si>
    <t>Location</t>
  </si>
  <si>
    <t>Rest of LDA PJM Buy Bid (MW) *</t>
  </si>
  <si>
    <t>Point 1 x-axis (MW)</t>
  </si>
  <si>
    <t>Point 1 y-axis ($/MW-Day)</t>
  </si>
  <si>
    <t>Point 2 x-axis (MW)</t>
  </si>
  <si>
    <t>Point 2 y-axis ($/MW-Day)</t>
  </si>
  <si>
    <t>Point 3 x-axis (MW)</t>
  </si>
  <si>
    <t>Point 3 y-axis ($/MW-Day)</t>
  </si>
  <si>
    <t>RTO (Rest of)</t>
  </si>
  <si>
    <t xml:space="preserve"> --</t>
  </si>
  <si>
    <t>MAAC (Rest of)</t>
  </si>
  <si>
    <t>EMAAC (Rest of)</t>
  </si>
  <si>
    <t>SWMAAC (Rest of)</t>
  </si>
  <si>
    <t>PS (Rest of)</t>
  </si>
  <si>
    <t>ATSI (Rest of)</t>
  </si>
  <si>
    <t>TOTAL</t>
  </si>
  <si>
    <t xml:space="preserve">   * A PJM Sell Offer is indicated by a negative PJM Buy Bid.</t>
  </si>
  <si>
    <t xml:space="preserve"> ** The price of a PJM buy bid is based on the Updated VRR Curve Increment which is the portion of the Updated VRR Curve remaining beyond the point representing all capacity already procured in prior auctions for the Delivery Year. The price of a PJM Sell Offer is based on the Updated VRR Curve Decrement which is the portion of the Updated VRR Curve to the left of the point representing all capacity already procured in prior auctions for the Delivery Year. </t>
  </si>
  <si>
    <t>2018 IRM Study</t>
  </si>
  <si>
    <t>Load data: from 2019 Load Report (B-10: "PJM RTO") with adjustments due to load served outside PJM.</t>
  </si>
  <si>
    <t xml:space="preserve"> * As per Section 5.4.(c) of the PJM OATT, the reliability requirement for the RTO and each LDA will be updated since the change in reliability requirement for the RTO exceeds the lesser of the 500 MW or 1% threshold.</t>
  </si>
  <si>
    <t xml:space="preserve"> *** Additional Buy Bids to account for election of Non-Viable MWs related to Prior CIL Exception External Resources which were deemed  not Operationally Deliverable for the Delivery Year to be requested for 3rd Incremental Auction.</t>
  </si>
  <si>
    <t>Additional Buy Bids *** (3)</t>
  </si>
  <si>
    <t xml:space="preserve">Configuration of 2nd Incremental Auction for 2021/2022 Delivery Year </t>
  </si>
  <si>
    <t>2021-2022 2nd Incremental Auction Configuration</t>
  </si>
  <si>
    <t>2021-2022 RPM Second Incremental Auction Planning Parameters</t>
  </si>
  <si>
    <t>2019 IRM Study</t>
  </si>
  <si>
    <t>Load data: from 2020 Load Report (B-10: "PJM RTO") with adjustments due to load served outside PJM.</t>
  </si>
  <si>
    <t>2nd IA Reliability Requirement</t>
  </si>
  <si>
    <t>Change in CETL from 1st IA to 2nd IA **</t>
  </si>
  <si>
    <t>Capacity Import Limit Margin remaining after 1st IA</t>
  </si>
  <si>
    <t>Rest of LDA PJM Buy Bid Quantity Unadjusted</t>
  </si>
  <si>
    <t>Rest of LDA PJM Buy Bid Quantity Adjusted ****</t>
  </si>
  <si>
    <t xml:space="preserve"> ** The CETL of MAAC, SWMAAC, BGE and PEPCO were updated to reflect removal of a backbone projects (b2743.1 and b2743.2) that did not meet the applicable milestones of section 5.11A of Attachment DD.</t>
  </si>
  <si>
    <t>Capacity Import Limit Margin for 2nd IA</t>
  </si>
  <si>
    <t>APRIL 2020 FORECAST: TABLE B-10</t>
  </si>
  <si>
    <t>Summer Coincident Peak Load (MW)</t>
  </si>
  <si>
    <t>Zone</t>
  </si>
  <si>
    <t>UGI</t>
  </si>
  <si>
    <t>PJM RTO</t>
  </si>
  <si>
    <t>PJM MID-ATLANTIC</t>
  </si>
  <si>
    <t>EASTERN MID-ATLANTIC</t>
  </si>
  <si>
    <t>SOUTHERN MID-ATLANTIC</t>
  </si>
  <si>
    <t xml:space="preserve"> **** PJM Sell Offer and PJM Buy Bid quantities in nested LDAs may be adjusted in some cases to take into account any reliability impacts on the total LDA.</t>
  </si>
  <si>
    <t xml:space="preserve">These Planning Parameters are based on a revised PJM load forecast that was updated in April 2020. In an order issued on June 15, 2020, FERC accepted PJM’s waiver request (Docket No. ER20-1870-000) to allow PJM to base the parameters of the 2021/2022 2nd IA on a revised updated PJM load forecast that reflects a substantial change (as a result of the current pandemic) in the economic forecast relied on by the load forecast. </t>
  </si>
  <si>
    <t>Post-Auction Credit Rate, $/MW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</si>
</sst>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quot;$&quot;* #,##0.00_);_(&quot;$&quot;* \(#,##0.00\);_(&quot;$&quot;* &quot;-&quot;??_);_(@_)"/>
    <numFmt numFmtId="43" formatCode="_(* #,##0.00_);_(* \(#,##0.00\);_(* &quot;-&quot;??_);_(@_)"/>
    <numFmt numFmtId="164" formatCode="0.0000"/>
    <numFmt numFmtId="165" formatCode="0.0%"/>
    <numFmt numFmtId="166" formatCode="0.0"/>
    <numFmt numFmtId="167" formatCode="&quot;$&quot;#,##0.00"/>
    <numFmt numFmtId="168" formatCode="#,##0.0"/>
    <numFmt numFmtId="169" formatCode="0.00000"/>
    <numFmt numFmtId="170" formatCode="_(* #,##0.0_);_(* \(#,##0.0\);_(* &quot;-&quot;??_);_(@_)"/>
    <numFmt numFmtId="171" formatCode="&quot;$&quot;#,##0"/>
  </numFmts>
  <fonts count="3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sz val="12"/>
      <name val="Arial"/>
      <family val="2"/>
    </font>
    <font>
      <sz val="10"/>
      <name val="Arial"/>
      <family val="2"/>
    </font>
    <font>
      <sz val="10"/>
      <name val="Arial"/>
      <family val="2"/>
    </font>
    <font>
      <sz val="11"/>
      <color theme="1"/>
      <name val="Calibri"/>
      <family val="2"/>
      <scheme val="minor"/>
    </font>
    <font>
      <sz val="10"/>
      <color rgb="FFFF0000"/>
      <name val="Arial"/>
      <family val="2"/>
    </font>
    <font>
      <b/>
      <sz val="12"/>
      <color rgb="FFFF0000"/>
      <name val="Arial"/>
      <family val="2"/>
    </font>
    <font>
      <sz val="10"/>
      <color theme="1"/>
      <name val="Arial"/>
      <family val="2"/>
    </font>
    <font>
      <b/>
      <sz val="14"/>
      <name val="Calibri"/>
      <family val="2"/>
      <scheme val="minor"/>
    </font>
    <font>
      <b/>
      <sz val="14"/>
      <color rgb="FFFF0000"/>
      <name val="Calibri"/>
      <family val="2"/>
      <scheme val="minor"/>
    </font>
    <font>
      <sz val="10"/>
      <name val="Calibri"/>
      <family val="2"/>
      <scheme val="minor"/>
    </font>
    <font>
      <b/>
      <sz val="12"/>
      <name val="Calibri"/>
      <family val="2"/>
      <scheme val="minor"/>
    </font>
    <font>
      <b/>
      <sz val="12"/>
      <color rgb="FFFF0000"/>
      <name val="Calibri"/>
      <family val="2"/>
      <scheme val="minor"/>
    </font>
    <font>
      <sz val="12"/>
      <name val="Calibri"/>
      <family val="2"/>
      <scheme val="minor"/>
    </font>
    <font>
      <b/>
      <sz val="10"/>
      <name val="Calibri"/>
      <family val="2"/>
      <scheme val="minor"/>
    </font>
    <font>
      <sz val="12"/>
      <color rgb="FFFF0000"/>
      <name val="Calibri"/>
      <family val="2"/>
      <scheme val="minor"/>
    </font>
    <font>
      <sz val="12"/>
      <color theme="1"/>
      <name val="Calibri"/>
      <family val="2"/>
      <scheme val="minor"/>
    </font>
    <font>
      <sz val="12"/>
      <color rgb="FF1F497D"/>
      <name val="Calibri"/>
      <family val="2"/>
      <scheme val="minor"/>
    </font>
    <font>
      <b/>
      <sz val="12"/>
      <color theme="1"/>
      <name val="Calibri"/>
      <family val="2"/>
      <scheme val="minor"/>
    </font>
    <font>
      <sz val="11"/>
      <color rgb="FF1F497D"/>
      <name val="Calibri"/>
      <family val="2"/>
    </font>
    <font>
      <sz val="12"/>
      <name val="Calibri"/>
      <family val="2"/>
    </font>
    <font>
      <b/>
      <sz val="11"/>
      <color theme="1"/>
      <name val="Calibri"/>
      <family val="2"/>
      <scheme val="minor"/>
    </font>
    <font>
      <b/>
      <sz val="14"/>
      <color theme="1"/>
      <name val="Calibri"/>
      <family val="2"/>
      <scheme val="minor"/>
    </font>
    <font>
      <b/>
      <sz val="12"/>
      <name val="Calibri"/>
      <family val="2"/>
    </font>
  </fonts>
  <fills count="8">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4" tint="0.59999389629810485"/>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thin">
        <color theme="1"/>
      </top>
      <bottom style="thin">
        <color theme="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3">
    <xf numFmtId="0" fontId="0" fillId="0" borderId="0"/>
    <xf numFmtId="43" fontId="5" fillId="0" borderId="0" applyFont="0" applyFill="0" applyBorder="0" applyAlignment="0" applyProtection="0"/>
    <xf numFmtId="43" fontId="11" fillId="0" borderId="0" applyFont="0" applyFill="0" applyBorder="0" applyAlignment="0" applyProtection="0"/>
    <xf numFmtId="0" fontId="10" fillId="0" borderId="0"/>
    <xf numFmtId="0" fontId="9" fillId="0" borderId="0">
      <alignment wrapText="1"/>
    </xf>
    <xf numFmtId="0" fontId="9" fillId="0" borderId="0"/>
    <xf numFmtId="0" fontId="11" fillId="0" borderId="0"/>
    <xf numFmtId="9" fontId="5" fillId="0" borderId="0" applyFont="0" applyFill="0" applyBorder="0" applyAlignment="0" applyProtection="0"/>
    <xf numFmtId="43" fontId="9" fillId="0" borderId="0" applyFont="0" applyFill="0" applyBorder="0" applyAlignment="0" applyProtection="0"/>
    <xf numFmtId="43" fontId="4" fillId="0" borderId="0" applyFont="0" applyFill="0" applyBorder="0" applyAlignment="0" applyProtection="0"/>
    <xf numFmtId="44" fontId="9" fillId="0" borderId="0" applyFont="0" applyFill="0" applyBorder="0" applyAlignment="0" applyProtection="0"/>
    <xf numFmtId="0" fontId="9" fillId="0" borderId="0"/>
    <xf numFmtId="0" fontId="4" fillId="0" borderId="0"/>
    <xf numFmtId="9" fontId="9" fillId="0" borderId="0" applyFont="0" applyFill="0" applyBorder="0" applyAlignment="0" applyProtection="0"/>
    <xf numFmtId="0" fontId="14" fillId="0" borderId="0"/>
    <xf numFmtId="0" fontId="5" fillId="0" borderId="0"/>
    <xf numFmtId="0" fontId="14" fillId="0" borderId="0"/>
    <xf numFmtId="0" fontId="3" fillId="0" borderId="0"/>
    <xf numFmtId="0" fontId="5" fillId="0" borderId="0"/>
    <xf numFmtId="0" fontId="5" fillId="0" borderId="0">
      <alignment wrapText="1"/>
    </xf>
    <xf numFmtId="0" fontId="5" fillId="0" borderId="0"/>
    <xf numFmtId="43" fontId="2" fillId="0" borderId="0" applyFont="0" applyFill="0" applyBorder="0" applyAlignment="0" applyProtection="0"/>
    <xf numFmtId="0" fontId="5" fillId="0" borderId="0"/>
    <xf numFmtId="0" fontId="2" fillId="0" borderId="0"/>
    <xf numFmtId="43" fontId="5" fillId="0" borderId="0" applyFont="0" applyFill="0" applyBorder="0" applyAlignment="0" applyProtection="0"/>
    <xf numFmtId="43" fontId="2" fillId="0" borderId="0" applyFont="0" applyFill="0" applyBorder="0" applyAlignment="0" applyProtection="0"/>
    <xf numFmtId="44" fontId="5" fillId="0" borderId="0" applyFont="0" applyFill="0" applyBorder="0" applyAlignment="0" applyProtection="0"/>
    <xf numFmtId="0" fontId="5" fillId="0" borderId="0"/>
    <xf numFmtId="0" fontId="2" fillId="0" borderId="0"/>
    <xf numFmtId="9" fontId="5" fillId="0" borderId="0" applyFont="0" applyFill="0" applyBorder="0" applyAlignment="0" applyProtection="0"/>
    <xf numFmtId="0" fontId="2" fillId="0" borderId="0"/>
    <xf numFmtId="0" fontId="1" fillId="0" borderId="0"/>
    <xf numFmtId="43" fontId="1" fillId="0" borderId="0" applyFont="0" applyFill="0" applyBorder="0" applyAlignment="0" applyProtection="0"/>
  </cellStyleXfs>
  <cellXfs count="263">
    <xf numFmtId="0" fontId="0" fillId="0" borderId="0" xfId="0"/>
    <xf numFmtId="0" fontId="0" fillId="0" borderId="0" xfId="0" applyAlignment="1">
      <alignment horizontal="center"/>
    </xf>
    <xf numFmtId="0" fontId="8" fillId="0" borderId="0" xfId="0" applyFont="1" applyBorder="1"/>
    <xf numFmtId="0" fontId="7" fillId="0" borderId="0" xfId="0" applyFont="1" applyAlignment="1">
      <alignment wrapText="1"/>
    </xf>
    <xf numFmtId="0" fontId="0" fillId="0" borderId="0" xfId="0" applyBorder="1"/>
    <xf numFmtId="0" fontId="5" fillId="0" borderId="0" xfId="0" applyFont="1" applyFill="1"/>
    <xf numFmtId="168" fontId="8" fillId="0" borderId="0" xfId="0" applyNumberFormat="1" applyFont="1" applyFill="1" applyBorder="1" applyAlignment="1">
      <alignment horizontal="right" vertical="center" wrapText="1"/>
    </xf>
    <xf numFmtId="0" fontId="13" fillId="0" borderId="15" xfId="0" applyFont="1" applyFill="1" applyBorder="1" applyAlignment="1">
      <alignment horizontal="center" vertical="center"/>
    </xf>
    <xf numFmtId="166" fontId="8" fillId="0" borderId="15" xfId="0" applyNumberFormat="1" applyFont="1" applyFill="1" applyBorder="1" applyAlignment="1">
      <alignment horizontal="left" vertical="center"/>
    </xf>
    <xf numFmtId="0" fontId="15" fillId="0" borderId="0" xfId="0" applyFont="1" applyBorder="1" applyAlignment="1">
      <alignment horizontal="left" vertical="center"/>
    </xf>
    <xf numFmtId="14" fontId="15" fillId="0" borderId="0" xfId="0" applyNumberFormat="1" applyFont="1" applyBorder="1" applyAlignment="1">
      <alignment horizontal="center" vertical="center"/>
    </xf>
    <xf numFmtId="0" fontId="16" fillId="0" borderId="0" xfId="0" applyFont="1" applyBorder="1" applyAlignment="1">
      <alignment horizontal="left" vertical="center"/>
    </xf>
    <xf numFmtId="0" fontId="17" fillId="0" borderId="0" xfId="0" applyFont="1" applyAlignment="1">
      <alignment horizontal="center"/>
    </xf>
    <xf numFmtId="0" fontId="15" fillId="0" borderId="0" xfId="0" applyFont="1" applyBorder="1" applyAlignment="1">
      <alignment horizontal="center" vertical="center"/>
    </xf>
    <xf numFmtId="0" fontId="18" fillId="0" borderId="0" xfId="0" applyFont="1" applyBorder="1" applyAlignment="1">
      <alignment horizontal="center"/>
    </xf>
    <xf numFmtId="168" fontId="19" fillId="0" borderId="0" xfId="0" applyNumberFormat="1" applyFont="1" applyBorder="1" applyAlignment="1">
      <alignment horizontal="left" vertical="center"/>
    </xf>
    <xf numFmtId="0" fontId="17" fillId="0" borderId="0" xfId="0" applyFont="1"/>
    <xf numFmtId="0" fontId="20" fillId="0" borderId="0" xfId="0" applyFont="1" applyBorder="1" applyAlignment="1">
      <alignment horizontal="left" vertical="center"/>
    </xf>
    <xf numFmtId="0" fontId="19" fillId="0" borderId="0" xfId="0" applyFont="1" applyBorder="1" applyAlignment="1">
      <alignment horizontal="left" vertical="center"/>
    </xf>
    <xf numFmtId="1" fontId="19" fillId="0" borderId="0" xfId="0" applyNumberFormat="1" applyFont="1" applyBorder="1" applyAlignment="1">
      <alignment horizontal="left" vertical="center"/>
    </xf>
    <xf numFmtId="0" fontId="20" fillId="0" borderId="1" xfId="0" applyFont="1" applyBorder="1" applyAlignment="1">
      <alignment horizontal="left" vertical="center"/>
    </xf>
    <xf numFmtId="0" fontId="15" fillId="0" borderId="7" xfId="0" applyFont="1" applyBorder="1" applyAlignment="1">
      <alignment horizontal="center"/>
    </xf>
    <xf numFmtId="165" fontId="20" fillId="0" borderId="7" xfId="0" applyNumberFormat="1" applyFont="1" applyBorder="1" applyAlignment="1">
      <alignment horizontal="right" vertical="center"/>
    </xf>
    <xf numFmtId="10" fontId="20" fillId="0" borderId="7" xfId="0" applyNumberFormat="1" applyFont="1" applyBorder="1" applyAlignment="1">
      <alignment horizontal="right" vertical="center"/>
    </xf>
    <xf numFmtId="164" fontId="20" fillId="0" borderId="7" xfId="0" applyNumberFormat="1" applyFont="1" applyBorder="1" applyAlignment="1">
      <alignment horizontal="right" vertical="center"/>
    </xf>
    <xf numFmtId="168" fontId="20" fillId="0" borderId="7" xfId="0" applyNumberFormat="1" applyFont="1" applyBorder="1" applyAlignment="1">
      <alignment horizontal="right" vertical="center"/>
    </xf>
    <xf numFmtId="167" fontId="20" fillId="0" borderId="1" xfId="0" applyNumberFormat="1" applyFont="1" applyBorder="1" applyAlignment="1">
      <alignment horizontal="center" vertical="center"/>
    </xf>
    <xf numFmtId="0" fontId="21" fillId="0" borderId="4" xfId="0" applyFont="1" applyBorder="1" applyAlignment="1">
      <alignment horizontal="center" vertical="center" wrapText="1"/>
    </xf>
    <xf numFmtId="0" fontId="18" fillId="0" borderId="2" xfId="0" applyFont="1" applyBorder="1" applyAlignment="1">
      <alignment horizontal="center" vertical="center"/>
    </xf>
    <xf numFmtId="0" fontId="18" fillId="0" borderId="1" xfId="0" applyFont="1" applyBorder="1" applyAlignment="1">
      <alignment horizontal="center" vertical="center"/>
    </xf>
    <xf numFmtId="0" fontId="18" fillId="0" borderId="1" xfId="0" applyFont="1" applyFill="1" applyBorder="1" applyAlignment="1">
      <alignment horizontal="center" vertical="center"/>
    </xf>
    <xf numFmtId="0" fontId="20" fillId="0" borderId="3" xfId="0" applyFont="1" applyBorder="1" applyAlignment="1">
      <alignment horizontal="left" vertical="center" wrapText="1"/>
    </xf>
    <xf numFmtId="168" fontId="20" fillId="0" borderId="1" xfId="0" applyNumberFormat="1" applyFont="1" applyBorder="1" applyAlignment="1">
      <alignment horizontal="right" vertical="center" wrapText="1"/>
    </xf>
    <xf numFmtId="168" fontId="20" fillId="0" borderId="1" xfId="0" applyNumberFormat="1" applyFont="1" applyBorder="1" applyAlignment="1">
      <alignment horizontal="right" vertical="center"/>
    </xf>
    <xf numFmtId="168" fontId="20" fillId="0" borderId="1" xfId="0" applyNumberFormat="1" applyFont="1" applyFill="1" applyBorder="1" applyAlignment="1">
      <alignment horizontal="right" vertical="center" wrapText="1"/>
    </xf>
    <xf numFmtId="168" fontId="20" fillId="0" borderId="1" xfId="0" applyNumberFormat="1" applyFont="1" applyFill="1" applyBorder="1" applyAlignment="1">
      <alignment horizontal="right" vertical="center"/>
    </xf>
    <xf numFmtId="1" fontId="20" fillId="0" borderId="3" xfId="0" applyNumberFormat="1" applyFont="1" applyBorder="1" applyAlignment="1">
      <alignment horizontal="left" vertical="center" wrapText="1"/>
    </xf>
    <xf numFmtId="168" fontId="22" fillId="0" borderId="1" xfId="7" applyNumberFormat="1" applyFont="1" applyBorder="1" applyAlignment="1">
      <alignment horizontal="right" vertical="center"/>
    </xf>
    <xf numFmtId="168" fontId="20" fillId="0" borderId="1" xfId="7" applyNumberFormat="1" applyFont="1" applyBorder="1" applyAlignment="1">
      <alignment horizontal="right" vertical="center"/>
    </xf>
    <xf numFmtId="3" fontId="20" fillId="0" borderId="1" xfId="0" applyNumberFormat="1" applyFont="1" applyBorder="1" applyAlignment="1">
      <alignment horizontal="right" vertical="center"/>
    </xf>
    <xf numFmtId="1" fontId="20" fillId="0" borderId="3" xfId="0" applyNumberFormat="1" applyFont="1" applyBorder="1" applyAlignment="1">
      <alignment horizontal="left" vertical="center"/>
    </xf>
    <xf numFmtId="168" fontId="18" fillId="0" borderId="1" xfId="0" applyNumberFormat="1" applyFont="1" applyBorder="1" applyAlignment="1">
      <alignment horizontal="right" vertical="center" wrapText="1"/>
    </xf>
    <xf numFmtId="168" fontId="19" fillId="0" borderId="1" xfId="0" applyNumberFormat="1" applyFont="1" applyBorder="1" applyAlignment="1">
      <alignment horizontal="right" vertical="center" wrapText="1"/>
    </xf>
    <xf numFmtId="0" fontId="20" fillId="0" borderId="1" xfId="0" applyFont="1" applyBorder="1" applyAlignment="1">
      <alignment horizontal="left" vertical="center" wrapText="1"/>
    </xf>
    <xf numFmtId="167" fontId="20" fillId="0" borderId="1" xfId="0" applyNumberFormat="1" applyFont="1" applyBorder="1" applyAlignment="1">
      <alignment horizontal="right" vertical="center" wrapText="1"/>
    </xf>
    <xf numFmtId="0" fontId="18" fillId="0" borderId="1" xfId="0" applyFont="1" applyBorder="1" applyAlignment="1">
      <alignment horizontal="left" vertical="center" wrapText="1"/>
    </xf>
    <xf numFmtId="167" fontId="18" fillId="0" borderId="1" xfId="0" applyNumberFormat="1" applyFont="1" applyBorder="1" applyAlignment="1">
      <alignment horizontal="right" vertical="center" wrapText="1"/>
    </xf>
    <xf numFmtId="1" fontId="20" fillId="0" borderId="14" xfId="0" applyNumberFormat="1" applyFont="1" applyBorder="1" applyAlignment="1">
      <alignment horizontal="left" vertical="center"/>
    </xf>
    <xf numFmtId="0" fontId="20" fillId="4" borderId="19" xfId="0" applyFont="1" applyFill="1" applyBorder="1" applyAlignment="1">
      <alignment horizontal="left" vertical="center" wrapText="1"/>
    </xf>
    <xf numFmtId="167" fontId="20" fillId="4" borderId="16" xfId="0" applyNumberFormat="1" applyFont="1" applyFill="1" applyBorder="1" applyAlignment="1">
      <alignment horizontal="right" vertical="center" wrapText="1"/>
    </xf>
    <xf numFmtId="167" fontId="20" fillId="4" borderId="17" xfId="0" applyNumberFormat="1" applyFont="1" applyFill="1" applyBorder="1" applyAlignment="1">
      <alignment horizontal="right" vertical="center" wrapText="1"/>
    </xf>
    <xf numFmtId="0" fontId="20" fillId="4" borderId="3" xfId="0" applyFont="1" applyFill="1" applyBorder="1" applyAlignment="1">
      <alignment horizontal="left" vertical="center" wrapText="1"/>
    </xf>
    <xf numFmtId="167" fontId="20" fillId="4" borderId="1" xfId="0" applyNumberFormat="1" applyFont="1" applyFill="1" applyBorder="1" applyAlignment="1">
      <alignment horizontal="right" vertical="center" wrapText="1"/>
    </xf>
    <xf numFmtId="167" fontId="20" fillId="4" borderId="12" xfId="0" applyNumberFormat="1" applyFont="1" applyFill="1" applyBorder="1" applyAlignment="1">
      <alignment horizontal="right" vertical="center" wrapText="1"/>
    </xf>
    <xf numFmtId="168" fontId="20" fillId="4" borderId="1" xfId="0" applyNumberFormat="1" applyFont="1" applyFill="1" applyBorder="1" applyAlignment="1">
      <alignment horizontal="right" vertical="center" wrapText="1"/>
    </xf>
    <xf numFmtId="168" fontId="20" fillId="4" borderId="12" xfId="0" applyNumberFormat="1" applyFont="1" applyFill="1" applyBorder="1" applyAlignment="1">
      <alignment horizontal="right" vertical="center" wrapText="1"/>
    </xf>
    <xf numFmtId="0" fontId="20" fillId="4" borderId="9" xfId="0" applyFont="1" applyFill="1" applyBorder="1" applyAlignment="1">
      <alignment horizontal="left" vertical="center" wrapText="1"/>
    </xf>
    <xf numFmtId="168" fontId="20" fillId="4" borderId="10" xfId="0" applyNumberFormat="1" applyFont="1" applyFill="1" applyBorder="1" applyAlignment="1">
      <alignment horizontal="right" vertical="center" wrapText="1"/>
    </xf>
    <xf numFmtId="168" fontId="20" fillId="4" borderId="13" xfId="0" applyNumberFormat="1" applyFont="1" applyFill="1" applyBorder="1" applyAlignment="1">
      <alignment horizontal="right" vertical="center" wrapText="1"/>
    </xf>
    <xf numFmtId="0" fontId="18" fillId="5" borderId="4" xfId="0" applyFont="1" applyFill="1" applyBorder="1" applyAlignment="1">
      <alignment horizontal="left" vertical="center" wrapText="1"/>
    </xf>
    <xf numFmtId="168" fontId="20" fillId="5" borderId="2" xfId="0" applyNumberFormat="1" applyFont="1" applyFill="1" applyBorder="1" applyAlignment="1">
      <alignment horizontal="right" vertical="center" wrapText="1"/>
    </xf>
    <xf numFmtId="0" fontId="20" fillId="3" borderId="19" xfId="0" applyFont="1" applyFill="1" applyBorder="1" applyAlignment="1">
      <alignment horizontal="left" vertical="center" wrapText="1"/>
    </xf>
    <xf numFmtId="167" fontId="20" fillId="3" borderId="16" xfId="0" applyNumberFormat="1" applyFont="1" applyFill="1" applyBorder="1" applyAlignment="1">
      <alignment horizontal="right" vertical="center" wrapText="1"/>
    </xf>
    <xf numFmtId="167" fontId="20" fillId="3" borderId="17" xfId="0" applyNumberFormat="1" applyFont="1" applyFill="1" applyBorder="1" applyAlignment="1">
      <alignment horizontal="right" vertical="center" wrapText="1"/>
    </xf>
    <xf numFmtId="0" fontId="20" fillId="3" borderId="3" xfId="0" applyFont="1" applyFill="1" applyBorder="1" applyAlignment="1">
      <alignment horizontal="left" vertical="center" wrapText="1"/>
    </xf>
    <xf numFmtId="167" fontId="20" fillId="3" borderId="1" xfId="0" applyNumberFormat="1" applyFont="1" applyFill="1" applyBorder="1" applyAlignment="1">
      <alignment horizontal="right" vertical="center" wrapText="1"/>
    </xf>
    <xf numFmtId="167" fontId="20" fillId="3" borderId="12" xfId="0" applyNumberFormat="1" applyFont="1" applyFill="1" applyBorder="1" applyAlignment="1">
      <alignment horizontal="right" vertical="center" wrapText="1"/>
    </xf>
    <xf numFmtId="0" fontId="20" fillId="3" borderId="9" xfId="0" applyFont="1" applyFill="1" applyBorder="1" applyAlignment="1">
      <alignment horizontal="left" vertical="center" wrapText="1"/>
    </xf>
    <xf numFmtId="167" fontId="20" fillId="3" borderId="10" xfId="0" applyNumberFormat="1" applyFont="1" applyFill="1" applyBorder="1" applyAlignment="1">
      <alignment horizontal="right" vertical="center" wrapText="1"/>
    </xf>
    <xf numFmtId="167" fontId="20" fillId="3" borderId="13" xfId="0" applyNumberFormat="1" applyFont="1" applyFill="1" applyBorder="1" applyAlignment="1">
      <alignment horizontal="right" vertical="center" wrapText="1"/>
    </xf>
    <xf numFmtId="0" fontId="20" fillId="2" borderId="19" xfId="0" applyFont="1" applyFill="1" applyBorder="1" applyAlignment="1">
      <alignment horizontal="left" vertical="center" wrapText="1"/>
    </xf>
    <xf numFmtId="168" fontId="20" fillId="2" borderId="16" xfId="0" applyNumberFormat="1" applyFont="1" applyFill="1" applyBorder="1" applyAlignment="1">
      <alignment horizontal="right" vertical="center" wrapText="1"/>
    </xf>
    <xf numFmtId="0" fontId="20" fillId="2" borderId="3" xfId="0" applyFont="1" applyFill="1" applyBorder="1" applyAlignment="1">
      <alignment horizontal="left" vertical="center" wrapText="1"/>
    </xf>
    <xf numFmtId="168" fontId="20" fillId="2" borderId="1" xfId="0" applyNumberFormat="1" applyFont="1" applyFill="1" applyBorder="1" applyAlignment="1">
      <alignment horizontal="right" vertical="center" wrapText="1"/>
    </xf>
    <xf numFmtId="0" fontId="20" fillId="2" borderId="9" xfId="0" applyFont="1" applyFill="1" applyBorder="1" applyAlignment="1">
      <alignment horizontal="left" vertical="center" wrapText="1"/>
    </xf>
    <xf numFmtId="168" fontId="20" fillId="2" borderId="10" xfId="0" applyNumberFormat="1" applyFont="1" applyFill="1" applyBorder="1" applyAlignment="1">
      <alignment horizontal="right" vertical="center" wrapText="1"/>
    </xf>
    <xf numFmtId="0" fontId="18" fillId="0" borderId="4" xfId="0" applyFont="1" applyFill="1" applyBorder="1" applyAlignment="1">
      <alignment horizontal="left" vertical="center" wrapText="1"/>
    </xf>
    <xf numFmtId="167" fontId="23" fillId="0" borderId="2" xfId="0" applyNumberFormat="1" applyFont="1" applyFill="1" applyBorder="1" applyAlignment="1">
      <alignment horizontal="right" vertical="center"/>
    </xf>
    <xf numFmtId="165" fontId="20" fillId="0" borderId="1" xfId="0" applyNumberFormat="1" applyFont="1" applyBorder="1" applyAlignment="1">
      <alignment horizontal="right" vertical="center" wrapText="1"/>
    </xf>
    <xf numFmtId="166" fontId="20" fillId="0" borderId="1" xfId="0" applyNumberFormat="1" applyFont="1" applyBorder="1" applyAlignment="1">
      <alignment horizontal="right" vertical="center"/>
    </xf>
    <xf numFmtId="166" fontId="22" fillId="0" borderId="1" xfId="0" applyNumberFormat="1" applyFont="1" applyBorder="1" applyAlignment="1">
      <alignment horizontal="right" vertical="center"/>
    </xf>
    <xf numFmtId="165" fontId="20" fillId="0" borderId="1" xfId="7" applyNumberFormat="1" applyFont="1" applyBorder="1" applyAlignment="1">
      <alignment horizontal="right" vertical="center"/>
    </xf>
    <xf numFmtId="0" fontId="20" fillId="0" borderId="5" xfId="0" applyFont="1" applyFill="1" applyBorder="1" applyAlignment="1">
      <alignment horizontal="left" vertical="center"/>
    </xf>
    <xf numFmtId="0" fontId="18" fillId="0" borderId="6" xfId="0" applyFont="1" applyFill="1" applyBorder="1" applyAlignment="1">
      <alignment horizontal="left" vertical="center"/>
    </xf>
    <xf numFmtId="0" fontId="18" fillId="0" borderId="6" xfId="0" applyFont="1" applyBorder="1" applyAlignment="1">
      <alignment horizontal="left" vertical="center"/>
    </xf>
    <xf numFmtId="0" fontId="18" fillId="0" borderId="1" xfId="0" applyFont="1" applyBorder="1" applyAlignment="1">
      <alignment horizontal="right" vertical="center" wrapText="1"/>
    </xf>
    <xf numFmtId="0" fontId="18" fillId="0" borderId="1" xfId="0" applyFont="1" applyBorder="1" applyAlignment="1">
      <alignment horizontal="center" vertical="center" wrapText="1"/>
    </xf>
    <xf numFmtId="0" fontId="18" fillId="0" borderId="1" xfId="0" applyFont="1" applyFill="1" applyBorder="1" applyAlignment="1">
      <alignment horizontal="center" vertical="center" wrapText="1"/>
    </xf>
    <xf numFmtId="0" fontId="20" fillId="0" borderId="1" xfId="0" applyFont="1" applyBorder="1" applyAlignment="1">
      <alignment horizontal="right" vertical="center" wrapText="1"/>
    </xf>
    <xf numFmtId="168" fontId="20" fillId="0" borderId="1" xfId="0" applyNumberFormat="1" applyFont="1" applyFill="1" applyBorder="1" applyAlignment="1">
      <alignment horizontal="center" vertical="center" wrapText="1"/>
    </xf>
    <xf numFmtId="166" fontId="20" fillId="0" borderId="1" xfId="0" applyNumberFormat="1" applyFont="1" applyBorder="1" applyAlignment="1">
      <alignment horizontal="right" vertical="center" wrapText="1"/>
    </xf>
    <xf numFmtId="0" fontId="20" fillId="0" borderId="1" xfId="0" applyFont="1" applyBorder="1" applyAlignment="1">
      <alignment horizontal="right" vertical="center"/>
    </xf>
    <xf numFmtId="168" fontId="22" fillId="0" borderId="1" xfId="0" applyNumberFormat="1" applyFont="1" applyFill="1" applyBorder="1" applyAlignment="1">
      <alignment horizontal="right" vertical="center"/>
    </xf>
    <xf numFmtId="168" fontId="20" fillId="0" borderId="1" xfId="7" applyNumberFormat="1" applyFont="1" applyFill="1" applyBorder="1" applyAlignment="1">
      <alignment horizontal="right" vertical="center"/>
    </xf>
    <xf numFmtId="169" fontId="20" fillId="0" borderId="1" xfId="7" applyNumberFormat="1" applyFont="1" applyBorder="1" applyAlignment="1">
      <alignment horizontal="right" vertical="center"/>
    </xf>
    <xf numFmtId="0" fontId="20" fillId="0" borderId="0" xfId="0" applyFont="1" applyBorder="1"/>
    <xf numFmtId="0" fontId="20" fillId="0" borderId="1" xfId="0" applyFont="1" applyFill="1" applyBorder="1" applyAlignment="1">
      <alignment horizontal="right" vertical="center"/>
    </xf>
    <xf numFmtId="0" fontId="20" fillId="0" borderId="0" xfId="0" applyFont="1" applyFill="1" applyBorder="1"/>
    <xf numFmtId="168" fontId="19" fillId="0" borderId="1" xfId="1" applyNumberFormat="1" applyFont="1" applyFill="1" applyBorder="1" applyAlignment="1">
      <alignment horizontal="right" vertical="center"/>
    </xf>
    <xf numFmtId="9" fontId="20" fillId="0" borderId="1" xfId="7" applyFont="1" applyFill="1" applyBorder="1" applyAlignment="1">
      <alignment horizontal="right" vertical="center"/>
    </xf>
    <xf numFmtId="168" fontId="18" fillId="0" borderId="1" xfId="1" applyNumberFormat="1" applyFont="1" applyFill="1" applyBorder="1" applyAlignment="1">
      <alignment horizontal="right" vertical="center"/>
    </xf>
    <xf numFmtId="168" fontId="18" fillId="0" borderId="1" xfId="0" applyNumberFormat="1" applyFont="1" applyFill="1" applyBorder="1" applyAlignment="1">
      <alignment horizontal="right" vertical="center"/>
    </xf>
    <xf numFmtId="0" fontId="22" fillId="0" borderId="0" xfId="0" applyFont="1" applyBorder="1"/>
    <xf numFmtId="9" fontId="20" fillId="0" borderId="1" xfId="7" applyNumberFormat="1" applyFont="1" applyFill="1" applyBorder="1" applyAlignment="1">
      <alignment horizontal="right" vertical="center"/>
    </xf>
    <xf numFmtId="166" fontId="20" fillId="0" borderId="1" xfId="7" applyNumberFormat="1" applyFont="1" applyBorder="1" applyAlignment="1">
      <alignment horizontal="right" vertical="center"/>
    </xf>
    <xf numFmtId="165" fontId="20" fillId="0" borderId="0" xfId="7" applyNumberFormat="1" applyFont="1" applyBorder="1"/>
    <xf numFmtId="0" fontId="18" fillId="0" borderId="5" xfId="0" applyFont="1" applyBorder="1" applyAlignment="1">
      <alignment horizontal="left" vertical="center"/>
    </xf>
    <xf numFmtId="0" fontId="18" fillId="0" borderId="0" xfId="0" applyFont="1" applyBorder="1" applyAlignment="1">
      <alignment horizontal="center" vertical="center"/>
    </xf>
    <xf numFmtId="0" fontId="20" fillId="0" borderId="0" xfId="0" applyFont="1" applyFill="1" applyBorder="1" applyAlignment="1">
      <alignment vertical="center"/>
    </xf>
    <xf numFmtId="0" fontId="20" fillId="0" borderId="0" xfId="5" applyFont="1" applyFill="1" applyBorder="1" applyAlignment="1">
      <alignment vertical="center"/>
    </xf>
    <xf numFmtId="0" fontId="18" fillId="0" borderId="0" xfId="0" applyFont="1" applyBorder="1" applyAlignment="1">
      <alignment horizontal="left" vertical="center"/>
    </xf>
    <xf numFmtId="0" fontId="20" fillId="0" borderId="0" xfId="0" applyFont="1" applyAlignment="1">
      <alignment horizontal="center"/>
    </xf>
    <xf numFmtId="0" fontId="20" fillId="0" borderId="0" xfId="0" applyFont="1"/>
    <xf numFmtId="0" fontId="18" fillId="0" borderId="7" xfId="0" applyFont="1" applyBorder="1" applyAlignment="1">
      <alignment horizontal="center"/>
    </xf>
    <xf numFmtId="0" fontId="18" fillId="0" borderId="4" xfId="0" applyFont="1" applyBorder="1" applyAlignment="1">
      <alignment horizontal="center" vertical="center" wrapText="1"/>
    </xf>
    <xf numFmtId="0" fontId="20" fillId="0" borderId="0" xfId="0" applyFont="1" applyBorder="1" applyAlignment="1">
      <alignment horizontal="left"/>
    </xf>
    <xf numFmtId="0" fontId="19" fillId="0" borderId="0" xfId="0" applyFont="1" applyFill="1" applyAlignment="1">
      <alignment horizontal="right" wrapText="1"/>
    </xf>
    <xf numFmtId="0" fontId="22" fillId="0" borderId="0" xfId="0" applyFont="1" applyFill="1" applyAlignment="1">
      <alignment vertical="top" wrapText="1"/>
    </xf>
    <xf numFmtId="0" fontId="18" fillId="0" borderId="0" xfId="0" applyFont="1" applyAlignment="1">
      <alignment wrapText="1"/>
    </xf>
    <xf numFmtId="0" fontId="18" fillId="0" borderId="0" xfId="0" applyFont="1" applyFill="1" applyBorder="1" applyAlignment="1">
      <alignment horizontal="right" wrapText="1"/>
    </xf>
    <xf numFmtId="0" fontId="22" fillId="0" borderId="0" xfId="0" applyFont="1" applyFill="1" applyAlignment="1">
      <alignment vertical="center"/>
    </xf>
    <xf numFmtId="0" fontId="24" fillId="0" borderId="0" xfId="0" applyFont="1" applyFill="1" applyBorder="1" applyAlignment="1">
      <alignment vertical="center"/>
    </xf>
    <xf numFmtId="1" fontId="22" fillId="0" borderId="0" xfId="0" applyNumberFormat="1" applyFont="1" applyFill="1" applyBorder="1" applyAlignment="1">
      <alignment vertical="center"/>
    </xf>
    <xf numFmtId="0" fontId="20" fillId="0" borderId="0" xfId="0" applyFont="1" applyBorder="1" applyAlignment="1">
      <alignment horizontal="center" vertical="center"/>
    </xf>
    <xf numFmtId="0" fontId="20" fillId="0" borderId="0" xfId="0" applyFont="1" applyFill="1" applyBorder="1" applyAlignment="1">
      <alignment horizontal="left" vertical="center"/>
    </xf>
    <xf numFmtId="166" fontId="22" fillId="0" borderId="0" xfId="0" applyNumberFormat="1" applyFont="1" applyFill="1" applyBorder="1" applyAlignment="1">
      <alignment vertical="center"/>
    </xf>
    <xf numFmtId="0" fontId="22" fillId="0" borderId="6" xfId="0" applyFont="1" applyBorder="1" applyAlignment="1">
      <alignment horizontal="left"/>
    </xf>
    <xf numFmtId="0" fontId="22" fillId="0" borderId="0" xfId="0" applyFont="1" applyBorder="1" applyAlignment="1">
      <alignment vertical="center"/>
    </xf>
    <xf numFmtId="0" fontId="15" fillId="0" borderId="0" xfId="5" applyFont="1" applyBorder="1" applyAlignment="1">
      <alignment horizontal="left" vertical="center"/>
    </xf>
    <xf numFmtId="0" fontId="18" fillId="0" borderId="0" xfId="5" applyFont="1" applyBorder="1" applyAlignment="1">
      <alignment horizontal="left"/>
    </xf>
    <xf numFmtId="14" fontId="18" fillId="0" borderId="0" xfId="5" applyNumberFormat="1" applyFont="1" applyBorder="1" applyAlignment="1">
      <alignment horizontal="left"/>
    </xf>
    <xf numFmtId="0" fontId="18" fillId="0" borderId="0" xfId="5" applyFont="1" applyBorder="1" applyAlignment="1">
      <alignment horizontal="center"/>
    </xf>
    <xf numFmtId="0" fontId="20" fillId="0" borderId="0" xfId="5" applyFont="1" applyBorder="1"/>
    <xf numFmtId="0" fontId="20" fillId="0" borderId="0" xfId="5" applyFont="1" applyFill="1" applyBorder="1" applyAlignment="1">
      <alignment horizontal="left"/>
    </xf>
    <xf numFmtId="171" fontId="19" fillId="0" borderId="0" xfId="5" applyNumberFormat="1" applyFont="1" applyFill="1" applyBorder="1" applyAlignment="1">
      <alignment horizontal="center"/>
    </xf>
    <xf numFmtId="0" fontId="18" fillId="0" borderId="1" xfId="5" applyFont="1" applyBorder="1" applyAlignment="1">
      <alignment horizontal="center" vertical="center" wrapText="1"/>
    </xf>
    <xf numFmtId="0" fontId="18" fillId="0" borderId="1" xfId="5" applyFont="1" applyBorder="1" applyAlignment="1">
      <alignment horizontal="center" vertical="center"/>
    </xf>
    <xf numFmtId="0" fontId="20" fillId="0" borderId="1" xfId="5" applyFont="1" applyBorder="1" applyAlignment="1">
      <alignment horizontal="left" vertical="center" wrapText="1"/>
    </xf>
    <xf numFmtId="1" fontId="20" fillId="0" borderId="1" xfId="5" applyNumberFormat="1" applyFont="1" applyBorder="1" applyAlignment="1">
      <alignment horizontal="left" vertical="center" wrapText="1"/>
    </xf>
    <xf numFmtId="168" fontId="20" fillId="0" borderId="1" xfId="5" applyNumberFormat="1" applyFont="1" applyBorder="1" applyAlignment="1">
      <alignment horizontal="center" vertical="center" wrapText="1"/>
    </xf>
    <xf numFmtId="165" fontId="20" fillId="0" borderId="1" xfId="5" applyNumberFormat="1" applyFont="1" applyBorder="1" applyAlignment="1">
      <alignment horizontal="center" vertical="center" wrapText="1"/>
    </xf>
    <xf numFmtId="0" fontId="20" fillId="0" borderId="1" xfId="5" applyFont="1" applyFill="1" applyBorder="1" applyAlignment="1">
      <alignment horizontal="left" vertical="center"/>
    </xf>
    <xf numFmtId="168" fontId="20" fillId="0" borderId="1" xfId="5" applyNumberFormat="1" applyFont="1" applyFill="1" applyBorder="1" applyAlignment="1">
      <alignment horizontal="center" vertical="center"/>
    </xf>
    <xf numFmtId="1" fontId="20" fillId="0" borderId="1" xfId="20" applyNumberFormat="1" applyFont="1" applyBorder="1" applyAlignment="1">
      <alignment horizontal="left" vertical="center"/>
    </xf>
    <xf numFmtId="166" fontId="20" fillId="0" borderId="1" xfId="5" applyNumberFormat="1" applyFont="1" applyBorder="1" applyAlignment="1">
      <alignment horizontal="center" vertical="center" wrapText="1"/>
    </xf>
    <xf numFmtId="0" fontId="20" fillId="0" borderId="0" xfId="5" applyFont="1" applyBorder="1" applyAlignment="1"/>
    <xf numFmtId="0" fontId="20" fillId="0" borderId="0" xfId="5" applyFont="1" applyAlignment="1">
      <alignment horizontal="center"/>
    </xf>
    <xf numFmtId="168" fontId="20" fillId="0" borderId="0" xfId="5" applyNumberFormat="1" applyFont="1" applyAlignment="1">
      <alignment horizontal="center"/>
    </xf>
    <xf numFmtId="0" fontId="15" fillId="0" borderId="0" xfId="20" applyFont="1" applyFill="1" applyBorder="1" applyAlignment="1">
      <alignment horizontal="left" vertical="center"/>
    </xf>
    <xf numFmtId="0" fontId="19" fillId="0" borderId="0" xfId="20" applyFont="1" applyAlignment="1">
      <alignment horizontal="left" vertical="center"/>
    </xf>
    <xf numFmtId="14" fontId="19" fillId="0" borderId="0" xfId="20" applyNumberFormat="1" applyFont="1" applyAlignment="1">
      <alignment horizontal="left"/>
    </xf>
    <xf numFmtId="0" fontId="17" fillId="0" borderId="0" xfId="20" applyFont="1" applyAlignment="1">
      <alignment horizontal="center"/>
    </xf>
    <xf numFmtId="0" fontId="17" fillId="0" borderId="0" xfId="20" applyFont="1"/>
    <xf numFmtId="1" fontId="18" fillId="0" borderId="0" xfId="20" quotePrefix="1" applyNumberFormat="1" applyFont="1" applyBorder="1" applyAlignment="1">
      <alignment horizontal="left"/>
    </xf>
    <xf numFmtId="168" fontId="17" fillId="0" borderId="0" xfId="20" applyNumberFormat="1" applyFont="1" applyAlignment="1">
      <alignment horizontal="center"/>
    </xf>
    <xf numFmtId="0" fontId="16" fillId="0" borderId="0" xfId="20" applyFont="1" applyAlignment="1">
      <alignment horizontal="left"/>
    </xf>
    <xf numFmtId="0" fontId="17" fillId="0" borderId="0" xfId="20" applyFont="1" applyBorder="1"/>
    <xf numFmtId="0" fontId="15" fillId="0" borderId="21" xfId="20" applyFont="1" applyBorder="1" applyAlignment="1">
      <alignment horizontal="center"/>
    </xf>
    <xf numFmtId="0" fontId="18" fillId="0" borderId="18" xfId="20" applyFont="1" applyBorder="1" applyAlignment="1">
      <alignment horizontal="right" wrapText="1"/>
    </xf>
    <xf numFmtId="0" fontId="18" fillId="0" borderId="18" xfId="20" applyFont="1" applyBorder="1" applyAlignment="1">
      <alignment horizontal="center" vertical="center" wrapText="1"/>
    </xf>
    <xf numFmtId="0" fontId="18" fillId="0" borderId="23" xfId="20" applyFont="1" applyBorder="1" applyAlignment="1">
      <alignment horizontal="center" vertical="center" wrapText="1"/>
    </xf>
    <xf numFmtId="0" fontId="18" fillId="0" borderId="24" xfId="20" applyFont="1" applyBorder="1" applyAlignment="1">
      <alignment horizontal="center" vertical="center" wrapText="1"/>
    </xf>
    <xf numFmtId="4" fontId="20" fillId="0" borderId="25" xfId="20" applyNumberFormat="1" applyFont="1" applyBorder="1" applyAlignment="1">
      <alignment horizontal="right" vertical="center"/>
    </xf>
    <xf numFmtId="168" fontId="18" fillId="0" borderId="25" xfId="20" applyNumberFormat="1" applyFont="1" applyFill="1" applyBorder="1" applyAlignment="1">
      <alignment horizontal="center" vertical="center"/>
    </xf>
    <xf numFmtId="4" fontId="20" fillId="0" borderId="30" xfId="20" applyNumberFormat="1" applyFont="1" applyBorder="1" applyAlignment="1">
      <alignment horizontal="right" vertical="center"/>
    </xf>
    <xf numFmtId="168" fontId="18" fillId="0" borderId="31" xfId="20" applyNumberFormat="1" applyFont="1" applyFill="1" applyBorder="1" applyAlignment="1">
      <alignment horizontal="center" vertical="center"/>
    </xf>
    <xf numFmtId="4" fontId="20" fillId="0" borderId="31" xfId="20" applyNumberFormat="1" applyFont="1" applyBorder="1" applyAlignment="1">
      <alignment horizontal="right" vertical="center"/>
    </xf>
    <xf numFmtId="4" fontId="20" fillId="0" borderId="32" xfId="20" applyNumberFormat="1" applyFont="1" applyBorder="1" applyAlignment="1">
      <alignment horizontal="right" vertical="center"/>
    </xf>
    <xf numFmtId="4" fontId="20" fillId="0" borderId="35" xfId="20" applyNumberFormat="1" applyFont="1" applyBorder="1" applyAlignment="1">
      <alignment horizontal="right" vertical="center"/>
    </xf>
    <xf numFmtId="168" fontId="18" fillId="0" borderId="35" xfId="20" applyNumberFormat="1" applyFont="1" applyFill="1" applyBorder="1" applyAlignment="1">
      <alignment horizontal="center" vertical="center"/>
    </xf>
    <xf numFmtId="4" fontId="18" fillId="0" borderId="22" xfId="20" applyNumberFormat="1" applyFont="1" applyBorder="1" applyAlignment="1">
      <alignment horizontal="right"/>
    </xf>
    <xf numFmtId="168" fontId="18" fillId="0" borderId="18" xfId="13" applyNumberFormat="1" applyFont="1" applyBorder="1" applyAlignment="1">
      <alignment horizontal="center"/>
    </xf>
    <xf numFmtId="0" fontId="16" fillId="0" borderId="0" xfId="5" applyFont="1" applyBorder="1" applyAlignment="1">
      <alignment horizontal="left" vertical="center"/>
    </xf>
    <xf numFmtId="0" fontId="18" fillId="0" borderId="1" xfId="0" applyFont="1" applyFill="1" applyBorder="1" applyAlignment="1">
      <alignment horizontal="left" vertical="center" wrapText="1"/>
    </xf>
    <xf numFmtId="0" fontId="20" fillId="0" borderId="1" xfId="0" applyFont="1" applyFill="1" applyBorder="1" applyAlignment="1">
      <alignment horizontal="left" vertical="center"/>
    </xf>
    <xf numFmtId="0" fontId="20" fillId="0" borderId="1" xfId="0" applyFont="1" applyFill="1" applyBorder="1" applyAlignment="1">
      <alignment horizontal="left" vertical="center" wrapText="1"/>
    </xf>
    <xf numFmtId="2" fontId="15" fillId="0" borderId="0" xfId="0" applyNumberFormat="1" applyFont="1" applyBorder="1" applyAlignment="1">
      <alignment horizontal="left" vertical="center"/>
    </xf>
    <xf numFmtId="165" fontId="20" fillId="0" borderId="7" xfId="0" applyNumberFormat="1" applyFont="1" applyFill="1" applyBorder="1" applyAlignment="1">
      <alignment horizontal="right" vertical="center"/>
    </xf>
    <xf numFmtId="10" fontId="20" fillId="0" borderId="7" xfId="0" applyNumberFormat="1" applyFont="1" applyFill="1" applyBorder="1" applyAlignment="1">
      <alignment horizontal="right" vertical="center"/>
    </xf>
    <xf numFmtId="164" fontId="20" fillId="0" borderId="7" xfId="0" applyNumberFormat="1" applyFont="1" applyFill="1" applyBorder="1" applyAlignment="1">
      <alignment horizontal="right" vertical="center"/>
    </xf>
    <xf numFmtId="168" fontId="20" fillId="0" borderId="7" xfId="0" applyNumberFormat="1" applyFont="1" applyFill="1" applyBorder="1" applyAlignment="1">
      <alignment horizontal="right" vertical="center"/>
    </xf>
    <xf numFmtId="167" fontId="20" fillId="0" borderId="1" xfId="0" applyNumberFormat="1" applyFont="1" applyFill="1" applyBorder="1" applyAlignment="1">
      <alignment horizontal="right" vertical="center" wrapText="1"/>
    </xf>
    <xf numFmtId="0" fontId="20" fillId="0" borderId="3" xfId="0" applyFont="1" applyFill="1" applyBorder="1" applyAlignment="1">
      <alignment horizontal="left" vertical="center" wrapText="1"/>
    </xf>
    <xf numFmtId="165" fontId="20" fillId="0" borderId="1" xfId="7" applyNumberFormat="1" applyFont="1" applyFill="1" applyBorder="1" applyAlignment="1">
      <alignment horizontal="right" vertical="center"/>
    </xf>
    <xf numFmtId="0" fontId="15" fillId="0" borderId="0" xfId="5" applyFont="1" applyFill="1" applyBorder="1" applyAlignment="1">
      <alignment horizontal="left" vertical="center"/>
    </xf>
    <xf numFmtId="168" fontId="0" fillId="0" borderId="0" xfId="0" applyNumberFormat="1"/>
    <xf numFmtId="0" fontId="20" fillId="6" borderId="1" xfId="20" applyFont="1" applyFill="1" applyBorder="1" applyAlignment="1">
      <alignment vertical="center"/>
    </xf>
    <xf numFmtId="168" fontId="18" fillId="0" borderId="1" xfId="0" applyNumberFormat="1" applyFont="1" applyBorder="1" applyAlignment="1">
      <alignment horizontal="center" vertical="center"/>
    </xf>
    <xf numFmtId="0" fontId="18" fillId="0" borderId="23" xfId="20" applyFont="1" applyBorder="1" applyAlignment="1">
      <alignment horizontal="center" vertical="center" wrapText="1"/>
    </xf>
    <xf numFmtId="0" fontId="18" fillId="0" borderId="24" xfId="20" applyFont="1" applyBorder="1" applyAlignment="1">
      <alignment horizontal="center" vertical="center" wrapText="1"/>
    </xf>
    <xf numFmtId="166" fontId="18" fillId="0" borderId="28" xfId="20" applyNumberFormat="1" applyFont="1" applyFill="1" applyBorder="1" applyAlignment="1">
      <alignment horizontal="center" vertical="center"/>
    </xf>
    <xf numFmtId="167" fontId="18" fillId="0" borderId="29" xfId="20" applyNumberFormat="1" applyFont="1" applyFill="1" applyBorder="1" applyAlignment="1">
      <alignment horizontal="center" vertical="center"/>
    </xf>
    <xf numFmtId="166" fontId="18" fillId="0" borderId="26" xfId="20" applyNumberFormat="1" applyFont="1" applyFill="1" applyBorder="1" applyAlignment="1">
      <alignment horizontal="center" vertical="center"/>
    </xf>
    <xf numFmtId="167" fontId="18" fillId="0" borderId="27" xfId="20" applyNumberFormat="1" applyFont="1" applyFill="1" applyBorder="1" applyAlignment="1">
      <alignment horizontal="center" vertical="center"/>
    </xf>
    <xf numFmtId="166" fontId="18" fillId="0" borderId="33" xfId="20" applyNumberFormat="1" applyFont="1" applyFill="1" applyBorder="1" applyAlignment="1">
      <alignment horizontal="center" vertical="center"/>
    </xf>
    <xf numFmtId="167" fontId="18" fillId="0" borderId="34" xfId="20" applyNumberFormat="1" applyFont="1" applyFill="1" applyBorder="1" applyAlignment="1">
      <alignment horizontal="center" vertical="center"/>
    </xf>
    <xf numFmtId="166" fontId="18" fillId="0" borderId="36" xfId="20" applyNumberFormat="1" applyFont="1" applyFill="1" applyBorder="1" applyAlignment="1">
      <alignment horizontal="center" vertical="center"/>
    </xf>
    <xf numFmtId="167" fontId="18" fillId="0" borderId="37" xfId="20" applyNumberFormat="1" applyFont="1" applyFill="1" applyBorder="1" applyAlignment="1">
      <alignment horizontal="center" vertical="center"/>
    </xf>
    <xf numFmtId="1" fontId="20" fillId="6" borderId="1" xfId="20" applyNumberFormat="1" applyFont="1" applyFill="1" applyBorder="1" applyAlignment="1">
      <alignment horizontal="left" vertical="center"/>
    </xf>
    <xf numFmtId="0" fontId="20" fillId="0" borderId="1" xfId="5" applyFont="1" applyBorder="1" applyAlignment="1">
      <alignment horizontal="center" vertical="center"/>
    </xf>
    <xf numFmtId="168" fontId="20" fillId="0" borderId="1" xfId="5" applyNumberFormat="1" applyFont="1" applyBorder="1" applyAlignment="1">
      <alignment horizontal="center" vertical="center"/>
    </xf>
    <xf numFmtId="0" fontId="15" fillId="0" borderId="0" xfId="0" applyFont="1" applyBorder="1" applyAlignment="1">
      <alignment horizontal="left" vertical="center"/>
    </xf>
    <xf numFmtId="0" fontId="18" fillId="0" borderId="1" xfId="0" applyFont="1" applyFill="1" applyBorder="1" applyAlignment="1">
      <alignment horizontal="left" vertical="center" wrapText="1"/>
    </xf>
    <xf numFmtId="0" fontId="20" fillId="0" borderId="1" xfId="0" applyFont="1" applyBorder="1" applyAlignment="1">
      <alignment horizontal="left" vertical="center"/>
    </xf>
    <xf numFmtId="168" fontId="20" fillId="2" borderId="17" xfId="0" applyNumberFormat="1" applyFont="1" applyFill="1" applyBorder="1" applyAlignment="1">
      <alignment horizontal="right" vertical="center" wrapText="1"/>
    </xf>
    <xf numFmtId="168" fontId="20" fillId="2" borderId="12" xfId="0" applyNumberFormat="1" applyFont="1" applyFill="1" applyBorder="1" applyAlignment="1">
      <alignment horizontal="right" vertical="center" wrapText="1"/>
    </xf>
    <xf numFmtId="168" fontId="20" fillId="2" borderId="13" xfId="0" applyNumberFormat="1" applyFont="1" applyFill="1" applyBorder="1" applyAlignment="1">
      <alignment horizontal="right" vertical="center" wrapText="1"/>
    </xf>
    <xf numFmtId="170" fontId="20" fillId="0" borderId="1" xfId="1" applyNumberFormat="1" applyFont="1" applyBorder="1" applyAlignment="1">
      <alignment horizontal="center" vertical="center"/>
    </xf>
    <xf numFmtId="166" fontId="20" fillId="0" borderId="38" xfId="0" applyNumberFormat="1" applyFont="1" applyFill="1" applyBorder="1" applyAlignment="1">
      <alignment horizontal="right" vertical="center"/>
    </xf>
    <xf numFmtId="166" fontId="20" fillId="0" borderId="1" xfId="1" applyNumberFormat="1" applyFont="1" applyBorder="1" applyAlignment="1">
      <alignment horizontal="center" vertical="center"/>
    </xf>
    <xf numFmtId="166" fontId="20" fillId="0" borderId="1" xfId="1" applyNumberFormat="1" applyFont="1" applyFill="1" applyBorder="1" applyAlignment="1">
      <alignment horizontal="center" vertical="center"/>
    </xf>
    <xf numFmtId="168" fontId="20" fillId="0" borderId="1" xfId="0" applyNumberFormat="1" applyFont="1" applyBorder="1" applyAlignment="1">
      <alignment horizontal="center" vertical="center"/>
    </xf>
    <xf numFmtId="168" fontId="5" fillId="0" borderId="0" xfId="0" applyNumberFormat="1" applyFont="1"/>
    <xf numFmtId="0" fontId="26" fillId="0" borderId="0" xfId="0" applyFont="1"/>
    <xf numFmtId="0" fontId="27" fillId="0" borderId="0" xfId="0" applyFont="1" applyAlignment="1">
      <alignment vertical="center"/>
    </xf>
    <xf numFmtId="0" fontId="25" fillId="0" borderId="1" xfId="0" applyFont="1" applyBorder="1" applyAlignment="1">
      <alignment horizontal="center" vertical="center"/>
    </xf>
    <xf numFmtId="0" fontId="28" fillId="0" borderId="1" xfId="0" applyFont="1" applyFill="1" applyBorder="1" applyAlignment="1">
      <alignment horizontal="center" vertical="center"/>
    </xf>
    <xf numFmtId="0" fontId="0" fillId="0" borderId="1" xfId="0" applyBorder="1" applyAlignment="1">
      <alignment vertical="center"/>
    </xf>
    <xf numFmtId="3" fontId="0" fillId="0" borderId="1" xfId="0" applyNumberFormat="1" applyBorder="1" applyAlignment="1">
      <alignment horizontal="center" vertical="center"/>
    </xf>
    <xf numFmtId="0" fontId="28" fillId="0" borderId="1" xfId="0" applyFont="1" applyBorder="1" applyAlignment="1">
      <alignment vertical="center"/>
    </xf>
    <xf numFmtId="3" fontId="28" fillId="0" borderId="1" xfId="0" applyNumberFormat="1" applyFont="1" applyBorder="1" applyAlignment="1">
      <alignment horizontal="center" vertical="center"/>
    </xf>
    <xf numFmtId="0" fontId="16" fillId="0" borderId="0" xfId="20" applyFont="1" applyAlignment="1">
      <alignment horizontal="left" vertical="center"/>
    </xf>
    <xf numFmtId="168" fontId="20" fillId="0" borderId="0" xfId="0" applyNumberFormat="1" applyFont="1" applyAlignment="1">
      <alignment horizontal="center" vertical="center"/>
    </xf>
    <xf numFmtId="0" fontId="8" fillId="0" borderId="0" xfId="0" applyFont="1"/>
    <xf numFmtId="168" fontId="12" fillId="0" borderId="0" xfId="0" applyNumberFormat="1" applyFont="1" applyAlignment="1">
      <alignment vertical="center"/>
    </xf>
    <xf numFmtId="0" fontId="12" fillId="0" borderId="0" xfId="0" applyFont="1" applyAlignment="1">
      <alignment vertical="center"/>
    </xf>
    <xf numFmtId="0" fontId="18" fillId="0" borderId="0" xfId="20" applyFont="1" applyBorder="1" applyAlignment="1">
      <alignment horizontal="center" vertical="center" wrapText="1"/>
    </xf>
    <xf numFmtId="166" fontId="18" fillId="0" borderId="0" xfId="20" applyNumberFormat="1" applyFont="1" applyFill="1" applyBorder="1" applyAlignment="1">
      <alignment horizontal="center" vertical="center"/>
    </xf>
    <xf numFmtId="167" fontId="18" fillId="0" borderId="0" xfId="20" applyNumberFormat="1" applyFont="1" applyFill="1" applyBorder="1" applyAlignment="1">
      <alignment horizontal="center" vertical="center"/>
    </xf>
    <xf numFmtId="0" fontId="15" fillId="0" borderId="0" xfId="20" applyFont="1" applyBorder="1" applyAlignment="1">
      <alignment horizontal="center"/>
    </xf>
    <xf numFmtId="4" fontId="20" fillId="0" borderId="1" xfId="20" applyNumberFormat="1" applyFont="1" applyFill="1" applyBorder="1" applyAlignment="1">
      <alignment horizontal="left" vertical="top" wrapText="1"/>
    </xf>
    <xf numFmtId="0" fontId="20" fillId="0" borderId="1" xfId="20" applyFont="1" applyBorder="1" applyAlignment="1">
      <alignment vertical="top" wrapText="1"/>
    </xf>
    <xf numFmtId="0" fontId="15" fillId="0" borderId="22" xfId="20" applyFont="1" applyBorder="1" applyAlignment="1">
      <alignment horizontal="center"/>
    </xf>
    <xf numFmtId="0" fontId="15" fillId="0" borderId="39" xfId="20" applyFont="1" applyBorder="1" applyAlignment="1">
      <alignment horizontal="center"/>
    </xf>
    <xf numFmtId="0" fontId="15" fillId="0" borderId="40" xfId="20" applyFont="1" applyBorder="1" applyAlignment="1">
      <alignment horizontal="center"/>
    </xf>
    <xf numFmtId="0" fontId="30" fillId="0" borderId="0" xfId="0" applyFont="1" applyAlignment="1">
      <alignment vertical="center" wrapText="1"/>
    </xf>
    <xf numFmtId="4" fontId="20" fillId="0" borderId="0" xfId="0" applyNumberFormat="1" applyFont="1" applyFill="1" applyBorder="1" applyAlignment="1">
      <alignment horizontal="left" vertical="center" wrapText="1"/>
    </xf>
    <xf numFmtId="0" fontId="18" fillId="0" borderId="7"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14" xfId="0" applyFont="1" applyBorder="1" applyAlignment="1">
      <alignment horizontal="center" vertical="center" wrapText="1"/>
    </xf>
    <xf numFmtId="0" fontId="20" fillId="0" borderId="0" xfId="5" applyFont="1" applyBorder="1" applyAlignment="1">
      <alignment horizontal="left" vertical="center"/>
    </xf>
    <xf numFmtId="0" fontId="20" fillId="0" borderId="0" xfId="0" applyFont="1" applyAlignment="1">
      <alignment horizontal="left" vertical="center"/>
    </xf>
    <xf numFmtId="0" fontId="18" fillId="0" borderId="1" xfId="0" applyFont="1" applyBorder="1" applyAlignment="1">
      <alignment horizontal="center" vertical="center" wrapText="1"/>
    </xf>
    <xf numFmtId="0" fontId="18" fillId="0" borderId="8" xfId="0" applyFont="1" applyBorder="1" applyAlignment="1">
      <alignment horizontal="left" vertical="center" wrapText="1"/>
    </xf>
    <xf numFmtId="0" fontId="18" fillId="0" borderId="8"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5" fillId="0" borderId="0" xfId="0" applyFont="1" applyBorder="1" applyAlignment="1">
      <alignment horizontal="left" vertical="center"/>
    </xf>
    <xf numFmtId="0" fontId="18" fillId="0" borderId="1" xfId="0" applyFont="1" applyBorder="1" applyAlignment="1">
      <alignment vertical="center"/>
    </xf>
    <xf numFmtId="0" fontId="20" fillId="0" borderId="1" xfId="0" applyFont="1" applyBorder="1" applyAlignment="1">
      <alignment vertical="center"/>
    </xf>
    <xf numFmtId="0" fontId="29" fillId="7" borderId="1" xfId="0" applyFont="1" applyFill="1" applyBorder="1" applyAlignment="1">
      <alignment horizontal="center" vertical="center"/>
    </xf>
    <xf numFmtId="0" fontId="25" fillId="7" borderId="1" xfId="0" applyFont="1" applyFill="1" applyBorder="1" applyAlignment="1">
      <alignment horizontal="center" vertical="center"/>
    </xf>
    <xf numFmtId="0" fontId="20" fillId="0" borderId="1" xfId="0" applyFont="1" applyBorder="1" applyAlignment="1">
      <alignment horizontal="left" vertical="center"/>
    </xf>
    <xf numFmtId="168" fontId="20" fillId="0" borderId="1" xfId="0" applyNumberFormat="1" applyFont="1" applyFill="1" applyBorder="1" applyAlignment="1">
      <alignment horizontal="left" vertical="center"/>
    </xf>
    <xf numFmtId="168" fontId="20" fillId="0" borderId="7" xfId="0" applyNumberFormat="1" applyFont="1" applyFill="1" applyBorder="1" applyAlignment="1">
      <alignment horizontal="left" vertical="center" wrapText="1"/>
    </xf>
    <xf numFmtId="168" fontId="20" fillId="0" borderId="20" xfId="0" applyNumberFormat="1" applyFont="1" applyFill="1" applyBorder="1" applyAlignment="1">
      <alignment horizontal="left" vertical="center" wrapText="1"/>
    </xf>
    <xf numFmtId="168" fontId="20" fillId="0" borderId="14" xfId="0" applyNumberFormat="1" applyFont="1" applyFill="1" applyBorder="1" applyAlignment="1">
      <alignment horizontal="left" vertical="center" wrapText="1"/>
    </xf>
    <xf numFmtId="168" fontId="20" fillId="0" borderId="8" xfId="7" applyNumberFormat="1" applyFont="1" applyBorder="1" applyAlignment="1">
      <alignment horizontal="center" vertical="center" wrapText="1"/>
    </xf>
    <xf numFmtId="168" fontId="20" fillId="0" borderId="11" xfId="0" applyNumberFormat="1" applyFont="1" applyBorder="1" applyAlignment="1">
      <alignment horizontal="center" vertical="center" wrapText="1"/>
    </xf>
    <xf numFmtId="168" fontId="20" fillId="0" borderId="2" xfId="0" applyNumberFormat="1" applyFont="1" applyBorder="1" applyAlignment="1">
      <alignment horizontal="center" vertical="center" wrapText="1"/>
    </xf>
    <xf numFmtId="0" fontId="18" fillId="0" borderId="1" xfId="0" applyFont="1" applyBorder="1" applyAlignment="1">
      <alignment horizontal="left" vertical="center"/>
    </xf>
    <xf numFmtId="0" fontId="20" fillId="0" borderId="7" xfId="15" applyFont="1" applyBorder="1" applyAlignment="1">
      <alignment horizontal="left" vertical="center"/>
    </xf>
    <xf numFmtId="0" fontId="20" fillId="0" borderId="20" xfId="15" applyFont="1" applyBorder="1" applyAlignment="1">
      <alignment horizontal="left" vertical="center"/>
    </xf>
    <xf numFmtId="0" fontId="20" fillId="0" borderId="14" xfId="15" applyFont="1" applyBorder="1" applyAlignment="1">
      <alignment horizontal="left" vertical="center"/>
    </xf>
  </cellXfs>
  <cellStyles count="33">
    <cellStyle name="Comma" xfId="1" builtinId="3"/>
    <cellStyle name="Comma 2" xfId="2"/>
    <cellStyle name="Comma 2 2" xfId="9"/>
    <cellStyle name="Comma 2 2 2" xfId="25"/>
    <cellStyle name="Comma 2 3" xfId="21"/>
    <cellStyle name="Comma 3" xfId="8"/>
    <cellStyle name="Comma 3 2" xfId="24"/>
    <cellStyle name="Comma 4" xfId="32"/>
    <cellStyle name="Currency 2" xfId="10"/>
    <cellStyle name="Currency 2 2" xfId="26"/>
    <cellStyle name="Normal" xfId="0" builtinId="0"/>
    <cellStyle name="Normal 10 2" xfId="18"/>
    <cellStyle name="Normal 2" xfId="3"/>
    <cellStyle name="Normal 2 2" xfId="4"/>
    <cellStyle name="Normal 2 2 2" xfId="19"/>
    <cellStyle name="Normal 2 3" xfId="11"/>
    <cellStyle name="Normal 2 3 2" xfId="27"/>
    <cellStyle name="Normal 2 4" xfId="22"/>
    <cellStyle name="Normal 3" xfId="14"/>
    <cellStyle name="Normal 3 7" xfId="16"/>
    <cellStyle name="Normal 4" xfId="15"/>
    <cellStyle name="Normal 4 3" xfId="5"/>
    <cellStyle name="Normal 4 3 2" xfId="20"/>
    <cellStyle name="Normal 5" xfId="31"/>
    <cellStyle name="Normal 6" xfId="6"/>
    <cellStyle name="Normal 6 2" xfId="12"/>
    <cellStyle name="Normal 6 2 2" xfId="28"/>
    <cellStyle name="Normal 6 3" xfId="23"/>
    <cellStyle name="Normal 6 7" xfId="17"/>
    <cellStyle name="Normal 6 7 2" xfId="30"/>
    <cellStyle name="Percent" xfId="7" builtinId="5"/>
    <cellStyle name="Percent 2" xfId="13"/>
    <cellStyle name="Percent 2 2" xfId="29"/>
  </cellStyles>
  <dxfs count="0"/>
  <tableStyles count="0" defaultTableStyle="TableStyleMedium9" defaultPivotStyle="PivotStyleLight16"/>
  <colors>
    <mruColors>
      <color rgb="FFC4E59F"/>
      <color rgb="FFB0F6A4"/>
      <color rgb="FFBDFF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tabSelected="1" zoomScale="90" zoomScaleNormal="90" workbookViewId="0"/>
  </sheetViews>
  <sheetFormatPr defaultRowHeight="12.75" x14ac:dyDescent="0.2"/>
  <cols>
    <col min="1" max="1" width="25.7109375" customWidth="1"/>
    <col min="2" max="8" width="16.7109375" customWidth="1"/>
    <col min="9" max="10" width="14.7109375" customWidth="1"/>
    <col min="11" max="16" width="12.7109375" customWidth="1"/>
  </cols>
  <sheetData>
    <row r="1" spans="1:10" ht="18.75" x14ac:dyDescent="0.2">
      <c r="A1" s="148" t="s">
        <v>145</v>
      </c>
      <c r="B1" s="148"/>
      <c r="C1" s="148"/>
      <c r="D1" s="148"/>
      <c r="E1" s="148"/>
      <c r="F1" s="10">
        <v>43987</v>
      </c>
      <c r="G1" s="221" t="s">
        <v>12</v>
      </c>
      <c r="H1" s="149"/>
    </row>
    <row r="2" spans="1:10" ht="18.75" x14ac:dyDescent="0.25">
      <c r="A2" s="148" t="s">
        <v>120</v>
      </c>
      <c r="B2" s="148"/>
      <c r="C2" s="148"/>
      <c r="D2" s="148"/>
      <c r="E2" s="148"/>
      <c r="F2" s="150"/>
      <c r="G2" s="151"/>
      <c r="H2" s="152"/>
    </row>
    <row r="3" spans="1:10" ht="50.1" customHeight="1" x14ac:dyDescent="0.2">
      <c r="A3" s="235" t="s">
        <v>166</v>
      </c>
      <c r="B3" s="235"/>
      <c r="C3" s="235"/>
      <c r="D3" s="235"/>
      <c r="E3" s="235"/>
      <c r="F3" s="235"/>
      <c r="G3" s="235"/>
      <c r="H3" s="235"/>
      <c r="I3" s="235"/>
      <c r="J3" s="235"/>
    </row>
    <row r="4" spans="1:10" ht="19.5" thickBot="1" x14ac:dyDescent="0.35">
      <c r="A4" s="153" t="s">
        <v>12</v>
      </c>
      <c r="B4" s="154" t="s">
        <v>12</v>
      </c>
      <c r="C4" s="155" t="s">
        <v>12</v>
      </c>
      <c r="D4" s="151"/>
      <c r="E4" s="151"/>
      <c r="F4" s="151"/>
      <c r="G4" s="151"/>
      <c r="H4" s="152"/>
    </row>
    <row r="5" spans="1:10" ht="19.5" thickBot="1" x14ac:dyDescent="0.35">
      <c r="A5" s="156"/>
      <c r="B5" s="157"/>
      <c r="C5" s="232" t="s">
        <v>121</v>
      </c>
      <c r="D5" s="233"/>
      <c r="E5" s="233"/>
      <c r="F5" s="233"/>
      <c r="G5" s="233"/>
      <c r="H5" s="234"/>
      <c r="I5" s="229"/>
      <c r="J5" s="229"/>
    </row>
    <row r="6" spans="1:10" ht="48" thickBot="1" x14ac:dyDescent="0.3">
      <c r="A6" s="158" t="s">
        <v>122</v>
      </c>
      <c r="B6" s="159" t="s">
        <v>123</v>
      </c>
      <c r="C6" s="160" t="s">
        <v>124</v>
      </c>
      <c r="D6" s="161" t="s">
        <v>125</v>
      </c>
      <c r="E6" s="160" t="s">
        <v>126</v>
      </c>
      <c r="F6" s="161" t="s">
        <v>127</v>
      </c>
      <c r="G6" s="188" t="s">
        <v>128</v>
      </c>
      <c r="H6" s="189" t="s">
        <v>129</v>
      </c>
      <c r="I6" s="226"/>
      <c r="J6" s="226"/>
    </row>
    <row r="7" spans="1:10" ht="15.95" customHeight="1" x14ac:dyDescent="0.2">
      <c r="A7" s="162" t="s">
        <v>130</v>
      </c>
      <c r="B7" s="163">
        <f>'2nd IA Configuration'!B14</f>
        <v>-768.8</v>
      </c>
      <c r="C7" s="192">
        <v>0</v>
      </c>
      <c r="D7" s="193">
        <v>0</v>
      </c>
      <c r="E7" s="192">
        <f>-B7</f>
        <v>768.8</v>
      </c>
      <c r="F7" s="193">
        <v>0</v>
      </c>
      <c r="G7" s="190" t="s">
        <v>131</v>
      </c>
      <c r="H7" s="191" t="s">
        <v>131</v>
      </c>
      <c r="I7" s="227"/>
      <c r="J7" s="228"/>
    </row>
    <row r="8" spans="1:10" ht="15.95" customHeight="1" x14ac:dyDescent="0.2">
      <c r="A8" s="164" t="s">
        <v>132</v>
      </c>
      <c r="B8" s="165">
        <f>'2nd IA Configuration'!C14</f>
        <v>-477</v>
      </c>
      <c r="C8" s="192">
        <v>0</v>
      </c>
      <c r="D8" s="193">
        <v>85.3</v>
      </c>
      <c r="E8" s="192">
        <f>-B8</f>
        <v>477</v>
      </c>
      <c r="F8" s="193">
        <v>116.99</v>
      </c>
      <c r="G8" s="192" t="s">
        <v>131</v>
      </c>
      <c r="H8" s="193" t="s">
        <v>131</v>
      </c>
      <c r="I8" s="227"/>
      <c r="J8" s="228"/>
    </row>
    <row r="9" spans="1:10" ht="15.95" customHeight="1" x14ac:dyDescent="0.2">
      <c r="A9" s="164" t="s">
        <v>133</v>
      </c>
      <c r="B9" s="165">
        <f>'2nd IA Configuration'!D14</f>
        <v>-97</v>
      </c>
      <c r="C9" s="192">
        <v>0</v>
      </c>
      <c r="D9" s="193">
        <v>161.69</v>
      </c>
      <c r="E9" s="192">
        <f>-B9</f>
        <v>97</v>
      </c>
      <c r="F9" s="193">
        <v>174.01</v>
      </c>
      <c r="G9" s="192" t="s">
        <v>131</v>
      </c>
      <c r="H9" s="193" t="s">
        <v>131</v>
      </c>
      <c r="I9" s="227"/>
      <c r="J9" s="228"/>
    </row>
    <row r="10" spans="1:10" ht="15.95" customHeight="1" x14ac:dyDescent="0.2">
      <c r="A10" s="164" t="s">
        <v>134</v>
      </c>
      <c r="B10" s="165">
        <f>'2nd IA Configuration'!E14</f>
        <v>0</v>
      </c>
      <c r="C10" s="192" t="s">
        <v>131</v>
      </c>
      <c r="D10" s="193" t="s">
        <v>131</v>
      </c>
      <c r="E10" s="192" t="s">
        <v>131</v>
      </c>
      <c r="F10" s="193" t="s">
        <v>131</v>
      </c>
      <c r="G10" s="192" t="s">
        <v>131</v>
      </c>
      <c r="H10" s="193" t="s">
        <v>131</v>
      </c>
      <c r="I10" s="227"/>
      <c r="J10" s="228"/>
    </row>
    <row r="11" spans="1:10" ht="15.95" customHeight="1" x14ac:dyDescent="0.2">
      <c r="A11" s="164" t="s">
        <v>135</v>
      </c>
      <c r="B11" s="165">
        <f>'2nd IA Configuration'!F14</f>
        <v>58.9</v>
      </c>
      <c r="C11" s="192">
        <v>0</v>
      </c>
      <c r="D11" s="193">
        <v>230.94</v>
      </c>
      <c r="E11" s="192">
        <f>B11</f>
        <v>58.9</v>
      </c>
      <c r="F11" s="193">
        <v>206.54</v>
      </c>
      <c r="G11" s="192" t="s">
        <v>131</v>
      </c>
      <c r="H11" s="193" t="s">
        <v>131</v>
      </c>
      <c r="I11" s="227"/>
      <c r="J11" s="228"/>
    </row>
    <row r="12" spans="1:10" ht="15.95" customHeight="1" x14ac:dyDescent="0.2">
      <c r="A12" s="164" t="s">
        <v>42</v>
      </c>
      <c r="B12" s="165">
        <f>'2nd IA Configuration'!G14</f>
        <v>0</v>
      </c>
      <c r="C12" s="192" t="s">
        <v>131</v>
      </c>
      <c r="D12" s="193" t="s">
        <v>131</v>
      </c>
      <c r="E12" s="192" t="s">
        <v>131</v>
      </c>
      <c r="F12" s="193" t="s">
        <v>131</v>
      </c>
      <c r="G12" s="192" t="s">
        <v>131</v>
      </c>
      <c r="H12" s="193" t="s">
        <v>131</v>
      </c>
      <c r="I12" s="227"/>
      <c r="J12" s="228"/>
    </row>
    <row r="13" spans="1:10" ht="15.95" customHeight="1" x14ac:dyDescent="0.2">
      <c r="A13" s="166" t="s">
        <v>43</v>
      </c>
      <c r="B13" s="165">
        <f>'2nd IA Configuration'!H14</f>
        <v>0</v>
      </c>
      <c r="C13" s="192" t="s">
        <v>131</v>
      </c>
      <c r="D13" s="193" t="s">
        <v>131</v>
      </c>
      <c r="E13" s="192" t="s">
        <v>131</v>
      </c>
      <c r="F13" s="193" t="s">
        <v>131</v>
      </c>
      <c r="G13" s="192" t="s">
        <v>131</v>
      </c>
      <c r="H13" s="193" t="s">
        <v>131</v>
      </c>
      <c r="I13" s="227"/>
      <c r="J13" s="228"/>
    </row>
    <row r="14" spans="1:10" ht="15.95" customHeight="1" x14ac:dyDescent="0.2">
      <c r="A14" s="167" t="s">
        <v>7</v>
      </c>
      <c r="B14" s="165">
        <f>'2nd IA Configuration'!I14</f>
        <v>-104</v>
      </c>
      <c r="C14" s="192">
        <v>0</v>
      </c>
      <c r="D14" s="193">
        <v>54.04</v>
      </c>
      <c r="E14" s="192">
        <f>-B14</f>
        <v>104</v>
      </c>
      <c r="F14" s="193">
        <v>108.55</v>
      </c>
      <c r="G14" s="192" t="s">
        <v>131</v>
      </c>
      <c r="H14" s="193" t="s">
        <v>131</v>
      </c>
      <c r="I14" s="227"/>
      <c r="J14" s="228"/>
    </row>
    <row r="15" spans="1:10" ht="15.95" customHeight="1" x14ac:dyDescent="0.2">
      <c r="A15" s="167" t="s">
        <v>136</v>
      </c>
      <c r="B15" s="165">
        <f>'2nd IA Configuration'!J14</f>
        <v>-852</v>
      </c>
      <c r="C15" s="192">
        <v>0</v>
      </c>
      <c r="D15" s="193">
        <v>0</v>
      </c>
      <c r="E15" s="192">
        <v>495.9</v>
      </c>
      <c r="F15" s="193">
        <v>0</v>
      </c>
      <c r="G15" s="192">
        <f>-B15</f>
        <v>852</v>
      </c>
      <c r="H15" s="193">
        <v>109.27</v>
      </c>
      <c r="I15" s="227"/>
      <c r="J15" s="228"/>
    </row>
    <row r="16" spans="1:10" ht="15.95" customHeight="1" x14ac:dyDescent="0.2">
      <c r="A16" s="167" t="s">
        <v>56</v>
      </c>
      <c r="B16" s="165">
        <f>'2nd IA Configuration'!K14</f>
        <v>-165</v>
      </c>
      <c r="C16" s="192">
        <v>0</v>
      </c>
      <c r="D16" s="193">
        <v>47.37</v>
      </c>
      <c r="E16" s="192">
        <f>-B16</f>
        <v>165</v>
      </c>
      <c r="F16" s="193">
        <v>180.53</v>
      </c>
      <c r="G16" s="192" t="s">
        <v>131</v>
      </c>
      <c r="H16" s="193" t="s">
        <v>131</v>
      </c>
      <c r="I16" s="227"/>
      <c r="J16" s="228"/>
    </row>
    <row r="17" spans="1:10" ht="15.95" customHeight="1" x14ac:dyDescent="0.2">
      <c r="A17" s="167" t="s">
        <v>18</v>
      </c>
      <c r="B17" s="165">
        <f>'2nd IA Configuration'!L14</f>
        <v>-2191</v>
      </c>
      <c r="C17" s="194">
        <v>0</v>
      </c>
      <c r="D17" s="195">
        <v>0</v>
      </c>
      <c r="E17" s="194">
        <v>1339.1</v>
      </c>
      <c r="F17" s="195">
        <v>0</v>
      </c>
      <c r="G17" s="192">
        <f>-B17</f>
        <v>2191</v>
      </c>
      <c r="H17" s="193">
        <v>178.81</v>
      </c>
      <c r="I17" s="227"/>
      <c r="J17" s="228"/>
    </row>
    <row r="18" spans="1:10" ht="15.95" customHeight="1" x14ac:dyDescent="0.2">
      <c r="A18" s="167" t="s">
        <v>3</v>
      </c>
      <c r="B18" s="165">
        <f>'2nd IA Configuration'!M14</f>
        <v>-185</v>
      </c>
      <c r="C18" s="192">
        <v>0</v>
      </c>
      <c r="D18" s="193">
        <v>77.349999999999994</v>
      </c>
      <c r="E18" s="192">
        <f>-B18</f>
        <v>185</v>
      </c>
      <c r="F18" s="193">
        <v>163.97</v>
      </c>
      <c r="G18" s="192" t="s">
        <v>131</v>
      </c>
      <c r="H18" s="193" t="s">
        <v>131</v>
      </c>
      <c r="I18" s="227"/>
      <c r="J18" s="228"/>
    </row>
    <row r="19" spans="1:10" ht="15.95" customHeight="1" x14ac:dyDescent="0.2">
      <c r="A19" s="167" t="s">
        <v>61</v>
      </c>
      <c r="B19" s="165">
        <f>'2nd IA Configuration'!N14</f>
        <v>0</v>
      </c>
      <c r="C19" s="192" t="s">
        <v>131</v>
      </c>
      <c r="D19" s="193" t="s">
        <v>131</v>
      </c>
      <c r="E19" s="192" t="s">
        <v>131</v>
      </c>
      <c r="F19" s="193" t="s">
        <v>131</v>
      </c>
      <c r="G19" s="192" t="s">
        <v>131</v>
      </c>
      <c r="H19" s="193" t="s">
        <v>131</v>
      </c>
      <c r="I19" s="227"/>
      <c r="J19" s="228"/>
    </row>
    <row r="20" spans="1:10" ht="15.95" customHeight="1" x14ac:dyDescent="0.2">
      <c r="A20" s="167" t="s">
        <v>19</v>
      </c>
      <c r="B20" s="165">
        <f>'2nd IA Configuration'!O14</f>
        <v>-302</v>
      </c>
      <c r="C20" s="194">
        <v>0</v>
      </c>
      <c r="D20" s="195">
        <v>0</v>
      </c>
      <c r="E20" s="194">
        <v>202.2</v>
      </c>
      <c r="F20" s="195">
        <v>0</v>
      </c>
      <c r="G20" s="192">
        <f>-B20</f>
        <v>302</v>
      </c>
      <c r="H20" s="193">
        <v>123.68</v>
      </c>
      <c r="I20" s="227"/>
      <c r="J20" s="228"/>
    </row>
    <row r="21" spans="1:10" ht="15.95" customHeight="1" thickBot="1" x14ac:dyDescent="0.25">
      <c r="A21" s="168" t="s">
        <v>53</v>
      </c>
      <c r="B21" s="169">
        <f>'2nd IA Configuration'!P14</f>
        <v>-243.4</v>
      </c>
      <c r="C21" s="196">
        <v>0</v>
      </c>
      <c r="D21" s="197">
        <v>0</v>
      </c>
      <c r="E21" s="196">
        <v>42</v>
      </c>
      <c r="F21" s="197">
        <v>0</v>
      </c>
      <c r="G21" s="196">
        <f>-B21</f>
        <v>243.4</v>
      </c>
      <c r="H21" s="197">
        <v>133.41999999999999</v>
      </c>
      <c r="I21" s="227"/>
      <c r="J21" s="228"/>
    </row>
    <row r="22" spans="1:10" ht="16.5" thickBot="1" x14ac:dyDescent="0.3">
      <c r="A22" s="170" t="s">
        <v>137</v>
      </c>
      <c r="B22" s="171">
        <f>SUM(B7:B21)</f>
        <v>-5326.2999999999993</v>
      </c>
      <c r="C22" s="154" t="s">
        <v>12</v>
      </c>
      <c r="D22" s="151"/>
      <c r="E22" s="151"/>
      <c r="F22" s="152"/>
      <c r="G22" s="152"/>
      <c r="H22" s="152"/>
    </row>
    <row r="24" spans="1:10" ht="15.75" x14ac:dyDescent="0.2">
      <c r="A24" s="230" t="s">
        <v>138</v>
      </c>
      <c r="B24" s="230"/>
      <c r="C24" s="230"/>
      <c r="D24" s="230"/>
      <c r="E24" s="230"/>
      <c r="F24" s="230"/>
      <c r="G24" s="230"/>
      <c r="H24" s="230"/>
    </row>
    <row r="25" spans="1:10" ht="69.95" customHeight="1" x14ac:dyDescent="0.2">
      <c r="A25" s="231" t="s">
        <v>139</v>
      </c>
      <c r="B25" s="231"/>
      <c r="C25" s="231"/>
      <c r="D25" s="231"/>
      <c r="E25" s="231"/>
      <c r="F25" s="231"/>
      <c r="G25" s="231"/>
      <c r="H25" s="231"/>
    </row>
  </sheetData>
  <mergeCells count="4">
    <mergeCell ref="A24:H24"/>
    <mergeCell ref="A25:H25"/>
    <mergeCell ref="C5:H5"/>
    <mergeCell ref="A3:J3"/>
  </mergeCells>
  <pageMargins left="0.45" right="0.45" top="0.5" bottom="0.5" header="0" footer="0"/>
  <pageSetup scale="76"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8"/>
  <sheetViews>
    <sheetView zoomScaleNormal="100" workbookViewId="0"/>
  </sheetViews>
  <sheetFormatPr defaultRowHeight="12.75" x14ac:dyDescent="0.2"/>
  <cols>
    <col min="1" max="1" width="60.7109375" customWidth="1"/>
    <col min="2" max="18" width="15.7109375" customWidth="1"/>
  </cols>
  <sheetData>
    <row r="1" spans="1:18" ht="18.75" x14ac:dyDescent="0.2">
      <c r="A1" s="128" t="s">
        <v>146</v>
      </c>
      <c r="B1" s="172" t="s">
        <v>12</v>
      </c>
      <c r="C1" s="172" t="s">
        <v>12</v>
      </c>
      <c r="D1" s="128"/>
      <c r="E1" s="128"/>
      <c r="F1" s="128"/>
      <c r="G1" s="128"/>
      <c r="H1" s="128"/>
      <c r="I1" s="172" t="s">
        <v>12</v>
      </c>
      <c r="J1" s="184"/>
      <c r="K1" s="128"/>
      <c r="L1" s="128"/>
      <c r="M1" s="128"/>
      <c r="N1" s="128"/>
    </row>
    <row r="2" spans="1:18" ht="18.75" x14ac:dyDescent="0.25">
      <c r="A2" s="129"/>
      <c r="B2" s="172" t="s">
        <v>12</v>
      </c>
      <c r="C2" s="172" t="s">
        <v>12</v>
      </c>
      <c r="D2" s="129"/>
      <c r="E2" s="130"/>
      <c r="F2" s="129"/>
      <c r="G2" s="131"/>
      <c r="H2" s="132"/>
      <c r="I2" s="132"/>
      <c r="J2" s="132"/>
      <c r="K2" s="132"/>
      <c r="L2" s="132"/>
      <c r="M2" s="132"/>
      <c r="N2" s="132"/>
    </row>
    <row r="3" spans="1:18" ht="20.100000000000001" customHeight="1" x14ac:dyDescent="0.25">
      <c r="A3" s="133"/>
      <c r="B3" s="134" t="s">
        <v>12</v>
      </c>
      <c r="C3" s="237" t="s">
        <v>67</v>
      </c>
      <c r="D3" s="238"/>
      <c r="E3" s="238"/>
      <c r="F3" s="238"/>
      <c r="G3" s="238"/>
      <c r="H3" s="238"/>
      <c r="I3" s="238"/>
      <c r="J3" s="238"/>
      <c r="K3" s="238"/>
      <c r="L3" s="238"/>
      <c r="M3" s="238"/>
      <c r="N3" s="238"/>
      <c r="O3" s="238"/>
      <c r="P3" s="239"/>
    </row>
    <row r="4" spans="1:18" ht="20.100000000000001" customHeight="1" x14ac:dyDescent="0.2">
      <c r="A4" s="135" t="s">
        <v>12</v>
      </c>
      <c r="B4" s="136" t="s">
        <v>13</v>
      </c>
      <c r="C4" s="136" t="s">
        <v>17</v>
      </c>
      <c r="D4" s="136" t="s">
        <v>16</v>
      </c>
      <c r="E4" s="136" t="s">
        <v>14</v>
      </c>
      <c r="F4" s="136" t="s">
        <v>8</v>
      </c>
      <c r="G4" s="136" t="s">
        <v>42</v>
      </c>
      <c r="H4" s="136" t="s">
        <v>43</v>
      </c>
      <c r="I4" s="136" t="s">
        <v>7</v>
      </c>
      <c r="J4" s="136" t="s">
        <v>50</v>
      </c>
      <c r="K4" s="136" t="s">
        <v>115</v>
      </c>
      <c r="L4" s="30" t="s">
        <v>18</v>
      </c>
      <c r="M4" s="30" t="s">
        <v>3</v>
      </c>
      <c r="N4" s="30" t="s">
        <v>61</v>
      </c>
      <c r="O4" s="30" t="s">
        <v>19</v>
      </c>
      <c r="P4" s="30" t="s">
        <v>53</v>
      </c>
    </row>
    <row r="5" spans="1:18" ht="20.100000000000001" customHeight="1" x14ac:dyDescent="0.2">
      <c r="A5" s="137" t="s">
        <v>150</v>
      </c>
      <c r="B5" s="207">
        <f>'2nd IA Parameters'!B15</f>
        <v>147948.6</v>
      </c>
      <c r="C5" s="207">
        <f>'2nd IA Parameters'!C15</f>
        <v>64229</v>
      </c>
      <c r="D5" s="207">
        <f>'2nd IA Parameters'!D15</f>
        <v>36041</v>
      </c>
      <c r="E5" s="207">
        <f>'2nd IA Parameters'!E15</f>
        <v>15010</v>
      </c>
      <c r="F5" s="207">
        <f>'2nd IA Parameters'!F15</f>
        <v>11639</v>
      </c>
      <c r="G5" s="207">
        <f>'2nd IA Parameters'!G15</f>
        <v>6109</v>
      </c>
      <c r="H5" s="207">
        <f>'2nd IA Parameters'!H15</f>
        <v>3108</v>
      </c>
      <c r="I5" s="207">
        <f>'2nd IA Parameters'!I15</f>
        <v>7941</v>
      </c>
      <c r="J5" s="207">
        <f>'2nd IA Parameters'!J15</f>
        <v>14581</v>
      </c>
      <c r="K5" s="207">
        <f>'2nd IA Parameters'!K15</f>
        <v>5544</v>
      </c>
      <c r="L5" s="207">
        <f>'2nd IA Parameters'!L15</f>
        <v>23921</v>
      </c>
      <c r="M5" s="207">
        <f>'2nd IA Parameters'!M15</f>
        <v>7609</v>
      </c>
      <c r="N5" s="207">
        <f>'2nd IA Parameters'!N15</f>
        <v>10160</v>
      </c>
      <c r="O5" s="207">
        <f>'2nd IA Parameters'!O15</f>
        <v>3677</v>
      </c>
      <c r="P5" s="207">
        <f>'2nd IA Parameters'!P15</f>
        <v>6885.6810000000005</v>
      </c>
    </row>
    <row r="6" spans="1:18" ht="20.100000000000001" customHeight="1" x14ac:dyDescent="0.2">
      <c r="A6" s="137" t="s">
        <v>116</v>
      </c>
      <c r="B6" s="207">
        <f>'1st IA Parameters'!B15</f>
        <v>152212.4</v>
      </c>
      <c r="C6" s="207">
        <f>'1st IA Parameters'!C15</f>
        <v>64893</v>
      </c>
      <c r="D6" s="207">
        <f>'1st IA Parameters'!D15</f>
        <v>36025</v>
      </c>
      <c r="E6" s="207">
        <f>'1st IA Parameters'!E15</f>
        <v>15270</v>
      </c>
      <c r="F6" s="207">
        <f>'1st IA Parameters'!F15</f>
        <v>11526</v>
      </c>
      <c r="G6" s="207">
        <f>'1st IA Parameters'!G15</f>
        <v>6111</v>
      </c>
      <c r="H6" s="207">
        <f>'1st IA Parameters'!H15</f>
        <v>2884</v>
      </c>
      <c r="I6" s="207">
        <f>'1st IA Parameters'!I15</f>
        <v>8101</v>
      </c>
      <c r="J6" s="207">
        <f>'1st IA Parameters'!J15</f>
        <v>15370</v>
      </c>
      <c r="K6" s="207">
        <f>'1st IA Parameters'!K15</f>
        <v>5709</v>
      </c>
      <c r="L6" s="207">
        <f>'1st IA Parameters'!L15</f>
        <v>25611</v>
      </c>
      <c r="M6" s="207">
        <f>'1st IA Parameters'!M15</f>
        <v>7844</v>
      </c>
      <c r="N6" s="207">
        <f>'1st IA Parameters'!N15</f>
        <v>9917</v>
      </c>
      <c r="O6" s="207">
        <f>'1st IA Parameters'!O15</f>
        <v>3895</v>
      </c>
      <c r="P6" s="207">
        <f>'1st IA Parameters'!P15</f>
        <v>7068.4512999999997</v>
      </c>
    </row>
    <row r="7" spans="1:18" ht="20.100000000000001" customHeight="1" x14ac:dyDescent="0.2">
      <c r="A7" s="138" t="s">
        <v>117</v>
      </c>
      <c r="B7" s="209">
        <f>B5-B6</f>
        <v>-4263.7999999999884</v>
      </c>
      <c r="C7" s="209">
        <f>C5-C6</f>
        <v>-664</v>
      </c>
      <c r="D7" s="209">
        <f t="shared" ref="D7:P7" si="0">D5-D6</f>
        <v>16</v>
      </c>
      <c r="E7" s="209">
        <f t="shared" si="0"/>
        <v>-260</v>
      </c>
      <c r="F7" s="209">
        <f t="shared" si="0"/>
        <v>113</v>
      </c>
      <c r="G7" s="209">
        <f t="shared" si="0"/>
        <v>-2</v>
      </c>
      <c r="H7" s="209">
        <f t="shared" si="0"/>
        <v>224</v>
      </c>
      <c r="I7" s="209">
        <f t="shared" si="0"/>
        <v>-160</v>
      </c>
      <c r="J7" s="210">
        <f t="shared" si="0"/>
        <v>-789</v>
      </c>
      <c r="K7" s="210">
        <f t="shared" si="0"/>
        <v>-165</v>
      </c>
      <c r="L7" s="210">
        <f t="shared" si="0"/>
        <v>-1690</v>
      </c>
      <c r="M7" s="209">
        <f t="shared" si="0"/>
        <v>-235</v>
      </c>
      <c r="N7" s="209">
        <f t="shared" si="0"/>
        <v>243</v>
      </c>
      <c r="O7" s="209">
        <f t="shared" si="0"/>
        <v>-218</v>
      </c>
      <c r="P7" s="209">
        <f t="shared" si="0"/>
        <v>-182.77029999999922</v>
      </c>
    </row>
    <row r="8" spans="1:18" ht="20.100000000000001" customHeight="1" x14ac:dyDescent="0.2">
      <c r="A8" s="137" t="s">
        <v>151</v>
      </c>
      <c r="B8" s="140" t="s">
        <v>24</v>
      </c>
      <c r="C8" s="142">
        <f>'2nd IA Parameters'!C11-'1st IA Parameters'!C11</f>
        <v>511</v>
      </c>
      <c r="D8" s="142">
        <f>'2nd IA Parameters'!D11-'1st IA Parameters'!D11</f>
        <v>0</v>
      </c>
      <c r="E8" s="142">
        <f>'2nd IA Parameters'!E11-'1st IA Parameters'!E11</f>
        <v>0</v>
      </c>
      <c r="F8" s="142">
        <f>'2nd IA Parameters'!F11-'1st IA Parameters'!F11</f>
        <v>0</v>
      </c>
      <c r="G8" s="142">
        <f>'2nd IA Parameters'!G11-'1st IA Parameters'!G11</f>
        <v>0</v>
      </c>
      <c r="H8" s="142">
        <f>'2nd IA Parameters'!H11-'1st IA Parameters'!H11</f>
        <v>0</v>
      </c>
      <c r="I8" s="142">
        <f>'2nd IA Parameters'!I11-'1st IA Parameters'!I11</f>
        <v>-127</v>
      </c>
      <c r="J8" s="142">
        <f>'2nd IA Parameters'!J11-'1st IA Parameters'!J11</f>
        <v>0</v>
      </c>
      <c r="K8" s="142">
        <f>'2nd IA Parameters'!K11-'1st IA Parameters'!K11</f>
        <v>0</v>
      </c>
      <c r="L8" s="142">
        <f>'2nd IA Parameters'!L11-'1st IA Parameters'!L11</f>
        <v>0</v>
      </c>
      <c r="M8" s="142">
        <f>'2nd IA Parameters'!M11-'1st IA Parameters'!M11</f>
        <v>-50</v>
      </c>
      <c r="N8" s="142">
        <f>'2nd IA Parameters'!N11-'1st IA Parameters'!N11</f>
        <v>0</v>
      </c>
      <c r="O8" s="142">
        <f>'2nd IA Parameters'!O11-'1st IA Parameters'!O11</f>
        <v>0</v>
      </c>
      <c r="P8" s="142">
        <f>'2nd IA Parameters'!P11-'1st IA Parameters'!P11</f>
        <v>0</v>
      </c>
    </row>
    <row r="9" spans="1:18" ht="20.100000000000001" customHeight="1" x14ac:dyDescent="0.2">
      <c r="A9" s="141" t="s">
        <v>152</v>
      </c>
      <c r="B9" s="140" t="s">
        <v>24</v>
      </c>
      <c r="C9" s="142">
        <v>2309.6</v>
      </c>
      <c r="D9" s="142">
        <v>0</v>
      </c>
      <c r="E9" s="142">
        <v>2942</v>
      </c>
      <c r="F9" s="142">
        <v>0</v>
      </c>
      <c r="G9" s="142">
        <v>0</v>
      </c>
      <c r="H9" s="142">
        <v>330.4</v>
      </c>
      <c r="I9" s="142">
        <v>4137.8</v>
      </c>
      <c r="J9" s="142">
        <v>662.4</v>
      </c>
      <c r="K9" s="142">
        <v>766.8</v>
      </c>
      <c r="L9" s="142">
        <v>182.4</v>
      </c>
      <c r="M9" s="142">
        <v>0</v>
      </c>
      <c r="N9" s="142">
        <v>7301.3</v>
      </c>
      <c r="O9" s="142">
        <v>854.7</v>
      </c>
      <c r="P9" s="142">
        <v>184.8</v>
      </c>
    </row>
    <row r="10" spans="1:18" ht="20.100000000000001" customHeight="1" x14ac:dyDescent="0.2">
      <c r="A10" s="143" t="s">
        <v>118</v>
      </c>
      <c r="B10" s="144">
        <v>-1062.5</v>
      </c>
      <c r="C10" s="144">
        <v>-140.1</v>
      </c>
      <c r="D10" s="144">
        <v>-54.1</v>
      </c>
      <c r="E10" s="144">
        <v>-29</v>
      </c>
      <c r="F10" s="144">
        <v>-54.1</v>
      </c>
      <c r="G10" s="144">
        <v>0</v>
      </c>
      <c r="H10" s="144">
        <v>0</v>
      </c>
      <c r="I10" s="144">
        <v>0</v>
      </c>
      <c r="J10" s="144">
        <v>-228</v>
      </c>
      <c r="K10" s="144">
        <v>0</v>
      </c>
      <c r="L10" s="144">
        <v>-501</v>
      </c>
      <c r="M10" s="144">
        <v>0</v>
      </c>
      <c r="N10" s="144">
        <v>-57</v>
      </c>
      <c r="O10" s="144">
        <v>-84</v>
      </c>
      <c r="P10" s="144">
        <v>-60.6</v>
      </c>
    </row>
    <row r="11" spans="1:18" ht="20.100000000000001" customHeight="1" x14ac:dyDescent="0.2">
      <c r="A11" s="143" t="s">
        <v>144</v>
      </c>
      <c r="B11" s="144">
        <v>0</v>
      </c>
      <c r="C11" s="144">
        <v>0</v>
      </c>
      <c r="D11" s="144">
        <v>0</v>
      </c>
      <c r="E11" s="144">
        <v>0</v>
      </c>
      <c r="F11" s="144">
        <v>0</v>
      </c>
      <c r="G11" s="144">
        <v>0</v>
      </c>
      <c r="H11" s="144">
        <v>0</v>
      </c>
      <c r="I11" s="144">
        <v>0</v>
      </c>
      <c r="J11" s="144">
        <v>0</v>
      </c>
      <c r="K11" s="144">
        <v>0</v>
      </c>
      <c r="L11" s="144">
        <v>0</v>
      </c>
      <c r="M11" s="144">
        <v>0</v>
      </c>
      <c r="N11" s="144">
        <v>0</v>
      </c>
      <c r="O11" s="144">
        <v>0</v>
      </c>
      <c r="P11" s="144">
        <v>0</v>
      </c>
    </row>
    <row r="12" spans="1:18" ht="20.100000000000001" customHeight="1" x14ac:dyDescent="0.2">
      <c r="A12" s="143" t="s">
        <v>119</v>
      </c>
      <c r="B12" s="139">
        <f>B7+B10+B11</f>
        <v>-5326.2999999999884</v>
      </c>
      <c r="C12" s="139">
        <f t="shared" ref="C12:P12" si="1">C7+C10+C11</f>
        <v>-804.1</v>
      </c>
      <c r="D12" s="139">
        <f t="shared" si="1"/>
        <v>-38.1</v>
      </c>
      <c r="E12" s="139">
        <f>E7+E10+E11</f>
        <v>-289</v>
      </c>
      <c r="F12" s="139">
        <f t="shared" si="1"/>
        <v>58.9</v>
      </c>
      <c r="G12" s="139">
        <f t="shared" si="1"/>
        <v>-2</v>
      </c>
      <c r="H12" s="139">
        <f>H7+H10+H11</f>
        <v>224</v>
      </c>
      <c r="I12" s="139">
        <f t="shared" si="1"/>
        <v>-160</v>
      </c>
      <c r="J12" s="139">
        <f t="shared" si="1"/>
        <v>-1017</v>
      </c>
      <c r="K12" s="139">
        <f t="shared" si="1"/>
        <v>-165</v>
      </c>
      <c r="L12" s="139">
        <f t="shared" si="1"/>
        <v>-2191</v>
      </c>
      <c r="M12" s="139">
        <f t="shared" si="1"/>
        <v>-235</v>
      </c>
      <c r="N12" s="139">
        <f t="shared" si="1"/>
        <v>186</v>
      </c>
      <c r="O12" s="139">
        <f t="shared" si="1"/>
        <v>-302</v>
      </c>
      <c r="P12" s="139">
        <f t="shared" si="1"/>
        <v>-243.37029999999922</v>
      </c>
      <c r="Q12" s="222" t="s">
        <v>12</v>
      </c>
    </row>
    <row r="13" spans="1:18" ht="20.100000000000001" customHeight="1" x14ac:dyDescent="0.2">
      <c r="A13" s="198" t="s">
        <v>153</v>
      </c>
      <c r="B13" s="211">
        <f>B12-C12-J12-L12-O12-P12</f>
        <v>-768.82969999998875</v>
      </c>
      <c r="C13" s="211">
        <f>C12-D12-E12-N12</f>
        <v>-663</v>
      </c>
      <c r="D13" s="211">
        <f>D12-F13-G13-H13</f>
        <v>-321</v>
      </c>
      <c r="E13" s="211">
        <f>E12-I13-M13</f>
        <v>106</v>
      </c>
      <c r="F13" s="211">
        <f>F12-G13</f>
        <v>60.9</v>
      </c>
      <c r="G13" s="211">
        <f t="shared" ref="G13:O13" si="2">G12</f>
        <v>-2</v>
      </c>
      <c r="H13" s="211">
        <f t="shared" si="2"/>
        <v>224</v>
      </c>
      <c r="I13" s="211">
        <f t="shared" si="2"/>
        <v>-160</v>
      </c>
      <c r="J13" s="211">
        <f>J12-K13</f>
        <v>-852</v>
      </c>
      <c r="K13" s="211">
        <f t="shared" si="2"/>
        <v>-165</v>
      </c>
      <c r="L13" s="211">
        <f t="shared" si="2"/>
        <v>-2191</v>
      </c>
      <c r="M13" s="211">
        <f t="shared" si="2"/>
        <v>-235</v>
      </c>
      <c r="N13" s="211">
        <f t="shared" si="2"/>
        <v>186</v>
      </c>
      <c r="O13" s="211">
        <f t="shared" si="2"/>
        <v>-302</v>
      </c>
      <c r="P13" s="211">
        <f>P12</f>
        <v>-243.37029999999922</v>
      </c>
      <c r="Q13" s="224" t="s">
        <v>12</v>
      </c>
      <c r="R13" s="225" t="s">
        <v>12</v>
      </c>
    </row>
    <row r="14" spans="1:18" ht="20.100000000000001" customHeight="1" x14ac:dyDescent="0.2">
      <c r="A14" s="198" t="s">
        <v>154</v>
      </c>
      <c r="B14" s="187">
        <v>-768.8</v>
      </c>
      <c r="C14" s="187">
        <v>-477</v>
      </c>
      <c r="D14" s="187">
        <v>-97</v>
      </c>
      <c r="E14" s="187">
        <v>0</v>
      </c>
      <c r="F14" s="187">
        <v>58.9</v>
      </c>
      <c r="G14" s="187">
        <v>0</v>
      </c>
      <c r="H14" s="187">
        <v>0</v>
      </c>
      <c r="I14" s="187">
        <v>-104</v>
      </c>
      <c r="J14" s="187">
        <v>-852</v>
      </c>
      <c r="K14" s="187">
        <v>-165</v>
      </c>
      <c r="L14" s="187">
        <v>-2191</v>
      </c>
      <c r="M14" s="187">
        <v>-185</v>
      </c>
      <c r="N14" s="187">
        <v>0</v>
      </c>
      <c r="O14" s="187">
        <v>-302</v>
      </c>
      <c r="P14" s="187">
        <v>-243.4</v>
      </c>
      <c r="Q14" s="224" t="s">
        <v>12</v>
      </c>
      <c r="R14" s="225" t="s">
        <v>12</v>
      </c>
    </row>
    <row r="15" spans="1:18" ht="20.100000000000001" customHeight="1" x14ac:dyDescent="0.2">
      <c r="A15" s="186" t="s">
        <v>156</v>
      </c>
      <c r="B15" s="199" t="s">
        <v>24</v>
      </c>
      <c r="C15" s="200">
        <v>2820.6</v>
      </c>
      <c r="D15" s="200">
        <v>0</v>
      </c>
      <c r="E15" s="200">
        <v>2942</v>
      </c>
      <c r="F15" s="200">
        <v>0</v>
      </c>
      <c r="G15" s="200">
        <v>0</v>
      </c>
      <c r="H15" s="200">
        <v>106.4</v>
      </c>
      <c r="I15" s="200">
        <v>4066.8</v>
      </c>
      <c r="J15" s="200">
        <v>662.4</v>
      </c>
      <c r="K15" s="200">
        <v>766.8</v>
      </c>
      <c r="L15" s="200">
        <v>182.4</v>
      </c>
      <c r="M15" s="200">
        <v>0</v>
      </c>
      <c r="N15" s="200">
        <v>7115.3</v>
      </c>
      <c r="O15" s="200">
        <v>854.7</v>
      </c>
      <c r="P15" s="200">
        <v>184.8</v>
      </c>
      <c r="Q15" s="224" t="s">
        <v>12</v>
      </c>
      <c r="R15" s="225" t="s">
        <v>12</v>
      </c>
    </row>
    <row r="16" spans="1:18" ht="5.0999999999999996" customHeight="1" x14ac:dyDescent="0.25">
      <c r="A16" s="145"/>
      <c r="B16" s="146"/>
      <c r="C16" s="147"/>
      <c r="D16" s="147"/>
      <c r="E16" s="147"/>
      <c r="F16" s="147"/>
      <c r="G16" s="147"/>
      <c r="H16" s="147"/>
      <c r="I16" s="147"/>
      <c r="J16" s="147"/>
      <c r="K16" s="147"/>
      <c r="L16" s="147"/>
      <c r="M16" s="147"/>
      <c r="N16" s="147"/>
    </row>
    <row r="17" spans="1:16" ht="20.100000000000001" customHeight="1" x14ac:dyDescent="0.2">
      <c r="A17" s="240" t="s">
        <v>142</v>
      </c>
      <c r="B17" s="240"/>
      <c r="C17" s="240"/>
      <c r="D17" s="240"/>
      <c r="E17" s="240"/>
      <c r="F17" s="240"/>
      <c r="G17" s="240"/>
      <c r="H17" s="240"/>
      <c r="I17" s="240"/>
      <c r="J17" s="240"/>
      <c r="K17" s="240"/>
      <c r="L17" s="240"/>
      <c r="M17" s="240"/>
      <c r="N17" s="240"/>
      <c r="O17" s="240"/>
      <c r="P17" s="240"/>
    </row>
    <row r="18" spans="1:16" ht="20.100000000000001" customHeight="1" x14ac:dyDescent="0.2">
      <c r="A18" s="240" t="s">
        <v>155</v>
      </c>
      <c r="B18" s="240"/>
      <c r="C18" s="240"/>
      <c r="D18" s="240"/>
      <c r="E18" s="240"/>
      <c r="F18" s="240"/>
      <c r="G18" s="240"/>
      <c r="H18" s="240"/>
      <c r="I18" s="240"/>
      <c r="J18" s="240"/>
      <c r="K18" s="240"/>
      <c r="L18" s="240"/>
      <c r="M18" s="240"/>
      <c r="N18" s="240"/>
      <c r="O18" s="240"/>
      <c r="P18" s="240"/>
    </row>
    <row r="19" spans="1:16" ht="20.100000000000001" customHeight="1" x14ac:dyDescent="0.2">
      <c r="A19" s="241" t="s">
        <v>143</v>
      </c>
      <c r="B19" s="241"/>
      <c r="C19" s="241"/>
      <c r="D19" s="241"/>
      <c r="E19" s="241"/>
      <c r="F19" s="241"/>
      <c r="G19" s="241"/>
      <c r="H19" s="241"/>
      <c r="I19" s="241"/>
      <c r="J19" s="241"/>
      <c r="K19" s="241"/>
      <c r="L19" s="241"/>
      <c r="M19" s="241"/>
      <c r="N19" s="241"/>
      <c r="O19" s="241"/>
      <c r="P19" s="241"/>
    </row>
    <row r="20" spans="1:16" ht="20.100000000000001" customHeight="1" x14ac:dyDescent="0.2">
      <c r="A20" s="236" t="s">
        <v>165</v>
      </c>
      <c r="B20" s="236"/>
      <c r="C20" s="236"/>
      <c r="D20" s="236"/>
      <c r="E20" s="236"/>
      <c r="F20" s="236"/>
      <c r="G20" s="236"/>
      <c r="H20" s="236"/>
      <c r="I20" s="236"/>
      <c r="J20" s="236"/>
      <c r="K20" s="236"/>
      <c r="L20" s="236"/>
      <c r="M20" s="236"/>
      <c r="N20" s="236"/>
      <c r="O20" s="236"/>
      <c r="P20" s="236"/>
    </row>
    <row r="21" spans="1:16" ht="15.75" x14ac:dyDescent="0.2">
      <c r="A21" s="214" t="s">
        <v>12</v>
      </c>
      <c r="J21" s="212" t="s">
        <v>12</v>
      </c>
    </row>
    <row r="22" spans="1:16" ht="15" x14ac:dyDescent="0.25">
      <c r="A22" s="213" t="s">
        <v>12</v>
      </c>
      <c r="D22" s="185" t="s">
        <v>12</v>
      </c>
    </row>
    <row r="23" spans="1:16" ht="15.75" x14ac:dyDescent="0.2">
      <c r="A23" s="236" t="s">
        <v>12</v>
      </c>
      <c r="B23" s="236"/>
      <c r="C23" s="236"/>
      <c r="D23" s="236"/>
      <c r="E23" s="236"/>
      <c r="F23" s="236"/>
      <c r="G23" s="236"/>
      <c r="H23" s="236"/>
      <c r="I23" s="236"/>
      <c r="J23" s="236"/>
      <c r="K23" s="236"/>
      <c r="L23" s="236"/>
      <c r="M23" s="236"/>
      <c r="N23" s="236"/>
      <c r="O23" s="236"/>
      <c r="P23" s="236"/>
    </row>
    <row r="24" spans="1:16" ht="15" x14ac:dyDescent="0.2">
      <c r="A24" s="223"/>
      <c r="B24" s="223"/>
      <c r="C24" s="223"/>
      <c r="D24" s="223"/>
      <c r="E24" s="223"/>
      <c r="F24" s="223"/>
      <c r="G24" s="223"/>
      <c r="H24" s="223"/>
      <c r="I24" s="223"/>
      <c r="J24" s="223"/>
      <c r="K24" s="223"/>
      <c r="L24" s="223"/>
      <c r="M24" s="223"/>
      <c r="N24" s="223"/>
      <c r="O24" s="223"/>
      <c r="P24" s="223"/>
    </row>
    <row r="25" spans="1:16" ht="15" x14ac:dyDescent="0.2">
      <c r="A25" s="223"/>
      <c r="B25" s="223"/>
      <c r="C25" s="223"/>
      <c r="D25" s="223"/>
      <c r="E25" s="223"/>
      <c r="F25" s="223"/>
      <c r="G25" s="223"/>
      <c r="H25" s="223"/>
      <c r="I25" s="223"/>
      <c r="J25" s="223"/>
      <c r="K25" s="223"/>
      <c r="L25" s="223"/>
      <c r="M25" s="223"/>
      <c r="N25" s="223"/>
      <c r="O25" s="223"/>
      <c r="P25" s="223"/>
    </row>
    <row r="26" spans="1:16" ht="15" x14ac:dyDescent="0.2">
      <c r="A26" s="223"/>
      <c r="B26" s="223"/>
      <c r="C26" s="223"/>
      <c r="D26" s="223"/>
      <c r="E26" s="223"/>
      <c r="F26" s="223"/>
      <c r="G26" s="223"/>
      <c r="H26" s="223"/>
      <c r="I26" s="223"/>
      <c r="J26" s="223"/>
      <c r="K26" s="223"/>
      <c r="L26" s="223"/>
      <c r="M26" s="223"/>
      <c r="N26" s="223"/>
      <c r="O26" s="223"/>
      <c r="P26" s="223"/>
    </row>
    <row r="27" spans="1:16" ht="15" x14ac:dyDescent="0.2">
      <c r="A27" s="223"/>
      <c r="B27" s="223"/>
      <c r="C27" s="223"/>
      <c r="D27" s="223"/>
      <c r="E27" s="223"/>
      <c r="F27" s="223"/>
      <c r="G27" s="223"/>
      <c r="H27" s="223"/>
      <c r="I27" s="223"/>
      <c r="J27" s="223"/>
      <c r="K27" s="223"/>
      <c r="L27" s="223"/>
      <c r="M27" s="223"/>
      <c r="N27" s="223"/>
      <c r="O27" s="223"/>
      <c r="P27" s="223"/>
    </row>
    <row r="28" spans="1:16" ht="15" x14ac:dyDescent="0.2">
      <c r="A28" s="223"/>
      <c r="B28" s="223"/>
      <c r="C28" s="223"/>
      <c r="D28" s="223"/>
      <c r="E28" s="223"/>
      <c r="F28" s="223"/>
      <c r="G28" s="223"/>
      <c r="H28" s="223"/>
      <c r="I28" s="223"/>
      <c r="J28" s="223"/>
      <c r="K28" s="223"/>
      <c r="L28" s="223"/>
      <c r="M28" s="223"/>
      <c r="N28" s="223"/>
      <c r="O28" s="223"/>
      <c r="P28" s="223"/>
    </row>
  </sheetData>
  <mergeCells count="6">
    <mergeCell ref="A23:P23"/>
    <mergeCell ref="A20:P20"/>
    <mergeCell ref="C3:P3"/>
    <mergeCell ref="A17:P17"/>
    <mergeCell ref="A19:P19"/>
    <mergeCell ref="A18:P18"/>
  </mergeCells>
  <pageMargins left="0.45" right="0.45" top="0.5" bottom="0.5" header="0.3" footer="0.3"/>
  <pageSetup scale="44"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3"/>
  <sheetViews>
    <sheetView zoomScale="90" zoomScaleNormal="90" workbookViewId="0">
      <selection sqref="A1:B1"/>
    </sheetView>
  </sheetViews>
  <sheetFormatPr defaultRowHeight="12.75" x14ac:dyDescent="0.2"/>
  <cols>
    <col min="1" max="1" width="60.7109375" customWidth="1"/>
    <col min="2" max="18" width="16.7109375" customWidth="1"/>
  </cols>
  <sheetData>
    <row r="1" spans="1:16" ht="18.75" x14ac:dyDescent="0.25">
      <c r="A1" s="246" t="s">
        <v>147</v>
      </c>
      <c r="B1" s="246"/>
      <c r="C1" s="201"/>
      <c r="D1" s="10" t="s">
        <v>12</v>
      </c>
      <c r="E1" s="176" t="s">
        <v>12</v>
      </c>
      <c r="F1" s="11" t="s">
        <v>12</v>
      </c>
      <c r="G1" s="12"/>
      <c r="H1" s="13"/>
      <c r="I1" s="14" t="s">
        <v>12</v>
      </c>
      <c r="J1" s="15" t="s">
        <v>12</v>
      </c>
      <c r="K1" s="16"/>
      <c r="L1" s="16"/>
      <c r="M1" s="16"/>
      <c r="N1" s="16"/>
      <c r="O1" s="16"/>
      <c r="P1" s="16"/>
    </row>
    <row r="2" spans="1:16" ht="15.75" x14ac:dyDescent="0.2">
      <c r="A2" s="17" t="s">
        <v>12</v>
      </c>
      <c r="B2" s="18"/>
      <c r="C2" s="18"/>
      <c r="D2" s="18"/>
      <c r="E2" s="18"/>
      <c r="F2" s="18"/>
      <c r="G2" s="18"/>
      <c r="H2" s="18"/>
      <c r="I2" s="15" t="s">
        <v>12</v>
      </c>
      <c r="J2" s="19" t="s">
        <v>12</v>
      </c>
      <c r="K2" s="18" t="s">
        <v>12</v>
      </c>
      <c r="L2" s="18"/>
      <c r="M2" s="18"/>
      <c r="N2" s="18"/>
      <c r="O2" s="16"/>
      <c r="P2" s="16"/>
    </row>
    <row r="3" spans="1:16" ht="20.100000000000001" customHeight="1" x14ac:dyDescent="0.3">
      <c r="A3" s="203" t="s">
        <v>12</v>
      </c>
      <c r="B3" s="21" t="s">
        <v>13</v>
      </c>
      <c r="C3" s="247" t="s">
        <v>41</v>
      </c>
      <c r="D3" s="247"/>
      <c r="E3" s="247"/>
      <c r="F3" s="247"/>
      <c r="G3" s="247"/>
      <c r="H3" s="247"/>
      <c r="I3" s="247"/>
      <c r="J3" s="247"/>
      <c r="K3" s="247"/>
      <c r="L3" s="247"/>
      <c r="M3" s="247"/>
      <c r="N3" s="247"/>
      <c r="O3" s="247"/>
      <c r="P3" s="247"/>
    </row>
    <row r="4" spans="1:16" ht="20.100000000000001" customHeight="1" x14ac:dyDescent="0.2">
      <c r="A4" s="203" t="s">
        <v>35</v>
      </c>
      <c r="B4" s="177">
        <v>0.151</v>
      </c>
      <c r="C4" s="248" t="s">
        <v>148</v>
      </c>
      <c r="D4" s="248"/>
      <c r="E4" s="248"/>
      <c r="F4" s="248"/>
      <c r="G4" s="248"/>
      <c r="H4" s="248"/>
      <c r="I4" s="248"/>
      <c r="J4" s="248"/>
      <c r="K4" s="248"/>
      <c r="L4" s="248"/>
      <c r="M4" s="248"/>
      <c r="N4" s="248"/>
      <c r="O4" s="248"/>
      <c r="P4" s="248"/>
    </row>
    <row r="5" spans="1:16" ht="20.100000000000001" customHeight="1" x14ac:dyDescent="0.2">
      <c r="A5" s="203" t="s">
        <v>36</v>
      </c>
      <c r="B5" s="178">
        <v>5.5599999999999997E-2</v>
      </c>
      <c r="C5" s="248" t="s">
        <v>148</v>
      </c>
      <c r="D5" s="248"/>
      <c r="E5" s="248"/>
      <c r="F5" s="248"/>
      <c r="G5" s="248"/>
      <c r="H5" s="248"/>
      <c r="I5" s="248"/>
      <c r="J5" s="248"/>
      <c r="K5" s="248"/>
      <c r="L5" s="248"/>
      <c r="M5" s="248"/>
      <c r="N5" s="248"/>
      <c r="O5" s="248"/>
      <c r="P5" s="248"/>
    </row>
    <row r="6" spans="1:16" ht="20.100000000000001" customHeight="1" x14ac:dyDescent="0.2">
      <c r="A6" s="203" t="s">
        <v>37</v>
      </c>
      <c r="B6" s="179">
        <v>1.087</v>
      </c>
      <c r="C6" s="248" t="s">
        <v>148</v>
      </c>
      <c r="D6" s="248"/>
      <c r="E6" s="248"/>
      <c r="F6" s="248"/>
      <c r="G6" s="248"/>
      <c r="H6" s="248"/>
      <c r="I6" s="248"/>
      <c r="J6" s="248"/>
      <c r="K6" s="248"/>
      <c r="L6" s="248"/>
      <c r="M6" s="248"/>
      <c r="N6" s="248"/>
      <c r="O6" s="248"/>
      <c r="P6" s="248"/>
    </row>
    <row r="7" spans="1:16" ht="20.100000000000001" customHeight="1" x14ac:dyDescent="0.2">
      <c r="A7" s="174" t="s">
        <v>38</v>
      </c>
      <c r="B7" s="180">
        <v>147501.6</v>
      </c>
      <c r="C7" s="248" t="s">
        <v>149</v>
      </c>
      <c r="D7" s="248"/>
      <c r="E7" s="248"/>
      <c r="F7" s="248"/>
      <c r="G7" s="248"/>
      <c r="H7" s="248"/>
      <c r="I7" s="248"/>
      <c r="J7" s="248"/>
      <c r="K7" s="248"/>
      <c r="L7" s="248"/>
      <c r="M7" s="248"/>
      <c r="N7" s="248"/>
      <c r="O7" s="248"/>
      <c r="P7" s="248"/>
    </row>
    <row r="8" spans="1:16" ht="20.100000000000001" customHeight="1" x14ac:dyDescent="0.2">
      <c r="A8" s="203" t="s">
        <v>12</v>
      </c>
      <c r="B8" s="26" t="s">
        <v>12</v>
      </c>
      <c r="C8" s="242" t="s">
        <v>67</v>
      </c>
      <c r="D8" s="242"/>
      <c r="E8" s="242"/>
      <c r="F8" s="242"/>
      <c r="G8" s="242"/>
      <c r="H8" s="242"/>
      <c r="I8" s="242"/>
      <c r="J8" s="242"/>
      <c r="K8" s="242"/>
      <c r="L8" s="242"/>
      <c r="M8" s="242"/>
      <c r="N8" s="242"/>
      <c r="O8" s="242"/>
      <c r="P8" s="242"/>
    </row>
    <row r="9" spans="1:16" ht="20.100000000000001" customHeight="1" x14ac:dyDescent="0.2">
      <c r="A9" s="27" t="s">
        <v>12</v>
      </c>
      <c r="B9" s="28" t="s">
        <v>13</v>
      </c>
      <c r="C9" s="28" t="s">
        <v>17</v>
      </c>
      <c r="D9" s="28" t="s">
        <v>16</v>
      </c>
      <c r="E9" s="28" t="s">
        <v>14</v>
      </c>
      <c r="F9" s="28" t="s">
        <v>8</v>
      </c>
      <c r="G9" s="28" t="s">
        <v>42</v>
      </c>
      <c r="H9" s="28" t="s">
        <v>43</v>
      </c>
      <c r="I9" s="28" t="s">
        <v>7</v>
      </c>
      <c r="J9" s="29" t="s">
        <v>50</v>
      </c>
      <c r="K9" s="29" t="s">
        <v>58</v>
      </c>
      <c r="L9" s="30" t="s">
        <v>18</v>
      </c>
      <c r="M9" s="30" t="s">
        <v>3</v>
      </c>
      <c r="N9" s="30" t="s">
        <v>61</v>
      </c>
      <c r="O9" s="30" t="s">
        <v>19</v>
      </c>
      <c r="P9" s="30" t="s">
        <v>53</v>
      </c>
    </row>
    <row r="10" spans="1:16" ht="20.100000000000001" customHeight="1" x14ac:dyDescent="0.2">
      <c r="A10" s="31" t="s">
        <v>9</v>
      </c>
      <c r="B10" s="32" t="s">
        <v>24</v>
      </c>
      <c r="C10" s="34">
        <v>-9110</v>
      </c>
      <c r="D10" s="35">
        <v>2760</v>
      </c>
      <c r="E10" s="35">
        <v>2960</v>
      </c>
      <c r="F10" s="35">
        <v>5500</v>
      </c>
      <c r="G10" s="35">
        <v>2600</v>
      </c>
      <c r="H10" s="35">
        <v>1390</v>
      </c>
      <c r="I10" s="35">
        <v>1350</v>
      </c>
      <c r="J10" s="35">
        <v>4750</v>
      </c>
      <c r="K10" s="35">
        <v>3130</v>
      </c>
      <c r="L10" s="35">
        <v>-2640</v>
      </c>
      <c r="M10" s="35">
        <v>4590</v>
      </c>
      <c r="N10" s="35">
        <v>-690</v>
      </c>
      <c r="O10" s="35">
        <v>2470</v>
      </c>
      <c r="P10" s="35">
        <v>2680</v>
      </c>
    </row>
    <row r="11" spans="1:16" ht="20.100000000000001" customHeight="1" x14ac:dyDescent="0.2">
      <c r="A11" s="31" t="s">
        <v>11</v>
      </c>
      <c r="B11" s="32" t="s">
        <v>24</v>
      </c>
      <c r="C11" s="34">
        <v>4210</v>
      </c>
      <c r="D11" s="35">
        <v>9000</v>
      </c>
      <c r="E11" s="35">
        <v>8770</v>
      </c>
      <c r="F11" s="35">
        <v>6902</v>
      </c>
      <c r="G11" s="35">
        <v>3180</v>
      </c>
      <c r="H11" s="35">
        <v>1624</v>
      </c>
      <c r="I11" s="35">
        <v>6710</v>
      </c>
      <c r="J11" s="35">
        <v>8439</v>
      </c>
      <c r="K11" s="35">
        <v>5256</v>
      </c>
      <c r="L11" s="35">
        <v>5574</v>
      </c>
      <c r="M11" s="35">
        <v>5860</v>
      </c>
      <c r="N11" s="35">
        <v>6609</v>
      </c>
      <c r="O11" s="35">
        <v>3502</v>
      </c>
      <c r="P11" s="35">
        <v>4959</v>
      </c>
    </row>
    <row r="12" spans="1:16" ht="20.100000000000001" customHeight="1" x14ac:dyDescent="0.2">
      <c r="A12" s="36" t="s">
        <v>10</v>
      </c>
      <c r="B12" s="32">
        <f>ROUND((B7*B6),1)</f>
        <v>160334.20000000001</v>
      </c>
      <c r="C12" s="34">
        <v>64229</v>
      </c>
      <c r="D12" s="93">
        <v>36041</v>
      </c>
      <c r="E12" s="93">
        <v>15010</v>
      </c>
      <c r="F12" s="93">
        <v>11639</v>
      </c>
      <c r="G12" s="93">
        <v>6109</v>
      </c>
      <c r="H12" s="93">
        <v>3108</v>
      </c>
      <c r="I12" s="93">
        <v>7941</v>
      </c>
      <c r="J12" s="93">
        <v>14581</v>
      </c>
      <c r="K12" s="93">
        <v>5544</v>
      </c>
      <c r="L12" s="93">
        <v>23921</v>
      </c>
      <c r="M12" s="93">
        <v>7609</v>
      </c>
      <c r="N12" s="93">
        <v>10160</v>
      </c>
      <c r="O12" s="93">
        <v>3677</v>
      </c>
      <c r="P12" s="93">
        <v>7260</v>
      </c>
    </row>
    <row r="13" spans="1:16" ht="20.100000000000001" customHeight="1" x14ac:dyDescent="0.2">
      <c r="A13" s="182" t="s">
        <v>108</v>
      </c>
      <c r="B13" s="35">
        <v>11394.3</v>
      </c>
      <c r="C13" s="39">
        <v>0</v>
      </c>
      <c r="D13" s="39">
        <v>0</v>
      </c>
      <c r="E13" s="39">
        <v>0</v>
      </c>
      <c r="F13" s="39">
        <v>0</v>
      </c>
      <c r="G13" s="39">
        <v>0</v>
      </c>
      <c r="H13" s="39">
        <v>0</v>
      </c>
      <c r="I13" s="39">
        <v>0</v>
      </c>
      <c r="J13" s="39">
        <v>0</v>
      </c>
      <c r="K13" s="39">
        <v>0</v>
      </c>
      <c r="L13" s="33">
        <v>0</v>
      </c>
      <c r="M13" s="39">
        <v>0</v>
      </c>
      <c r="N13" s="39">
        <v>0</v>
      </c>
      <c r="O13" s="39">
        <v>0</v>
      </c>
      <c r="P13" s="35">
        <v>823.8</v>
      </c>
    </row>
    <row r="14" spans="1:16" ht="20.100000000000001" customHeight="1" x14ac:dyDescent="0.2">
      <c r="A14" s="31" t="s">
        <v>44</v>
      </c>
      <c r="B14" s="33">
        <f>ROUND(B13*$B$6,1)</f>
        <v>12385.6</v>
      </c>
      <c r="C14" s="39">
        <f t="shared" ref="C14:I14" si="0">ROUND(C13*$B$6,1)</f>
        <v>0</v>
      </c>
      <c r="D14" s="39">
        <f t="shared" si="0"/>
        <v>0</v>
      </c>
      <c r="E14" s="39">
        <f t="shared" si="0"/>
        <v>0</v>
      </c>
      <c r="F14" s="39">
        <f t="shared" si="0"/>
        <v>0</v>
      </c>
      <c r="G14" s="39">
        <f t="shared" si="0"/>
        <v>0</v>
      </c>
      <c r="H14" s="39">
        <f t="shared" si="0"/>
        <v>0</v>
      </c>
      <c r="I14" s="39">
        <f t="shared" si="0"/>
        <v>0</v>
      </c>
      <c r="J14" s="39">
        <f>ROUND(J13*$B$6,1)</f>
        <v>0</v>
      </c>
      <c r="K14" s="39">
        <f>ROUND(K13*$B$6,1)</f>
        <v>0</v>
      </c>
      <c r="L14" s="33">
        <f>ROUND(L13*$B$6,1)</f>
        <v>0</v>
      </c>
      <c r="M14" s="39">
        <f>ROUND(M13*$B$6,1)</f>
        <v>0</v>
      </c>
      <c r="N14" s="39">
        <f>ROUND(N13*$B$6,1)</f>
        <v>0</v>
      </c>
      <c r="O14" s="39">
        <f t="shared" ref="O14" si="1">ROUND(O13*$B$6,1)</f>
        <v>0</v>
      </c>
      <c r="P14" s="33">
        <f>ROUND(P13*$B$6,1)</f>
        <v>895.5</v>
      </c>
    </row>
    <row r="15" spans="1:16" ht="20.100000000000001" customHeight="1" x14ac:dyDescent="0.2">
      <c r="A15" s="40" t="s">
        <v>45</v>
      </c>
      <c r="B15" s="41">
        <f>B12-B14</f>
        <v>147948.6</v>
      </c>
      <c r="C15" s="41">
        <f>C12-C14*C42</f>
        <v>64229</v>
      </c>
      <c r="D15" s="41">
        <f>D12-D14*D42</f>
        <v>36041</v>
      </c>
      <c r="E15" s="41">
        <f>E12-E14*E42</f>
        <v>15010</v>
      </c>
      <c r="F15" s="41">
        <f t="shared" ref="F15:O15" si="2">F12-F14</f>
        <v>11639</v>
      </c>
      <c r="G15" s="41">
        <f t="shared" si="2"/>
        <v>6109</v>
      </c>
      <c r="H15" s="41">
        <f t="shared" si="2"/>
        <v>3108</v>
      </c>
      <c r="I15" s="41">
        <f t="shared" si="2"/>
        <v>7941</v>
      </c>
      <c r="J15" s="41">
        <f t="shared" si="2"/>
        <v>14581</v>
      </c>
      <c r="K15" s="41">
        <f>K12-K14</f>
        <v>5544</v>
      </c>
      <c r="L15" s="41">
        <f>L12-L14*L42</f>
        <v>23921</v>
      </c>
      <c r="M15" s="41">
        <f>M12-M14*M42</f>
        <v>7609</v>
      </c>
      <c r="N15" s="41">
        <f t="shared" si="2"/>
        <v>10160</v>
      </c>
      <c r="O15" s="41">
        <f t="shared" si="2"/>
        <v>3677</v>
      </c>
      <c r="P15" s="41">
        <f>P12-P14*P42</f>
        <v>6885.6810000000005</v>
      </c>
    </row>
    <row r="16" spans="1:16" ht="20.100000000000001" customHeight="1" x14ac:dyDescent="0.2">
      <c r="A16" s="175" t="s">
        <v>69</v>
      </c>
      <c r="B16" s="181">
        <f>'BRA Parameters'!B16*(1-'BRA Parameters'!$B$5)/(1-'2nd IA Parameters'!$B$5)</f>
        <v>392.53356734434561</v>
      </c>
      <c r="C16" s="181">
        <f>'BRA Parameters'!C16*(1-'BRA Parameters'!$B$5)/(1-'2nd IA Parameters'!$B$5)</f>
        <v>391.14842439644218</v>
      </c>
      <c r="D16" s="181">
        <f>'BRA Parameters'!D16*(1-'BRA Parameters'!$B$5)/(1-'2nd IA Parameters'!$B$5)</f>
        <v>386.25558132147398</v>
      </c>
      <c r="E16" s="181">
        <f>'BRA Parameters'!E16*(1-'BRA Parameters'!$B$5)/(1-'2nd IA Parameters'!$B$5)</f>
        <v>408.90615628970772</v>
      </c>
      <c r="F16" s="181">
        <f>'BRA Parameters'!F16*(1-'BRA Parameters'!$B$5)/(1-'2nd IA Parameters'!$B$5)</f>
        <v>386.25558132147398</v>
      </c>
      <c r="G16" s="181">
        <f>'BRA Parameters'!G16*(1-'BRA Parameters'!$B$5)/(1-'2nd IA Parameters'!$B$5)</f>
        <v>386.25558132147398</v>
      </c>
      <c r="H16" s="181">
        <f>'BRA Parameters'!H16*(1-'BRA Parameters'!$B$5)/(1-'2nd IA Parameters'!$B$5)</f>
        <v>386.25558132147398</v>
      </c>
      <c r="I16" s="181">
        <f>'BRA Parameters'!I16*(1-'BRA Parameters'!$B$5)/(1-'2nd IA Parameters'!$B$5)</f>
        <v>408.90615628970772</v>
      </c>
      <c r="J16" s="181">
        <f>'BRA Parameters'!J16*(1-'BRA Parameters'!$B$5)/(1-'2nd IA Parameters'!$B$5)</f>
        <v>385.886874205845</v>
      </c>
      <c r="K16" s="181">
        <f>'BRA Parameters'!K16*(1-'BRA Parameters'!$B$5)/(1-'2nd IA Parameters'!$B$5)</f>
        <v>385.886874205845</v>
      </c>
      <c r="L16" s="181">
        <f>'BRA Parameters'!L16*(1-'BRA Parameters'!$B$5)/(1-'2nd IA Parameters'!$B$5)</f>
        <v>385.886874205845</v>
      </c>
      <c r="M16" s="181">
        <f>'BRA Parameters'!M16*(1-'BRA Parameters'!$B$5)/(1-'2nd IA Parameters'!$B$5)</f>
        <v>408.90615628970772</v>
      </c>
      <c r="N16" s="181">
        <f>'BRA Parameters'!N16*(1-'BRA Parameters'!$B$5)/(1-'2nd IA Parameters'!$B$5)</f>
        <v>389.09562261753496</v>
      </c>
      <c r="O16" s="181">
        <f>'BRA Parameters'!O16*(1-'BRA Parameters'!$B$5)/(1-'2nd IA Parameters'!$B$5)</f>
        <v>385.886874205845</v>
      </c>
      <c r="P16" s="181">
        <f>'BRA Parameters'!P16*(1-'BRA Parameters'!$B$5)/(1-'2nd IA Parameters'!$B$5)</f>
        <v>385.886874205845</v>
      </c>
    </row>
    <row r="17" spans="1:16" ht="20.100000000000001" customHeight="1" x14ac:dyDescent="0.2">
      <c r="A17" s="202" t="s">
        <v>46</v>
      </c>
      <c r="B17" s="181">
        <f>'BRA Parameters'!B17*(1-'BRA Parameters'!$B$5)/(1-'2nd IA Parameters'!$B$5)</f>
        <v>320.44634371029224</v>
      </c>
      <c r="C17" s="181">
        <f>'BRA Parameters'!C17*(1-'BRA Parameters'!$B$5)/(1-'2nd IA Parameters'!$B$5)</f>
        <v>291.66725857687419</v>
      </c>
      <c r="D17" s="181">
        <f>'BRA Parameters'!D17*(1-'BRA Parameters'!$B$5)/(1-'2nd IA Parameters'!$B$5)</f>
        <v>312.67359911054638</v>
      </c>
      <c r="E17" s="181">
        <f>'BRA Parameters'!E17*(1-'BRA Parameters'!$B$5)/(1-'2nd IA Parameters'!$B$5)</f>
        <v>263.95443456162644</v>
      </c>
      <c r="F17" s="181">
        <f>'BRA Parameters'!F17*(1-'BRA Parameters'!$B$5)/(1-'2nd IA Parameters'!$B$5)</f>
        <v>329.45475540025416</v>
      </c>
      <c r="G17" s="181">
        <f>'BRA Parameters'!G17*(1-'BRA Parameters'!$B$5)/(1-'2nd IA Parameters'!$B$5)</f>
        <v>329.45475540025416</v>
      </c>
      <c r="H17" s="181">
        <f>'BRA Parameters'!H17*(1-'BRA Parameters'!$B$5)/(1-'2nd IA Parameters'!$B$5)</f>
        <v>299.13108640406614</v>
      </c>
      <c r="I17" s="181">
        <f>'BRA Parameters'!I17*(1-'BRA Parameters'!$B$5)/(1-'2nd IA Parameters'!$B$5)</f>
        <v>284.4226620076239</v>
      </c>
      <c r="J17" s="181">
        <f>'BRA Parameters'!J17*(1-'BRA Parameters'!$B$5)/(1-'2nd IA Parameters'!$B$5)</f>
        <v>305.79770965692506</v>
      </c>
      <c r="K17" s="181">
        <f>'BRA Parameters'!K17*(1-'BRA Parameters'!$B$5)/(1-'2nd IA Parameters'!$B$5)</f>
        <v>305.79770965692506</v>
      </c>
      <c r="L17" s="181">
        <f>'BRA Parameters'!L17*(1-'BRA Parameters'!$B$5)/(1-'2nd IA Parameters'!$B$5)</f>
        <v>343.15670902160105</v>
      </c>
      <c r="M17" s="181">
        <f>'BRA Parameters'!M17*(1-'BRA Parameters'!$B$5)/(1-'2nd IA Parameters'!$B$5)</f>
        <v>243.47624205844983</v>
      </c>
      <c r="N17" s="181">
        <f>'BRA Parameters'!N17*(1-'BRA Parameters'!$B$5)/(1-'2nd IA Parameters'!$B$5)</f>
        <v>299.66919949174081</v>
      </c>
      <c r="O17" s="181">
        <f>'BRA Parameters'!O17*(1-'BRA Parameters'!$B$5)/(1-'2nd IA Parameters'!$B$5)</f>
        <v>311.46782719186785</v>
      </c>
      <c r="P17" s="181">
        <f>'BRA Parameters'!P17*(1-'BRA Parameters'!$B$5)/(1-'2nd IA Parameters'!$B$5)</f>
        <v>311.70698856416772</v>
      </c>
    </row>
    <row r="18" spans="1:16" ht="20.100000000000001" customHeight="1" x14ac:dyDescent="0.2">
      <c r="A18" s="47" t="s">
        <v>112</v>
      </c>
      <c r="B18" s="32">
        <v>0</v>
      </c>
      <c r="C18" s="32">
        <v>0</v>
      </c>
      <c r="D18" s="32">
        <v>0</v>
      </c>
      <c r="E18" s="32">
        <v>0</v>
      </c>
      <c r="F18" s="32">
        <v>0</v>
      </c>
      <c r="G18" s="32">
        <v>0</v>
      </c>
      <c r="H18" s="32">
        <v>0</v>
      </c>
      <c r="I18" s="32">
        <v>0</v>
      </c>
      <c r="J18" s="32">
        <v>0</v>
      </c>
      <c r="K18" s="32">
        <v>0</v>
      </c>
      <c r="L18" s="32">
        <v>0</v>
      </c>
      <c r="M18" s="32">
        <v>0</v>
      </c>
      <c r="N18" s="32">
        <v>0</v>
      </c>
      <c r="O18" s="32">
        <v>0</v>
      </c>
      <c r="P18" s="32">
        <v>0</v>
      </c>
    </row>
    <row r="19" spans="1:16" ht="20.100000000000001" customHeight="1" thickBot="1" x14ac:dyDescent="0.25">
      <c r="A19" s="243" t="s">
        <v>47</v>
      </c>
      <c r="B19" s="243"/>
      <c r="C19" s="243"/>
      <c r="D19" s="243"/>
      <c r="E19" s="243"/>
      <c r="F19" s="243"/>
      <c r="G19" s="243"/>
      <c r="H19" s="243"/>
      <c r="I19" s="243"/>
      <c r="J19" s="243"/>
      <c r="K19" s="243"/>
      <c r="L19" s="243"/>
      <c r="M19" s="243"/>
      <c r="N19" s="243"/>
      <c r="O19" s="243"/>
      <c r="P19" s="243"/>
    </row>
    <row r="20" spans="1:16" ht="20.100000000000001" customHeight="1" x14ac:dyDescent="0.2">
      <c r="A20" s="48" t="s">
        <v>25</v>
      </c>
      <c r="B20" s="49">
        <f>ROUND(MAX(B16,1.5*B17),2)</f>
        <v>480.67</v>
      </c>
      <c r="C20" s="49">
        <f t="shared" ref="C20:N20" si="3">ROUND(MAX(C16,1.5*C17),2)</f>
        <v>437.5</v>
      </c>
      <c r="D20" s="49">
        <f t="shared" si="3"/>
        <v>469.01</v>
      </c>
      <c r="E20" s="49">
        <f t="shared" si="3"/>
        <v>408.91</v>
      </c>
      <c r="F20" s="49">
        <f t="shared" si="3"/>
        <v>494.18</v>
      </c>
      <c r="G20" s="49">
        <f t="shared" si="3"/>
        <v>494.18</v>
      </c>
      <c r="H20" s="49">
        <f>ROUND(MAX(H16,1.5*H17),2)</f>
        <v>448.7</v>
      </c>
      <c r="I20" s="49">
        <f t="shared" si="3"/>
        <v>426.63</v>
      </c>
      <c r="J20" s="49">
        <f t="shared" si="3"/>
        <v>458.7</v>
      </c>
      <c r="K20" s="49">
        <f t="shared" si="3"/>
        <v>458.7</v>
      </c>
      <c r="L20" s="49">
        <f t="shared" si="3"/>
        <v>514.74</v>
      </c>
      <c r="M20" s="49">
        <f t="shared" si="3"/>
        <v>408.91</v>
      </c>
      <c r="N20" s="49">
        <f t="shared" si="3"/>
        <v>449.5</v>
      </c>
      <c r="O20" s="49">
        <f>ROUND(MAX(O16,1.5*O17),2)</f>
        <v>467.2</v>
      </c>
      <c r="P20" s="50">
        <f>ROUND(MAX(P16,1.5*P17),2)</f>
        <v>467.56</v>
      </c>
    </row>
    <row r="21" spans="1:16" ht="20.100000000000001" customHeight="1" x14ac:dyDescent="0.2">
      <c r="A21" s="51" t="s">
        <v>26</v>
      </c>
      <c r="B21" s="52">
        <f>ROUND(B$17*0.75,2)</f>
        <v>240.33</v>
      </c>
      <c r="C21" s="52">
        <f t="shared" ref="C21:M21" si="4">ROUND(C$17*0.75,2)</f>
        <v>218.75</v>
      </c>
      <c r="D21" s="52">
        <f t="shared" si="4"/>
        <v>234.51</v>
      </c>
      <c r="E21" s="52">
        <f t="shared" si="4"/>
        <v>197.97</v>
      </c>
      <c r="F21" s="52">
        <f t="shared" si="4"/>
        <v>247.09</v>
      </c>
      <c r="G21" s="52">
        <f t="shared" si="4"/>
        <v>247.09</v>
      </c>
      <c r="H21" s="52">
        <f t="shared" si="4"/>
        <v>224.35</v>
      </c>
      <c r="I21" s="52">
        <f t="shared" si="4"/>
        <v>213.32</v>
      </c>
      <c r="J21" s="52">
        <f t="shared" si="4"/>
        <v>229.35</v>
      </c>
      <c r="K21" s="52">
        <f t="shared" si="4"/>
        <v>229.35</v>
      </c>
      <c r="L21" s="52">
        <f t="shared" si="4"/>
        <v>257.37</v>
      </c>
      <c r="M21" s="52">
        <f t="shared" si="4"/>
        <v>182.61</v>
      </c>
      <c r="N21" s="52">
        <f>ROUND(N$17*0.75,2)</f>
        <v>224.75</v>
      </c>
      <c r="O21" s="52">
        <f>ROUND(O$17*0.75,2)</f>
        <v>233.6</v>
      </c>
      <c r="P21" s="53">
        <f>ROUND(P$17*0.75,2)</f>
        <v>233.78</v>
      </c>
    </row>
    <row r="22" spans="1:16" ht="20.100000000000001" customHeight="1" x14ac:dyDescent="0.2">
      <c r="A22" s="51" t="s">
        <v>27</v>
      </c>
      <c r="B22" s="52">
        <v>0</v>
      </c>
      <c r="C22" s="52">
        <v>0</v>
      </c>
      <c r="D22" s="52">
        <v>0</v>
      </c>
      <c r="E22" s="52">
        <v>0</v>
      </c>
      <c r="F22" s="52">
        <v>0</v>
      </c>
      <c r="G22" s="52">
        <v>0</v>
      </c>
      <c r="H22" s="52">
        <v>0</v>
      </c>
      <c r="I22" s="52">
        <v>0</v>
      </c>
      <c r="J22" s="52">
        <v>0</v>
      </c>
      <c r="K22" s="52">
        <v>0</v>
      </c>
      <c r="L22" s="52">
        <v>0</v>
      </c>
      <c r="M22" s="52">
        <v>0</v>
      </c>
      <c r="N22" s="52">
        <v>0</v>
      </c>
      <c r="O22" s="52">
        <v>0</v>
      </c>
      <c r="P22" s="53">
        <v>0</v>
      </c>
    </row>
    <row r="23" spans="1:16" ht="20.100000000000001" customHeight="1" x14ac:dyDescent="0.2">
      <c r="A23" s="51" t="s">
        <v>28</v>
      </c>
      <c r="B23" s="54">
        <f>ROUND(B$15*(1+$B$4-0.2%)/(1+$B$4),1)+B$18</f>
        <v>147691.5</v>
      </c>
      <c r="C23" s="54">
        <f t="shared" ref="C23:N23" si="5">ROUND(C$15*(1+$B$4-0.2%)/(1+$B$4),1)+C$18</f>
        <v>64117.4</v>
      </c>
      <c r="D23" s="54">
        <f t="shared" si="5"/>
        <v>35978.400000000001</v>
      </c>
      <c r="E23" s="54">
        <f t="shared" si="5"/>
        <v>14983.9</v>
      </c>
      <c r="F23" s="54">
        <f t="shared" si="5"/>
        <v>11618.8</v>
      </c>
      <c r="G23" s="54">
        <f t="shared" si="5"/>
        <v>6098.4</v>
      </c>
      <c r="H23" s="54">
        <f t="shared" si="5"/>
        <v>3102.6</v>
      </c>
      <c r="I23" s="54">
        <f t="shared" si="5"/>
        <v>7927.2</v>
      </c>
      <c r="J23" s="54">
        <f t="shared" si="5"/>
        <v>14555.7</v>
      </c>
      <c r="K23" s="54">
        <f t="shared" si="5"/>
        <v>5534.4</v>
      </c>
      <c r="L23" s="54">
        <f t="shared" si="5"/>
        <v>23879.4</v>
      </c>
      <c r="M23" s="54">
        <f t="shared" si="5"/>
        <v>7595.8</v>
      </c>
      <c r="N23" s="54">
        <f t="shared" si="5"/>
        <v>10142.299999999999</v>
      </c>
      <c r="O23" s="54">
        <f>ROUND(O$15*(1+$B$4-0.2%)/(1+$B$4),1)+O$18</f>
        <v>3670.6</v>
      </c>
      <c r="P23" s="55">
        <f>ROUND(P$15*(1+$B$4-0.2%)/(1+$B$4),1)+P$18</f>
        <v>6873.7</v>
      </c>
    </row>
    <row r="24" spans="1:16" ht="20.100000000000001" customHeight="1" x14ac:dyDescent="0.2">
      <c r="A24" s="51" t="s">
        <v>29</v>
      </c>
      <c r="B24" s="54">
        <f>ROUND(B$15*(1+$B$4+2.9%)/(1+$B$4),1)+B$18</f>
        <v>151676.20000000001</v>
      </c>
      <c r="C24" s="54">
        <f t="shared" ref="C24:N24" si="6">ROUND(C$15*(1+$B$4+2.9%)/(1+$B$4),1)+C$18</f>
        <v>65847.3</v>
      </c>
      <c r="D24" s="54">
        <f t="shared" si="6"/>
        <v>36949.1</v>
      </c>
      <c r="E24" s="54">
        <f t="shared" si="6"/>
        <v>15388.2</v>
      </c>
      <c r="F24" s="54">
        <f t="shared" si="6"/>
        <v>11932.3</v>
      </c>
      <c r="G24" s="54">
        <f t="shared" si="6"/>
        <v>6262.9</v>
      </c>
      <c r="H24" s="54">
        <f t="shared" si="6"/>
        <v>3186.3</v>
      </c>
      <c r="I24" s="54">
        <f t="shared" si="6"/>
        <v>8141.1</v>
      </c>
      <c r="J24" s="54">
        <f t="shared" si="6"/>
        <v>14948.4</v>
      </c>
      <c r="K24" s="54">
        <f t="shared" si="6"/>
        <v>5683.7</v>
      </c>
      <c r="L24" s="54">
        <f t="shared" si="6"/>
        <v>24523.7</v>
      </c>
      <c r="M24" s="54">
        <f t="shared" si="6"/>
        <v>7800.7</v>
      </c>
      <c r="N24" s="54">
        <f t="shared" si="6"/>
        <v>10416</v>
      </c>
      <c r="O24" s="54">
        <f>ROUND(O$15*(1+$B$4+2.9%)/(1+$B$4),1)+O$18</f>
        <v>3769.6</v>
      </c>
      <c r="P24" s="55">
        <f>ROUND(P$15*(1+$B$4+2.9%)/(1+$B$4),1)+P$18</f>
        <v>7059.2</v>
      </c>
    </row>
    <row r="25" spans="1:16" ht="20.100000000000001" customHeight="1" thickBot="1" x14ac:dyDescent="0.25">
      <c r="A25" s="56" t="s">
        <v>30</v>
      </c>
      <c r="B25" s="57">
        <f>ROUND(B$15*(1+$B$4+8.8%)/(1+$B$4),1)+B$18</f>
        <v>159260</v>
      </c>
      <c r="C25" s="57">
        <f t="shared" ref="C25:N25" si="7">ROUND(C$15*(1+$B$4+8.8%)/(1+$B$4),1)+C$18</f>
        <v>69139.600000000006</v>
      </c>
      <c r="D25" s="57">
        <f t="shared" si="7"/>
        <v>38796.5</v>
      </c>
      <c r="E25" s="57">
        <f t="shared" si="7"/>
        <v>16157.6</v>
      </c>
      <c r="F25" s="57">
        <f t="shared" si="7"/>
        <v>12528.9</v>
      </c>
      <c r="G25" s="57">
        <f t="shared" si="7"/>
        <v>6576.1</v>
      </c>
      <c r="H25" s="57">
        <f t="shared" si="7"/>
        <v>3345.6</v>
      </c>
      <c r="I25" s="57">
        <f t="shared" si="7"/>
        <v>8548.1</v>
      </c>
      <c r="J25" s="57">
        <f t="shared" si="7"/>
        <v>15695.8</v>
      </c>
      <c r="K25" s="57">
        <f t="shared" si="7"/>
        <v>5967.9</v>
      </c>
      <c r="L25" s="57">
        <f t="shared" si="7"/>
        <v>25749.9</v>
      </c>
      <c r="M25" s="57">
        <f t="shared" si="7"/>
        <v>8190.7</v>
      </c>
      <c r="N25" s="57">
        <f t="shared" si="7"/>
        <v>10936.8</v>
      </c>
      <c r="O25" s="57">
        <f>ROUND(O$15*(1+$B$4+8.8%)/(1+$B$4),1)+O$18</f>
        <v>3958.1</v>
      </c>
      <c r="P25" s="58">
        <f>ROUND(P$15*(1+$B$4+8.8%)/(1+$B$4),1)+P$18</f>
        <v>7412.1</v>
      </c>
    </row>
    <row r="26" spans="1:16" ht="20.100000000000001" customHeight="1" x14ac:dyDescent="0.2">
      <c r="A26" s="59" t="s">
        <v>70</v>
      </c>
      <c r="B26" s="60">
        <f>C26+J26+L26+O26+P26</f>
        <v>510</v>
      </c>
      <c r="C26" s="60">
        <f>D26+E26+N26</f>
        <v>510</v>
      </c>
      <c r="D26" s="60">
        <f>39.3+H26</f>
        <v>75</v>
      </c>
      <c r="E26" s="60">
        <f>I26+M26</f>
        <v>435</v>
      </c>
      <c r="F26" s="60">
        <v>0</v>
      </c>
      <c r="G26" s="60">
        <v>0</v>
      </c>
      <c r="H26" s="60">
        <v>35.700000000000003</v>
      </c>
      <c r="I26" s="60">
        <v>195</v>
      </c>
      <c r="J26" s="60">
        <v>0</v>
      </c>
      <c r="K26" s="60">
        <v>0</v>
      </c>
      <c r="L26" s="60">
        <v>0</v>
      </c>
      <c r="M26" s="60">
        <v>240</v>
      </c>
      <c r="N26" s="60">
        <v>0</v>
      </c>
      <c r="O26" s="60">
        <v>0</v>
      </c>
      <c r="P26" s="60">
        <v>0</v>
      </c>
    </row>
    <row r="27" spans="1:16" ht="20.100000000000001" customHeight="1" thickBot="1" x14ac:dyDescent="0.25">
      <c r="A27" s="244" t="s">
        <v>79</v>
      </c>
      <c r="B27" s="244"/>
      <c r="C27" s="244"/>
      <c r="D27" s="244"/>
      <c r="E27" s="244"/>
      <c r="F27" s="244"/>
      <c r="G27" s="244"/>
      <c r="H27" s="244"/>
      <c r="I27" s="244"/>
      <c r="J27" s="244"/>
      <c r="K27" s="244"/>
      <c r="L27" s="244"/>
      <c r="M27" s="244"/>
      <c r="N27" s="244"/>
      <c r="O27" s="244"/>
      <c r="P27" s="244"/>
    </row>
    <row r="28" spans="1:16" ht="20.100000000000001" customHeight="1" x14ac:dyDescent="0.2">
      <c r="A28" s="61" t="s">
        <v>73</v>
      </c>
      <c r="B28" s="62">
        <f>B20</f>
        <v>480.67</v>
      </c>
      <c r="C28" s="62">
        <f t="shared" ref="C28:O29" si="8">C20</f>
        <v>437.5</v>
      </c>
      <c r="D28" s="62">
        <f t="shared" si="8"/>
        <v>469.01</v>
      </c>
      <c r="E28" s="62">
        <f>E20</f>
        <v>408.91</v>
      </c>
      <c r="F28" s="62">
        <f>F20</f>
        <v>494.18</v>
      </c>
      <c r="G28" s="62">
        <f t="shared" ref="G28" si="9">G20</f>
        <v>494.18</v>
      </c>
      <c r="H28" s="62">
        <f t="shared" si="8"/>
        <v>448.7</v>
      </c>
      <c r="I28" s="62">
        <f t="shared" si="8"/>
        <v>426.63</v>
      </c>
      <c r="J28" s="62">
        <f t="shared" si="8"/>
        <v>458.7</v>
      </c>
      <c r="K28" s="62">
        <f t="shared" si="8"/>
        <v>458.7</v>
      </c>
      <c r="L28" s="62">
        <f t="shared" si="8"/>
        <v>514.74</v>
      </c>
      <c r="M28" s="62">
        <f t="shared" si="8"/>
        <v>408.91</v>
      </c>
      <c r="N28" s="62">
        <f t="shared" si="8"/>
        <v>449.5</v>
      </c>
      <c r="O28" s="62">
        <f t="shared" si="8"/>
        <v>467.2</v>
      </c>
      <c r="P28" s="63">
        <f>P20</f>
        <v>467.56</v>
      </c>
    </row>
    <row r="29" spans="1:16" ht="20.100000000000001" customHeight="1" x14ac:dyDescent="0.2">
      <c r="A29" s="64" t="s">
        <v>72</v>
      </c>
      <c r="B29" s="65">
        <f>B21</f>
        <v>240.33</v>
      </c>
      <c r="C29" s="65">
        <f t="shared" si="8"/>
        <v>218.75</v>
      </c>
      <c r="D29" s="65">
        <f t="shared" si="8"/>
        <v>234.51</v>
      </c>
      <c r="E29" s="65">
        <f t="shared" si="8"/>
        <v>197.97</v>
      </c>
      <c r="F29" s="65">
        <f t="shared" si="8"/>
        <v>247.09</v>
      </c>
      <c r="G29" s="65">
        <f t="shared" si="8"/>
        <v>247.09</v>
      </c>
      <c r="H29" s="65">
        <f t="shared" si="8"/>
        <v>224.35</v>
      </c>
      <c r="I29" s="65">
        <f t="shared" si="8"/>
        <v>213.32</v>
      </c>
      <c r="J29" s="65">
        <f t="shared" si="8"/>
        <v>229.35</v>
      </c>
      <c r="K29" s="65">
        <f t="shared" si="8"/>
        <v>229.35</v>
      </c>
      <c r="L29" s="65">
        <f t="shared" si="8"/>
        <v>257.37</v>
      </c>
      <c r="M29" s="65">
        <f t="shared" si="8"/>
        <v>182.61</v>
      </c>
      <c r="N29" s="65">
        <f t="shared" si="8"/>
        <v>224.75</v>
      </c>
      <c r="O29" s="65">
        <f t="shared" si="8"/>
        <v>233.6</v>
      </c>
      <c r="P29" s="66">
        <f>P21</f>
        <v>233.78</v>
      </c>
    </row>
    <row r="30" spans="1:16" ht="20.100000000000001" customHeight="1" x14ac:dyDescent="0.2">
      <c r="A30" s="64" t="s">
        <v>75</v>
      </c>
      <c r="B30" s="65">
        <v>0.01</v>
      </c>
      <c r="C30" s="65">
        <v>0.01</v>
      </c>
      <c r="D30" s="65">
        <v>0.01</v>
      </c>
      <c r="E30" s="65">
        <v>0.01</v>
      </c>
      <c r="F30" s="65" t="s">
        <v>12</v>
      </c>
      <c r="G30" s="65" t="s">
        <v>12</v>
      </c>
      <c r="H30" s="65">
        <v>0.01</v>
      </c>
      <c r="I30" s="65">
        <v>0.01</v>
      </c>
      <c r="J30" s="65" t="s">
        <v>12</v>
      </c>
      <c r="K30" s="65" t="s">
        <v>12</v>
      </c>
      <c r="L30" s="65" t="s">
        <v>12</v>
      </c>
      <c r="M30" s="65">
        <v>0.01</v>
      </c>
      <c r="N30" s="65" t="s">
        <v>12</v>
      </c>
      <c r="O30" s="65" t="s">
        <v>12</v>
      </c>
      <c r="P30" s="66" t="s">
        <v>12</v>
      </c>
    </row>
    <row r="31" spans="1:16" ht="20.100000000000001" customHeight="1" x14ac:dyDescent="0.2">
      <c r="A31" s="64" t="s">
        <v>76</v>
      </c>
      <c r="B31" s="65">
        <v>0.01</v>
      </c>
      <c r="C31" s="65">
        <v>0.01</v>
      </c>
      <c r="D31" s="65">
        <v>0.01</v>
      </c>
      <c r="E31" s="65">
        <v>0.01</v>
      </c>
      <c r="F31" s="65" t="s">
        <v>12</v>
      </c>
      <c r="G31" s="65" t="s">
        <v>12</v>
      </c>
      <c r="H31" s="65">
        <v>0.01</v>
      </c>
      <c r="I31" s="65">
        <v>0.01</v>
      </c>
      <c r="J31" s="65" t="s">
        <v>12</v>
      </c>
      <c r="K31" s="65" t="s">
        <v>12</v>
      </c>
      <c r="L31" s="65" t="s">
        <v>12</v>
      </c>
      <c r="M31" s="65">
        <v>0.01</v>
      </c>
      <c r="N31" s="65" t="s">
        <v>12</v>
      </c>
      <c r="O31" s="65" t="s">
        <v>12</v>
      </c>
      <c r="P31" s="66" t="s">
        <v>12</v>
      </c>
    </row>
    <row r="32" spans="1:16" ht="20.100000000000001" customHeight="1" thickBot="1" x14ac:dyDescent="0.25">
      <c r="A32" s="67" t="s">
        <v>27</v>
      </c>
      <c r="B32" s="68">
        <f>B22</f>
        <v>0</v>
      </c>
      <c r="C32" s="68">
        <f>C22</f>
        <v>0</v>
      </c>
      <c r="D32" s="68">
        <f>D22</f>
        <v>0</v>
      </c>
      <c r="E32" s="68">
        <f>E22</f>
        <v>0</v>
      </c>
      <c r="F32" s="68">
        <f t="shared" ref="F32:G32" si="10">F22</f>
        <v>0</v>
      </c>
      <c r="G32" s="68">
        <f t="shared" si="10"/>
        <v>0</v>
      </c>
      <c r="H32" s="68">
        <f>H22</f>
        <v>0</v>
      </c>
      <c r="I32" s="68">
        <f>I22</f>
        <v>0</v>
      </c>
      <c r="J32" s="68">
        <f t="shared" ref="J32:O32" si="11">J22</f>
        <v>0</v>
      </c>
      <c r="K32" s="68">
        <f t="shared" si="11"/>
        <v>0</v>
      </c>
      <c r="L32" s="68">
        <f t="shared" si="11"/>
        <v>0</v>
      </c>
      <c r="M32" s="68">
        <f t="shared" si="11"/>
        <v>0</v>
      </c>
      <c r="N32" s="68">
        <f t="shared" si="11"/>
        <v>0</v>
      </c>
      <c r="O32" s="68">
        <f t="shared" si="11"/>
        <v>0</v>
      </c>
      <c r="P32" s="69">
        <f>P22</f>
        <v>0</v>
      </c>
    </row>
    <row r="33" spans="1:16" ht="20.100000000000001" customHeight="1" x14ac:dyDescent="0.2">
      <c r="A33" s="70" t="s">
        <v>74</v>
      </c>
      <c r="B33" s="71">
        <f>ROUND(B23-B$26*$B$6,1)</f>
        <v>147137.1</v>
      </c>
      <c r="C33" s="71">
        <f>ROUND(C23-C$26*$B$6,1)</f>
        <v>63563</v>
      </c>
      <c r="D33" s="71">
        <f>ROUND(D23-D$26*$B$6,1)</f>
        <v>35896.9</v>
      </c>
      <c r="E33" s="71">
        <f>ROUND(E23-E$26*$B$6,1)</f>
        <v>14511.1</v>
      </c>
      <c r="F33" s="71">
        <f>ROUND(F23-F$26*$B$6,1)</f>
        <v>11618.8</v>
      </c>
      <c r="G33" s="71">
        <f t="shared" ref="G33:P33" si="12">ROUND(G23-G$26*$B$6,1)</f>
        <v>6098.4</v>
      </c>
      <c r="H33" s="71">
        <f t="shared" si="12"/>
        <v>3063.8</v>
      </c>
      <c r="I33" s="71">
        <f t="shared" si="12"/>
        <v>7715.2</v>
      </c>
      <c r="J33" s="71">
        <f t="shared" si="12"/>
        <v>14555.7</v>
      </c>
      <c r="K33" s="71">
        <f t="shared" si="12"/>
        <v>5534.4</v>
      </c>
      <c r="L33" s="71">
        <f t="shared" si="12"/>
        <v>23879.4</v>
      </c>
      <c r="M33" s="71">
        <f t="shared" si="12"/>
        <v>7334.9</v>
      </c>
      <c r="N33" s="71">
        <f t="shared" si="12"/>
        <v>10142.299999999999</v>
      </c>
      <c r="O33" s="71">
        <f t="shared" si="12"/>
        <v>3670.6</v>
      </c>
      <c r="P33" s="204">
        <f t="shared" si="12"/>
        <v>6873.7</v>
      </c>
    </row>
    <row r="34" spans="1:16" ht="20.100000000000001" customHeight="1" x14ac:dyDescent="0.2">
      <c r="A34" s="72" t="s">
        <v>71</v>
      </c>
      <c r="B34" s="73">
        <f>ROUND(B24-B$26*$B$6,1)</f>
        <v>151121.79999999999</v>
      </c>
      <c r="C34" s="73">
        <f>ROUND(C24-C$26*$B$6,1)</f>
        <v>65292.9</v>
      </c>
      <c r="D34" s="73">
        <f>ROUND(D24-D$26*$B$6,1)</f>
        <v>36867.599999999999</v>
      </c>
      <c r="E34" s="73">
        <f>ROUND(E24-E$26*$B$6,1)</f>
        <v>14915.4</v>
      </c>
      <c r="F34" s="73">
        <f t="shared" ref="F34:P34" si="13">ROUND(F24-F$26*$B$6,1)</f>
        <v>11932.3</v>
      </c>
      <c r="G34" s="73">
        <f t="shared" si="13"/>
        <v>6262.9</v>
      </c>
      <c r="H34" s="73">
        <f t="shared" si="13"/>
        <v>3147.5</v>
      </c>
      <c r="I34" s="73">
        <f t="shared" si="13"/>
        <v>7929.1</v>
      </c>
      <c r="J34" s="73">
        <f t="shared" si="13"/>
        <v>14948.4</v>
      </c>
      <c r="K34" s="73">
        <f t="shared" si="13"/>
        <v>5683.7</v>
      </c>
      <c r="L34" s="73">
        <f t="shared" si="13"/>
        <v>24523.7</v>
      </c>
      <c r="M34" s="73">
        <f t="shared" si="13"/>
        <v>7539.8</v>
      </c>
      <c r="N34" s="73">
        <f t="shared" si="13"/>
        <v>10416</v>
      </c>
      <c r="O34" s="73">
        <f t="shared" si="13"/>
        <v>3769.6</v>
      </c>
      <c r="P34" s="205">
        <f t="shared" si="13"/>
        <v>7059.2</v>
      </c>
    </row>
    <row r="35" spans="1:16" ht="20.100000000000001" customHeight="1" x14ac:dyDescent="0.2">
      <c r="A35" s="72" t="s">
        <v>77</v>
      </c>
      <c r="B35" s="73">
        <f>ROUND(B36-B$26*$B$6,1)</f>
        <v>158705.29999999999</v>
      </c>
      <c r="C35" s="73">
        <f t="shared" ref="C35:I35" si="14">ROUND(C36-C$26*$B$6,1)</f>
        <v>68585</v>
      </c>
      <c r="D35" s="73">
        <f t="shared" si="14"/>
        <v>38714.9</v>
      </c>
      <c r="E35" s="73">
        <f>ROUND(E36-E$26*$B$6,1)</f>
        <v>15684.8</v>
      </c>
      <c r="F35" s="73" t="s">
        <v>12</v>
      </c>
      <c r="G35" s="73" t="s">
        <v>12</v>
      </c>
      <c r="H35" s="73">
        <f t="shared" si="14"/>
        <v>3306.8</v>
      </c>
      <c r="I35" s="73">
        <f t="shared" si="14"/>
        <v>8336.1</v>
      </c>
      <c r="J35" s="73" t="s">
        <v>12</v>
      </c>
      <c r="K35" s="73" t="s">
        <v>12</v>
      </c>
      <c r="L35" s="73" t="s">
        <v>12</v>
      </c>
      <c r="M35" s="73">
        <f>ROUND(M36-M$26*$B$6,1)</f>
        <v>7929.8</v>
      </c>
      <c r="N35" s="73"/>
      <c r="O35" s="73"/>
      <c r="P35" s="205"/>
    </row>
    <row r="36" spans="1:16" ht="20.100000000000001" customHeight="1" x14ac:dyDescent="0.2">
      <c r="A36" s="72" t="s">
        <v>78</v>
      </c>
      <c r="B36" s="73">
        <f>ROUND(B25-B31*(B25-B24)/B21,1)</f>
        <v>159259.70000000001</v>
      </c>
      <c r="C36" s="73">
        <f t="shared" ref="C36:M36" si="15">ROUND(C25-C31*(C25-C24)/C21,1)</f>
        <v>69139.399999999994</v>
      </c>
      <c r="D36" s="73">
        <f t="shared" si="15"/>
        <v>38796.400000000001</v>
      </c>
      <c r="E36" s="73">
        <f t="shared" si="15"/>
        <v>16157.6</v>
      </c>
      <c r="F36" s="73" t="s">
        <v>12</v>
      </c>
      <c r="G36" s="73" t="s">
        <v>12</v>
      </c>
      <c r="H36" s="73">
        <f t="shared" si="15"/>
        <v>3345.6</v>
      </c>
      <c r="I36" s="73">
        <f t="shared" si="15"/>
        <v>8548.1</v>
      </c>
      <c r="J36" s="73" t="s">
        <v>12</v>
      </c>
      <c r="K36" s="73" t="s">
        <v>12</v>
      </c>
      <c r="L36" s="73" t="s">
        <v>12</v>
      </c>
      <c r="M36" s="73">
        <f t="shared" si="15"/>
        <v>8190.7</v>
      </c>
      <c r="N36" s="73"/>
      <c r="O36" s="73"/>
      <c r="P36" s="205"/>
    </row>
    <row r="37" spans="1:16" ht="20.100000000000001" customHeight="1" thickBot="1" x14ac:dyDescent="0.25">
      <c r="A37" s="74" t="s">
        <v>30</v>
      </c>
      <c r="B37" s="75">
        <f>B25</f>
        <v>159260</v>
      </c>
      <c r="C37" s="75">
        <f t="shared" ref="C37:P37" si="16">C25</f>
        <v>69139.600000000006</v>
      </c>
      <c r="D37" s="75">
        <f t="shared" si="16"/>
        <v>38796.5</v>
      </c>
      <c r="E37" s="75">
        <f t="shared" si="16"/>
        <v>16157.6</v>
      </c>
      <c r="F37" s="75">
        <f t="shared" si="16"/>
        <v>12528.9</v>
      </c>
      <c r="G37" s="75">
        <f t="shared" si="16"/>
        <v>6576.1</v>
      </c>
      <c r="H37" s="75">
        <f t="shared" si="16"/>
        <v>3345.6</v>
      </c>
      <c r="I37" s="75">
        <f t="shared" si="16"/>
        <v>8548.1</v>
      </c>
      <c r="J37" s="75">
        <f t="shared" si="16"/>
        <v>15695.8</v>
      </c>
      <c r="K37" s="75">
        <f t="shared" si="16"/>
        <v>5967.9</v>
      </c>
      <c r="L37" s="75">
        <f t="shared" si="16"/>
        <v>25749.9</v>
      </c>
      <c r="M37" s="75">
        <f t="shared" si="16"/>
        <v>8190.7</v>
      </c>
      <c r="N37" s="75">
        <f t="shared" si="16"/>
        <v>10936.8</v>
      </c>
      <c r="O37" s="75">
        <f t="shared" si="16"/>
        <v>3958.1</v>
      </c>
      <c r="P37" s="206">
        <f t="shared" si="16"/>
        <v>7412.1</v>
      </c>
    </row>
    <row r="38" spans="1:16" ht="20.100000000000001" customHeight="1" x14ac:dyDescent="0.2">
      <c r="A38" s="76" t="s">
        <v>80</v>
      </c>
      <c r="B38" s="77">
        <f>ROUND(MAX(B$17*0.5, 20)*365,2)</f>
        <v>58481.46</v>
      </c>
      <c r="C38" s="77">
        <f t="shared" ref="C38:M39" si="17">ROUND(MAX(C$17*0.5, 20)*365,2)</f>
        <v>53229.27</v>
      </c>
      <c r="D38" s="77">
        <f t="shared" si="17"/>
        <v>57062.93</v>
      </c>
      <c r="E38" s="77">
        <f t="shared" si="17"/>
        <v>48171.68</v>
      </c>
      <c r="F38" s="77">
        <f t="shared" si="17"/>
        <v>60125.49</v>
      </c>
      <c r="G38" s="77">
        <f t="shared" si="17"/>
        <v>60125.49</v>
      </c>
      <c r="H38" s="77">
        <f t="shared" si="17"/>
        <v>54591.42</v>
      </c>
      <c r="I38" s="77">
        <f t="shared" si="17"/>
        <v>51907.14</v>
      </c>
      <c r="J38" s="77">
        <f t="shared" si="17"/>
        <v>55808.08</v>
      </c>
      <c r="K38" s="77">
        <f t="shared" si="17"/>
        <v>55808.08</v>
      </c>
      <c r="L38" s="77">
        <f t="shared" si="17"/>
        <v>62626.1</v>
      </c>
      <c r="M38" s="77">
        <f t="shared" si="17"/>
        <v>44434.41</v>
      </c>
      <c r="N38" s="77">
        <f>ROUND(MAX(N$17*0.5, 20)*365,2)</f>
        <v>54689.63</v>
      </c>
      <c r="O38" s="77">
        <f>ROUND(MAX(O$17*0.5, 20)*365,2)</f>
        <v>56842.879999999997</v>
      </c>
      <c r="P38" s="77">
        <f>ROUND(MAX(P$17*0.5, 20)*365,2)</f>
        <v>56886.53</v>
      </c>
    </row>
    <row r="39" spans="1:16" ht="20.100000000000001" customHeight="1" x14ac:dyDescent="0.2">
      <c r="A39" s="76" t="s">
        <v>167</v>
      </c>
      <c r="B39" s="77">
        <f>ROUND(MAX(B$17*0.5, 20)*365,2)</f>
        <v>58481.46</v>
      </c>
      <c r="C39" s="77">
        <f t="shared" si="17"/>
        <v>53229.27</v>
      </c>
      <c r="D39" s="77">
        <f t="shared" si="17"/>
        <v>57062.93</v>
      </c>
      <c r="E39" s="77">
        <f t="shared" si="17"/>
        <v>48171.68</v>
      </c>
      <c r="F39" s="77">
        <f t="shared" si="17"/>
        <v>60125.49</v>
      </c>
      <c r="G39" s="77">
        <f t="shared" si="17"/>
        <v>60125.49</v>
      </c>
      <c r="H39" s="77">
        <f t="shared" si="17"/>
        <v>54591.42</v>
      </c>
      <c r="I39" s="77">
        <f t="shared" si="17"/>
        <v>51907.14</v>
      </c>
      <c r="J39" s="77">
        <f t="shared" si="17"/>
        <v>55808.08</v>
      </c>
      <c r="K39" s="77">
        <f t="shared" si="17"/>
        <v>55808.08</v>
      </c>
      <c r="L39" s="77">
        <f t="shared" si="17"/>
        <v>62626.1</v>
      </c>
      <c r="M39" s="77">
        <f t="shared" si="17"/>
        <v>44434.41</v>
      </c>
      <c r="N39" s="77">
        <f>ROUND(MAX(N$17*0.5, 20)*365,2)</f>
        <v>54689.63</v>
      </c>
      <c r="O39" s="77">
        <f>ROUND(MAX(O$17*0.5, 20)*365,2)</f>
        <v>56842.879999999997</v>
      </c>
      <c r="P39" s="77">
        <f>ROUND(MAX(P$17*0.5, 20)*365,2)</f>
        <v>56886.53</v>
      </c>
    </row>
    <row r="40" spans="1:16" ht="20.100000000000001" customHeight="1" x14ac:dyDescent="0.2">
      <c r="A40" s="31" t="s">
        <v>49</v>
      </c>
      <c r="B40" s="78" t="s">
        <v>24</v>
      </c>
      <c r="C40" s="79">
        <v>1557</v>
      </c>
      <c r="D40" s="79">
        <v>40</v>
      </c>
      <c r="E40" s="79" t="s">
        <v>24</v>
      </c>
      <c r="F40" s="79">
        <v>41</v>
      </c>
      <c r="G40" s="79">
        <v>21</v>
      </c>
      <c r="H40" s="79">
        <v>72</v>
      </c>
      <c r="I40" s="79" t="s">
        <v>24</v>
      </c>
      <c r="J40" s="79" t="s">
        <v>24</v>
      </c>
      <c r="K40" s="79" t="s">
        <v>24</v>
      </c>
      <c r="L40" s="79">
        <v>1376</v>
      </c>
      <c r="M40" s="79">
        <v>65.7</v>
      </c>
      <c r="N40" s="79" t="s">
        <v>24</v>
      </c>
      <c r="O40" s="79" t="s">
        <v>24</v>
      </c>
      <c r="P40" s="79">
        <v>155</v>
      </c>
    </row>
    <row r="41" spans="1:16" ht="20.100000000000001" customHeight="1" x14ac:dyDescent="0.2">
      <c r="A41" s="245" t="s">
        <v>62</v>
      </c>
      <c r="B41" s="245"/>
      <c r="C41" s="245"/>
      <c r="D41" s="245"/>
      <c r="E41" s="245"/>
      <c r="F41" s="245"/>
      <c r="G41" s="245"/>
      <c r="H41" s="245"/>
      <c r="I41" s="245"/>
      <c r="J41" s="245"/>
      <c r="K41" s="245"/>
      <c r="L41" s="245"/>
      <c r="M41" s="245"/>
      <c r="N41" s="245"/>
      <c r="O41" s="245"/>
      <c r="P41" s="245"/>
    </row>
    <row r="42" spans="1:16" ht="20.100000000000001" customHeight="1" x14ac:dyDescent="0.2">
      <c r="A42" s="31" t="s">
        <v>81</v>
      </c>
      <c r="B42" s="78" t="s">
        <v>24</v>
      </c>
      <c r="C42" s="183">
        <f>MIN(ROUND((C12-C11)/(54449*$B$6),3),100%)</f>
        <v>1</v>
      </c>
      <c r="D42" s="183">
        <f>ROUND((D12-D11)/(29827*$B$6),3)</f>
        <v>0.83399999999999996</v>
      </c>
      <c r="E42" s="183">
        <f>ROUND((E12-E11)/(12052*$B$6),3)</f>
        <v>0.47599999999999998</v>
      </c>
      <c r="F42" s="81" t="s">
        <v>24</v>
      </c>
      <c r="G42" s="78" t="s">
        <v>24</v>
      </c>
      <c r="H42" s="78" t="s">
        <v>24</v>
      </c>
      <c r="I42" s="78" t="s">
        <v>24</v>
      </c>
      <c r="J42" s="78" t="s">
        <v>24</v>
      </c>
      <c r="K42" s="78" t="s">
        <v>24</v>
      </c>
      <c r="L42" s="183">
        <f>ROUND((L12-L11)/(19575*$B$6),3)</f>
        <v>0.86199999999999999</v>
      </c>
      <c r="M42" s="183">
        <f>ROUND((M12-M11)/(6187*$B$6),3)</f>
        <v>0.26</v>
      </c>
      <c r="N42" s="78" t="s">
        <v>24</v>
      </c>
      <c r="O42" s="78" t="s">
        <v>24</v>
      </c>
      <c r="P42" s="183">
        <f>ROUND((P12-P11)/(5060*$B$6),3)</f>
        <v>0.41799999999999998</v>
      </c>
    </row>
    <row r="43" spans="1:16" ht="15.75" x14ac:dyDescent="0.2">
      <c r="A43" s="82" t="s">
        <v>12</v>
      </c>
      <c r="B43" s="83"/>
      <c r="C43" s="83"/>
      <c r="D43" s="83"/>
      <c r="E43" s="83"/>
      <c r="F43" s="83"/>
      <c r="G43" s="84"/>
      <c r="H43" s="84"/>
      <c r="I43" s="84"/>
      <c r="J43" s="84"/>
      <c r="K43" s="84"/>
      <c r="L43" s="84"/>
      <c r="M43" s="84"/>
      <c r="N43" s="84"/>
      <c r="O43" s="16"/>
      <c r="P43" s="16"/>
    </row>
  </sheetData>
  <mergeCells count="10">
    <mergeCell ref="C8:P8"/>
    <mergeCell ref="A19:P19"/>
    <mergeCell ref="A27:P27"/>
    <mergeCell ref="A41:P41"/>
    <mergeCell ref="A1:B1"/>
    <mergeCell ref="C3:P3"/>
    <mergeCell ref="C4:P4"/>
    <mergeCell ref="C5:P5"/>
    <mergeCell ref="C6:P6"/>
    <mergeCell ref="C7:P7"/>
  </mergeCells>
  <pageMargins left="0.45" right="0.45" top="0.5" bottom="0.5" header="0.3" footer="0.3"/>
  <pageSetup scale="42" orientation="landscape"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workbookViewId="0">
      <selection sqref="A1:B1"/>
    </sheetView>
  </sheetViews>
  <sheetFormatPr defaultRowHeight="12.75" x14ac:dyDescent="0.2"/>
  <cols>
    <col min="1" max="1" width="30.7109375" customWidth="1"/>
    <col min="2" max="2" width="16.7109375" customWidth="1"/>
  </cols>
  <sheetData>
    <row r="1" spans="1:2" ht="24.95" customHeight="1" x14ac:dyDescent="0.2">
      <c r="A1" s="249" t="s">
        <v>157</v>
      </c>
      <c r="B1" s="249"/>
    </row>
    <row r="2" spans="1:2" ht="20.100000000000001" customHeight="1" x14ac:dyDescent="0.2">
      <c r="A2" s="250" t="s">
        <v>158</v>
      </c>
      <c r="B2" s="250"/>
    </row>
    <row r="3" spans="1:2" ht="20.100000000000001" customHeight="1" x14ac:dyDescent="0.2">
      <c r="A3" s="215" t="s">
        <v>159</v>
      </c>
      <c r="B3" s="216">
        <v>2021</v>
      </c>
    </row>
    <row r="4" spans="1:2" ht="15.95" customHeight="1" x14ac:dyDescent="0.2">
      <c r="A4" s="217" t="s">
        <v>2</v>
      </c>
      <c r="B4" s="218">
        <v>2449</v>
      </c>
    </row>
    <row r="5" spans="1:2" ht="15.95" customHeight="1" x14ac:dyDescent="0.2">
      <c r="A5" s="217" t="s">
        <v>3</v>
      </c>
      <c r="B5" s="218">
        <v>6187</v>
      </c>
    </row>
    <row r="6" spans="1:2" ht="15.95" customHeight="1" x14ac:dyDescent="0.2">
      <c r="A6" s="217" t="s">
        <v>1</v>
      </c>
      <c r="B6" s="218">
        <v>3814</v>
      </c>
    </row>
    <row r="7" spans="1:2" ht="15.95" customHeight="1" x14ac:dyDescent="0.2">
      <c r="A7" s="217" t="s">
        <v>5</v>
      </c>
      <c r="B7" s="218">
        <v>5631</v>
      </c>
    </row>
    <row r="8" spans="1:2" ht="15.95" customHeight="1" x14ac:dyDescent="0.2">
      <c r="A8" s="217" t="s">
        <v>21</v>
      </c>
      <c r="B8" s="218">
        <v>2866</v>
      </c>
    </row>
    <row r="9" spans="1:2" ht="15.95" customHeight="1" x14ac:dyDescent="0.2">
      <c r="A9" s="217" t="s">
        <v>6</v>
      </c>
      <c r="B9" s="218">
        <v>8019</v>
      </c>
    </row>
    <row r="10" spans="1:2" ht="15.95" customHeight="1" x14ac:dyDescent="0.2">
      <c r="A10" s="217" t="s">
        <v>22</v>
      </c>
      <c r="B10" s="218">
        <v>2696</v>
      </c>
    </row>
    <row r="11" spans="1:2" ht="15.95" customHeight="1" x14ac:dyDescent="0.2">
      <c r="A11" s="217" t="s">
        <v>7</v>
      </c>
      <c r="B11" s="218">
        <v>5865</v>
      </c>
    </row>
    <row r="12" spans="1:2" ht="15.95" customHeight="1" x14ac:dyDescent="0.2">
      <c r="A12" s="217" t="s">
        <v>61</v>
      </c>
      <c r="B12" s="218">
        <v>6828</v>
      </c>
    </row>
    <row r="13" spans="1:2" ht="15.95" customHeight="1" x14ac:dyDescent="0.2">
      <c r="A13" s="217" t="s">
        <v>8</v>
      </c>
      <c r="B13" s="218">
        <v>9534</v>
      </c>
    </row>
    <row r="14" spans="1:2" ht="15.95" customHeight="1" x14ac:dyDescent="0.2">
      <c r="A14" s="217" t="s">
        <v>40</v>
      </c>
      <c r="B14" s="218">
        <v>380</v>
      </c>
    </row>
    <row r="15" spans="1:2" ht="15.95" customHeight="1" x14ac:dyDescent="0.2">
      <c r="A15" s="217" t="s">
        <v>160</v>
      </c>
      <c r="B15" s="218">
        <v>180</v>
      </c>
    </row>
    <row r="16" spans="1:2" ht="15.95" customHeight="1" x14ac:dyDescent="0.2">
      <c r="A16" s="217" t="s">
        <v>52</v>
      </c>
      <c r="B16" s="218">
        <v>20978</v>
      </c>
    </row>
    <row r="17" spans="1:2" ht="15.95" customHeight="1" x14ac:dyDescent="0.2">
      <c r="A17" s="217" t="s">
        <v>0</v>
      </c>
      <c r="B17" s="218">
        <v>8382</v>
      </c>
    </row>
    <row r="18" spans="1:2" ht="15.95" customHeight="1" x14ac:dyDescent="0.2">
      <c r="A18" s="217" t="s">
        <v>50</v>
      </c>
      <c r="B18" s="218">
        <v>11820</v>
      </c>
    </row>
    <row r="19" spans="1:2" ht="15.95" customHeight="1" x14ac:dyDescent="0.2">
      <c r="A19" s="217" t="s">
        <v>18</v>
      </c>
      <c r="B19" s="218">
        <v>19575</v>
      </c>
    </row>
    <row r="20" spans="1:2" ht="15.95" customHeight="1" x14ac:dyDescent="0.2">
      <c r="A20" s="217" t="s">
        <v>19</v>
      </c>
      <c r="B20" s="218">
        <v>3044</v>
      </c>
    </row>
    <row r="21" spans="1:2" ht="15.95" customHeight="1" x14ac:dyDescent="0.2">
      <c r="A21" s="217" t="s">
        <v>53</v>
      </c>
      <c r="B21" s="218">
        <v>5060</v>
      </c>
    </row>
    <row r="22" spans="1:2" ht="15.95" customHeight="1" x14ac:dyDescent="0.2">
      <c r="A22" s="217" t="s">
        <v>4</v>
      </c>
      <c r="B22" s="218">
        <v>2665</v>
      </c>
    </row>
    <row r="23" spans="1:2" ht="15.95" customHeight="1" x14ac:dyDescent="0.2">
      <c r="A23" s="217" t="s">
        <v>57</v>
      </c>
      <c r="B23" s="218">
        <v>1934</v>
      </c>
    </row>
    <row r="24" spans="1:2" ht="15.95" customHeight="1" x14ac:dyDescent="0.2">
      <c r="A24" s="217" t="s">
        <v>83</v>
      </c>
      <c r="B24" s="218">
        <v>59</v>
      </c>
    </row>
    <row r="25" spans="1:2" ht="15.95" customHeight="1" x14ac:dyDescent="0.2">
      <c r="A25" s="217" t="s">
        <v>20</v>
      </c>
      <c r="B25" s="218">
        <v>19273</v>
      </c>
    </row>
    <row r="26" spans="1:2" ht="15.95" customHeight="1" x14ac:dyDescent="0.2">
      <c r="A26" s="219" t="s">
        <v>161</v>
      </c>
      <c r="B26" s="220">
        <v>147239</v>
      </c>
    </row>
    <row r="27" spans="1:2" ht="15.95" customHeight="1" x14ac:dyDescent="0.2">
      <c r="A27" s="219" t="s">
        <v>162</v>
      </c>
      <c r="B27" s="220">
        <v>54449</v>
      </c>
    </row>
    <row r="28" spans="1:2" ht="15.95" customHeight="1" x14ac:dyDescent="0.2">
      <c r="A28" s="219" t="s">
        <v>163</v>
      </c>
      <c r="B28" s="220">
        <v>29827</v>
      </c>
    </row>
    <row r="29" spans="1:2" ht="15.95" customHeight="1" x14ac:dyDescent="0.2">
      <c r="A29" s="219" t="s">
        <v>164</v>
      </c>
      <c r="B29" s="220">
        <v>12052</v>
      </c>
    </row>
  </sheetData>
  <mergeCells count="2">
    <mergeCell ref="A1:B1"/>
    <mergeCell ref="A2:B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2"/>
  <sheetViews>
    <sheetView zoomScaleNormal="100" workbookViewId="0">
      <selection sqref="A1:B1"/>
    </sheetView>
  </sheetViews>
  <sheetFormatPr defaultRowHeight="12.75" x14ac:dyDescent="0.2"/>
  <cols>
    <col min="1" max="1" width="60.7109375" customWidth="1"/>
    <col min="2" max="18" width="16.7109375" customWidth="1"/>
  </cols>
  <sheetData>
    <row r="1" spans="1:16" ht="18.75" x14ac:dyDescent="0.25">
      <c r="A1" s="246" t="s">
        <v>114</v>
      </c>
      <c r="B1" s="246"/>
      <c r="C1" s="9"/>
      <c r="D1" s="10" t="s">
        <v>12</v>
      </c>
      <c r="E1" s="176" t="s">
        <v>12</v>
      </c>
      <c r="F1" s="11" t="s">
        <v>12</v>
      </c>
      <c r="G1" s="12"/>
      <c r="H1" s="13"/>
      <c r="I1" s="14" t="s">
        <v>12</v>
      </c>
      <c r="J1" s="15" t="s">
        <v>12</v>
      </c>
      <c r="K1" s="16"/>
      <c r="L1" s="16"/>
      <c r="M1" s="16"/>
      <c r="N1" s="16"/>
      <c r="O1" s="16"/>
      <c r="P1" s="16"/>
    </row>
    <row r="2" spans="1:16" ht="15.75" x14ac:dyDescent="0.2">
      <c r="A2" s="17" t="s">
        <v>12</v>
      </c>
      <c r="B2" s="18"/>
      <c r="C2" s="18"/>
      <c r="D2" s="18"/>
      <c r="E2" s="18"/>
      <c r="F2" s="18"/>
      <c r="G2" s="18"/>
      <c r="H2" s="18"/>
      <c r="I2" s="15" t="s">
        <v>12</v>
      </c>
      <c r="J2" s="19" t="s">
        <v>12</v>
      </c>
      <c r="K2" s="18" t="s">
        <v>12</v>
      </c>
      <c r="L2" s="18"/>
      <c r="M2" s="18"/>
      <c r="N2" s="18"/>
      <c r="O2" s="16"/>
      <c r="P2" s="16"/>
    </row>
    <row r="3" spans="1:16" ht="20.100000000000001" customHeight="1" x14ac:dyDescent="0.3">
      <c r="A3" s="20" t="s">
        <v>12</v>
      </c>
      <c r="B3" s="21" t="s">
        <v>13</v>
      </c>
      <c r="C3" s="247" t="s">
        <v>41</v>
      </c>
      <c r="D3" s="247"/>
      <c r="E3" s="247"/>
      <c r="F3" s="247"/>
      <c r="G3" s="247"/>
      <c r="H3" s="247"/>
      <c r="I3" s="247"/>
      <c r="J3" s="247"/>
      <c r="K3" s="247"/>
      <c r="L3" s="247"/>
      <c r="M3" s="247"/>
      <c r="N3" s="247"/>
      <c r="O3" s="247"/>
      <c r="P3" s="247"/>
    </row>
    <row r="4" spans="1:16" ht="20.100000000000001" customHeight="1" x14ac:dyDescent="0.2">
      <c r="A4" s="20" t="s">
        <v>35</v>
      </c>
      <c r="B4" s="177">
        <v>0.158</v>
      </c>
      <c r="C4" s="248" t="s">
        <v>140</v>
      </c>
      <c r="D4" s="248"/>
      <c r="E4" s="248"/>
      <c r="F4" s="248"/>
      <c r="G4" s="248"/>
      <c r="H4" s="248"/>
      <c r="I4" s="248"/>
      <c r="J4" s="248"/>
      <c r="K4" s="248"/>
      <c r="L4" s="248"/>
      <c r="M4" s="248"/>
      <c r="N4" s="248"/>
      <c r="O4" s="248"/>
      <c r="P4" s="248"/>
    </row>
    <row r="5" spans="1:16" ht="20.100000000000001" customHeight="1" x14ac:dyDescent="0.2">
      <c r="A5" s="20" t="s">
        <v>36</v>
      </c>
      <c r="B5" s="178">
        <v>6.0100000000000001E-2</v>
      </c>
      <c r="C5" s="248" t="s">
        <v>140</v>
      </c>
      <c r="D5" s="248"/>
      <c r="E5" s="248"/>
      <c r="F5" s="248"/>
      <c r="G5" s="248"/>
      <c r="H5" s="248"/>
      <c r="I5" s="248"/>
      <c r="J5" s="248"/>
      <c r="K5" s="248"/>
      <c r="L5" s="248"/>
      <c r="M5" s="248"/>
      <c r="N5" s="248"/>
      <c r="O5" s="248"/>
      <c r="P5" s="248"/>
    </row>
    <row r="6" spans="1:16" ht="20.100000000000001" customHeight="1" x14ac:dyDescent="0.2">
      <c r="A6" s="20" t="s">
        <v>37</v>
      </c>
      <c r="B6" s="179">
        <v>1.0884</v>
      </c>
      <c r="C6" s="248" t="s">
        <v>140</v>
      </c>
      <c r="D6" s="248"/>
      <c r="E6" s="248"/>
      <c r="F6" s="248"/>
      <c r="G6" s="248"/>
      <c r="H6" s="248"/>
      <c r="I6" s="248"/>
      <c r="J6" s="248"/>
      <c r="K6" s="248"/>
      <c r="L6" s="248"/>
      <c r="M6" s="248"/>
      <c r="N6" s="248"/>
      <c r="O6" s="248"/>
      <c r="P6" s="248"/>
    </row>
    <row r="7" spans="1:16" ht="20.100000000000001" customHeight="1" x14ac:dyDescent="0.2">
      <c r="A7" s="174" t="s">
        <v>38</v>
      </c>
      <c r="B7" s="180">
        <v>151832.29999999999</v>
      </c>
      <c r="C7" s="248" t="s">
        <v>141</v>
      </c>
      <c r="D7" s="248"/>
      <c r="E7" s="248"/>
      <c r="F7" s="248"/>
      <c r="G7" s="248"/>
      <c r="H7" s="248"/>
      <c r="I7" s="248"/>
      <c r="J7" s="248"/>
      <c r="K7" s="248"/>
      <c r="L7" s="248"/>
      <c r="M7" s="248"/>
      <c r="N7" s="248"/>
      <c r="O7" s="248"/>
      <c r="P7" s="248"/>
    </row>
    <row r="8" spans="1:16" ht="20.100000000000001" customHeight="1" x14ac:dyDescent="0.2">
      <c r="A8" s="20" t="s">
        <v>12</v>
      </c>
      <c r="B8" s="26" t="s">
        <v>12</v>
      </c>
      <c r="C8" s="242" t="s">
        <v>67</v>
      </c>
      <c r="D8" s="242"/>
      <c r="E8" s="242"/>
      <c r="F8" s="242"/>
      <c r="G8" s="242"/>
      <c r="H8" s="242"/>
      <c r="I8" s="242"/>
      <c r="J8" s="242"/>
      <c r="K8" s="242"/>
      <c r="L8" s="242"/>
      <c r="M8" s="242"/>
      <c r="N8" s="242"/>
      <c r="O8" s="242"/>
      <c r="P8" s="242"/>
    </row>
    <row r="9" spans="1:16" ht="20.100000000000001" customHeight="1" x14ac:dyDescent="0.2">
      <c r="A9" s="27" t="s">
        <v>12</v>
      </c>
      <c r="B9" s="28" t="s">
        <v>13</v>
      </c>
      <c r="C9" s="28" t="s">
        <v>17</v>
      </c>
      <c r="D9" s="28" t="s">
        <v>16</v>
      </c>
      <c r="E9" s="28" t="s">
        <v>14</v>
      </c>
      <c r="F9" s="28" t="s">
        <v>8</v>
      </c>
      <c r="G9" s="28" t="s">
        <v>42</v>
      </c>
      <c r="H9" s="28" t="s">
        <v>43</v>
      </c>
      <c r="I9" s="28" t="s">
        <v>7</v>
      </c>
      <c r="J9" s="29" t="s">
        <v>50</v>
      </c>
      <c r="K9" s="29" t="s">
        <v>58</v>
      </c>
      <c r="L9" s="30" t="s">
        <v>18</v>
      </c>
      <c r="M9" s="30" t="s">
        <v>3</v>
      </c>
      <c r="N9" s="30" t="s">
        <v>61</v>
      </c>
      <c r="O9" s="30" t="s">
        <v>19</v>
      </c>
      <c r="P9" s="30" t="s">
        <v>53</v>
      </c>
    </row>
    <row r="10" spans="1:16" ht="20.100000000000001" customHeight="1" x14ac:dyDescent="0.2">
      <c r="A10" s="31" t="s">
        <v>9</v>
      </c>
      <c r="B10" s="32" t="s">
        <v>24</v>
      </c>
      <c r="C10" s="34">
        <v>-8740</v>
      </c>
      <c r="D10" s="35">
        <v>2320</v>
      </c>
      <c r="E10" s="35">
        <v>3370</v>
      </c>
      <c r="F10" s="35">
        <v>5500</v>
      </c>
      <c r="G10" s="35">
        <v>2670</v>
      </c>
      <c r="H10" s="35">
        <v>1070</v>
      </c>
      <c r="I10" s="35">
        <v>1680</v>
      </c>
      <c r="J10" s="35">
        <v>4470</v>
      </c>
      <c r="K10" s="35">
        <v>3320</v>
      </c>
      <c r="L10" s="35">
        <v>-1140</v>
      </c>
      <c r="M10" s="35">
        <v>4800</v>
      </c>
      <c r="N10" s="35">
        <v>-970</v>
      </c>
      <c r="O10" s="35">
        <v>2340</v>
      </c>
      <c r="P10" s="35">
        <v>2880</v>
      </c>
    </row>
    <row r="11" spans="1:16" ht="20.100000000000001" customHeight="1" x14ac:dyDescent="0.2">
      <c r="A11" s="31" t="s">
        <v>11</v>
      </c>
      <c r="B11" s="32" t="s">
        <v>24</v>
      </c>
      <c r="C11" s="34">
        <v>3699</v>
      </c>
      <c r="D11" s="35">
        <v>9000</v>
      </c>
      <c r="E11" s="35">
        <v>8770</v>
      </c>
      <c r="F11" s="35">
        <v>6902</v>
      </c>
      <c r="G11" s="35">
        <v>3180</v>
      </c>
      <c r="H11" s="35">
        <v>1624</v>
      </c>
      <c r="I11" s="35">
        <v>6837</v>
      </c>
      <c r="J11" s="35">
        <v>8439</v>
      </c>
      <c r="K11" s="35">
        <v>5256</v>
      </c>
      <c r="L11" s="35">
        <v>5574</v>
      </c>
      <c r="M11" s="35">
        <v>5910</v>
      </c>
      <c r="N11" s="35">
        <v>6609</v>
      </c>
      <c r="O11" s="35">
        <v>3502</v>
      </c>
      <c r="P11" s="35">
        <v>4959</v>
      </c>
    </row>
    <row r="12" spans="1:16" ht="20.100000000000001" customHeight="1" x14ac:dyDescent="0.2">
      <c r="A12" s="36" t="s">
        <v>10</v>
      </c>
      <c r="B12" s="32">
        <f>ROUND((B7*B6),1)</f>
        <v>165254.29999999999</v>
      </c>
      <c r="C12" s="34">
        <v>64893</v>
      </c>
      <c r="D12" s="93">
        <v>36025</v>
      </c>
      <c r="E12" s="208">
        <v>15270</v>
      </c>
      <c r="F12" s="93">
        <v>11526</v>
      </c>
      <c r="G12" s="93">
        <v>6111</v>
      </c>
      <c r="H12" s="93">
        <v>2884</v>
      </c>
      <c r="I12" s="93">
        <v>8101</v>
      </c>
      <c r="J12" s="93">
        <v>15370</v>
      </c>
      <c r="K12" s="93">
        <v>5709</v>
      </c>
      <c r="L12" s="93">
        <v>25611</v>
      </c>
      <c r="M12" s="93">
        <v>7844</v>
      </c>
      <c r="N12" s="93">
        <v>9917</v>
      </c>
      <c r="O12" s="93">
        <v>3895</v>
      </c>
      <c r="P12" s="93">
        <v>7465</v>
      </c>
    </row>
    <row r="13" spans="1:16" ht="20.100000000000001" customHeight="1" x14ac:dyDescent="0.2">
      <c r="A13" s="182" t="s">
        <v>108</v>
      </c>
      <c r="B13" s="35">
        <v>11982.6</v>
      </c>
      <c r="C13" s="39">
        <v>0</v>
      </c>
      <c r="D13" s="39">
        <v>0</v>
      </c>
      <c r="E13" s="39">
        <v>0</v>
      </c>
      <c r="F13" s="39">
        <v>0</v>
      </c>
      <c r="G13" s="39">
        <v>0</v>
      </c>
      <c r="H13" s="39">
        <v>0</v>
      </c>
      <c r="I13" s="39">
        <v>0</v>
      </c>
      <c r="J13" s="39">
        <v>0</v>
      </c>
      <c r="K13" s="39">
        <v>0</v>
      </c>
      <c r="L13" s="33">
        <v>0</v>
      </c>
      <c r="M13" s="39">
        <v>0</v>
      </c>
      <c r="N13" s="39">
        <v>0</v>
      </c>
      <c r="O13" s="39">
        <v>0</v>
      </c>
      <c r="P13" s="35">
        <v>829.9</v>
      </c>
    </row>
    <row r="14" spans="1:16" ht="20.100000000000001" customHeight="1" x14ac:dyDescent="0.2">
      <c r="A14" s="31" t="s">
        <v>44</v>
      </c>
      <c r="B14" s="33">
        <f>ROUND(B13*$B$6,1)</f>
        <v>13041.9</v>
      </c>
      <c r="C14" s="39">
        <f t="shared" ref="C14:I14" si="0">ROUND(C13*$B$6,1)</f>
        <v>0</v>
      </c>
      <c r="D14" s="39">
        <f t="shared" si="0"/>
        <v>0</v>
      </c>
      <c r="E14" s="39">
        <f t="shared" si="0"/>
        <v>0</v>
      </c>
      <c r="F14" s="39">
        <f t="shared" si="0"/>
        <v>0</v>
      </c>
      <c r="G14" s="39">
        <f t="shared" si="0"/>
        <v>0</v>
      </c>
      <c r="H14" s="39">
        <f t="shared" si="0"/>
        <v>0</v>
      </c>
      <c r="I14" s="39">
        <f t="shared" si="0"/>
        <v>0</v>
      </c>
      <c r="J14" s="39">
        <f>ROUND(J13*$B$6,1)</f>
        <v>0</v>
      </c>
      <c r="K14" s="39">
        <f>ROUND(K13*$B$6,1)</f>
        <v>0</v>
      </c>
      <c r="L14" s="33">
        <f>ROUND(L13*$B$6,1)</f>
        <v>0</v>
      </c>
      <c r="M14" s="39">
        <f>ROUND(M13*$B$6,1)</f>
        <v>0</v>
      </c>
      <c r="N14" s="39">
        <f>ROUND(N13*$B$6,1)</f>
        <v>0</v>
      </c>
      <c r="O14" s="39">
        <f t="shared" ref="O14" si="1">ROUND(O13*$B$6,1)</f>
        <v>0</v>
      </c>
      <c r="P14" s="33">
        <f>ROUND(P13*$B$6,1)</f>
        <v>903.3</v>
      </c>
    </row>
    <row r="15" spans="1:16" ht="20.100000000000001" customHeight="1" x14ac:dyDescent="0.2">
      <c r="A15" s="40" t="s">
        <v>45</v>
      </c>
      <c r="B15" s="41">
        <f>B12-B14</f>
        <v>152212.4</v>
      </c>
      <c r="C15" s="41">
        <f>C12-C14*C41</f>
        <v>64893</v>
      </c>
      <c r="D15" s="41">
        <f>D12-D14*D41</f>
        <v>36025</v>
      </c>
      <c r="E15" s="41">
        <f>E12-E14*E41</f>
        <v>15270</v>
      </c>
      <c r="F15" s="41">
        <f t="shared" ref="F15:O15" si="2">F12-F14</f>
        <v>11526</v>
      </c>
      <c r="G15" s="41">
        <f t="shared" si="2"/>
        <v>6111</v>
      </c>
      <c r="H15" s="41">
        <f t="shared" si="2"/>
        <v>2884</v>
      </c>
      <c r="I15" s="41">
        <f t="shared" si="2"/>
        <v>8101</v>
      </c>
      <c r="J15" s="41">
        <f t="shared" si="2"/>
        <v>15370</v>
      </c>
      <c r="K15" s="41">
        <f>K12-K14</f>
        <v>5709</v>
      </c>
      <c r="L15" s="41">
        <f>L12-L14*L41</f>
        <v>25611</v>
      </c>
      <c r="M15" s="41">
        <f>M12-M14*M41</f>
        <v>7844</v>
      </c>
      <c r="N15" s="41">
        <f t="shared" si="2"/>
        <v>9917</v>
      </c>
      <c r="O15" s="41">
        <f t="shared" si="2"/>
        <v>3895</v>
      </c>
      <c r="P15" s="41">
        <f>P12-P14*P41</f>
        <v>7068.4512999999997</v>
      </c>
    </row>
    <row r="16" spans="1:16" ht="20.100000000000001" customHeight="1" x14ac:dyDescent="0.2">
      <c r="A16" s="175" t="s">
        <v>69</v>
      </c>
      <c r="B16" s="181">
        <f>'BRA Parameters'!B16*(1-'BRA Parameters'!$B$5)/(1-'1st IA Parameters'!$B$5)</f>
        <v>394.41291733163104</v>
      </c>
      <c r="C16" s="181">
        <f>'BRA Parameters'!C16*(1-'BRA Parameters'!$B$5)/(1-'1st IA Parameters'!$B$5)</f>
        <v>393.02114267475264</v>
      </c>
      <c r="D16" s="181">
        <f>'BRA Parameters'!D16*(1-'BRA Parameters'!$B$5)/(1-'1st IA Parameters'!$B$5)</f>
        <v>388.1048739227578</v>
      </c>
      <c r="E16" s="181">
        <f>'BRA Parameters'!E16*(1-'BRA Parameters'!$B$5)/(1-'1st IA Parameters'!$B$5)</f>
        <v>410.86389403127993</v>
      </c>
      <c r="F16" s="181">
        <f>'BRA Parameters'!F16*(1-'BRA Parameters'!$B$5)/(1-'1st IA Parameters'!$B$5)</f>
        <v>388.1048739227578</v>
      </c>
      <c r="G16" s="181">
        <f>'BRA Parameters'!G16*(1-'BRA Parameters'!$B$5)/(1-'1st IA Parameters'!$B$5)</f>
        <v>388.1048739227578</v>
      </c>
      <c r="H16" s="181">
        <f>'BRA Parameters'!H16*(1-'BRA Parameters'!$B$5)/(1-'1st IA Parameters'!$B$5)</f>
        <v>388.1048739227578</v>
      </c>
      <c r="I16" s="181">
        <f>'BRA Parameters'!I16*(1-'BRA Parameters'!$B$5)/(1-'1st IA Parameters'!$B$5)</f>
        <v>410.86389403127993</v>
      </c>
      <c r="J16" s="181">
        <f>'BRA Parameters'!J16*(1-'BRA Parameters'!$B$5)/(1-'1st IA Parameters'!$B$5)</f>
        <v>387.73440153207792</v>
      </c>
      <c r="K16" s="181">
        <f>'BRA Parameters'!K16*(1-'BRA Parameters'!$B$5)/(1-'1st IA Parameters'!$B$5)</f>
        <v>387.73440153207792</v>
      </c>
      <c r="L16" s="181">
        <f>'BRA Parameters'!L16*(1-'BRA Parameters'!$B$5)/(1-'1st IA Parameters'!$B$5)</f>
        <v>387.73440153207792</v>
      </c>
      <c r="M16" s="181">
        <f>'BRA Parameters'!M16*(1-'BRA Parameters'!$B$5)/(1-'1st IA Parameters'!$B$5)</f>
        <v>410.86389403127993</v>
      </c>
      <c r="N16" s="181">
        <f>'BRA Parameters'!N16*(1-'BRA Parameters'!$B$5)/(1-'1st IA Parameters'!$B$5)</f>
        <v>390.95851260772423</v>
      </c>
      <c r="O16" s="181">
        <f>'BRA Parameters'!O16*(1-'BRA Parameters'!$B$5)/(1-'1st IA Parameters'!$B$5)</f>
        <v>387.73440153207792</v>
      </c>
      <c r="P16" s="181">
        <f>'BRA Parameters'!P16*(1-'BRA Parameters'!$B$5)/(1-'1st IA Parameters'!$B$5)</f>
        <v>387.73440153207792</v>
      </c>
    </row>
    <row r="17" spans="1:16" ht="20.100000000000001" customHeight="1" x14ac:dyDescent="0.2">
      <c r="A17" s="173" t="s">
        <v>46</v>
      </c>
      <c r="B17" s="181">
        <f>'BRA Parameters'!B17*(1-'BRA Parameters'!$B$5)/(1-'1st IA Parameters'!$B$5)</f>
        <v>321.98055857006068</v>
      </c>
      <c r="C17" s="181">
        <f>'BRA Parameters'!C17*(1-'BRA Parameters'!$B$5)/(1-'1st IA Parameters'!$B$5)</f>
        <v>293.06368656240028</v>
      </c>
      <c r="D17" s="181">
        <f>'BRA Parameters'!D17*(1-'BRA Parameters'!$B$5)/(1-'1st IA Parameters'!$B$5)</f>
        <v>314.17060006383662</v>
      </c>
      <c r="E17" s="181">
        <f>'BRA Parameters'!E17*(1-'BRA Parameters'!$B$5)/(1-'1st IA Parameters'!$B$5)</f>
        <v>265.21818065751677</v>
      </c>
      <c r="F17" s="181">
        <f>'BRA Parameters'!F17*(1-'BRA Parameters'!$B$5)/(1-'1st IA Parameters'!$B$5)</f>
        <v>331.03210022342807</v>
      </c>
      <c r="G17" s="181">
        <f>'BRA Parameters'!G17*(1-'BRA Parameters'!$B$5)/(1-'1st IA Parameters'!$B$5)</f>
        <v>331.03210022342807</v>
      </c>
      <c r="H17" s="181">
        <f>'BRA Parameters'!H17*(1-'BRA Parameters'!$B$5)/(1-'1st IA Parameters'!$B$5)</f>
        <v>300.56324928183858</v>
      </c>
      <c r="I17" s="181">
        <f>'BRA Parameters'!I17*(1-'BRA Parameters'!$B$5)/(1-'1st IA Parameters'!$B$5)</f>
        <v>285.78440472390685</v>
      </c>
      <c r="J17" s="181">
        <f>'BRA Parameters'!J17*(1-'BRA Parameters'!$B$5)/(1-'1st IA Parameters'!$B$5)</f>
        <v>307.26179061602301</v>
      </c>
      <c r="K17" s="181">
        <f>'BRA Parameters'!K17*(1-'BRA Parameters'!$B$5)/(1-'1st IA Parameters'!$B$5)</f>
        <v>307.26179061602301</v>
      </c>
      <c r="L17" s="181">
        <f>'BRA Parameters'!L17*(1-'BRA Parameters'!$B$5)/(1-'1st IA Parameters'!$B$5)</f>
        <v>344.79965528247686</v>
      </c>
      <c r="M17" s="181">
        <f>'BRA Parameters'!M17*(1-'BRA Parameters'!$B$5)/(1-'1st IA Parameters'!$B$5)</f>
        <v>244.64194382381109</v>
      </c>
      <c r="N17" s="181">
        <f>'BRA Parameters'!N17*(1-'BRA Parameters'!$B$5)/(1-'1st IA Parameters'!$B$5)</f>
        <v>301.10393871688484</v>
      </c>
      <c r="O17" s="181">
        <f>'BRA Parameters'!O17*(1-'BRA Parameters'!$B$5)/(1-'1st IA Parameters'!$B$5)</f>
        <v>312.95905521864029</v>
      </c>
      <c r="P17" s="181">
        <f>'BRA Parameters'!P17*(1-'BRA Parameters'!$B$5)/(1-'1st IA Parameters'!$B$5)</f>
        <v>313.19936163421642</v>
      </c>
    </row>
    <row r="18" spans="1:16" ht="20.100000000000001" customHeight="1" x14ac:dyDescent="0.2">
      <c r="A18" s="47" t="s">
        <v>112</v>
      </c>
      <c r="B18" s="32">
        <v>0</v>
      </c>
      <c r="C18" s="32">
        <v>0</v>
      </c>
      <c r="D18" s="32">
        <v>0</v>
      </c>
      <c r="E18" s="32">
        <v>0</v>
      </c>
      <c r="F18" s="32">
        <v>0</v>
      </c>
      <c r="G18" s="32">
        <v>0</v>
      </c>
      <c r="H18" s="32">
        <v>0</v>
      </c>
      <c r="I18" s="32">
        <v>0</v>
      </c>
      <c r="J18" s="32">
        <v>0</v>
      </c>
      <c r="K18" s="32">
        <v>0</v>
      </c>
      <c r="L18" s="32">
        <v>0</v>
      </c>
      <c r="M18" s="32">
        <v>0</v>
      </c>
      <c r="N18" s="32">
        <v>0</v>
      </c>
      <c r="O18" s="32">
        <v>0</v>
      </c>
      <c r="P18" s="32">
        <v>0</v>
      </c>
    </row>
    <row r="19" spans="1:16" ht="20.100000000000001" customHeight="1" thickBot="1" x14ac:dyDescent="0.25">
      <c r="A19" s="243" t="s">
        <v>47</v>
      </c>
      <c r="B19" s="243"/>
      <c r="C19" s="243"/>
      <c r="D19" s="243"/>
      <c r="E19" s="243"/>
      <c r="F19" s="243"/>
      <c r="G19" s="243"/>
      <c r="H19" s="243"/>
      <c r="I19" s="243"/>
      <c r="J19" s="243"/>
      <c r="K19" s="243"/>
      <c r="L19" s="243"/>
      <c r="M19" s="243"/>
      <c r="N19" s="243"/>
      <c r="O19" s="243"/>
      <c r="P19" s="243"/>
    </row>
    <row r="20" spans="1:16" ht="20.100000000000001" customHeight="1" x14ac:dyDescent="0.2">
      <c r="A20" s="48" t="s">
        <v>25</v>
      </c>
      <c r="B20" s="49">
        <f>ROUND(MAX(B16,1.5*B17),2)</f>
        <v>482.97</v>
      </c>
      <c r="C20" s="49">
        <f t="shared" ref="C20:N20" si="3">ROUND(MAX(C16,1.5*C17),2)</f>
        <v>439.6</v>
      </c>
      <c r="D20" s="49">
        <f t="shared" si="3"/>
        <v>471.26</v>
      </c>
      <c r="E20" s="49">
        <f t="shared" si="3"/>
        <v>410.86</v>
      </c>
      <c r="F20" s="49">
        <f t="shared" si="3"/>
        <v>496.55</v>
      </c>
      <c r="G20" s="49">
        <f t="shared" si="3"/>
        <v>496.55</v>
      </c>
      <c r="H20" s="49">
        <f>ROUND(MAX(H16,1.5*H17),2)</f>
        <v>450.84</v>
      </c>
      <c r="I20" s="49">
        <f t="shared" si="3"/>
        <v>428.68</v>
      </c>
      <c r="J20" s="49">
        <f t="shared" si="3"/>
        <v>460.89</v>
      </c>
      <c r="K20" s="49">
        <f t="shared" si="3"/>
        <v>460.89</v>
      </c>
      <c r="L20" s="49">
        <f t="shared" si="3"/>
        <v>517.20000000000005</v>
      </c>
      <c r="M20" s="49">
        <f t="shared" si="3"/>
        <v>410.86</v>
      </c>
      <c r="N20" s="49">
        <f t="shared" si="3"/>
        <v>451.66</v>
      </c>
      <c r="O20" s="49">
        <f>ROUND(MAX(O16,1.5*O17),2)</f>
        <v>469.44</v>
      </c>
      <c r="P20" s="50">
        <f>ROUND(MAX(P16,1.5*P17),2)</f>
        <v>469.8</v>
      </c>
    </row>
    <row r="21" spans="1:16" ht="20.100000000000001" customHeight="1" x14ac:dyDescent="0.2">
      <c r="A21" s="51" t="s">
        <v>26</v>
      </c>
      <c r="B21" s="52">
        <f>ROUND(B$17*0.75,2)</f>
        <v>241.49</v>
      </c>
      <c r="C21" s="52">
        <f t="shared" ref="C21:M21" si="4">ROUND(C$17*0.75,2)</f>
        <v>219.8</v>
      </c>
      <c r="D21" s="52">
        <f t="shared" si="4"/>
        <v>235.63</v>
      </c>
      <c r="E21" s="52">
        <f t="shared" si="4"/>
        <v>198.91</v>
      </c>
      <c r="F21" s="52">
        <f t="shared" si="4"/>
        <v>248.27</v>
      </c>
      <c r="G21" s="52">
        <f t="shared" si="4"/>
        <v>248.27</v>
      </c>
      <c r="H21" s="52">
        <f t="shared" si="4"/>
        <v>225.42</v>
      </c>
      <c r="I21" s="52">
        <f t="shared" si="4"/>
        <v>214.34</v>
      </c>
      <c r="J21" s="52">
        <f t="shared" si="4"/>
        <v>230.45</v>
      </c>
      <c r="K21" s="52">
        <f t="shared" si="4"/>
        <v>230.45</v>
      </c>
      <c r="L21" s="52">
        <f t="shared" si="4"/>
        <v>258.60000000000002</v>
      </c>
      <c r="M21" s="52">
        <f t="shared" si="4"/>
        <v>183.48</v>
      </c>
      <c r="N21" s="52">
        <f>ROUND(N$17*0.75,2)</f>
        <v>225.83</v>
      </c>
      <c r="O21" s="52">
        <f>ROUND(O$17*0.75,2)</f>
        <v>234.72</v>
      </c>
      <c r="P21" s="53">
        <f>ROUND(P$17*0.75,2)</f>
        <v>234.9</v>
      </c>
    </row>
    <row r="22" spans="1:16" ht="20.100000000000001" customHeight="1" x14ac:dyDescent="0.2">
      <c r="A22" s="51" t="s">
        <v>27</v>
      </c>
      <c r="B22" s="52">
        <v>0</v>
      </c>
      <c r="C22" s="52">
        <v>0</v>
      </c>
      <c r="D22" s="52">
        <v>0</v>
      </c>
      <c r="E22" s="52">
        <v>0</v>
      </c>
      <c r="F22" s="52">
        <v>0</v>
      </c>
      <c r="G22" s="52">
        <v>0</v>
      </c>
      <c r="H22" s="52">
        <v>0</v>
      </c>
      <c r="I22" s="52">
        <v>0</v>
      </c>
      <c r="J22" s="52">
        <v>0</v>
      </c>
      <c r="K22" s="52">
        <v>0</v>
      </c>
      <c r="L22" s="52">
        <v>0</v>
      </c>
      <c r="M22" s="52">
        <v>0</v>
      </c>
      <c r="N22" s="52">
        <v>0</v>
      </c>
      <c r="O22" s="52">
        <v>0</v>
      </c>
      <c r="P22" s="53">
        <v>0</v>
      </c>
    </row>
    <row r="23" spans="1:16" ht="20.100000000000001" customHeight="1" x14ac:dyDescent="0.2">
      <c r="A23" s="51" t="s">
        <v>28</v>
      </c>
      <c r="B23" s="54">
        <f>ROUND(B$15*(1+$B$4-0.2%)/(1+$B$4),1)+B$18</f>
        <v>151949.5</v>
      </c>
      <c r="C23" s="54">
        <f t="shared" ref="C23:N23" si="5">ROUND(C$15*(1+$B$4-0.2%)/(1+$B$4),1)+C$18</f>
        <v>64780.9</v>
      </c>
      <c r="D23" s="54">
        <f t="shared" si="5"/>
        <v>35962.800000000003</v>
      </c>
      <c r="E23" s="54">
        <f t="shared" si="5"/>
        <v>15243.6</v>
      </c>
      <c r="F23" s="54">
        <f t="shared" si="5"/>
        <v>11506.1</v>
      </c>
      <c r="G23" s="54">
        <f t="shared" si="5"/>
        <v>6100.4</v>
      </c>
      <c r="H23" s="54">
        <f t="shared" si="5"/>
        <v>2879</v>
      </c>
      <c r="I23" s="54">
        <f t="shared" si="5"/>
        <v>8087</v>
      </c>
      <c r="J23" s="54">
        <f t="shared" si="5"/>
        <v>15343.5</v>
      </c>
      <c r="K23" s="54">
        <f t="shared" si="5"/>
        <v>5699.1</v>
      </c>
      <c r="L23" s="54">
        <f t="shared" si="5"/>
        <v>25566.799999999999</v>
      </c>
      <c r="M23" s="54">
        <f t="shared" si="5"/>
        <v>7830.5</v>
      </c>
      <c r="N23" s="54">
        <f t="shared" si="5"/>
        <v>9899.9</v>
      </c>
      <c r="O23" s="54">
        <f>ROUND(O$15*(1+$B$4-0.2%)/(1+$B$4),1)+O$18</f>
        <v>3888.3</v>
      </c>
      <c r="P23" s="55">
        <f>ROUND(P$15*(1+$B$4-0.2%)/(1+$B$4),1)+P$18</f>
        <v>7056.2</v>
      </c>
    </row>
    <row r="24" spans="1:16" ht="20.100000000000001" customHeight="1" x14ac:dyDescent="0.2">
      <c r="A24" s="51" t="s">
        <v>29</v>
      </c>
      <c r="B24" s="54">
        <f>ROUND(B$15*(1+$B$4+2.9%)/(1+$B$4),1)+B$18</f>
        <v>156024.29999999999</v>
      </c>
      <c r="C24" s="54">
        <f t="shared" ref="C24:N24" si="6">ROUND(C$15*(1+$B$4+2.9%)/(1+$B$4),1)+C$18</f>
        <v>66518.100000000006</v>
      </c>
      <c r="D24" s="54">
        <f t="shared" si="6"/>
        <v>36927.199999999997</v>
      </c>
      <c r="E24" s="54">
        <f t="shared" si="6"/>
        <v>15652.4</v>
      </c>
      <c r="F24" s="54">
        <f t="shared" si="6"/>
        <v>11814.6</v>
      </c>
      <c r="G24" s="54">
        <f t="shared" si="6"/>
        <v>6264</v>
      </c>
      <c r="H24" s="54">
        <f t="shared" si="6"/>
        <v>2956.2</v>
      </c>
      <c r="I24" s="54">
        <f t="shared" si="6"/>
        <v>8303.9</v>
      </c>
      <c r="J24" s="54">
        <f t="shared" si="6"/>
        <v>15754.9</v>
      </c>
      <c r="K24" s="54">
        <f t="shared" si="6"/>
        <v>5852</v>
      </c>
      <c r="L24" s="54">
        <f t="shared" si="6"/>
        <v>26252.400000000001</v>
      </c>
      <c r="M24" s="54">
        <f t="shared" si="6"/>
        <v>8040.4</v>
      </c>
      <c r="N24" s="54">
        <f t="shared" si="6"/>
        <v>10165.4</v>
      </c>
      <c r="O24" s="54">
        <f>ROUND(O$15*(1+$B$4+2.9%)/(1+$B$4),1)+O$18</f>
        <v>3992.5</v>
      </c>
      <c r="P24" s="55">
        <f>ROUND(P$15*(1+$B$4+2.9%)/(1+$B$4),1)+P$18</f>
        <v>7245.5</v>
      </c>
    </row>
    <row r="25" spans="1:16" ht="20.100000000000001" customHeight="1" thickBot="1" x14ac:dyDescent="0.25">
      <c r="A25" s="56" t="s">
        <v>30</v>
      </c>
      <c r="B25" s="57">
        <f>ROUND(B$15*(1+$B$4+8.8%)/(1+$B$4),1)+B$18</f>
        <v>163779.5</v>
      </c>
      <c r="C25" s="57">
        <f t="shared" ref="C25:N25" si="7">ROUND(C$15*(1+$B$4+8.8%)/(1+$B$4),1)+C$18</f>
        <v>69824.399999999994</v>
      </c>
      <c r="D25" s="57">
        <f t="shared" si="7"/>
        <v>38762.699999999997</v>
      </c>
      <c r="E25" s="57">
        <f t="shared" si="7"/>
        <v>16430.400000000001</v>
      </c>
      <c r="F25" s="57">
        <f t="shared" si="7"/>
        <v>12401.9</v>
      </c>
      <c r="G25" s="57">
        <f t="shared" si="7"/>
        <v>6575.4</v>
      </c>
      <c r="H25" s="57">
        <f t="shared" si="7"/>
        <v>3103.2</v>
      </c>
      <c r="I25" s="57">
        <f t="shared" si="7"/>
        <v>8716.6</v>
      </c>
      <c r="J25" s="57">
        <f t="shared" si="7"/>
        <v>16538</v>
      </c>
      <c r="K25" s="57">
        <f t="shared" si="7"/>
        <v>6142.8</v>
      </c>
      <c r="L25" s="57">
        <f t="shared" si="7"/>
        <v>27557.3</v>
      </c>
      <c r="M25" s="57">
        <f t="shared" si="7"/>
        <v>8440.1</v>
      </c>
      <c r="N25" s="57">
        <f t="shared" si="7"/>
        <v>10670.6</v>
      </c>
      <c r="O25" s="57">
        <f>ROUND(O$15*(1+$B$4+8.8%)/(1+$B$4),1)+O$18</f>
        <v>4191</v>
      </c>
      <c r="P25" s="58">
        <f>ROUND(P$15*(1+$B$4+8.8%)/(1+$B$4),1)+P$18</f>
        <v>7605.6</v>
      </c>
    </row>
    <row r="26" spans="1:16" ht="20.100000000000001" customHeight="1" x14ac:dyDescent="0.2">
      <c r="A26" s="59" t="s">
        <v>70</v>
      </c>
      <c r="B26" s="60">
        <f>C26+J26+L26+O26+P26</f>
        <v>510</v>
      </c>
      <c r="C26" s="60">
        <f>D26+E26+N26</f>
        <v>510</v>
      </c>
      <c r="D26" s="60">
        <f>39.3+H26</f>
        <v>75</v>
      </c>
      <c r="E26" s="60">
        <f>I26+M26</f>
        <v>435</v>
      </c>
      <c r="F26" s="60">
        <v>0</v>
      </c>
      <c r="G26" s="60">
        <v>0</v>
      </c>
      <c r="H26" s="60">
        <v>35.700000000000003</v>
      </c>
      <c r="I26" s="60">
        <v>195</v>
      </c>
      <c r="J26" s="60">
        <v>0</v>
      </c>
      <c r="K26" s="60">
        <v>0</v>
      </c>
      <c r="L26" s="60">
        <v>0</v>
      </c>
      <c r="M26" s="60">
        <v>240</v>
      </c>
      <c r="N26" s="60">
        <v>0</v>
      </c>
      <c r="O26" s="60">
        <v>0</v>
      </c>
      <c r="P26" s="60">
        <v>0</v>
      </c>
    </row>
    <row r="27" spans="1:16" ht="20.100000000000001" customHeight="1" thickBot="1" x14ac:dyDescent="0.25">
      <c r="A27" s="244" t="s">
        <v>79</v>
      </c>
      <c r="B27" s="244"/>
      <c r="C27" s="244"/>
      <c r="D27" s="244"/>
      <c r="E27" s="244"/>
      <c r="F27" s="244"/>
      <c r="G27" s="244"/>
      <c r="H27" s="244"/>
      <c r="I27" s="244"/>
      <c r="J27" s="244"/>
      <c r="K27" s="244"/>
      <c r="L27" s="244"/>
      <c r="M27" s="244"/>
      <c r="N27" s="244"/>
      <c r="O27" s="244"/>
      <c r="P27" s="244"/>
    </row>
    <row r="28" spans="1:16" ht="20.100000000000001" customHeight="1" x14ac:dyDescent="0.2">
      <c r="A28" s="61" t="s">
        <v>73</v>
      </c>
      <c r="B28" s="62">
        <f>B20</f>
        <v>482.97</v>
      </c>
      <c r="C28" s="62">
        <f t="shared" ref="C28:I29" si="8">C20</f>
        <v>439.6</v>
      </c>
      <c r="D28" s="62">
        <f t="shared" si="8"/>
        <v>471.26</v>
      </c>
      <c r="E28" s="62">
        <f>E20</f>
        <v>410.86</v>
      </c>
      <c r="F28" s="62">
        <f>F20</f>
        <v>496.55</v>
      </c>
      <c r="G28" s="62">
        <f t="shared" ref="G28" si="9">G20</f>
        <v>496.55</v>
      </c>
      <c r="H28" s="62">
        <f t="shared" si="8"/>
        <v>450.84</v>
      </c>
      <c r="I28" s="62">
        <f t="shared" si="8"/>
        <v>428.68</v>
      </c>
      <c r="J28" s="62">
        <f t="shared" ref="J28:O28" si="10">J20</f>
        <v>460.89</v>
      </c>
      <c r="K28" s="62">
        <f t="shared" si="10"/>
        <v>460.89</v>
      </c>
      <c r="L28" s="62">
        <f t="shared" si="10"/>
        <v>517.20000000000005</v>
      </c>
      <c r="M28" s="62">
        <f t="shared" si="10"/>
        <v>410.86</v>
      </c>
      <c r="N28" s="62">
        <f t="shared" si="10"/>
        <v>451.66</v>
      </c>
      <c r="O28" s="62">
        <f t="shared" si="10"/>
        <v>469.44</v>
      </c>
      <c r="P28" s="62">
        <f>P20</f>
        <v>469.8</v>
      </c>
    </row>
    <row r="29" spans="1:16" ht="20.100000000000001" customHeight="1" x14ac:dyDescent="0.2">
      <c r="A29" s="64" t="s">
        <v>72</v>
      </c>
      <c r="B29" s="65">
        <f>B21</f>
        <v>241.49</v>
      </c>
      <c r="C29" s="65">
        <f t="shared" si="8"/>
        <v>219.8</v>
      </c>
      <c r="D29" s="65">
        <f t="shared" si="8"/>
        <v>235.63</v>
      </c>
      <c r="E29" s="65">
        <f t="shared" si="8"/>
        <v>198.91</v>
      </c>
      <c r="F29" s="65">
        <f t="shared" ref="F29:G29" si="11">F21</f>
        <v>248.27</v>
      </c>
      <c r="G29" s="65">
        <f t="shared" si="11"/>
        <v>248.27</v>
      </c>
      <c r="H29" s="65">
        <f t="shared" si="8"/>
        <v>225.42</v>
      </c>
      <c r="I29" s="65">
        <f t="shared" si="8"/>
        <v>214.34</v>
      </c>
      <c r="J29" s="65">
        <f t="shared" ref="J29:O29" si="12">J21</f>
        <v>230.45</v>
      </c>
      <c r="K29" s="65">
        <f t="shared" si="12"/>
        <v>230.45</v>
      </c>
      <c r="L29" s="65">
        <f t="shared" si="12"/>
        <v>258.60000000000002</v>
      </c>
      <c r="M29" s="65">
        <f t="shared" si="12"/>
        <v>183.48</v>
      </c>
      <c r="N29" s="65">
        <f t="shared" si="12"/>
        <v>225.83</v>
      </c>
      <c r="O29" s="65">
        <f t="shared" si="12"/>
        <v>234.72</v>
      </c>
      <c r="P29" s="65">
        <f>P21</f>
        <v>234.9</v>
      </c>
    </row>
    <row r="30" spans="1:16" ht="20.100000000000001" customHeight="1" x14ac:dyDescent="0.2">
      <c r="A30" s="64" t="s">
        <v>75</v>
      </c>
      <c r="B30" s="65">
        <v>0.01</v>
      </c>
      <c r="C30" s="65">
        <v>0.01</v>
      </c>
      <c r="D30" s="65">
        <v>0.01</v>
      </c>
      <c r="E30" s="65">
        <v>0.01</v>
      </c>
      <c r="F30" s="65" t="s">
        <v>12</v>
      </c>
      <c r="G30" s="65" t="s">
        <v>12</v>
      </c>
      <c r="H30" s="65">
        <v>0.01</v>
      </c>
      <c r="I30" s="65">
        <v>0.01</v>
      </c>
      <c r="J30" s="65" t="s">
        <v>12</v>
      </c>
      <c r="K30" s="65" t="s">
        <v>12</v>
      </c>
      <c r="L30" s="65" t="s">
        <v>12</v>
      </c>
      <c r="M30" s="65">
        <v>0.01</v>
      </c>
      <c r="N30" s="65" t="s">
        <v>12</v>
      </c>
      <c r="O30" s="65" t="s">
        <v>12</v>
      </c>
      <c r="P30" s="66" t="s">
        <v>12</v>
      </c>
    </row>
    <row r="31" spans="1:16" ht="20.100000000000001" customHeight="1" x14ac:dyDescent="0.2">
      <c r="A31" s="64" t="s">
        <v>76</v>
      </c>
      <c r="B31" s="65">
        <v>0.01</v>
      </c>
      <c r="C31" s="65">
        <v>0.01</v>
      </c>
      <c r="D31" s="65">
        <v>0.01</v>
      </c>
      <c r="E31" s="65">
        <v>0.01</v>
      </c>
      <c r="F31" s="65" t="s">
        <v>12</v>
      </c>
      <c r="G31" s="65" t="s">
        <v>12</v>
      </c>
      <c r="H31" s="65">
        <v>0.01</v>
      </c>
      <c r="I31" s="65">
        <v>0.01</v>
      </c>
      <c r="J31" s="65" t="s">
        <v>12</v>
      </c>
      <c r="K31" s="65" t="s">
        <v>12</v>
      </c>
      <c r="L31" s="65" t="s">
        <v>12</v>
      </c>
      <c r="M31" s="65">
        <v>0.01</v>
      </c>
      <c r="N31" s="65" t="s">
        <v>12</v>
      </c>
      <c r="O31" s="65" t="s">
        <v>12</v>
      </c>
      <c r="P31" s="66" t="s">
        <v>12</v>
      </c>
    </row>
    <row r="32" spans="1:16" ht="20.100000000000001" customHeight="1" thickBot="1" x14ac:dyDescent="0.25">
      <c r="A32" s="67" t="s">
        <v>27</v>
      </c>
      <c r="B32" s="68">
        <f>B22</f>
        <v>0</v>
      </c>
      <c r="C32" s="68">
        <f>C22</f>
        <v>0</v>
      </c>
      <c r="D32" s="68">
        <f>D22</f>
        <v>0</v>
      </c>
      <c r="E32" s="68">
        <f>E22</f>
        <v>0</v>
      </c>
      <c r="F32" s="68">
        <f t="shared" ref="F32:G32" si="13">F22</f>
        <v>0</v>
      </c>
      <c r="G32" s="68">
        <f t="shared" si="13"/>
        <v>0</v>
      </c>
      <c r="H32" s="68">
        <f>H22</f>
        <v>0</v>
      </c>
      <c r="I32" s="68">
        <f>I22</f>
        <v>0</v>
      </c>
      <c r="J32" s="68">
        <f t="shared" ref="J32:O32" si="14">J22</f>
        <v>0</v>
      </c>
      <c r="K32" s="68">
        <f t="shared" si="14"/>
        <v>0</v>
      </c>
      <c r="L32" s="68">
        <f t="shared" si="14"/>
        <v>0</v>
      </c>
      <c r="M32" s="68">
        <f t="shared" si="14"/>
        <v>0</v>
      </c>
      <c r="N32" s="68">
        <f t="shared" si="14"/>
        <v>0</v>
      </c>
      <c r="O32" s="68">
        <f t="shared" si="14"/>
        <v>0</v>
      </c>
      <c r="P32" s="68">
        <f>P22</f>
        <v>0</v>
      </c>
    </row>
    <row r="33" spans="1:16" ht="20.100000000000001" customHeight="1" x14ac:dyDescent="0.2">
      <c r="A33" s="70" t="s">
        <v>74</v>
      </c>
      <c r="B33" s="71">
        <f>ROUND(B23-B$26*$B$6,1)</f>
        <v>151394.4</v>
      </c>
      <c r="C33" s="71">
        <f>ROUND(C23-C$26*$B$6,1)</f>
        <v>64225.8</v>
      </c>
      <c r="D33" s="71">
        <f>ROUND(D23-D$26*$B$6,1)</f>
        <v>35881.199999999997</v>
      </c>
      <c r="E33" s="71">
        <f>ROUND(E23-E$26*$B$6,1)</f>
        <v>14770.1</v>
      </c>
      <c r="F33" s="71">
        <f>ROUND(F23-F$26*$B$6,1)</f>
        <v>11506.1</v>
      </c>
      <c r="G33" s="71">
        <f t="shared" ref="G33:P33" si="15">ROUND(G23-G$26*$B$6,1)</f>
        <v>6100.4</v>
      </c>
      <c r="H33" s="71">
        <f t="shared" si="15"/>
        <v>2840.1</v>
      </c>
      <c r="I33" s="71">
        <f t="shared" si="15"/>
        <v>7874.8</v>
      </c>
      <c r="J33" s="71">
        <f t="shared" si="15"/>
        <v>15343.5</v>
      </c>
      <c r="K33" s="71">
        <f t="shared" si="15"/>
        <v>5699.1</v>
      </c>
      <c r="L33" s="71">
        <f t="shared" si="15"/>
        <v>25566.799999999999</v>
      </c>
      <c r="M33" s="71">
        <f t="shared" si="15"/>
        <v>7569.3</v>
      </c>
      <c r="N33" s="71">
        <f t="shared" si="15"/>
        <v>9899.9</v>
      </c>
      <c r="O33" s="71">
        <f t="shared" si="15"/>
        <v>3888.3</v>
      </c>
      <c r="P33" s="71">
        <f t="shared" si="15"/>
        <v>7056.2</v>
      </c>
    </row>
    <row r="34" spans="1:16" ht="20.100000000000001" customHeight="1" x14ac:dyDescent="0.2">
      <c r="A34" s="72" t="s">
        <v>71</v>
      </c>
      <c r="B34" s="73">
        <f>ROUND(B24-B$26*$B$6,1)</f>
        <v>155469.20000000001</v>
      </c>
      <c r="C34" s="73">
        <f>ROUND(C24-C$26*$B$6,1)</f>
        <v>65963</v>
      </c>
      <c r="D34" s="73">
        <f>ROUND(D24-D$26*$B$6,1)</f>
        <v>36845.599999999999</v>
      </c>
      <c r="E34" s="73">
        <f>ROUND(E24-E$26*$B$6,1)</f>
        <v>15178.9</v>
      </c>
      <c r="F34" s="73">
        <f t="shared" ref="F34:P34" si="16">ROUND(F24-F$26*$B$6,1)</f>
        <v>11814.6</v>
      </c>
      <c r="G34" s="73">
        <f t="shared" si="16"/>
        <v>6264</v>
      </c>
      <c r="H34" s="73">
        <f t="shared" si="16"/>
        <v>2917.3</v>
      </c>
      <c r="I34" s="73">
        <f t="shared" si="16"/>
        <v>8091.7</v>
      </c>
      <c r="J34" s="73">
        <f t="shared" si="16"/>
        <v>15754.9</v>
      </c>
      <c r="K34" s="73">
        <f t="shared" si="16"/>
        <v>5852</v>
      </c>
      <c r="L34" s="73">
        <f t="shared" si="16"/>
        <v>26252.400000000001</v>
      </c>
      <c r="M34" s="73">
        <f t="shared" si="16"/>
        <v>7779.2</v>
      </c>
      <c r="N34" s="73">
        <f t="shared" si="16"/>
        <v>10165.4</v>
      </c>
      <c r="O34" s="73">
        <f t="shared" si="16"/>
        <v>3992.5</v>
      </c>
      <c r="P34" s="73">
        <f t="shared" si="16"/>
        <v>7245.5</v>
      </c>
    </row>
    <row r="35" spans="1:16" ht="20.100000000000001" customHeight="1" x14ac:dyDescent="0.2">
      <c r="A35" s="72" t="s">
        <v>77</v>
      </c>
      <c r="B35" s="73">
        <f>ROUND(B36-B$26*$B$6,1)</f>
        <v>163224.1</v>
      </c>
      <c r="C35" s="73">
        <f t="shared" ref="C35:I35" si="17">ROUND(C36-C$26*$B$6,1)</f>
        <v>69269.100000000006</v>
      </c>
      <c r="D35" s="73">
        <f t="shared" si="17"/>
        <v>38681</v>
      </c>
      <c r="E35" s="73">
        <f>ROUND(E36-E$26*$B$6,1)</f>
        <v>15956.9</v>
      </c>
      <c r="F35" s="73" t="s">
        <v>12</v>
      </c>
      <c r="G35" s="73" t="s">
        <v>12</v>
      </c>
      <c r="H35" s="73">
        <f t="shared" si="17"/>
        <v>3064.3</v>
      </c>
      <c r="I35" s="73">
        <f t="shared" si="17"/>
        <v>8504.4</v>
      </c>
      <c r="J35" s="73" t="s">
        <v>12</v>
      </c>
      <c r="K35" s="73" t="s">
        <v>12</v>
      </c>
      <c r="L35" s="73" t="s">
        <v>12</v>
      </c>
      <c r="M35" s="73">
        <f>ROUND(M36-M$26*$B$6,1)</f>
        <v>8178.9</v>
      </c>
      <c r="N35" s="73"/>
      <c r="O35" s="73"/>
      <c r="P35" s="73"/>
    </row>
    <row r="36" spans="1:16" ht="20.100000000000001" customHeight="1" x14ac:dyDescent="0.2">
      <c r="A36" s="72" t="s">
        <v>78</v>
      </c>
      <c r="B36" s="73">
        <f>ROUND(B25-B31*(B25-B24)/B21,1)</f>
        <v>163779.20000000001</v>
      </c>
      <c r="C36" s="73">
        <f t="shared" ref="C36:M36" si="18">ROUND(C25-C31*(C25-C24)/C21,1)</f>
        <v>69824.2</v>
      </c>
      <c r="D36" s="73">
        <f t="shared" si="18"/>
        <v>38762.6</v>
      </c>
      <c r="E36" s="73">
        <f t="shared" si="18"/>
        <v>16430.400000000001</v>
      </c>
      <c r="F36" s="73" t="s">
        <v>12</v>
      </c>
      <c r="G36" s="73" t="s">
        <v>12</v>
      </c>
      <c r="H36" s="73">
        <f t="shared" si="18"/>
        <v>3103.2</v>
      </c>
      <c r="I36" s="73">
        <f t="shared" si="18"/>
        <v>8716.6</v>
      </c>
      <c r="J36" s="73" t="s">
        <v>12</v>
      </c>
      <c r="K36" s="73" t="s">
        <v>12</v>
      </c>
      <c r="L36" s="73" t="s">
        <v>12</v>
      </c>
      <c r="M36" s="73">
        <f t="shared" si="18"/>
        <v>8440.1</v>
      </c>
      <c r="N36" s="73"/>
      <c r="O36" s="73"/>
      <c r="P36" s="73"/>
    </row>
    <row r="37" spans="1:16" ht="20.100000000000001" customHeight="1" thickBot="1" x14ac:dyDescent="0.25">
      <c r="A37" s="74" t="s">
        <v>30</v>
      </c>
      <c r="B37" s="75">
        <f>B25</f>
        <v>163779.5</v>
      </c>
      <c r="C37" s="75">
        <f t="shared" ref="C37:E37" si="19">C25</f>
        <v>69824.399999999994</v>
      </c>
      <c r="D37" s="75">
        <f t="shared" si="19"/>
        <v>38762.699999999997</v>
      </c>
      <c r="E37" s="75">
        <f t="shared" si="19"/>
        <v>16430.400000000001</v>
      </c>
      <c r="F37" s="75">
        <f t="shared" ref="F37:P37" si="20">F25</f>
        <v>12401.9</v>
      </c>
      <c r="G37" s="75">
        <f t="shared" si="20"/>
        <v>6575.4</v>
      </c>
      <c r="H37" s="75">
        <f t="shared" si="20"/>
        <v>3103.2</v>
      </c>
      <c r="I37" s="75">
        <f t="shared" si="20"/>
        <v>8716.6</v>
      </c>
      <c r="J37" s="75">
        <f t="shared" si="20"/>
        <v>16538</v>
      </c>
      <c r="K37" s="75">
        <f t="shared" si="20"/>
        <v>6142.8</v>
      </c>
      <c r="L37" s="75">
        <f t="shared" si="20"/>
        <v>27557.3</v>
      </c>
      <c r="M37" s="75">
        <f t="shared" si="20"/>
        <v>8440.1</v>
      </c>
      <c r="N37" s="75">
        <f t="shared" si="20"/>
        <v>10670.6</v>
      </c>
      <c r="O37" s="75">
        <f t="shared" si="20"/>
        <v>4191</v>
      </c>
      <c r="P37" s="75">
        <f t="shared" si="20"/>
        <v>7605.6</v>
      </c>
    </row>
    <row r="38" spans="1:16" ht="20.100000000000001" customHeight="1" x14ac:dyDescent="0.2">
      <c r="A38" s="76" t="s">
        <v>80</v>
      </c>
      <c r="B38" s="77">
        <f>ROUND(MAX(B$17*0.5, 20)*365,2)</f>
        <v>58761.45</v>
      </c>
      <c r="C38" s="77">
        <f t="shared" ref="C38:M38" si="21">ROUND(MAX(C$17*0.5, 20)*365,2)</f>
        <v>53484.12</v>
      </c>
      <c r="D38" s="77">
        <f t="shared" si="21"/>
        <v>57336.13</v>
      </c>
      <c r="E38" s="77">
        <f t="shared" si="21"/>
        <v>48402.32</v>
      </c>
      <c r="F38" s="77">
        <f t="shared" si="21"/>
        <v>60413.36</v>
      </c>
      <c r="G38" s="77">
        <f t="shared" si="21"/>
        <v>60413.36</v>
      </c>
      <c r="H38" s="77">
        <f t="shared" si="21"/>
        <v>54852.79</v>
      </c>
      <c r="I38" s="77">
        <f t="shared" si="21"/>
        <v>52155.65</v>
      </c>
      <c r="J38" s="77">
        <f t="shared" si="21"/>
        <v>56075.28</v>
      </c>
      <c r="K38" s="77">
        <f t="shared" si="21"/>
        <v>56075.28</v>
      </c>
      <c r="L38" s="77">
        <f t="shared" si="21"/>
        <v>62925.94</v>
      </c>
      <c r="M38" s="77">
        <f t="shared" si="21"/>
        <v>44647.15</v>
      </c>
      <c r="N38" s="77">
        <f>ROUND(MAX(N$17*0.5, 20)*365,2)</f>
        <v>54951.47</v>
      </c>
      <c r="O38" s="77">
        <f>ROUND(MAX(O$17*0.5, 20)*365,2)</f>
        <v>57115.03</v>
      </c>
      <c r="P38" s="77">
        <f>ROUND(MAX(P$17*0.5, 20)*365,2)</f>
        <v>57158.879999999997</v>
      </c>
    </row>
    <row r="39" spans="1:16" ht="20.100000000000001" customHeight="1" x14ac:dyDescent="0.2">
      <c r="A39" s="31" t="s">
        <v>49</v>
      </c>
      <c r="B39" s="78" t="s">
        <v>24</v>
      </c>
      <c r="C39" s="79">
        <v>1557</v>
      </c>
      <c r="D39" s="79">
        <v>40</v>
      </c>
      <c r="E39" s="79" t="s">
        <v>24</v>
      </c>
      <c r="F39" s="79">
        <v>41</v>
      </c>
      <c r="G39" s="79">
        <v>21</v>
      </c>
      <c r="H39" s="79">
        <v>72</v>
      </c>
      <c r="I39" s="79" t="s">
        <v>24</v>
      </c>
      <c r="J39" s="79" t="s">
        <v>24</v>
      </c>
      <c r="K39" s="79" t="s">
        <v>24</v>
      </c>
      <c r="L39" s="79">
        <v>1097</v>
      </c>
      <c r="M39" s="79">
        <v>65.7</v>
      </c>
      <c r="N39" s="79" t="s">
        <v>24</v>
      </c>
      <c r="O39" s="79" t="s">
        <v>24</v>
      </c>
      <c r="P39" s="79">
        <v>155</v>
      </c>
    </row>
    <row r="40" spans="1:16" ht="20.100000000000001" customHeight="1" x14ac:dyDescent="0.2">
      <c r="A40" s="245" t="s">
        <v>62</v>
      </c>
      <c r="B40" s="245"/>
      <c r="C40" s="245"/>
      <c r="D40" s="245"/>
      <c r="E40" s="245"/>
      <c r="F40" s="245"/>
      <c r="G40" s="245"/>
      <c r="H40" s="245"/>
      <c r="I40" s="245"/>
      <c r="J40" s="245"/>
      <c r="K40" s="245"/>
      <c r="L40" s="245"/>
      <c r="M40" s="245"/>
      <c r="N40" s="245"/>
      <c r="O40" s="245"/>
      <c r="P40" s="245"/>
    </row>
    <row r="41" spans="1:16" ht="20.100000000000001" customHeight="1" x14ac:dyDescent="0.2">
      <c r="A41" s="31" t="s">
        <v>81</v>
      </c>
      <c r="B41" s="78" t="s">
        <v>24</v>
      </c>
      <c r="C41" s="183">
        <f>MIN(ROUND((C12-C11)/(55029*$B$6),3),100%)</f>
        <v>1</v>
      </c>
      <c r="D41" s="183">
        <f>ROUND((D12-D11)/(29893*$B$6),3)</f>
        <v>0.83099999999999996</v>
      </c>
      <c r="E41" s="183">
        <f>ROUND((E12-E11)/(12450*$B$6),3)</f>
        <v>0.48</v>
      </c>
      <c r="F41" s="81" t="s">
        <v>24</v>
      </c>
      <c r="G41" s="78" t="s">
        <v>24</v>
      </c>
      <c r="H41" s="78" t="s">
        <v>24</v>
      </c>
      <c r="I41" s="78" t="s">
        <v>24</v>
      </c>
      <c r="J41" s="78" t="s">
        <v>24</v>
      </c>
      <c r="K41" s="78" t="s">
        <v>24</v>
      </c>
      <c r="L41" s="183">
        <f>ROUND((L12-L11)/(21064*$B$6),3)</f>
        <v>0.874</v>
      </c>
      <c r="M41" s="183">
        <f>ROUND((M12-M11)/(6331*$B$6),3)</f>
        <v>0.28100000000000003</v>
      </c>
      <c r="N41" s="78" t="s">
        <v>24</v>
      </c>
      <c r="O41" s="78" t="s">
        <v>24</v>
      </c>
      <c r="P41" s="183">
        <f>ROUND((P12-P11)/(5243*$B$6),3)</f>
        <v>0.439</v>
      </c>
    </row>
    <row r="42" spans="1:16" ht="15.75" x14ac:dyDescent="0.2">
      <c r="A42" s="82" t="s">
        <v>12</v>
      </c>
      <c r="B42" s="83"/>
      <c r="C42" s="83"/>
      <c r="D42" s="83"/>
      <c r="E42" s="83"/>
      <c r="F42" s="83"/>
      <c r="G42" s="84"/>
      <c r="H42" s="84"/>
      <c r="I42" s="84"/>
      <c r="J42" s="84"/>
      <c r="K42" s="84"/>
      <c r="L42" s="84"/>
      <c r="M42" s="84"/>
      <c r="N42" s="84"/>
      <c r="O42" s="16"/>
      <c r="P42" s="16"/>
    </row>
  </sheetData>
  <mergeCells count="10">
    <mergeCell ref="A1:B1"/>
    <mergeCell ref="C3:P3"/>
    <mergeCell ref="C4:P4"/>
    <mergeCell ref="C5:P5"/>
    <mergeCell ref="C6:P6"/>
    <mergeCell ref="C7:P7"/>
    <mergeCell ref="C8:P8"/>
    <mergeCell ref="A19:P19"/>
    <mergeCell ref="A27:P27"/>
    <mergeCell ref="A40:P40"/>
  </mergeCells>
  <pageMargins left="0.45" right="0.45" top="0.5" bottom="0.5" header="0.3" footer="0.3"/>
  <pageSetup scale="42" orientation="landscape"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R95"/>
  <sheetViews>
    <sheetView zoomScaleNormal="100" zoomScaleSheetLayoutView="75" workbookViewId="0">
      <selection sqref="A1:B1"/>
    </sheetView>
  </sheetViews>
  <sheetFormatPr defaultColWidth="30.7109375" defaultRowHeight="12.75" x14ac:dyDescent="0.2"/>
  <cols>
    <col min="1" max="1" width="60" customWidth="1"/>
    <col min="2" max="7" width="16.7109375" style="1" customWidth="1"/>
    <col min="8" max="8" width="16.7109375" customWidth="1"/>
    <col min="9" max="9" width="17.7109375" customWidth="1"/>
    <col min="10" max="16" width="18.7109375" customWidth="1"/>
  </cols>
  <sheetData>
    <row r="1" spans="1:18" ht="24.95" customHeight="1" x14ac:dyDescent="0.25">
      <c r="A1" s="246" t="s">
        <v>82</v>
      </c>
      <c r="B1" s="246"/>
      <c r="C1" s="110"/>
      <c r="D1" s="10">
        <v>43223</v>
      </c>
      <c r="E1" s="110"/>
      <c r="F1" s="18" t="s">
        <v>12</v>
      </c>
      <c r="G1" s="111"/>
      <c r="H1" s="107"/>
      <c r="I1" s="14" t="s">
        <v>12</v>
      </c>
      <c r="J1" s="15" t="s">
        <v>12</v>
      </c>
      <c r="K1" s="112"/>
      <c r="L1" s="112"/>
      <c r="M1" s="112"/>
      <c r="N1" s="112"/>
      <c r="O1" s="112"/>
      <c r="P1" s="112"/>
    </row>
    <row r="2" spans="1:18" ht="20.100000000000001" customHeight="1" x14ac:dyDescent="0.25">
      <c r="A2" s="17" t="s">
        <v>12</v>
      </c>
      <c r="B2" s="18"/>
      <c r="C2" s="18"/>
      <c r="D2" s="18"/>
      <c r="E2" s="18"/>
      <c r="F2" s="18"/>
      <c r="G2" s="18"/>
      <c r="H2" s="18"/>
      <c r="I2" s="15" t="s">
        <v>12</v>
      </c>
      <c r="J2" s="19" t="s">
        <v>12</v>
      </c>
      <c r="K2" s="18" t="s">
        <v>12</v>
      </c>
      <c r="L2" s="18"/>
      <c r="M2" s="18"/>
      <c r="N2" s="18"/>
      <c r="O2" s="112"/>
      <c r="P2" s="112"/>
    </row>
    <row r="3" spans="1:18" ht="20.100000000000001" customHeight="1" x14ac:dyDescent="0.25">
      <c r="A3" s="20" t="s">
        <v>12</v>
      </c>
      <c r="B3" s="113" t="s">
        <v>13</v>
      </c>
      <c r="C3" s="247" t="s">
        <v>41</v>
      </c>
      <c r="D3" s="247"/>
      <c r="E3" s="247"/>
      <c r="F3" s="247"/>
      <c r="G3" s="247"/>
      <c r="H3" s="247"/>
      <c r="I3" s="247"/>
      <c r="J3" s="247"/>
      <c r="K3" s="247"/>
      <c r="L3" s="247"/>
      <c r="M3" s="247"/>
      <c r="N3" s="247"/>
      <c r="O3" s="247"/>
      <c r="P3" s="247"/>
    </row>
    <row r="4" spans="1:18" ht="20.100000000000001" customHeight="1" x14ac:dyDescent="0.2">
      <c r="A4" s="20" t="s">
        <v>35</v>
      </c>
      <c r="B4" s="22">
        <v>0.158</v>
      </c>
      <c r="C4" s="248" t="s">
        <v>85</v>
      </c>
      <c r="D4" s="248"/>
      <c r="E4" s="248"/>
      <c r="F4" s="248"/>
      <c r="G4" s="248"/>
      <c r="H4" s="248"/>
      <c r="I4" s="248"/>
      <c r="J4" s="248"/>
      <c r="K4" s="248"/>
      <c r="L4" s="248"/>
      <c r="M4" s="248"/>
      <c r="N4" s="248"/>
      <c r="O4" s="248"/>
      <c r="P4" s="248"/>
    </row>
    <row r="5" spans="1:18" ht="20.100000000000001" customHeight="1" x14ac:dyDescent="0.2">
      <c r="A5" s="20" t="s">
        <v>36</v>
      </c>
      <c r="B5" s="23">
        <v>5.8900000000000001E-2</v>
      </c>
      <c r="C5" s="248" t="s">
        <v>85</v>
      </c>
      <c r="D5" s="248"/>
      <c r="E5" s="248"/>
      <c r="F5" s="248"/>
      <c r="G5" s="248"/>
      <c r="H5" s="248"/>
      <c r="I5" s="248"/>
      <c r="J5" s="248"/>
      <c r="K5" s="248"/>
      <c r="L5" s="248"/>
      <c r="M5" s="248"/>
      <c r="N5" s="248"/>
      <c r="O5" s="248"/>
      <c r="P5" s="248"/>
    </row>
    <row r="6" spans="1:18" ht="20.100000000000001" customHeight="1" x14ac:dyDescent="0.2">
      <c r="A6" s="20" t="s">
        <v>37</v>
      </c>
      <c r="B6" s="24">
        <v>1.0898000000000001</v>
      </c>
      <c r="C6" s="248" t="s">
        <v>85</v>
      </c>
      <c r="D6" s="248"/>
      <c r="E6" s="248"/>
      <c r="F6" s="248"/>
      <c r="G6" s="248"/>
      <c r="H6" s="248"/>
      <c r="I6" s="248"/>
      <c r="J6" s="248"/>
      <c r="K6" s="248"/>
      <c r="L6" s="248"/>
      <c r="M6" s="248"/>
      <c r="N6" s="248"/>
      <c r="O6" s="248"/>
      <c r="P6" s="248"/>
    </row>
    <row r="7" spans="1:18" ht="20.100000000000001" customHeight="1" x14ac:dyDescent="0.2">
      <c r="A7" s="20" t="s">
        <v>38</v>
      </c>
      <c r="B7" s="25">
        <f>F45</f>
        <v>152647.4</v>
      </c>
      <c r="C7" s="248" t="s">
        <v>84</v>
      </c>
      <c r="D7" s="248"/>
      <c r="E7" s="248"/>
      <c r="F7" s="248"/>
      <c r="G7" s="248"/>
      <c r="H7" s="248"/>
      <c r="I7" s="248"/>
      <c r="J7" s="248"/>
      <c r="K7" s="248"/>
      <c r="L7" s="248"/>
      <c r="M7" s="248"/>
      <c r="N7" s="248"/>
      <c r="O7" s="248"/>
      <c r="P7" s="248"/>
    </row>
    <row r="8" spans="1:18" ht="20.100000000000001" customHeight="1" x14ac:dyDescent="0.2">
      <c r="A8" s="20" t="s">
        <v>12</v>
      </c>
      <c r="B8" s="26" t="s">
        <v>12</v>
      </c>
      <c r="C8" s="242" t="s">
        <v>67</v>
      </c>
      <c r="D8" s="242"/>
      <c r="E8" s="242"/>
      <c r="F8" s="242"/>
      <c r="G8" s="242"/>
      <c r="H8" s="242"/>
      <c r="I8" s="242"/>
      <c r="J8" s="242"/>
      <c r="K8" s="242"/>
      <c r="L8" s="242"/>
      <c r="M8" s="242"/>
      <c r="N8" s="242"/>
      <c r="O8" s="242"/>
      <c r="P8" s="242"/>
    </row>
    <row r="9" spans="1:18" ht="30" customHeight="1" x14ac:dyDescent="0.2">
      <c r="A9" s="114" t="s">
        <v>12</v>
      </c>
      <c r="B9" s="28" t="s">
        <v>13</v>
      </c>
      <c r="C9" s="28" t="s">
        <v>17</v>
      </c>
      <c r="D9" s="28" t="s">
        <v>16</v>
      </c>
      <c r="E9" s="28" t="s">
        <v>14</v>
      </c>
      <c r="F9" s="28" t="s">
        <v>8</v>
      </c>
      <c r="G9" s="28" t="s">
        <v>42</v>
      </c>
      <c r="H9" s="28" t="s">
        <v>43</v>
      </c>
      <c r="I9" s="28" t="s">
        <v>7</v>
      </c>
      <c r="J9" s="29" t="s">
        <v>50</v>
      </c>
      <c r="K9" s="29" t="s">
        <v>58</v>
      </c>
      <c r="L9" s="30" t="s">
        <v>18</v>
      </c>
      <c r="M9" s="30" t="s">
        <v>3</v>
      </c>
      <c r="N9" s="30" t="s">
        <v>61</v>
      </c>
      <c r="O9" s="30" t="s">
        <v>19</v>
      </c>
      <c r="P9" s="30" t="s">
        <v>53</v>
      </c>
      <c r="Q9" s="7" t="s">
        <v>12</v>
      </c>
      <c r="R9" s="4"/>
    </row>
    <row r="10" spans="1:18" ht="19.899999999999999" customHeight="1" x14ac:dyDescent="0.2">
      <c r="A10" s="31" t="s">
        <v>9</v>
      </c>
      <c r="B10" s="32" t="s">
        <v>24</v>
      </c>
      <c r="C10" s="32">
        <f>B72</f>
        <v>-8870</v>
      </c>
      <c r="D10" s="33">
        <f>B69</f>
        <v>2500</v>
      </c>
      <c r="E10" s="33">
        <f>B70</f>
        <v>2870</v>
      </c>
      <c r="F10" s="33">
        <f>B66</f>
        <v>5620</v>
      </c>
      <c r="G10" s="33">
        <f>B67</f>
        <v>2410</v>
      </c>
      <c r="H10" s="33">
        <f>B58</f>
        <v>1080</v>
      </c>
      <c r="I10" s="33">
        <f>B64</f>
        <v>1550</v>
      </c>
      <c r="J10" s="33">
        <f>B49</f>
        <v>6020</v>
      </c>
      <c r="K10" s="33">
        <f>B50</f>
        <v>4100</v>
      </c>
      <c r="L10" s="33">
        <f>B52</f>
        <v>-640</v>
      </c>
      <c r="M10" s="33">
        <f>B51</f>
        <v>4470</v>
      </c>
      <c r="N10" s="33">
        <f>B65</f>
        <v>-850</v>
      </c>
      <c r="O10" s="33">
        <f>B53</f>
        <v>2480</v>
      </c>
      <c r="P10" s="33">
        <f>B54</f>
        <v>3110</v>
      </c>
    </row>
    <row r="11" spans="1:18" ht="19.899999999999999" customHeight="1" x14ac:dyDescent="0.2">
      <c r="A11" s="31" t="s">
        <v>11</v>
      </c>
      <c r="B11" s="32" t="s">
        <v>24</v>
      </c>
      <c r="C11" s="34">
        <f>C72</f>
        <v>4019</v>
      </c>
      <c r="D11" s="35">
        <f>C69</f>
        <v>9000</v>
      </c>
      <c r="E11" s="35">
        <f>C70</f>
        <v>9082</v>
      </c>
      <c r="F11" s="35">
        <f>C66</f>
        <v>6902</v>
      </c>
      <c r="G11" s="35">
        <f>C67</f>
        <v>3180</v>
      </c>
      <c r="H11" s="35">
        <f>C58</f>
        <v>1624</v>
      </c>
      <c r="I11" s="35">
        <f>C64</f>
        <v>6915</v>
      </c>
      <c r="J11" s="35">
        <f>C49</f>
        <v>8439</v>
      </c>
      <c r="K11" s="35">
        <f>C50</f>
        <v>5256</v>
      </c>
      <c r="L11" s="35">
        <f>C52</f>
        <v>5574</v>
      </c>
      <c r="M11" s="35">
        <f>C51</f>
        <v>6005</v>
      </c>
      <c r="N11" s="35">
        <f>C65</f>
        <v>6609</v>
      </c>
      <c r="O11" s="35">
        <f>C53</f>
        <v>3502</v>
      </c>
      <c r="P11" s="35">
        <f>C54</f>
        <v>4959</v>
      </c>
    </row>
    <row r="12" spans="1:18" ht="19.899999999999999" customHeight="1" x14ac:dyDescent="0.2">
      <c r="A12" s="36" t="s">
        <v>10</v>
      </c>
      <c r="B12" s="32">
        <f>ROUND((B7*B6),1)</f>
        <v>166355.1</v>
      </c>
      <c r="C12" s="32">
        <v>64919</v>
      </c>
      <c r="D12" s="37">
        <v>35994</v>
      </c>
      <c r="E12" s="38">
        <v>15259</v>
      </c>
      <c r="F12" s="38">
        <v>11501</v>
      </c>
      <c r="G12" s="38">
        <v>5810</v>
      </c>
      <c r="H12" s="38">
        <v>2907</v>
      </c>
      <c r="I12" s="38">
        <v>8073</v>
      </c>
      <c r="J12" s="37">
        <v>15598</v>
      </c>
      <c r="K12" s="37">
        <v>5258</v>
      </c>
      <c r="L12" s="38">
        <v>26112</v>
      </c>
      <c r="M12" s="38">
        <v>7910</v>
      </c>
      <c r="N12" s="38">
        <v>9974</v>
      </c>
      <c r="O12" s="38">
        <v>3979</v>
      </c>
      <c r="P12" s="38">
        <v>7557</v>
      </c>
    </row>
    <row r="13" spans="1:18" ht="19.899999999999999" customHeight="1" x14ac:dyDescent="0.2">
      <c r="A13" s="31" t="s">
        <v>108</v>
      </c>
      <c r="B13" s="33">
        <f>H45</f>
        <v>12107.099999999999</v>
      </c>
      <c r="C13" s="39">
        <f>H72</f>
        <v>0</v>
      </c>
      <c r="D13" s="39">
        <f>H69</f>
        <v>0</v>
      </c>
      <c r="E13" s="39">
        <f>H70</f>
        <v>0</v>
      </c>
      <c r="F13" s="39">
        <f>H66</f>
        <v>0</v>
      </c>
      <c r="G13" s="39">
        <f>H67</f>
        <v>0</v>
      </c>
      <c r="H13" s="39">
        <f>H58</f>
        <v>0</v>
      </c>
      <c r="I13" s="39">
        <f>H64</f>
        <v>0</v>
      </c>
      <c r="J13" s="39">
        <f>H49</f>
        <v>0</v>
      </c>
      <c r="K13" s="39">
        <f>H50</f>
        <v>0</v>
      </c>
      <c r="L13" s="33">
        <f>H52</f>
        <v>0</v>
      </c>
      <c r="M13" s="39">
        <f>H51</f>
        <v>0</v>
      </c>
      <c r="N13" s="39">
        <f>H65</f>
        <v>0</v>
      </c>
      <c r="O13" s="39">
        <f>H53</f>
        <v>0</v>
      </c>
      <c r="P13" s="33">
        <f>H54</f>
        <v>878.5</v>
      </c>
    </row>
    <row r="14" spans="1:18" ht="19.899999999999999" customHeight="1" x14ac:dyDescent="0.2">
      <c r="A14" s="31" t="s">
        <v>44</v>
      </c>
      <c r="B14" s="33">
        <f>ROUND(B13*$B$6,1)</f>
        <v>13194.3</v>
      </c>
      <c r="C14" s="39">
        <f t="shared" ref="C14:I14" si="0">ROUND(C13*$B$6,1)</f>
        <v>0</v>
      </c>
      <c r="D14" s="39">
        <f t="shared" si="0"/>
        <v>0</v>
      </c>
      <c r="E14" s="39">
        <f t="shared" si="0"/>
        <v>0</v>
      </c>
      <c r="F14" s="39">
        <f t="shared" si="0"/>
        <v>0</v>
      </c>
      <c r="G14" s="39">
        <f t="shared" si="0"/>
        <v>0</v>
      </c>
      <c r="H14" s="39">
        <f t="shared" si="0"/>
        <v>0</v>
      </c>
      <c r="I14" s="39">
        <f t="shared" si="0"/>
        <v>0</v>
      </c>
      <c r="J14" s="39">
        <f>ROUND(J13*$B$6,1)</f>
        <v>0</v>
      </c>
      <c r="K14" s="39">
        <f>ROUND(K13*$B$6,1)</f>
        <v>0</v>
      </c>
      <c r="L14" s="33">
        <f>ROUND(L13*$B$6,1)</f>
        <v>0</v>
      </c>
      <c r="M14" s="39">
        <f>ROUND(M13*$B$6,1)</f>
        <v>0</v>
      </c>
      <c r="N14" s="39">
        <f>ROUND(N13*$B$6,1)</f>
        <v>0</v>
      </c>
      <c r="O14" s="39">
        <f t="shared" ref="O14:P14" si="1">ROUND(O13*$B$6,1)</f>
        <v>0</v>
      </c>
      <c r="P14" s="33">
        <f t="shared" si="1"/>
        <v>957.4</v>
      </c>
    </row>
    <row r="15" spans="1:18" ht="19.899999999999999" customHeight="1" x14ac:dyDescent="0.2">
      <c r="A15" s="40" t="s">
        <v>45</v>
      </c>
      <c r="B15" s="41">
        <f>B12-B14</f>
        <v>153160.80000000002</v>
      </c>
      <c r="C15" s="41">
        <f>C12-C14*C41</f>
        <v>64919</v>
      </c>
      <c r="D15" s="41">
        <f t="shared" ref="D15:E15" si="2">D12-D14*D41</f>
        <v>35994</v>
      </c>
      <c r="E15" s="41">
        <f t="shared" si="2"/>
        <v>15259</v>
      </c>
      <c r="F15" s="41">
        <f t="shared" ref="F15:N15" si="3">F12-F14</f>
        <v>11501</v>
      </c>
      <c r="G15" s="41">
        <f t="shared" si="3"/>
        <v>5810</v>
      </c>
      <c r="H15" s="41">
        <f t="shared" si="3"/>
        <v>2907</v>
      </c>
      <c r="I15" s="41">
        <f t="shared" si="3"/>
        <v>8073</v>
      </c>
      <c r="J15" s="41">
        <f t="shared" si="3"/>
        <v>15598</v>
      </c>
      <c r="K15" s="41">
        <f>K12-K14</f>
        <v>5258</v>
      </c>
      <c r="L15" s="41">
        <f>L12-L14*L41</f>
        <v>26112</v>
      </c>
      <c r="M15" s="41">
        <f>M12-M14*M41</f>
        <v>7910</v>
      </c>
      <c r="N15" s="41">
        <f t="shared" si="3"/>
        <v>9974</v>
      </c>
      <c r="O15" s="41">
        <f t="shared" ref="O15" si="4">O12-O14</f>
        <v>3979</v>
      </c>
      <c r="P15" s="42">
        <f>P12-P14*P41</f>
        <v>7129.0421999999999</v>
      </c>
    </row>
    <row r="16" spans="1:18" ht="19.899999999999999" customHeight="1" x14ac:dyDescent="0.2">
      <c r="A16" s="43" t="s">
        <v>69</v>
      </c>
      <c r="B16" s="44">
        <v>393.91</v>
      </c>
      <c r="C16" s="44">
        <v>392.52</v>
      </c>
      <c r="D16" s="44">
        <v>387.61</v>
      </c>
      <c r="E16" s="44">
        <v>410.34</v>
      </c>
      <c r="F16" s="44">
        <v>387.61</v>
      </c>
      <c r="G16" s="44">
        <v>387.61</v>
      </c>
      <c r="H16" s="44">
        <v>387.61</v>
      </c>
      <c r="I16" s="44">
        <v>410.34</v>
      </c>
      <c r="J16" s="44">
        <v>387.24</v>
      </c>
      <c r="K16" s="44">
        <v>387.24</v>
      </c>
      <c r="L16" s="44">
        <v>387.24</v>
      </c>
      <c r="M16" s="44">
        <v>410.34</v>
      </c>
      <c r="N16" s="44">
        <v>390.46</v>
      </c>
      <c r="O16" s="44">
        <v>387.24</v>
      </c>
      <c r="P16" s="44">
        <v>387.24</v>
      </c>
    </row>
    <row r="17" spans="1:18" ht="19.899999999999999" customHeight="1" x14ac:dyDescent="0.2">
      <c r="A17" s="45" t="s">
        <v>46</v>
      </c>
      <c r="B17" s="46">
        <v>321.57</v>
      </c>
      <c r="C17" s="46">
        <v>292.69</v>
      </c>
      <c r="D17" s="46">
        <v>313.77</v>
      </c>
      <c r="E17" s="46">
        <v>264.88</v>
      </c>
      <c r="F17" s="46">
        <v>330.61</v>
      </c>
      <c r="G17" s="46">
        <v>330.61</v>
      </c>
      <c r="H17" s="46">
        <v>300.18</v>
      </c>
      <c r="I17" s="46">
        <v>285.42</v>
      </c>
      <c r="J17" s="46">
        <v>306.87</v>
      </c>
      <c r="K17" s="46">
        <v>306.87</v>
      </c>
      <c r="L17" s="46">
        <v>344.36</v>
      </c>
      <c r="M17" s="46">
        <v>244.33</v>
      </c>
      <c r="N17" s="46">
        <v>300.72000000000003</v>
      </c>
      <c r="O17" s="46">
        <v>312.56</v>
      </c>
      <c r="P17" s="46">
        <v>312.8</v>
      </c>
    </row>
    <row r="18" spans="1:18" ht="19.899999999999999" customHeight="1" x14ac:dyDescent="0.2">
      <c r="A18" s="47" t="s">
        <v>112</v>
      </c>
      <c r="B18" s="32">
        <v>3912.8999999999996</v>
      </c>
      <c r="C18" s="32">
        <v>1341.8999999999999</v>
      </c>
      <c r="D18" s="32">
        <v>932.40000000000009</v>
      </c>
      <c r="E18" s="32">
        <v>231.2</v>
      </c>
      <c r="F18" s="32">
        <v>377.4</v>
      </c>
      <c r="G18" s="32">
        <v>83.800000000000011</v>
      </c>
      <c r="H18" s="32">
        <v>17.2</v>
      </c>
      <c r="I18" s="32">
        <v>119.10000000000001</v>
      </c>
      <c r="J18" s="32">
        <v>254.59999999999997</v>
      </c>
      <c r="K18" s="32">
        <v>49.9</v>
      </c>
      <c r="L18" s="32">
        <v>843.09999999999991</v>
      </c>
      <c r="M18" s="32">
        <v>112.1</v>
      </c>
      <c r="N18" s="32">
        <v>104</v>
      </c>
      <c r="O18" s="32">
        <v>110.69999999999999</v>
      </c>
      <c r="P18" s="32">
        <v>123.4</v>
      </c>
    </row>
    <row r="19" spans="1:18" ht="19.899999999999999" customHeight="1" thickBot="1" x14ac:dyDescent="0.25">
      <c r="A19" s="243" t="s">
        <v>47</v>
      </c>
      <c r="B19" s="243"/>
      <c r="C19" s="243"/>
      <c r="D19" s="243"/>
      <c r="E19" s="243"/>
      <c r="F19" s="243"/>
      <c r="G19" s="243"/>
      <c r="H19" s="243"/>
      <c r="I19" s="243"/>
      <c r="J19" s="243"/>
      <c r="K19" s="243"/>
      <c r="L19" s="243"/>
      <c r="M19" s="243"/>
      <c r="N19" s="243"/>
      <c r="O19" s="243"/>
      <c r="P19" s="243"/>
    </row>
    <row r="20" spans="1:18" ht="19.899999999999999" customHeight="1" x14ac:dyDescent="0.2">
      <c r="A20" s="48" t="s">
        <v>25</v>
      </c>
      <c r="B20" s="49">
        <f>ROUND(MAX(B16,1.5*B17),2)</f>
        <v>482.36</v>
      </c>
      <c r="C20" s="49">
        <f t="shared" ref="C20:N20" si="5">ROUND(MAX(C16,1.5*C17),2)</f>
        <v>439.04</v>
      </c>
      <c r="D20" s="49">
        <f t="shared" si="5"/>
        <v>470.66</v>
      </c>
      <c r="E20" s="49">
        <f t="shared" si="5"/>
        <v>410.34</v>
      </c>
      <c r="F20" s="49">
        <f t="shared" si="5"/>
        <v>495.92</v>
      </c>
      <c r="G20" s="49">
        <f t="shared" si="5"/>
        <v>495.92</v>
      </c>
      <c r="H20" s="49">
        <f>ROUND(MAX(H16,1.5*H17),2)</f>
        <v>450.27</v>
      </c>
      <c r="I20" s="49">
        <f t="shared" si="5"/>
        <v>428.13</v>
      </c>
      <c r="J20" s="49">
        <f t="shared" si="5"/>
        <v>460.31</v>
      </c>
      <c r="K20" s="49">
        <f t="shared" si="5"/>
        <v>460.31</v>
      </c>
      <c r="L20" s="49">
        <f t="shared" si="5"/>
        <v>516.54</v>
      </c>
      <c r="M20" s="49">
        <f t="shared" si="5"/>
        <v>410.34</v>
      </c>
      <c r="N20" s="49">
        <f t="shared" si="5"/>
        <v>451.08</v>
      </c>
      <c r="O20" s="49">
        <f>ROUND(MAX(O16,1.5*O17),2)</f>
        <v>468.84</v>
      </c>
      <c r="P20" s="50">
        <f>ROUND(MAX(P16,1.5*P17),2)</f>
        <v>469.2</v>
      </c>
    </row>
    <row r="21" spans="1:18" ht="19.899999999999999" customHeight="1" x14ac:dyDescent="0.2">
      <c r="A21" s="51" t="s">
        <v>26</v>
      </c>
      <c r="B21" s="52">
        <f>ROUND(B$17*0.75,2)</f>
        <v>241.18</v>
      </c>
      <c r="C21" s="52">
        <f t="shared" ref="C21:M21" si="6">ROUND(C$17*0.75,2)</f>
        <v>219.52</v>
      </c>
      <c r="D21" s="52">
        <f t="shared" si="6"/>
        <v>235.33</v>
      </c>
      <c r="E21" s="52">
        <f t="shared" si="6"/>
        <v>198.66</v>
      </c>
      <c r="F21" s="52">
        <f t="shared" si="6"/>
        <v>247.96</v>
      </c>
      <c r="G21" s="52">
        <f t="shared" si="6"/>
        <v>247.96</v>
      </c>
      <c r="H21" s="52">
        <f t="shared" si="6"/>
        <v>225.14</v>
      </c>
      <c r="I21" s="52">
        <f t="shared" si="6"/>
        <v>214.07</v>
      </c>
      <c r="J21" s="52">
        <f t="shared" si="6"/>
        <v>230.15</v>
      </c>
      <c r="K21" s="52">
        <f t="shared" si="6"/>
        <v>230.15</v>
      </c>
      <c r="L21" s="52">
        <f t="shared" si="6"/>
        <v>258.27</v>
      </c>
      <c r="M21" s="52">
        <f t="shared" si="6"/>
        <v>183.25</v>
      </c>
      <c r="N21" s="52">
        <f>ROUND(N$17*0.75,2)</f>
        <v>225.54</v>
      </c>
      <c r="O21" s="52">
        <f>ROUND(O$17*0.75,2)</f>
        <v>234.42</v>
      </c>
      <c r="P21" s="53">
        <f>ROUND(P$17*0.75,2)</f>
        <v>234.6</v>
      </c>
    </row>
    <row r="22" spans="1:18" ht="19.899999999999999" customHeight="1" x14ac:dyDescent="0.2">
      <c r="A22" s="51" t="s">
        <v>27</v>
      </c>
      <c r="B22" s="52">
        <v>0</v>
      </c>
      <c r="C22" s="52">
        <v>0</v>
      </c>
      <c r="D22" s="52">
        <v>0</v>
      </c>
      <c r="E22" s="52">
        <v>0</v>
      </c>
      <c r="F22" s="52">
        <v>0</v>
      </c>
      <c r="G22" s="52">
        <v>0</v>
      </c>
      <c r="H22" s="52">
        <v>0</v>
      </c>
      <c r="I22" s="52">
        <v>0</v>
      </c>
      <c r="J22" s="52">
        <v>0</v>
      </c>
      <c r="K22" s="52">
        <v>0</v>
      </c>
      <c r="L22" s="52">
        <v>0</v>
      </c>
      <c r="M22" s="52">
        <v>0</v>
      </c>
      <c r="N22" s="52">
        <v>0</v>
      </c>
      <c r="O22" s="52">
        <v>0</v>
      </c>
      <c r="P22" s="53">
        <v>0</v>
      </c>
    </row>
    <row r="23" spans="1:18" ht="19.899999999999999" customHeight="1" x14ac:dyDescent="0.2">
      <c r="A23" s="51" t="s">
        <v>28</v>
      </c>
      <c r="B23" s="54">
        <f>ROUND(B$15*(1+$B$4-0.2%)/(1+$B$4),1)+B$18</f>
        <v>156809.19999999998</v>
      </c>
      <c r="C23" s="54">
        <f t="shared" ref="C23:N23" si="7">ROUND(C$15*(1+$B$4-0.2%)/(1+$B$4),1)+C$18</f>
        <v>66148.800000000003</v>
      </c>
      <c r="D23" s="54">
        <f t="shared" si="7"/>
        <v>36864.200000000004</v>
      </c>
      <c r="E23" s="54">
        <f t="shared" si="7"/>
        <v>15463.800000000001</v>
      </c>
      <c r="F23" s="54">
        <f t="shared" si="7"/>
        <v>11858.5</v>
      </c>
      <c r="G23" s="54">
        <f t="shared" si="7"/>
        <v>5883.8</v>
      </c>
      <c r="H23" s="54">
        <f t="shared" si="7"/>
        <v>2919.2</v>
      </c>
      <c r="I23" s="54">
        <f t="shared" si="7"/>
        <v>8178.2000000000007</v>
      </c>
      <c r="J23" s="54">
        <f t="shared" si="7"/>
        <v>15825.7</v>
      </c>
      <c r="K23" s="54">
        <f t="shared" si="7"/>
        <v>5298.7999999999993</v>
      </c>
      <c r="L23" s="54">
        <f t="shared" si="7"/>
        <v>26910</v>
      </c>
      <c r="M23" s="54">
        <f t="shared" si="7"/>
        <v>8008.4000000000005</v>
      </c>
      <c r="N23" s="54">
        <f t="shared" si="7"/>
        <v>10060.799999999999</v>
      </c>
      <c r="O23" s="54">
        <f>ROUND(O$15*(1+$B$4-0.2%)/(1+$B$4),1)+O$18</f>
        <v>4082.7999999999997</v>
      </c>
      <c r="P23" s="55">
        <f>ROUND(P$15*(1+$B$4-0.2%)/(1+$B$4),1)+P$18</f>
        <v>7240.0999999999995</v>
      </c>
      <c r="Q23" s="6" t="s">
        <v>12</v>
      </c>
      <c r="R23" s="4"/>
    </row>
    <row r="24" spans="1:18" ht="19.899999999999999" customHeight="1" x14ac:dyDescent="0.2">
      <c r="A24" s="51" t="s">
        <v>29</v>
      </c>
      <c r="B24" s="54">
        <f>ROUND(B$15*(1+$B$4+2.9%)/(1+$B$4),1)+B$18</f>
        <v>160909.29999999999</v>
      </c>
      <c r="C24" s="54">
        <f t="shared" ref="C24:N24" si="8">ROUND(C$15*(1+$B$4+2.9%)/(1+$B$4),1)+C$18</f>
        <v>67886.7</v>
      </c>
      <c r="D24" s="54">
        <f t="shared" si="8"/>
        <v>37827.800000000003</v>
      </c>
      <c r="E24" s="54">
        <f t="shared" si="8"/>
        <v>15872.300000000001</v>
      </c>
      <c r="F24" s="54">
        <f t="shared" si="8"/>
        <v>12166.4</v>
      </c>
      <c r="G24" s="54">
        <f t="shared" si="8"/>
        <v>6039.3</v>
      </c>
      <c r="H24" s="54">
        <f t="shared" si="8"/>
        <v>2997</v>
      </c>
      <c r="I24" s="54">
        <f t="shared" si="8"/>
        <v>8394.3000000000011</v>
      </c>
      <c r="J24" s="54">
        <f t="shared" si="8"/>
        <v>16243.2</v>
      </c>
      <c r="K24" s="54">
        <f t="shared" si="8"/>
        <v>5439.5999999999995</v>
      </c>
      <c r="L24" s="54">
        <f t="shared" si="8"/>
        <v>27609</v>
      </c>
      <c r="M24" s="54">
        <f t="shared" si="8"/>
        <v>8220.2000000000007</v>
      </c>
      <c r="N24" s="54">
        <f t="shared" si="8"/>
        <v>10327.799999999999</v>
      </c>
      <c r="O24" s="54">
        <f>ROUND(O$15*(1+$B$4+2.9%)/(1+$B$4),1)+O$18</f>
        <v>4189.3</v>
      </c>
      <c r="P24" s="55">
        <f>ROUND(P$15*(1+$B$4+2.9%)/(1+$B$4),1)+P$18</f>
        <v>7431</v>
      </c>
      <c r="Q24" s="6" t="s">
        <v>12</v>
      </c>
      <c r="R24" s="4"/>
    </row>
    <row r="25" spans="1:18" ht="19.899999999999999" customHeight="1" thickBot="1" x14ac:dyDescent="0.25">
      <c r="A25" s="56" t="s">
        <v>30</v>
      </c>
      <c r="B25" s="57">
        <f>ROUND(B$15*(1+$B$4+8.8%)/(1+$B$4),1)+B$18</f>
        <v>168712.9</v>
      </c>
      <c r="C25" s="57">
        <f t="shared" ref="C25:N25" si="9">ROUND(C$15*(1+$B$4+8.8%)/(1+$B$4),1)+C$18</f>
        <v>71194.299999999988</v>
      </c>
      <c r="D25" s="57">
        <f t="shared" si="9"/>
        <v>39661.700000000004</v>
      </c>
      <c r="E25" s="57">
        <f t="shared" si="9"/>
        <v>16649.8</v>
      </c>
      <c r="F25" s="57">
        <f t="shared" si="9"/>
        <v>12752.4</v>
      </c>
      <c r="G25" s="57">
        <f t="shared" si="9"/>
        <v>6335.3</v>
      </c>
      <c r="H25" s="57">
        <f t="shared" si="9"/>
        <v>3145.1</v>
      </c>
      <c r="I25" s="57">
        <f t="shared" si="9"/>
        <v>8805.6</v>
      </c>
      <c r="J25" s="57">
        <f t="shared" si="9"/>
        <v>17037.899999999998</v>
      </c>
      <c r="K25" s="57">
        <f t="shared" si="9"/>
        <v>5707.5</v>
      </c>
      <c r="L25" s="57">
        <f t="shared" si="9"/>
        <v>28939.399999999998</v>
      </c>
      <c r="M25" s="57">
        <f t="shared" si="9"/>
        <v>8623.2000000000007</v>
      </c>
      <c r="N25" s="57">
        <f t="shared" si="9"/>
        <v>10836</v>
      </c>
      <c r="O25" s="57">
        <f>ROUND(O$15*(1+$B$4+8.8%)/(1+$B$4),1)+O$18</f>
        <v>4392.0999999999995</v>
      </c>
      <c r="P25" s="58">
        <f>ROUND(P$15*(1+$B$4+8.8%)/(1+$B$4),1)+P$18</f>
        <v>7794.2</v>
      </c>
      <c r="Q25" s="6" t="s">
        <v>12</v>
      </c>
      <c r="R25" s="4"/>
    </row>
    <row r="26" spans="1:18" ht="19.899999999999999" customHeight="1" x14ac:dyDescent="0.2">
      <c r="A26" s="59" t="s">
        <v>70</v>
      </c>
      <c r="B26" s="60">
        <f>C26+J26+L26+O26+P26</f>
        <v>510</v>
      </c>
      <c r="C26" s="60">
        <f>D26+E26+N26</f>
        <v>510</v>
      </c>
      <c r="D26" s="60">
        <f>39.3+H26</f>
        <v>75</v>
      </c>
      <c r="E26" s="60">
        <f>I26+M26</f>
        <v>435</v>
      </c>
      <c r="F26" s="60">
        <v>0</v>
      </c>
      <c r="G26" s="60">
        <v>0</v>
      </c>
      <c r="H26" s="60">
        <v>35.700000000000003</v>
      </c>
      <c r="I26" s="60">
        <v>195</v>
      </c>
      <c r="J26" s="60">
        <v>0</v>
      </c>
      <c r="K26" s="60">
        <v>0</v>
      </c>
      <c r="L26" s="60">
        <v>0</v>
      </c>
      <c r="M26" s="60">
        <v>240</v>
      </c>
      <c r="N26" s="60">
        <v>0</v>
      </c>
      <c r="O26" s="60">
        <v>0</v>
      </c>
      <c r="P26" s="60">
        <v>0</v>
      </c>
    </row>
    <row r="27" spans="1:18" ht="19.899999999999999" customHeight="1" thickBot="1" x14ac:dyDescent="0.25">
      <c r="A27" s="244" t="s">
        <v>79</v>
      </c>
      <c r="B27" s="244"/>
      <c r="C27" s="244"/>
      <c r="D27" s="244"/>
      <c r="E27" s="244"/>
      <c r="F27" s="244"/>
      <c r="G27" s="244"/>
      <c r="H27" s="244"/>
      <c r="I27" s="244"/>
      <c r="J27" s="244"/>
      <c r="K27" s="244"/>
      <c r="L27" s="244"/>
      <c r="M27" s="244"/>
      <c r="N27" s="244"/>
      <c r="O27" s="244"/>
      <c r="P27" s="244"/>
    </row>
    <row r="28" spans="1:18" ht="19.899999999999999" customHeight="1" x14ac:dyDescent="0.2">
      <c r="A28" s="61" t="s">
        <v>73</v>
      </c>
      <c r="B28" s="62">
        <f>B20</f>
        <v>482.36</v>
      </c>
      <c r="C28" s="62">
        <f t="shared" ref="C28:M28" si="10">C20</f>
        <v>439.04</v>
      </c>
      <c r="D28" s="62">
        <f t="shared" si="10"/>
        <v>470.66</v>
      </c>
      <c r="E28" s="62">
        <f t="shared" si="10"/>
        <v>410.34</v>
      </c>
      <c r="F28" s="62" t="s">
        <v>12</v>
      </c>
      <c r="G28" s="62" t="s">
        <v>12</v>
      </c>
      <c r="H28" s="62">
        <f t="shared" si="10"/>
        <v>450.27</v>
      </c>
      <c r="I28" s="62">
        <f t="shared" si="10"/>
        <v>428.13</v>
      </c>
      <c r="J28" s="62" t="s">
        <v>12</v>
      </c>
      <c r="K28" s="62" t="s">
        <v>12</v>
      </c>
      <c r="L28" s="62" t="s">
        <v>12</v>
      </c>
      <c r="M28" s="62">
        <f t="shared" si="10"/>
        <v>410.34</v>
      </c>
      <c r="N28" s="62" t="s">
        <v>12</v>
      </c>
      <c r="O28" s="62" t="s">
        <v>12</v>
      </c>
      <c r="P28" s="63" t="s">
        <v>12</v>
      </c>
    </row>
    <row r="29" spans="1:18" ht="19.899999999999999" customHeight="1" x14ac:dyDescent="0.2">
      <c r="A29" s="64" t="s">
        <v>72</v>
      </c>
      <c r="B29" s="65">
        <f>B21</f>
        <v>241.18</v>
      </c>
      <c r="C29" s="65">
        <f t="shared" ref="C29:M29" si="11">C21</f>
        <v>219.52</v>
      </c>
      <c r="D29" s="65">
        <f t="shared" si="11"/>
        <v>235.33</v>
      </c>
      <c r="E29" s="65">
        <f t="shared" si="11"/>
        <v>198.66</v>
      </c>
      <c r="F29" s="65" t="s">
        <v>12</v>
      </c>
      <c r="G29" s="65" t="s">
        <v>12</v>
      </c>
      <c r="H29" s="65">
        <f t="shared" si="11"/>
        <v>225.14</v>
      </c>
      <c r="I29" s="65">
        <f t="shared" si="11"/>
        <v>214.07</v>
      </c>
      <c r="J29" s="65" t="s">
        <v>12</v>
      </c>
      <c r="K29" s="65" t="s">
        <v>12</v>
      </c>
      <c r="L29" s="65" t="s">
        <v>12</v>
      </c>
      <c r="M29" s="65">
        <f t="shared" si="11"/>
        <v>183.25</v>
      </c>
      <c r="N29" s="65" t="s">
        <v>12</v>
      </c>
      <c r="O29" s="65" t="s">
        <v>12</v>
      </c>
      <c r="P29" s="66" t="s">
        <v>12</v>
      </c>
    </row>
    <row r="30" spans="1:18" ht="19.899999999999999" customHeight="1" x14ac:dyDescent="0.2">
      <c r="A30" s="64" t="s">
        <v>75</v>
      </c>
      <c r="B30" s="65">
        <v>0.01</v>
      </c>
      <c r="C30" s="65">
        <v>0.01</v>
      </c>
      <c r="D30" s="65">
        <v>0.01</v>
      </c>
      <c r="E30" s="65">
        <v>0.01</v>
      </c>
      <c r="F30" s="65" t="s">
        <v>12</v>
      </c>
      <c r="G30" s="65" t="s">
        <v>12</v>
      </c>
      <c r="H30" s="65">
        <v>0.01</v>
      </c>
      <c r="I30" s="65">
        <v>0.01</v>
      </c>
      <c r="J30" s="65" t="s">
        <v>12</v>
      </c>
      <c r="K30" s="65" t="s">
        <v>12</v>
      </c>
      <c r="L30" s="65" t="s">
        <v>12</v>
      </c>
      <c r="M30" s="65">
        <v>0.01</v>
      </c>
      <c r="N30" s="65" t="s">
        <v>12</v>
      </c>
      <c r="O30" s="65" t="s">
        <v>12</v>
      </c>
      <c r="P30" s="66" t="s">
        <v>12</v>
      </c>
    </row>
    <row r="31" spans="1:18" ht="19.899999999999999" customHeight="1" x14ac:dyDescent="0.2">
      <c r="A31" s="64" t="s">
        <v>76</v>
      </c>
      <c r="B31" s="65">
        <v>0.01</v>
      </c>
      <c r="C31" s="65">
        <v>0.01</v>
      </c>
      <c r="D31" s="65">
        <v>0.01</v>
      </c>
      <c r="E31" s="65">
        <v>0.01</v>
      </c>
      <c r="F31" s="65" t="s">
        <v>12</v>
      </c>
      <c r="G31" s="65" t="s">
        <v>12</v>
      </c>
      <c r="H31" s="65">
        <v>0.01</v>
      </c>
      <c r="I31" s="65">
        <v>0.01</v>
      </c>
      <c r="J31" s="65" t="s">
        <v>12</v>
      </c>
      <c r="K31" s="65" t="s">
        <v>12</v>
      </c>
      <c r="L31" s="65" t="s">
        <v>12</v>
      </c>
      <c r="M31" s="65">
        <v>0.01</v>
      </c>
      <c r="N31" s="65" t="s">
        <v>12</v>
      </c>
      <c r="O31" s="65" t="s">
        <v>12</v>
      </c>
      <c r="P31" s="66" t="s">
        <v>12</v>
      </c>
    </row>
    <row r="32" spans="1:18" ht="19.899999999999999" customHeight="1" thickBot="1" x14ac:dyDescent="0.25">
      <c r="A32" s="67" t="s">
        <v>27</v>
      </c>
      <c r="B32" s="68">
        <f>B22</f>
        <v>0</v>
      </c>
      <c r="C32" s="68">
        <f t="shared" ref="C32:M32" si="12">C22</f>
        <v>0</v>
      </c>
      <c r="D32" s="68">
        <f t="shared" si="12"/>
        <v>0</v>
      </c>
      <c r="E32" s="68">
        <f t="shared" si="12"/>
        <v>0</v>
      </c>
      <c r="F32" s="68" t="s">
        <v>12</v>
      </c>
      <c r="G32" s="68" t="s">
        <v>12</v>
      </c>
      <c r="H32" s="68">
        <f t="shared" si="12"/>
        <v>0</v>
      </c>
      <c r="I32" s="68">
        <f t="shared" si="12"/>
        <v>0</v>
      </c>
      <c r="J32" s="68" t="s">
        <v>12</v>
      </c>
      <c r="K32" s="68" t="s">
        <v>12</v>
      </c>
      <c r="L32" s="68" t="s">
        <v>12</v>
      </c>
      <c r="M32" s="68">
        <f t="shared" si="12"/>
        <v>0</v>
      </c>
      <c r="N32" s="68" t="s">
        <v>12</v>
      </c>
      <c r="O32" s="68" t="s">
        <v>12</v>
      </c>
      <c r="P32" s="69" t="s">
        <v>12</v>
      </c>
    </row>
    <row r="33" spans="1:18" ht="19.899999999999999" customHeight="1" x14ac:dyDescent="0.2">
      <c r="A33" s="70" t="s">
        <v>74</v>
      </c>
      <c r="B33" s="71">
        <f>ROUND(B23-B$26*$B$6,1)</f>
        <v>156253.4</v>
      </c>
      <c r="C33" s="71">
        <f t="shared" ref="C33:I33" si="13">ROUND(C23-C$26*$B$6,1)</f>
        <v>65593</v>
      </c>
      <c r="D33" s="71">
        <f t="shared" si="13"/>
        <v>36782.5</v>
      </c>
      <c r="E33" s="71">
        <f>ROUND(E23-E$26*$B$6,1)</f>
        <v>14989.7</v>
      </c>
      <c r="F33" s="71" t="s">
        <v>12</v>
      </c>
      <c r="G33" s="71" t="s">
        <v>12</v>
      </c>
      <c r="H33" s="71">
        <f t="shared" si="13"/>
        <v>2880.3</v>
      </c>
      <c r="I33" s="71">
        <f t="shared" si="13"/>
        <v>7965.7</v>
      </c>
      <c r="J33" s="71" t="s">
        <v>12</v>
      </c>
      <c r="K33" s="71" t="s">
        <v>12</v>
      </c>
      <c r="L33" s="71" t="s">
        <v>12</v>
      </c>
      <c r="M33" s="71">
        <f>ROUND(M23-M$26*$B$6,1)</f>
        <v>7746.8</v>
      </c>
      <c r="N33" s="71" t="s">
        <v>12</v>
      </c>
      <c r="O33" s="71" t="s">
        <v>12</v>
      </c>
      <c r="P33" s="71" t="s">
        <v>12</v>
      </c>
    </row>
    <row r="34" spans="1:18" ht="19.899999999999999" customHeight="1" x14ac:dyDescent="0.2">
      <c r="A34" s="72" t="s">
        <v>71</v>
      </c>
      <c r="B34" s="73">
        <f>ROUND(B24-B$26*$B$6,1)</f>
        <v>160353.5</v>
      </c>
      <c r="C34" s="73">
        <f t="shared" ref="C34:I34" si="14">ROUND(C24-C$26*$B$6,1)</f>
        <v>67330.899999999994</v>
      </c>
      <c r="D34" s="73">
        <f t="shared" si="14"/>
        <v>37746.1</v>
      </c>
      <c r="E34" s="73">
        <f>ROUND(E24-E$26*$B$6,1)</f>
        <v>15398.2</v>
      </c>
      <c r="F34" s="73" t="s">
        <v>12</v>
      </c>
      <c r="G34" s="73" t="s">
        <v>12</v>
      </c>
      <c r="H34" s="73">
        <f t="shared" si="14"/>
        <v>2958.1</v>
      </c>
      <c r="I34" s="73">
        <f t="shared" si="14"/>
        <v>8181.8</v>
      </c>
      <c r="J34" s="73" t="s">
        <v>12</v>
      </c>
      <c r="K34" s="73" t="s">
        <v>12</v>
      </c>
      <c r="L34" s="73" t="s">
        <v>12</v>
      </c>
      <c r="M34" s="73">
        <f>ROUND(M24-M$26*$B$6,1)</f>
        <v>7958.6</v>
      </c>
      <c r="N34" s="73" t="s">
        <v>12</v>
      </c>
      <c r="O34" s="73" t="s">
        <v>12</v>
      </c>
      <c r="P34" s="73" t="s">
        <v>12</v>
      </c>
    </row>
    <row r="35" spans="1:18" ht="19.899999999999999" customHeight="1" x14ac:dyDescent="0.2">
      <c r="A35" s="72" t="s">
        <v>77</v>
      </c>
      <c r="B35" s="73">
        <f>ROUND(B36-B$26*$B$6,1)</f>
        <v>168156.79999999999</v>
      </c>
      <c r="C35" s="73">
        <f t="shared" ref="C35:I35" si="15">ROUND(C36-C$26*$B$6,1)</f>
        <v>70638.3</v>
      </c>
      <c r="D35" s="73">
        <f t="shared" si="15"/>
        <v>39579.9</v>
      </c>
      <c r="E35" s="73">
        <f>ROUND(E36-E$26*$B$6,1)</f>
        <v>16175.7</v>
      </c>
      <c r="F35" s="73" t="s">
        <v>12</v>
      </c>
      <c r="G35" s="73" t="s">
        <v>12</v>
      </c>
      <c r="H35" s="73">
        <f t="shared" si="15"/>
        <v>3106.2</v>
      </c>
      <c r="I35" s="73">
        <f t="shared" si="15"/>
        <v>8593.1</v>
      </c>
      <c r="J35" s="73" t="s">
        <v>12</v>
      </c>
      <c r="K35" s="73" t="s">
        <v>12</v>
      </c>
      <c r="L35" s="73" t="s">
        <v>12</v>
      </c>
      <c r="M35" s="73">
        <f>ROUND(M36-M$26*$B$6,1)</f>
        <v>8361.6</v>
      </c>
      <c r="N35" s="73" t="s">
        <v>12</v>
      </c>
      <c r="O35" s="73" t="s">
        <v>12</v>
      </c>
      <c r="P35" s="73" t="s">
        <v>12</v>
      </c>
    </row>
    <row r="36" spans="1:18" ht="19.899999999999999" customHeight="1" x14ac:dyDescent="0.2">
      <c r="A36" s="72" t="s">
        <v>78</v>
      </c>
      <c r="B36" s="73">
        <f>ROUND(B25-B31*(B25-B24)/B21,1)</f>
        <v>168712.6</v>
      </c>
      <c r="C36" s="73">
        <f t="shared" ref="C36:M36" si="16">ROUND(C25-C31*(C25-C24)/C21,1)</f>
        <v>71194.100000000006</v>
      </c>
      <c r="D36" s="73">
        <f t="shared" si="16"/>
        <v>39661.599999999999</v>
      </c>
      <c r="E36" s="73">
        <f t="shared" si="16"/>
        <v>16649.8</v>
      </c>
      <c r="F36" s="73" t="s">
        <v>12</v>
      </c>
      <c r="G36" s="73" t="s">
        <v>12</v>
      </c>
      <c r="H36" s="73">
        <f t="shared" si="16"/>
        <v>3145.1</v>
      </c>
      <c r="I36" s="73">
        <f t="shared" si="16"/>
        <v>8805.6</v>
      </c>
      <c r="J36" s="73" t="s">
        <v>12</v>
      </c>
      <c r="K36" s="73" t="s">
        <v>12</v>
      </c>
      <c r="L36" s="73" t="s">
        <v>12</v>
      </c>
      <c r="M36" s="73">
        <f t="shared" si="16"/>
        <v>8623.2000000000007</v>
      </c>
      <c r="N36" s="73" t="s">
        <v>12</v>
      </c>
      <c r="O36" s="73" t="s">
        <v>12</v>
      </c>
      <c r="P36" s="73" t="s">
        <v>12</v>
      </c>
    </row>
    <row r="37" spans="1:18" ht="19.899999999999999" customHeight="1" thickBot="1" x14ac:dyDescent="0.25">
      <c r="A37" s="74" t="s">
        <v>30</v>
      </c>
      <c r="B37" s="75">
        <f>B25</f>
        <v>168712.9</v>
      </c>
      <c r="C37" s="75">
        <f t="shared" ref="C37:M37" si="17">C25</f>
        <v>71194.299999999988</v>
      </c>
      <c r="D37" s="75">
        <f t="shared" si="17"/>
        <v>39661.700000000004</v>
      </c>
      <c r="E37" s="75">
        <f t="shared" si="17"/>
        <v>16649.8</v>
      </c>
      <c r="F37" s="75" t="s">
        <v>12</v>
      </c>
      <c r="G37" s="75" t="s">
        <v>12</v>
      </c>
      <c r="H37" s="75">
        <f t="shared" si="17"/>
        <v>3145.1</v>
      </c>
      <c r="I37" s="75">
        <f t="shared" si="17"/>
        <v>8805.6</v>
      </c>
      <c r="J37" s="75" t="s">
        <v>12</v>
      </c>
      <c r="K37" s="75" t="s">
        <v>12</v>
      </c>
      <c r="L37" s="75" t="s">
        <v>12</v>
      </c>
      <c r="M37" s="75">
        <f t="shared" si="17"/>
        <v>8623.2000000000007</v>
      </c>
      <c r="N37" s="75" t="s">
        <v>12</v>
      </c>
      <c r="O37" s="75" t="s">
        <v>12</v>
      </c>
      <c r="P37" s="75" t="s">
        <v>12</v>
      </c>
    </row>
    <row r="38" spans="1:18" ht="19.899999999999999" customHeight="1" x14ac:dyDescent="0.2">
      <c r="A38" s="76" t="s">
        <v>80</v>
      </c>
      <c r="B38" s="77">
        <f>ROUND(MAX(B$17*0.5, 20)*365,2)</f>
        <v>58686.53</v>
      </c>
      <c r="C38" s="77">
        <f t="shared" ref="C38:M38" si="18">ROUND(MAX(C$17*0.5, 20)*365,2)</f>
        <v>53415.93</v>
      </c>
      <c r="D38" s="77">
        <f t="shared" si="18"/>
        <v>57263.03</v>
      </c>
      <c r="E38" s="77">
        <f t="shared" si="18"/>
        <v>48340.6</v>
      </c>
      <c r="F38" s="77">
        <f t="shared" si="18"/>
        <v>60336.33</v>
      </c>
      <c r="G38" s="77">
        <f t="shared" si="18"/>
        <v>60336.33</v>
      </c>
      <c r="H38" s="77">
        <f t="shared" si="18"/>
        <v>54782.85</v>
      </c>
      <c r="I38" s="77">
        <f t="shared" si="18"/>
        <v>52089.15</v>
      </c>
      <c r="J38" s="77">
        <f t="shared" si="18"/>
        <v>56003.78</v>
      </c>
      <c r="K38" s="77">
        <f t="shared" si="18"/>
        <v>56003.78</v>
      </c>
      <c r="L38" s="77">
        <f t="shared" si="18"/>
        <v>62845.7</v>
      </c>
      <c r="M38" s="77">
        <f t="shared" si="18"/>
        <v>44590.23</v>
      </c>
      <c r="N38" s="77">
        <f>ROUND(MAX(N$17*0.5, 20)*365,2)</f>
        <v>54881.4</v>
      </c>
      <c r="O38" s="77">
        <f>ROUND(MAX(O$17*0.5, 20)*365,2)</f>
        <v>57042.2</v>
      </c>
      <c r="P38" s="77">
        <f>ROUND(MAX(P$17*0.5, 20)*365,2)</f>
        <v>57086</v>
      </c>
    </row>
    <row r="39" spans="1:18" ht="19.899999999999999" customHeight="1" x14ac:dyDescent="0.2">
      <c r="A39" s="31" t="s">
        <v>49</v>
      </c>
      <c r="B39" s="78" t="s">
        <v>24</v>
      </c>
      <c r="C39" s="79">
        <v>1557</v>
      </c>
      <c r="D39" s="79">
        <v>40</v>
      </c>
      <c r="E39" s="79" t="s">
        <v>24</v>
      </c>
      <c r="F39" s="79">
        <v>41</v>
      </c>
      <c r="G39" s="79">
        <v>21</v>
      </c>
      <c r="H39" s="79">
        <v>72</v>
      </c>
      <c r="I39" s="79" t="s">
        <v>24</v>
      </c>
      <c r="J39" s="79" t="s">
        <v>24</v>
      </c>
      <c r="K39" s="79" t="s">
        <v>24</v>
      </c>
      <c r="L39" s="80">
        <v>1097</v>
      </c>
      <c r="M39" s="79">
        <v>65.7</v>
      </c>
      <c r="N39" s="79" t="s">
        <v>24</v>
      </c>
      <c r="O39" s="79" t="s">
        <v>24</v>
      </c>
      <c r="P39" s="79">
        <v>155</v>
      </c>
      <c r="Q39" s="8" t="s">
        <v>12</v>
      </c>
      <c r="R39" s="4"/>
    </row>
    <row r="40" spans="1:18" ht="19.899999999999999" customHeight="1" x14ac:dyDescent="0.2">
      <c r="A40" s="245" t="s">
        <v>62</v>
      </c>
      <c r="B40" s="245"/>
      <c r="C40" s="245"/>
      <c r="D40" s="245"/>
      <c r="E40" s="245"/>
      <c r="F40" s="245"/>
      <c r="G40" s="245"/>
      <c r="H40" s="245"/>
      <c r="I40" s="245"/>
      <c r="J40" s="245"/>
      <c r="K40" s="245"/>
      <c r="L40" s="245"/>
      <c r="M40" s="245"/>
      <c r="N40" s="245"/>
      <c r="O40" s="245"/>
      <c r="P40" s="245"/>
    </row>
    <row r="41" spans="1:18" ht="19.899999999999999" customHeight="1" x14ac:dyDescent="0.2">
      <c r="A41" s="31" t="s">
        <v>81</v>
      </c>
      <c r="B41" s="78" t="s">
        <v>24</v>
      </c>
      <c r="C41" s="81">
        <v>1</v>
      </c>
      <c r="D41" s="81">
        <f>ROUND((D12-D11)/(F69*$B$6),3)</f>
        <v>0.83199999999999996</v>
      </c>
      <c r="E41" s="81">
        <f>ROUND((E12-E11)/(F70*$B$6),3)</f>
        <v>0.45400000000000001</v>
      </c>
      <c r="F41" s="81" t="s">
        <v>24</v>
      </c>
      <c r="G41" s="78" t="s">
        <v>24</v>
      </c>
      <c r="H41" s="78" t="s">
        <v>24</v>
      </c>
      <c r="I41" s="78" t="s">
        <v>24</v>
      </c>
      <c r="J41" s="78" t="s">
        <v>24</v>
      </c>
      <c r="K41" s="78" t="s">
        <v>24</v>
      </c>
      <c r="L41" s="81">
        <f>ROUND((L12-L11)/(F52*$B$6),3)</f>
        <v>0.878</v>
      </c>
      <c r="M41" s="81">
        <f>ROUND((M12-M11)/(F51*$B$6),3)</f>
        <v>0.27400000000000002</v>
      </c>
      <c r="N41" s="78" t="s">
        <v>24</v>
      </c>
      <c r="O41" s="78" t="s">
        <v>24</v>
      </c>
      <c r="P41" s="81">
        <f>ROUND((P12-P11)/(F54*$B$6),3)</f>
        <v>0.44700000000000001</v>
      </c>
    </row>
    <row r="42" spans="1:18" ht="24.95" customHeight="1" x14ac:dyDescent="0.25">
      <c r="A42" s="82" t="s">
        <v>12</v>
      </c>
      <c r="B42" s="83"/>
      <c r="C42" s="83"/>
      <c r="D42" s="83"/>
      <c r="E42" s="83"/>
      <c r="F42" s="83"/>
      <c r="G42" s="84"/>
      <c r="H42" s="84"/>
      <c r="I42" s="84"/>
      <c r="J42" s="84"/>
      <c r="K42" s="84"/>
      <c r="L42" s="84"/>
      <c r="M42" s="84"/>
      <c r="N42" s="84"/>
      <c r="O42" s="112"/>
      <c r="P42" s="112"/>
    </row>
    <row r="43" spans="1:18" ht="18" customHeight="1" x14ac:dyDescent="0.25">
      <c r="A43" s="259" t="s">
        <v>65</v>
      </c>
      <c r="B43" s="259"/>
      <c r="C43" s="259"/>
      <c r="D43" s="259"/>
      <c r="E43" s="259"/>
      <c r="F43" s="259"/>
      <c r="G43" s="259"/>
      <c r="H43" s="259"/>
      <c r="I43" s="259"/>
      <c r="J43" s="115" t="s">
        <v>12</v>
      </c>
      <c r="K43" s="112" t="s">
        <v>12</v>
      </c>
      <c r="L43" s="112"/>
      <c r="M43" s="97" t="s">
        <v>12</v>
      </c>
      <c r="N43" s="112"/>
      <c r="O43" s="112"/>
      <c r="P43" s="112"/>
      <c r="Q43" s="5" t="s">
        <v>12</v>
      </c>
    </row>
    <row r="44" spans="1:18" s="3" customFormat="1" ht="84.95" customHeight="1" x14ac:dyDescent="0.25">
      <c r="A44" s="85" t="s">
        <v>39</v>
      </c>
      <c r="B44" s="86" t="s">
        <v>9</v>
      </c>
      <c r="C44" s="87" t="s">
        <v>11</v>
      </c>
      <c r="D44" s="87" t="s">
        <v>60</v>
      </c>
      <c r="E44" s="86" t="s">
        <v>86</v>
      </c>
      <c r="F44" s="86" t="s">
        <v>31</v>
      </c>
      <c r="G44" s="86" t="s">
        <v>32</v>
      </c>
      <c r="H44" s="86" t="s">
        <v>51</v>
      </c>
      <c r="I44" s="86" t="s">
        <v>66</v>
      </c>
      <c r="J44" s="116" t="s">
        <v>12</v>
      </c>
      <c r="K44" s="117" t="s">
        <v>12</v>
      </c>
      <c r="L44" s="118"/>
      <c r="M44" s="119" t="s">
        <v>12</v>
      </c>
      <c r="N44" s="118"/>
      <c r="O44" s="118"/>
      <c r="P44" s="118"/>
    </row>
    <row r="45" spans="1:18" s="3" customFormat="1" ht="19.899999999999999" customHeight="1" x14ac:dyDescent="0.25">
      <c r="A45" s="88" t="s">
        <v>13</v>
      </c>
      <c r="B45" s="88" t="s">
        <v>24</v>
      </c>
      <c r="C45" s="34" t="s">
        <v>24</v>
      </c>
      <c r="D45" s="89" t="s">
        <v>24</v>
      </c>
      <c r="E45" s="41">
        <f>E46+E47+E48+E49+E51+E52+E53+E54+E55+E56+E57+E59+E60+E61+E62+E63+E64+E65+E66+E68</f>
        <v>146876.5</v>
      </c>
      <c r="F45" s="41">
        <f>F46+F47+F48+F49+F51+F52+F53+F54+F55+F56+F57+F59+F60+F61+F62+F63+F64+F65+F66+F68</f>
        <v>152647.4</v>
      </c>
      <c r="G45" s="90" t="s">
        <v>24</v>
      </c>
      <c r="H45" s="41">
        <f>H46+H47+H48+H49+H51+H52+H53+H54+H55+H56+H57+H59+H60+H61+H62+H63+H64+H65+H66+H68</f>
        <v>12107.099999999999</v>
      </c>
      <c r="I45" s="41">
        <f>I46+I47+I48+I49+I51+I52+I53+I54+I55+I56+I57+I59+I60+I61+I62+I63+I64+I65+I66+I68</f>
        <v>140540.29999999999</v>
      </c>
      <c r="J45" s="120" t="s">
        <v>12</v>
      </c>
      <c r="K45" s="118"/>
      <c r="L45" s="118"/>
      <c r="M45" s="121" t="s">
        <v>12</v>
      </c>
      <c r="N45" s="118"/>
      <c r="O45" s="118"/>
      <c r="P45" s="118"/>
    </row>
    <row r="46" spans="1:18" s="2" customFormat="1" ht="19.899999999999999" customHeight="1" x14ac:dyDescent="0.25">
      <c r="A46" s="91" t="s">
        <v>2</v>
      </c>
      <c r="B46" s="92">
        <v>800</v>
      </c>
      <c r="C46" s="92" t="s">
        <v>104</v>
      </c>
      <c r="D46" s="93" t="s">
        <v>48</v>
      </c>
      <c r="E46" s="38">
        <v>2350</v>
      </c>
      <c r="F46" s="38">
        <v>2308</v>
      </c>
      <c r="G46" s="94">
        <f>F46/E46</f>
        <v>0.98212765957446813</v>
      </c>
      <c r="H46" s="32">
        <v>0</v>
      </c>
      <c r="I46" s="38">
        <f t="shared" ref="I46:I68" si="19">F46-H46</f>
        <v>2308</v>
      </c>
      <c r="J46" s="122" t="s">
        <v>12</v>
      </c>
      <c r="K46" s="123" t="s">
        <v>12</v>
      </c>
      <c r="L46" s="95"/>
      <c r="M46" s="108" t="s">
        <v>12</v>
      </c>
      <c r="N46" s="95"/>
      <c r="O46" s="95"/>
      <c r="P46" s="95"/>
    </row>
    <row r="47" spans="1:18" s="2" customFormat="1" ht="19.899999999999999" customHeight="1" x14ac:dyDescent="0.25">
      <c r="A47" s="96" t="s">
        <v>52</v>
      </c>
      <c r="B47" s="35">
        <v>-580</v>
      </c>
      <c r="C47" s="35" t="s">
        <v>59</v>
      </c>
      <c r="D47" s="93" t="s">
        <v>59</v>
      </c>
      <c r="E47" s="93">
        <v>21940</v>
      </c>
      <c r="F47" s="93">
        <v>22124</v>
      </c>
      <c r="G47" s="94">
        <f t="shared" ref="G47:G57" si="20">F47/E47</f>
        <v>1.0083865086599817</v>
      </c>
      <c r="H47" s="32">
        <v>11209.3</v>
      </c>
      <c r="I47" s="38">
        <f t="shared" si="19"/>
        <v>10914.7</v>
      </c>
      <c r="J47" s="122" t="s">
        <v>12</v>
      </c>
      <c r="K47" s="123" t="s">
        <v>12</v>
      </c>
      <c r="L47" s="95"/>
      <c r="M47" s="108" t="s">
        <v>12</v>
      </c>
      <c r="N47" s="95"/>
      <c r="O47" s="95"/>
      <c r="P47" s="95"/>
    </row>
    <row r="48" spans="1:18" s="2" customFormat="1" ht="19.899999999999999" customHeight="1" x14ac:dyDescent="0.25">
      <c r="A48" s="96" t="s">
        <v>0</v>
      </c>
      <c r="B48" s="92">
        <v>2410</v>
      </c>
      <c r="C48" s="92" t="s">
        <v>105</v>
      </c>
      <c r="D48" s="93" t="s">
        <v>48</v>
      </c>
      <c r="E48" s="93">
        <v>8260</v>
      </c>
      <c r="F48" s="93">
        <v>8862</v>
      </c>
      <c r="G48" s="94">
        <f t="shared" si="20"/>
        <v>1.0728813559322035</v>
      </c>
      <c r="H48" s="32">
        <v>0</v>
      </c>
      <c r="I48" s="38">
        <f t="shared" si="19"/>
        <v>8862</v>
      </c>
      <c r="J48" s="122" t="s">
        <v>12</v>
      </c>
      <c r="K48" s="124" t="s">
        <v>12</v>
      </c>
      <c r="L48" s="97"/>
      <c r="M48" s="108" t="s">
        <v>12</v>
      </c>
      <c r="N48" s="95"/>
      <c r="O48" s="95"/>
      <c r="P48" s="95"/>
    </row>
    <row r="49" spans="1:16" s="2" customFormat="1" ht="19.899999999999999" customHeight="1" x14ac:dyDescent="0.25">
      <c r="A49" s="96" t="s">
        <v>50</v>
      </c>
      <c r="B49" s="92">
        <v>6020</v>
      </c>
      <c r="C49" s="98">
        <v>8439</v>
      </c>
      <c r="D49" s="99">
        <f>C49/B49</f>
        <v>1.401827242524917</v>
      </c>
      <c r="E49" s="93">
        <v>12070</v>
      </c>
      <c r="F49" s="93">
        <v>12424</v>
      </c>
      <c r="G49" s="94">
        <f t="shared" si="20"/>
        <v>1.0293289146644573</v>
      </c>
      <c r="H49" s="32">
        <v>0</v>
      </c>
      <c r="I49" s="38">
        <f t="shared" si="19"/>
        <v>12424</v>
      </c>
      <c r="J49" s="122" t="s">
        <v>12</v>
      </c>
      <c r="K49" s="123" t="s">
        <v>12</v>
      </c>
      <c r="L49" s="95"/>
      <c r="M49" s="108" t="s">
        <v>12</v>
      </c>
      <c r="N49" s="95"/>
      <c r="O49" s="95"/>
      <c r="P49" s="95"/>
    </row>
    <row r="50" spans="1:16" s="2" customFormat="1" ht="19.899999999999999" customHeight="1" x14ac:dyDescent="0.25">
      <c r="A50" s="96" t="s">
        <v>56</v>
      </c>
      <c r="B50" s="92">
        <v>4100</v>
      </c>
      <c r="C50" s="98">
        <v>5256</v>
      </c>
      <c r="D50" s="99">
        <f>C50/B50</f>
        <v>1.2819512195121952</v>
      </c>
      <c r="E50" s="93" t="s">
        <v>24</v>
      </c>
      <c r="F50" s="93">
        <v>4200.6000000000004</v>
      </c>
      <c r="G50" s="94" t="s">
        <v>24</v>
      </c>
      <c r="H50" s="32">
        <v>0</v>
      </c>
      <c r="I50" s="38">
        <f t="shared" si="19"/>
        <v>4200.6000000000004</v>
      </c>
      <c r="J50" s="122" t="s">
        <v>12</v>
      </c>
      <c r="K50" s="123" t="s">
        <v>12</v>
      </c>
      <c r="L50" s="95"/>
      <c r="M50" s="108" t="s">
        <v>12</v>
      </c>
      <c r="N50" s="95"/>
      <c r="O50" s="95"/>
      <c r="P50" s="95"/>
    </row>
    <row r="51" spans="1:16" s="2" customFormat="1" ht="19.899999999999999" customHeight="1" x14ac:dyDescent="0.25">
      <c r="A51" s="91" t="s">
        <v>3</v>
      </c>
      <c r="B51" s="35">
        <v>4470</v>
      </c>
      <c r="C51" s="100">
        <v>6005</v>
      </c>
      <c r="D51" s="99">
        <f>C51/B51</f>
        <v>1.3434004474272931</v>
      </c>
      <c r="E51" s="38">
        <v>6100</v>
      </c>
      <c r="F51" s="38">
        <v>6386</v>
      </c>
      <c r="G51" s="94">
        <f t="shared" si="20"/>
        <v>1.0468852459016393</v>
      </c>
      <c r="H51" s="32">
        <v>0</v>
      </c>
      <c r="I51" s="38">
        <f t="shared" si="19"/>
        <v>6386</v>
      </c>
      <c r="J51" s="122" t="s">
        <v>12</v>
      </c>
      <c r="K51" s="123" t="s">
        <v>12</v>
      </c>
      <c r="L51" s="95"/>
      <c r="M51" s="108" t="s">
        <v>12</v>
      </c>
      <c r="N51" s="95"/>
      <c r="O51" s="95"/>
      <c r="P51" s="95"/>
    </row>
    <row r="52" spans="1:16" s="2" customFormat="1" ht="19.899999999999999" customHeight="1" x14ac:dyDescent="0.25">
      <c r="A52" s="91" t="s">
        <v>18</v>
      </c>
      <c r="B52" s="35">
        <v>-640</v>
      </c>
      <c r="C52" s="100">
        <v>5574</v>
      </c>
      <c r="D52" s="99" t="s">
        <v>59</v>
      </c>
      <c r="E52" s="38">
        <v>19640</v>
      </c>
      <c r="F52" s="38">
        <v>21458</v>
      </c>
      <c r="G52" s="94">
        <f t="shared" si="20"/>
        <v>1.0925661914460285</v>
      </c>
      <c r="H52" s="32">
        <v>0</v>
      </c>
      <c r="I52" s="38">
        <f t="shared" si="19"/>
        <v>21458</v>
      </c>
      <c r="J52" s="122" t="s">
        <v>12</v>
      </c>
      <c r="K52" s="123" t="s">
        <v>68</v>
      </c>
      <c r="L52" s="95"/>
      <c r="M52" s="108" t="s">
        <v>12</v>
      </c>
      <c r="N52" s="95"/>
      <c r="O52" s="95"/>
      <c r="P52" s="95"/>
    </row>
    <row r="53" spans="1:16" s="2" customFormat="1" ht="19.899999999999999" customHeight="1" x14ac:dyDescent="0.25">
      <c r="A53" s="91" t="s">
        <v>19</v>
      </c>
      <c r="B53" s="35">
        <v>2480</v>
      </c>
      <c r="C53" s="101">
        <v>3502</v>
      </c>
      <c r="D53" s="99">
        <f t="shared" ref="D53:D54" si="21">C53/B53</f>
        <v>1.4120967741935484</v>
      </c>
      <c r="E53" s="38">
        <v>3210</v>
      </c>
      <c r="F53" s="38">
        <v>3252</v>
      </c>
      <c r="G53" s="94">
        <f t="shared" si="20"/>
        <v>1.0130841121495326</v>
      </c>
      <c r="H53" s="32">
        <v>0</v>
      </c>
      <c r="I53" s="38">
        <f t="shared" si="19"/>
        <v>3252</v>
      </c>
      <c r="J53" s="122" t="s">
        <v>12</v>
      </c>
      <c r="K53" s="123" t="s">
        <v>12</v>
      </c>
      <c r="L53" s="95"/>
      <c r="M53" s="108" t="s">
        <v>12</v>
      </c>
      <c r="N53" s="95"/>
      <c r="O53" s="95"/>
      <c r="P53" s="95"/>
    </row>
    <row r="54" spans="1:16" s="2" customFormat="1" ht="19.899999999999999" customHeight="1" x14ac:dyDescent="0.25">
      <c r="A54" s="91" t="s">
        <v>53</v>
      </c>
      <c r="B54" s="35">
        <v>3110</v>
      </c>
      <c r="C54" s="101">
        <v>4959</v>
      </c>
      <c r="D54" s="99">
        <f t="shared" si="21"/>
        <v>1.5945337620578779</v>
      </c>
      <c r="E54" s="38">
        <v>4970</v>
      </c>
      <c r="F54" s="38">
        <v>5336</v>
      </c>
      <c r="G54" s="94">
        <f>F54/E54</f>
        <v>1.0736418511066399</v>
      </c>
      <c r="H54" s="32">
        <v>878.5</v>
      </c>
      <c r="I54" s="38">
        <f t="shared" si="19"/>
        <v>4457.5</v>
      </c>
      <c r="J54" s="122" t="s">
        <v>12</v>
      </c>
      <c r="K54" s="123" t="s">
        <v>12</v>
      </c>
      <c r="L54" s="95"/>
      <c r="M54" s="108" t="s">
        <v>12</v>
      </c>
      <c r="N54" s="95"/>
      <c r="O54" s="95"/>
      <c r="P54" s="95"/>
    </row>
    <row r="55" spans="1:16" s="2" customFormat="1" ht="19.899999999999999" customHeight="1" x14ac:dyDescent="0.25">
      <c r="A55" s="91" t="s">
        <v>4</v>
      </c>
      <c r="B55" s="92">
        <v>2610</v>
      </c>
      <c r="C55" s="92" t="s">
        <v>106</v>
      </c>
      <c r="D55" s="93" t="s">
        <v>48</v>
      </c>
      <c r="E55" s="38">
        <v>2620</v>
      </c>
      <c r="F55" s="38">
        <v>2744</v>
      </c>
      <c r="G55" s="94">
        <f t="shared" si="20"/>
        <v>1.0473282442748091</v>
      </c>
      <c r="H55" s="32">
        <v>0</v>
      </c>
      <c r="I55" s="38">
        <f t="shared" si="19"/>
        <v>2744</v>
      </c>
      <c r="J55" s="122" t="s">
        <v>12</v>
      </c>
      <c r="K55" s="123" t="s">
        <v>12</v>
      </c>
      <c r="L55" s="95"/>
      <c r="M55" s="108" t="s">
        <v>12</v>
      </c>
      <c r="N55" s="95"/>
      <c r="O55" s="95"/>
      <c r="P55" s="95"/>
    </row>
    <row r="56" spans="1:16" s="2" customFormat="1" ht="19.899999999999999" customHeight="1" x14ac:dyDescent="0.25">
      <c r="A56" s="91" t="s">
        <v>20</v>
      </c>
      <c r="B56" s="92">
        <v>-1780</v>
      </c>
      <c r="C56" s="35" t="s">
        <v>59</v>
      </c>
      <c r="D56" s="93" t="s">
        <v>59</v>
      </c>
      <c r="E56" s="38">
        <v>18330</v>
      </c>
      <c r="F56" s="38">
        <v>19330</v>
      </c>
      <c r="G56" s="94">
        <f t="shared" si="20"/>
        <v>1.0545553737043099</v>
      </c>
      <c r="H56" s="32">
        <v>0</v>
      </c>
      <c r="I56" s="38">
        <f t="shared" si="19"/>
        <v>19330</v>
      </c>
      <c r="J56" s="122" t="s">
        <v>12</v>
      </c>
      <c r="K56" s="123" t="s">
        <v>12</v>
      </c>
      <c r="L56" s="95"/>
      <c r="M56" s="108" t="s">
        <v>12</v>
      </c>
      <c r="N56" s="95"/>
      <c r="O56" s="95"/>
      <c r="P56" s="95"/>
    </row>
    <row r="57" spans="1:16" s="2" customFormat="1" ht="19.899999999999999" customHeight="1" x14ac:dyDescent="0.25">
      <c r="A57" s="91" t="s">
        <v>1</v>
      </c>
      <c r="B57" s="35">
        <v>700</v>
      </c>
      <c r="C57" s="35" t="s">
        <v>87</v>
      </c>
      <c r="D57" s="93" t="s">
        <v>48</v>
      </c>
      <c r="E57" s="38">
        <v>3650</v>
      </c>
      <c r="F57" s="38">
        <v>3756</v>
      </c>
      <c r="G57" s="94">
        <f t="shared" si="20"/>
        <v>1.029041095890411</v>
      </c>
      <c r="H57" s="32">
        <v>0</v>
      </c>
      <c r="I57" s="38">
        <f t="shared" si="19"/>
        <v>3756</v>
      </c>
      <c r="J57" s="122" t="s">
        <v>12</v>
      </c>
      <c r="K57" s="123" t="s">
        <v>12</v>
      </c>
      <c r="L57" s="95"/>
      <c r="M57" s="108" t="s">
        <v>12</v>
      </c>
      <c r="N57" s="95"/>
      <c r="O57" s="95"/>
      <c r="P57" s="95"/>
    </row>
    <row r="58" spans="1:16" s="2" customFormat="1" ht="19.899999999999999" customHeight="1" x14ac:dyDescent="0.25">
      <c r="A58" s="91" t="s">
        <v>43</v>
      </c>
      <c r="B58" s="35">
        <v>1080</v>
      </c>
      <c r="C58" s="101">
        <v>1624</v>
      </c>
      <c r="D58" s="99">
        <f>C58/B58</f>
        <v>1.5037037037037038</v>
      </c>
      <c r="E58" s="38" t="s">
        <v>24</v>
      </c>
      <c r="F58" s="93">
        <v>2213.4</v>
      </c>
      <c r="G58" s="94" t="s">
        <v>24</v>
      </c>
      <c r="H58" s="32">
        <v>0</v>
      </c>
      <c r="I58" s="38">
        <f t="shared" si="19"/>
        <v>2213.4</v>
      </c>
      <c r="J58" s="122" t="s">
        <v>12</v>
      </c>
      <c r="K58" s="123" t="s">
        <v>12</v>
      </c>
      <c r="L58" s="95"/>
      <c r="M58" s="108" t="s">
        <v>12</v>
      </c>
      <c r="N58" s="95"/>
      <c r="O58" s="95"/>
      <c r="P58" s="95"/>
    </row>
    <row r="59" spans="1:16" s="2" customFormat="1" ht="19.899999999999999" customHeight="1" x14ac:dyDescent="0.25">
      <c r="A59" s="91" t="s">
        <v>57</v>
      </c>
      <c r="B59" s="35">
        <v>530</v>
      </c>
      <c r="C59" s="35" t="s">
        <v>88</v>
      </c>
      <c r="D59" s="93" t="s">
        <v>48</v>
      </c>
      <c r="E59" s="38">
        <v>2181.5</v>
      </c>
      <c r="F59" s="93">
        <v>2196.4</v>
      </c>
      <c r="G59" s="94">
        <f>F59/E59</f>
        <v>1.006830162732065</v>
      </c>
      <c r="H59" s="32">
        <v>19.3</v>
      </c>
      <c r="I59" s="38">
        <f t="shared" si="19"/>
        <v>2177.1</v>
      </c>
      <c r="J59" s="122" t="s">
        <v>12</v>
      </c>
      <c r="K59" s="95" t="s">
        <v>12</v>
      </c>
      <c r="L59" s="95"/>
      <c r="M59" s="108" t="s">
        <v>12</v>
      </c>
      <c r="N59" s="95"/>
      <c r="O59" s="95"/>
      <c r="P59" s="95"/>
    </row>
    <row r="60" spans="1:16" s="2" customFormat="1" ht="19.899999999999999" customHeight="1" x14ac:dyDescent="0.25">
      <c r="A60" s="91" t="s">
        <v>5</v>
      </c>
      <c r="B60" s="35">
        <v>3400</v>
      </c>
      <c r="C60" s="35" t="s">
        <v>89</v>
      </c>
      <c r="D60" s="93" t="s">
        <v>48</v>
      </c>
      <c r="E60" s="38">
        <v>5570</v>
      </c>
      <c r="F60" s="38">
        <v>5616</v>
      </c>
      <c r="G60" s="94">
        <f t="shared" ref="G60:G66" si="22">F60/E60</f>
        <v>1.0082585278276481</v>
      </c>
      <c r="H60" s="32">
        <v>0</v>
      </c>
      <c r="I60" s="38">
        <f t="shared" si="19"/>
        <v>5616</v>
      </c>
      <c r="J60" s="122" t="s">
        <v>12</v>
      </c>
      <c r="K60" s="102"/>
      <c r="L60" s="95"/>
      <c r="M60" s="108" t="s">
        <v>12</v>
      </c>
      <c r="N60" s="95"/>
      <c r="O60" s="95"/>
      <c r="P60" s="95"/>
    </row>
    <row r="61" spans="1:16" s="2" customFormat="1" ht="19.899999999999999" customHeight="1" x14ac:dyDescent="0.25">
      <c r="A61" s="91" t="s">
        <v>21</v>
      </c>
      <c r="B61" s="35">
        <v>1210</v>
      </c>
      <c r="C61" s="35" t="s">
        <v>90</v>
      </c>
      <c r="D61" s="93" t="s">
        <v>48</v>
      </c>
      <c r="E61" s="38">
        <v>2810</v>
      </c>
      <c r="F61" s="38">
        <v>2867</v>
      </c>
      <c r="G61" s="94">
        <f>F61/E61</f>
        <v>1.0202846975088968</v>
      </c>
      <c r="H61" s="32">
        <v>0</v>
      </c>
      <c r="I61" s="38">
        <f t="shared" si="19"/>
        <v>2867</v>
      </c>
      <c r="J61" s="122" t="s">
        <v>12</v>
      </c>
      <c r="K61" s="102" t="s">
        <v>12</v>
      </c>
      <c r="L61" s="95"/>
      <c r="M61" s="108" t="s">
        <v>12</v>
      </c>
      <c r="N61" s="95"/>
      <c r="O61" s="95"/>
      <c r="P61" s="95"/>
    </row>
    <row r="62" spans="1:16" s="2" customFormat="1" ht="19.899999999999999" customHeight="1" x14ac:dyDescent="0.25">
      <c r="A62" s="91" t="s">
        <v>6</v>
      </c>
      <c r="B62" s="35">
        <v>2460</v>
      </c>
      <c r="C62" s="35" t="s">
        <v>91</v>
      </c>
      <c r="D62" s="93" t="s">
        <v>48</v>
      </c>
      <c r="E62" s="38">
        <v>7950</v>
      </c>
      <c r="F62" s="38">
        <v>8351</v>
      </c>
      <c r="G62" s="94">
        <f t="shared" si="22"/>
        <v>1.050440251572327</v>
      </c>
      <c r="H62" s="32">
        <v>0</v>
      </c>
      <c r="I62" s="38">
        <f t="shared" si="19"/>
        <v>8351</v>
      </c>
      <c r="J62" s="122" t="s">
        <v>12</v>
      </c>
      <c r="K62" s="95"/>
      <c r="L62" s="95"/>
      <c r="M62" s="108" t="s">
        <v>12</v>
      </c>
      <c r="N62" s="95"/>
      <c r="O62" s="95"/>
      <c r="P62" s="95"/>
    </row>
    <row r="63" spans="1:16" s="2" customFormat="1" ht="19.899999999999999" customHeight="1" x14ac:dyDescent="0.25">
      <c r="A63" s="91" t="s">
        <v>22</v>
      </c>
      <c r="B63" s="35">
        <v>-330</v>
      </c>
      <c r="C63" s="35" t="s">
        <v>59</v>
      </c>
      <c r="D63" s="93" t="s">
        <v>59</v>
      </c>
      <c r="E63" s="38">
        <v>2760</v>
      </c>
      <c r="F63" s="38">
        <v>2754</v>
      </c>
      <c r="G63" s="94">
        <f t="shared" si="22"/>
        <v>0.99782608695652175</v>
      </c>
      <c r="H63" s="32">
        <v>0</v>
      </c>
      <c r="I63" s="38">
        <f t="shared" si="19"/>
        <v>2754</v>
      </c>
      <c r="J63" s="122" t="s">
        <v>12</v>
      </c>
      <c r="K63" s="95"/>
      <c r="L63" s="95"/>
      <c r="M63" s="108" t="s">
        <v>12</v>
      </c>
      <c r="N63" s="95"/>
      <c r="O63" s="95"/>
      <c r="P63" s="95"/>
    </row>
    <row r="64" spans="1:16" s="2" customFormat="1" ht="19.899999999999999" customHeight="1" x14ac:dyDescent="0.25">
      <c r="A64" s="91" t="s">
        <v>7</v>
      </c>
      <c r="B64" s="35">
        <v>1550</v>
      </c>
      <c r="C64" s="100">
        <v>6915</v>
      </c>
      <c r="D64" s="99">
        <f>C64/B64</f>
        <v>4.4612903225806448</v>
      </c>
      <c r="E64" s="38">
        <v>5850</v>
      </c>
      <c r="F64" s="38">
        <v>6112</v>
      </c>
      <c r="G64" s="94">
        <f t="shared" si="22"/>
        <v>1.0447863247863247</v>
      </c>
      <c r="H64" s="32">
        <v>0</v>
      </c>
      <c r="I64" s="38">
        <f t="shared" si="19"/>
        <v>6112</v>
      </c>
      <c r="J64" s="122" t="s">
        <v>12</v>
      </c>
      <c r="K64" s="95"/>
      <c r="L64" s="95"/>
      <c r="M64" s="108" t="s">
        <v>12</v>
      </c>
      <c r="N64" s="95"/>
      <c r="O64" s="95"/>
      <c r="P64" s="95"/>
    </row>
    <row r="65" spans="1:16" s="2" customFormat="1" ht="19.899999999999999" customHeight="1" x14ac:dyDescent="0.25">
      <c r="A65" s="91" t="s">
        <v>33</v>
      </c>
      <c r="B65" s="35">
        <v>-850</v>
      </c>
      <c r="C65" s="101">
        <v>6609</v>
      </c>
      <c r="D65" s="99" t="s">
        <v>59</v>
      </c>
      <c r="E65" s="38">
        <f>6600+185</f>
        <v>6785</v>
      </c>
      <c r="F65" s="38">
        <f>6850+179</f>
        <v>7029</v>
      </c>
      <c r="G65" s="94">
        <f t="shared" si="22"/>
        <v>1.0359616801768607</v>
      </c>
      <c r="H65" s="32">
        <v>0</v>
      </c>
      <c r="I65" s="38">
        <f t="shared" si="19"/>
        <v>7029</v>
      </c>
      <c r="J65" s="122" t="s">
        <v>12</v>
      </c>
      <c r="K65" s="95"/>
      <c r="L65" s="95"/>
      <c r="M65" s="108" t="s">
        <v>12</v>
      </c>
      <c r="N65" s="95"/>
      <c r="O65" s="95"/>
      <c r="P65" s="95"/>
    </row>
    <row r="66" spans="1:16" s="2" customFormat="1" ht="19.899999999999999" customHeight="1" x14ac:dyDescent="0.25">
      <c r="A66" s="91" t="s">
        <v>8</v>
      </c>
      <c r="B66" s="35">
        <v>5620</v>
      </c>
      <c r="C66" s="100">
        <v>6902</v>
      </c>
      <c r="D66" s="103">
        <f>C66/B66</f>
        <v>1.2281138790035586</v>
      </c>
      <c r="E66" s="38">
        <v>9450</v>
      </c>
      <c r="F66" s="38">
        <v>9363</v>
      </c>
      <c r="G66" s="94">
        <f t="shared" si="22"/>
        <v>0.99079365079365078</v>
      </c>
      <c r="H66" s="32">
        <v>0</v>
      </c>
      <c r="I66" s="38">
        <f t="shared" si="19"/>
        <v>9363</v>
      </c>
      <c r="J66" s="122" t="s">
        <v>12</v>
      </c>
      <c r="K66" s="95"/>
      <c r="L66" s="95"/>
      <c r="M66" s="108" t="s">
        <v>12</v>
      </c>
      <c r="N66" s="95"/>
      <c r="O66" s="95"/>
      <c r="P66" s="95"/>
    </row>
    <row r="67" spans="1:16" s="2" customFormat="1" ht="19.899999999999999" customHeight="1" x14ac:dyDescent="0.25">
      <c r="A67" s="91" t="s">
        <v>42</v>
      </c>
      <c r="B67" s="35">
        <v>2410</v>
      </c>
      <c r="C67" s="100">
        <v>3180</v>
      </c>
      <c r="D67" s="103">
        <f>C67/B67</f>
        <v>1.3195020746887967</v>
      </c>
      <c r="E67" s="38" t="s">
        <v>24</v>
      </c>
      <c r="F67" s="93">
        <v>4583.2</v>
      </c>
      <c r="G67" s="94" t="s">
        <v>24</v>
      </c>
      <c r="H67" s="32">
        <v>0</v>
      </c>
      <c r="I67" s="38">
        <f t="shared" si="19"/>
        <v>4583.2</v>
      </c>
      <c r="J67" s="122" t="s">
        <v>12</v>
      </c>
      <c r="K67" s="95"/>
      <c r="L67" s="95"/>
      <c r="M67" s="108" t="s">
        <v>12</v>
      </c>
      <c r="N67" s="95"/>
      <c r="O67" s="95"/>
      <c r="P67" s="95"/>
    </row>
    <row r="68" spans="1:16" s="2" customFormat="1" ht="19.899999999999999" customHeight="1" x14ac:dyDescent="0.25">
      <c r="A68" s="91" t="s">
        <v>40</v>
      </c>
      <c r="B68" s="35" t="s">
        <v>24</v>
      </c>
      <c r="C68" s="35" t="s">
        <v>24</v>
      </c>
      <c r="D68" s="93" t="s">
        <v>24</v>
      </c>
      <c r="E68" s="38">
        <v>380</v>
      </c>
      <c r="F68" s="38">
        <v>379</v>
      </c>
      <c r="G68" s="94">
        <f>F68/E68</f>
        <v>0.99736842105263157</v>
      </c>
      <c r="H68" s="32">
        <v>0</v>
      </c>
      <c r="I68" s="38">
        <f t="shared" si="19"/>
        <v>379</v>
      </c>
      <c r="J68" s="122" t="s">
        <v>12</v>
      </c>
      <c r="K68" s="95"/>
      <c r="L68" s="95"/>
      <c r="M68" s="108" t="s">
        <v>12</v>
      </c>
      <c r="N68" s="95"/>
      <c r="O68" s="95"/>
      <c r="P68" s="95"/>
    </row>
    <row r="69" spans="1:16" s="2" customFormat="1" ht="19.899999999999999" customHeight="1" x14ac:dyDescent="0.25">
      <c r="A69" s="91" t="s">
        <v>16</v>
      </c>
      <c r="B69" s="92">
        <v>2500</v>
      </c>
      <c r="C69" s="98">
        <v>9000</v>
      </c>
      <c r="D69" s="103">
        <f>C69/B69</f>
        <v>3.6</v>
      </c>
      <c r="E69" s="38" t="s">
        <v>24</v>
      </c>
      <c r="F69" s="38">
        <f>F46+F57+F60+F62+F66+F68</f>
        <v>29773</v>
      </c>
      <c r="G69" s="104" t="s">
        <v>24</v>
      </c>
      <c r="H69" s="38">
        <f>H46+H57+H60+H62+H66+H68</f>
        <v>0</v>
      </c>
      <c r="I69" s="256" t="s">
        <v>12</v>
      </c>
      <c r="J69" s="122" t="s">
        <v>12</v>
      </c>
      <c r="K69" s="95"/>
      <c r="L69" s="95"/>
      <c r="M69" s="108" t="s">
        <v>12</v>
      </c>
      <c r="N69" s="95"/>
      <c r="O69" s="95"/>
      <c r="P69" s="95"/>
    </row>
    <row r="70" spans="1:16" s="2" customFormat="1" ht="19.899999999999999" customHeight="1" x14ac:dyDescent="0.25">
      <c r="A70" s="91" t="s">
        <v>14</v>
      </c>
      <c r="B70" s="35">
        <v>2870</v>
      </c>
      <c r="C70" s="100">
        <v>9082</v>
      </c>
      <c r="D70" s="103">
        <f>C70/B70</f>
        <v>3.1644599303135887</v>
      </c>
      <c r="E70" s="38" t="s">
        <v>24</v>
      </c>
      <c r="F70" s="38">
        <f>F51+F64</f>
        <v>12498</v>
      </c>
      <c r="G70" s="104" t="s">
        <v>24</v>
      </c>
      <c r="H70" s="38">
        <f>H51+H64</f>
        <v>0</v>
      </c>
      <c r="I70" s="257"/>
      <c r="J70" s="122" t="s">
        <v>12</v>
      </c>
      <c r="K70" s="95"/>
      <c r="L70" s="95"/>
      <c r="M70" s="108" t="s">
        <v>12</v>
      </c>
      <c r="N70" s="95"/>
      <c r="O70" s="95"/>
      <c r="P70" s="95"/>
    </row>
    <row r="71" spans="1:16" s="2" customFormat="1" ht="19.899999999999999" customHeight="1" x14ac:dyDescent="0.25">
      <c r="A71" s="96" t="s">
        <v>15</v>
      </c>
      <c r="B71" s="35">
        <v>-10440</v>
      </c>
      <c r="C71" s="35" t="s">
        <v>59</v>
      </c>
      <c r="D71" s="93" t="s">
        <v>59</v>
      </c>
      <c r="E71" s="38" t="s">
        <v>24</v>
      </c>
      <c r="F71" s="38">
        <f>F61+F63+F65</f>
        <v>12650</v>
      </c>
      <c r="G71" s="104" t="s">
        <v>24</v>
      </c>
      <c r="H71" s="38">
        <f>H61+H63+H65</f>
        <v>0</v>
      </c>
      <c r="I71" s="257"/>
      <c r="J71" s="122" t="s">
        <v>12</v>
      </c>
      <c r="K71" s="95"/>
      <c r="L71" s="95"/>
      <c r="M71" s="108" t="s">
        <v>12</v>
      </c>
      <c r="N71" s="95"/>
      <c r="O71" s="95"/>
      <c r="P71" s="95"/>
    </row>
    <row r="72" spans="1:16" s="2" customFormat="1" ht="19.899999999999999" customHeight="1" x14ac:dyDescent="0.25">
      <c r="A72" s="91" t="s">
        <v>17</v>
      </c>
      <c r="B72" s="92">
        <v>-8870</v>
      </c>
      <c r="C72" s="100">
        <v>4019</v>
      </c>
      <c r="D72" s="103" t="s">
        <v>59</v>
      </c>
      <c r="E72" s="38" t="s">
        <v>24</v>
      </c>
      <c r="F72" s="38">
        <f>F69+F70+F71</f>
        <v>54921</v>
      </c>
      <c r="G72" s="104" t="s">
        <v>24</v>
      </c>
      <c r="H72" s="38">
        <f>H69+H70+H71</f>
        <v>0</v>
      </c>
      <c r="I72" s="257"/>
      <c r="J72" s="122" t="s">
        <v>12</v>
      </c>
      <c r="K72" s="95"/>
      <c r="L72" s="95"/>
      <c r="M72" s="108" t="s">
        <v>12</v>
      </c>
      <c r="N72" s="95"/>
      <c r="O72" s="95"/>
      <c r="P72" s="95"/>
    </row>
    <row r="73" spans="1:16" s="2" customFormat="1" ht="19.899999999999999" customHeight="1" x14ac:dyDescent="0.25">
      <c r="A73" s="96" t="s">
        <v>34</v>
      </c>
      <c r="B73" s="92">
        <v>3860</v>
      </c>
      <c r="C73" s="92" t="s">
        <v>107</v>
      </c>
      <c r="D73" s="93" t="s">
        <v>59</v>
      </c>
      <c r="E73" s="38" t="s">
        <v>24</v>
      </c>
      <c r="F73" s="38">
        <f>F47+F48+F49+F52+F53+F54+F55+F59</f>
        <v>78396.399999999994</v>
      </c>
      <c r="G73" s="104" t="s">
        <v>24</v>
      </c>
      <c r="H73" s="38">
        <f>H47+H48+H49+H52+H53+H54+H55+H59</f>
        <v>12107.099999999999</v>
      </c>
      <c r="I73" s="258"/>
      <c r="J73" s="125" t="s">
        <v>12</v>
      </c>
      <c r="K73" s="95"/>
      <c r="L73" s="95"/>
      <c r="M73" s="108" t="s">
        <v>12</v>
      </c>
      <c r="N73" s="95"/>
      <c r="O73" s="95"/>
      <c r="P73" s="95"/>
    </row>
    <row r="74" spans="1:16" s="2" customFormat="1" ht="19.899999999999999" customHeight="1" x14ac:dyDescent="0.25">
      <c r="A74" s="259" t="s">
        <v>64</v>
      </c>
      <c r="B74" s="259"/>
      <c r="C74" s="259"/>
      <c r="D74" s="259"/>
      <c r="E74" s="259"/>
      <c r="F74" s="259"/>
      <c r="G74" s="259"/>
      <c r="H74" s="259"/>
      <c r="I74" s="259"/>
      <c r="J74" s="115"/>
      <c r="K74" s="105"/>
      <c r="L74" s="95"/>
      <c r="M74" s="95" t="s">
        <v>12</v>
      </c>
      <c r="N74" s="95"/>
      <c r="O74" s="95"/>
      <c r="P74" s="95"/>
    </row>
    <row r="75" spans="1:16" s="2" customFormat="1" ht="5.0999999999999996" customHeight="1" x14ac:dyDescent="0.25">
      <c r="A75" s="106"/>
      <c r="B75" s="84"/>
      <c r="C75" s="84"/>
      <c r="D75" s="84"/>
      <c r="E75" s="84"/>
      <c r="F75" s="84"/>
      <c r="G75" s="84"/>
      <c r="H75" s="84"/>
      <c r="I75" s="126" t="s">
        <v>12</v>
      </c>
      <c r="J75" s="107"/>
      <c r="K75" s="105"/>
      <c r="L75" s="95"/>
      <c r="M75" s="95" t="s">
        <v>12</v>
      </c>
      <c r="N75" s="95"/>
      <c r="O75" s="95"/>
      <c r="P75" s="95"/>
    </row>
    <row r="76" spans="1:16" ht="20.100000000000001" customHeight="1" x14ac:dyDescent="0.25">
      <c r="A76" s="259" t="s">
        <v>54</v>
      </c>
      <c r="B76" s="259"/>
      <c r="C76" s="259"/>
      <c r="D76" s="259"/>
      <c r="E76" s="259"/>
      <c r="F76" s="259"/>
      <c r="G76" s="259"/>
      <c r="H76" s="259"/>
      <c r="I76" s="259"/>
      <c r="J76" s="127" t="s">
        <v>12</v>
      </c>
      <c r="K76" s="112"/>
      <c r="L76" s="112"/>
      <c r="M76" s="112"/>
      <c r="N76" s="112"/>
      <c r="O76" s="112"/>
      <c r="P76" s="112"/>
    </row>
    <row r="77" spans="1:16" ht="19.899999999999999" customHeight="1" x14ac:dyDescent="0.25">
      <c r="A77" s="85" t="s">
        <v>63</v>
      </c>
      <c r="B77" s="259" t="s">
        <v>92</v>
      </c>
      <c r="C77" s="259"/>
      <c r="D77" s="259"/>
      <c r="E77" s="259"/>
      <c r="F77" s="259"/>
      <c r="G77" s="259"/>
      <c r="H77" s="259"/>
      <c r="I77" s="259"/>
      <c r="J77" s="108"/>
      <c r="K77" s="112"/>
      <c r="L77" s="112"/>
      <c r="M77" s="112"/>
      <c r="N77" s="112"/>
      <c r="O77" s="112"/>
      <c r="P77" s="112"/>
    </row>
    <row r="78" spans="1:16" ht="19.899999999999999" customHeight="1" x14ac:dyDescent="0.25">
      <c r="A78" s="91" t="s">
        <v>17</v>
      </c>
      <c r="B78" s="252" t="s">
        <v>101</v>
      </c>
      <c r="C78" s="252"/>
      <c r="D78" s="252"/>
      <c r="E78" s="252"/>
      <c r="F78" s="252"/>
      <c r="G78" s="252"/>
      <c r="H78" s="252"/>
      <c r="I78" s="252"/>
      <c r="J78" s="127" t="s">
        <v>12</v>
      </c>
      <c r="K78" s="95"/>
      <c r="L78" s="112"/>
      <c r="M78" s="112"/>
      <c r="N78" s="112"/>
      <c r="O78" s="112"/>
      <c r="P78" s="112"/>
    </row>
    <row r="79" spans="1:16" ht="19.899999999999999" customHeight="1" x14ac:dyDescent="0.25">
      <c r="A79" s="91" t="s">
        <v>16</v>
      </c>
      <c r="B79" s="252" t="s">
        <v>98</v>
      </c>
      <c r="C79" s="252"/>
      <c r="D79" s="252"/>
      <c r="E79" s="252"/>
      <c r="F79" s="252"/>
      <c r="G79" s="252"/>
      <c r="H79" s="252"/>
      <c r="I79" s="252"/>
      <c r="J79" s="108"/>
      <c r="K79" s="112"/>
      <c r="L79" s="112"/>
      <c r="M79" s="112"/>
      <c r="N79" s="112"/>
      <c r="O79" s="112"/>
      <c r="P79" s="112"/>
    </row>
    <row r="80" spans="1:16" ht="19.899999999999999" customHeight="1" x14ac:dyDescent="0.25">
      <c r="A80" s="91" t="s">
        <v>14</v>
      </c>
      <c r="B80" s="252" t="s">
        <v>97</v>
      </c>
      <c r="C80" s="252"/>
      <c r="D80" s="252"/>
      <c r="E80" s="252"/>
      <c r="F80" s="252"/>
      <c r="G80" s="252"/>
      <c r="H80" s="252"/>
      <c r="I80" s="252"/>
      <c r="J80" s="108"/>
      <c r="K80" s="112"/>
      <c r="L80" s="112"/>
      <c r="M80" s="112"/>
      <c r="N80" s="112"/>
      <c r="O80" s="112"/>
      <c r="P80" s="112"/>
    </row>
    <row r="81" spans="1:16" ht="30" customHeight="1" x14ac:dyDescent="0.25">
      <c r="A81" s="91" t="s">
        <v>8</v>
      </c>
      <c r="B81" s="253" t="s">
        <v>99</v>
      </c>
      <c r="C81" s="254"/>
      <c r="D81" s="254"/>
      <c r="E81" s="254"/>
      <c r="F81" s="254"/>
      <c r="G81" s="254"/>
      <c r="H81" s="254"/>
      <c r="I81" s="255"/>
      <c r="J81" s="108"/>
      <c r="K81" s="112"/>
      <c r="L81" s="112"/>
      <c r="M81" s="112"/>
      <c r="N81" s="112"/>
      <c r="O81" s="112"/>
      <c r="P81" s="112"/>
    </row>
    <row r="82" spans="1:16" ht="30" customHeight="1" x14ac:dyDescent="0.25">
      <c r="A82" s="91" t="s">
        <v>55</v>
      </c>
      <c r="B82" s="253" t="s">
        <v>99</v>
      </c>
      <c r="C82" s="254"/>
      <c r="D82" s="254"/>
      <c r="E82" s="254"/>
      <c r="F82" s="254"/>
      <c r="G82" s="254"/>
      <c r="H82" s="254"/>
      <c r="I82" s="255"/>
      <c r="J82" s="108"/>
      <c r="K82" s="112"/>
      <c r="L82" s="112" t="s">
        <v>12</v>
      </c>
      <c r="M82" s="112"/>
      <c r="N82" s="112"/>
      <c r="O82" s="112"/>
      <c r="P82" s="112"/>
    </row>
    <row r="83" spans="1:16" ht="19.899999999999999" customHeight="1" x14ac:dyDescent="0.25">
      <c r="A83" s="91" t="s">
        <v>23</v>
      </c>
      <c r="B83" s="252" t="s">
        <v>93</v>
      </c>
      <c r="C83" s="252"/>
      <c r="D83" s="252"/>
      <c r="E83" s="252"/>
      <c r="F83" s="252"/>
      <c r="G83" s="252"/>
      <c r="H83" s="252"/>
      <c r="I83" s="252"/>
      <c r="J83" s="108"/>
      <c r="K83" s="112"/>
      <c r="L83" s="112"/>
      <c r="M83" s="112"/>
      <c r="N83" s="112"/>
      <c r="O83" s="112"/>
      <c r="P83" s="112"/>
    </row>
    <row r="84" spans="1:16" ht="19.899999999999999" customHeight="1" x14ac:dyDescent="0.25">
      <c r="A84" s="91" t="s">
        <v>7</v>
      </c>
      <c r="B84" s="252" t="s">
        <v>97</v>
      </c>
      <c r="C84" s="252"/>
      <c r="D84" s="252"/>
      <c r="E84" s="252"/>
      <c r="F84" s="252"/>
      <c r="G84" s="252"/>
      <c r="H84" s="252"/>
      <c r="I84" s="252"/>
      <c r="J84" s="108"/>
      <c r="K84" s="112"/>
      <c r="L84" s="112"/>
      <c r="M84" s="112"/>
      <c r="N84" s="112"/>
      <c r="O84" s="112"/>
      <c r="P84" s="112"/>
    </row>
    <row r="85" spans="1:16" ht="19.899999999999999" customHeight="1" x14ac:dyDescent="0.25">
      <c r="A85" s="96" t="s">
        <v>50</v>
      </c>
      <c r="B85" s="252" t="s">
        <v>94</v>
      </c>
      <c r="C85" s="252"/>
      <c r="D85" s="252"/>
      <c r="E85" s="252"/>
      <c r="F85" s="252"/>
      <c r="G85" s="252"/>
      <c r="H85" s="252"/>
      <c r="I85" s="252"/>
      <c r="J85" s="108"/>
      <c r="K85" s="112"/>
      <c r="L85" s="112"/>
      <c r="M85" s="112"/>
      <c r="N85" s="112"/>
      <c r="O85" s="112"/>
      <c r="P85" s="112"/>
    </row>
    <row r="86" spans="1:16" ht="19.899999999999999" customHeight="1" x14ac:dyDescent="0.25">
      <c r="A86" s="96" t="s">
        <v>56</v>
      </c>
      <c r="B86" s="253" t="s">
        <v>94</v>
      </c>
      <c r="C86" s="254"/>
      <c r="D86" s="254"/>
      <c r="E86" s="254"/>
      <c r="F86" s="254"/>
      <c r="G86" s="254"/>
      <c r="H86" s="254"/>
      <c r="I86" s="255"/>
      <c r="J86" s="109"/>
      <c r="K86" s="112"/>
      <c r="L86" s="112"/>
      <c r="M86" s="112"/>
      <c r="N86" s="112"/>
      <c r="O86" s="112"/>
      <c r="P86" s="112"/>
    </row>
    <row r="87" spans="1:16" ht="19.899999999999999" customHeight="1" x14ac:dyDescent="0.25">
      <c r="A87" s="96" t="s">
        <v>18</v>
      </c>
      <c r="B87" s="252" t="s">
        <v>102</v>
      </c>
      <c r="C87" s="252"/>
      <c r="D87" s="252"/>
      <c r="E87" s="252"/>
      <c r="F87" s="252"/>
      <c r="G87" s="252"/>
      <c r="H87" s="252"/>
      <c r="I87" s="252"/>
      <c r="J87" s="108"/>
      <c r="K87" s="112"/>
      <c r="L87" s="112"/>
      <c r="M87" s="112"/>
      <c r="N87" s="112"/>
      <c r="O87" s="112"/>
      <c r="P87" s="112"/>
    </row>
    <row r="88" spans="1:16" ht="19.899999999999999" customHeight="1" x14ac:dyDescent="0.25">
      <c r="A88" s="96" t="s">
        <v>3</v>
      </c>
      <c r="B88" s="253" t="s">
        <v>100</v>
      </c>
      <c r="C88" s="254"/>
      <c r="D88" s="254"/>
      <c r="E88" s="254"/>
      <c r="F88" s="254"/>
      <c r="G88" s="254"/>
      <c r="H88" s="254"/>
      <c r="I88" s="255"/>
      <c r="J88" s="108"/>
      <c r="K88" s="112"/>
      <c r="L88" s="112"/>
      <c r="M88" s="112"/>
      <c r="N88" s="112"/>
      <c r="O88" s="112"/>
      <c r="P88" s="112"/>
    </row>
    <row r="89" spans="1:16" ht="19.899999999999999" customHeight="1" x14ac:dyDescent="0.25">
      <c r="A89" s="96" t="s">
        <v>61</v>
      </c>
      <c r="B89" s="252" t="s">
        <v>95</v>
      </c>
      <c r="C89" s="252"/>
      <c r="D89" s="252"/>
      <c r="E89" s="252"/>
      <c r="F89" s="252"/>
      <c r="G89" s="252"/>
      <c r="H89" s="252"/>
      <c r="I89" s="252"/>
      <c r="J89" s="108"/>
      <c r="K89" s="112"/>
      <c r="L89" s="112"/>
      <c r="M89" s="112"/>
      <c r="N89" s="112"/>
      <c r="O89" s="112"/>
      <c r="P89" s="112"/>
    </row>
    <row r="90" spans="1:16" ht="19.899999999999999" customHeight="1" x14ac:dyDescent="0.25">
      <c r="A90" s="96" t="s">
        <v>19</v>
      </c>
      <c r="B90" s="260" t="s">
        <v>96</v>
      </c>
      <c r="C90" s="261"/>
      <c r="D90" s="261"/>
      <c r="E90" s="261"/>
      <c r="F90" s="261"/>
      <c r="G90" s="261"/>
      <c r="H90" s="261"/>
      <c r="I90" s="262"/>
      <c r="J90" s="108"/>
      <c r="K90" s="112"/>
      <c r="L90" s="112"/>
      <c r="M90" s="112"/>
      <c r="N90" s="112"/>
      <c r="O90" s="112"/>
      <c r="P90" s="112"/>
    </row>
    <row r="91" spans="1:16" ht="30" customHeight="1" x14ac:dyDescent="0.25">
      <c r="A91" s="96" t="s">
        <v>53</v>
      </c>
      <c r="B91" s="253" t="s">
        <v>103</v>
      </c>
      <c r="C91" s="254"/>
      <c r="D91" s="254"/>
      <c r="E91" s="254"/>
      <c r="F91" s="254"/>
      <c r="G91" s="254"/>
      <c r="H91" s="254"/>
      <c r="I91" s="255"/>
      <c r="J91" s="112"/>
      <c r="K91" s="112"/>
      <c r="L91" s="112"/>
      <c r="M91" s="112"/>
      <c r="N91" s="112"/>
      <c r="O91" s="112"/>
      <c r="P91" s="112"/>
    </row>
    <row r="92" spans="1:16" ht="20.100000000000001" customHeight="1" x14ac:dyDescent="0.25">
      <c r="A92" s="251" t="s">
        <v>109</v>
      </c>
      <c r="B92" s="251"/>
      <c r="C92" s="251"/>
      <c r="D92" s="251"/>
      <c r="E92" s="251"/>
      <c r="F92" s="251"/>
      <c r="G92" s="251"/>
      <c r="H92" s="251"/>
      <c r="I92" s="251"/>
      <c r="J92" s="112"/>
      <c r="K92" s="112"/>
      <c r="L92" s="112"/>
      <c r="M92" s="112"/>
      <c r="N92" s="112"/>
      <c r="O92" s="112"/>
      <c r="P92" s="112"/>
    </row>
    <row r="93" spans="1:16" ht="20.100000000000001" customHeight="1" x14ac:dyDescent="0.25">
      <c r="A93" s="251" t="s">
        <v>110</v>
      </c>
      <c r="B93" s="251"/>
      <c r="C93" s="251"/>
      <c r="D93" s="251"/>
      <c r="E93" s="251"/>
      <c r="F93" s="251"/>
      <c r="G93" s="251"/>
      <c r="H93" s="251"/>
      <c r="I93" s="251"/>
      <c r="J93" s="112"/>
      <c r="K93" s="112"/>
      <c r="L93" s="112"/>
      <c r="M93" s="112"/>
      <c r="N93" s="112"/>
      <c r="O93" s="112"/>
      <c r="P93" s="112"/>
    </row>
    <row r="94" spans="1:16" ht="20.100000000000001" customHeight="1" x14ac:dyDescent="0.25">
      <c r="A94" s="251" t="s">
        <v>111</v>
      </c>
      <c r="B94" s="251"/>
      <c r="C94" s="251"/>
      <c r="D94" s="251"/>
      <c r="E94" s="251"/>
      <c r="F94" s="251"/>
      <c r="G94" s="251"/>
      <c r="H94" s="251"/>
      <c r="I94" s="251"/>
      <c r="J94" s="112"/>
      <c r="K94" s="112"/>
      <c r="L94" s="112"/>
      <c r="M94" s="112"/>
      <c r="N94" s="112"/>
      <c r="O94" s="112"/>
      <c r="P94" s="112"/>
    </row>
    <row r="95" spans="1:16" ht="20.100000000000001" customHeight="1" x14ac:dyDescent="0.25">
      <c r="A95" s="251" t="s">
        <v>113</v>
      </c>
      <c r="B95" s="251"/>
      <c r="C95" s="251"/>
      <c r="D95" s="251"/>
      <c r="E95" s="251"/>
      <c r="F95" s="251"/>
      <c r="G95" s="251"/>
      <c r="H95" s="251"/>
      <c r="I95" s="251"/>
      <c r="J95" s="112"/>
      <c r="K95" s="112"/>
      <c r="L95" s="112"/>
      <c r="M95" s="112"/>
      <c r="N95" s="112"/>
      <c r="O95" s="112"/>
      <c r="P95" s="112"/>
    </row>
  </sheetData>
  <mergeCells count="33">
    <mergeCell ref="A95:I95"/>
    <mergeCell ref="A94:I94"/>
    <mergeCell ref="A1:B1"/>
    <mergeCell ref="A92:I92"/>
    <mergeCell ref="B89:I89"/>
    <mergeCell ref="B82:I82"/>
    <mergeCell ref="B83:I83"/>
    <mergeCell ref="A76:I76"/>
    <mergeCell ref="B77:I77"/>
    <mergeCell ref="B78:I78"/>
    <mergeCell ref="B90:I90"/>
    <mergeCell ref="B91:I91"/>
    <mergeCell ref="B84:I84"/>
    <mergeCell ref="B85:I85"/>
    <mergeCell ref="C3:P3"/>
    <mergeCell ref="A74:I74"/>
    <mergeCell ref="C4:P4"/>
    <mergeCell ref="C5:P5"/>
    <mergeCell ref="C6:P6"/>
    <mergeCell ref="C7:P7"/>
    <mergeCell ref="C8:P8"/>
    <mergeCell ref="A93:I93"/>
    <mergeCell ref="B87:I87"/>
    <mergeCell ref="A27:P27"/>
    <mergeCell ref="A19:P19"/>
    <mergeCell ref="B86:I86"/>
    <mergeCell ref="A40:P40"/>
    <mergeCell ref="B88:I88"/>
    <mergeCell ref="B79:I79"/>
    <mergeCell ref="B80:I80"/>
    <mergeCell ref="B81:I81"/>
    <mergeCell ref="I69:I73"/>
    <mergeCell ref="A43:I43"/>
  </mergeCells>
  <phoneticPr fontId="6" type="noConversion"/>
  <printOptions horizontalCentered="1" gridLines="1"/>
  <pageMargins left="0.45" right="0.45" top="0.5" bottom="0.5" header="0" footer="0.05"/>
  <pageSetup paperSize="17" scale="40" orientation="portrait" r:id="rId1"/>
  <headerFooter alignWithMargins="0"/>
  <rowBreaks count="1" manualBreakCount="1">
    <brk id="42" max="16383" man="1"/>
  </rowBreaks>
  <colBreaks count="1" manualBreakCount="1">
    <brk id="7" max="9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PJM Buy Bids-Sell Offers</vt:lpstr>
      <vt:lpstr>2nd IA Configuration</vt:lpstr>
      <vt:lpstr>2nd IA Parameters</vt:lpstr>
      <vt:lpstr>April2020Forecast</vt:lpstr>
      <vt:lpstr>1st IA Parameters</vt:lpstr>
      <vt:lpstr>BRA Parameters</vt:lpstr>
      <vt:lpstr>'1st IA Parameters'!Print_Area</vt:lpstr>
      <vt:lpstr>'2nd IA Configuration'!Print_Area</vt:lpstr>
      <vt:lpstr>'2nd IA Parameters'!Print_Area</vt:lpstr>
      <vt:lpstr>'BRA Parameters'!Print_Area</vt:lpstr>
      <vt:lpstr>'PJM Buy Bids-Sell Offers'!Print_Area</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PJM User</dc:creator>
  <cp:lastModifiedBy>Ding, Congmei</cp:lastModifiedBy>
  <cp:lastPrinted>2020-06-04T18:50:41Z</cp:lastPrinted>
  <dcterms:created xsi:type="dcterms:W3CDTF">2007-01-26T13:56:48Z</dcterms:created>
  <dcterms:modified xsi:type="dcterms:W3CDTF">2020-07-28T13:52:35Z</dcterms:modified>
</cp:coreProperties>
</file>