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45" windowWidth="14940" windowHeight="9150"/>
  </bookViews>
  <sheets>
    <sheet name="PJM Buy Bids-Sell Offers" sheetId="24" r:id="rId1"/>
    <sheet name="1st IA Configuration" sheetId="23" r:id="rId2"/>
    <sheet name="1st IA Parameters" sheetId="22" r:id="rId3"/>
    <sheet name="BRA Parameters" sheetId="1" r:id="rId4"/>
    <sheet name="Base Capacity Constraints" sheetId="13" r:id="rId5"/>
    <sheet name="Cap Import Limits" sheetId="5" r:id="rId6"/>
    <sheet name="Credit Rate" sheetId="16" r:id="rId7"/>
  </sheets>
  <definedNames>
    <definedName name="_xlnm.Print_Area" localSheetId="1">'1st IA Configuration'!$A$1:$N$14</definedName>
    <definedName name="_xlnm.Print_Area" localSheetId="2">'1st IA Parameters'!$A$1:$N$27</definedName>
    <definedName name="_xlnm.Print_Area" localSheetId="4">'Base Capacity Constraints'!$A$1:$N$26</definedName>
    <definedName name="_xlnm.Print_Area" localSheetId="3">'BRA Parameters'!$A$1:$N$78</definedName>
    <definedName name="_xlnm.Print_Area" localSheetId="5">'Cap Import Limits'!$A$1:$G$12</definedName>
    <definedName name="_xlnm.Print_Area" localSheetId="6">'Credit Rate'!$A$1:$N$23</definedName>
    <definedName name="_xlnm.Print_Area" localSheetId="0">'PJM Buy Bids-Sell Offers'!$A$1:$M$22</definedName>
  </definedNames>
  <calcPr calcId="145621"/>
</workbook>
</file>

<file path=xl/calcChain.xml><?xml version="1.0" encoding="utf-8"?>
<calcChain xmlns="http://schemas.openxmlformats.org/spreadsheetml/2006/main">
  <c r="N22" i="16" l="1"/>
  <c r="M22" i="16"/>
  <c r="L22" i="16"/>
  <c r="K22" i="16"/>
  <c r="J22" i="16"/>
  <c r="I22" i="16"/>
  <c r="H22" i="16"/>
  <c r="G22" i="16"/>
  <c r="F22" i="16"/>
  <c r="E22" i="16"/>
  <c r="D22" i="16"/>
  <c r="C22" i="16"/>
  <c r="N21" i="16"/>
  <c r="M21" i="16"/>
  <c r="L21" i="16"/>
  <c r="K21" i="16"/>
  <c r="J21" i="16"/>
  <c r="I21" i="16"/>
  <c r="H21" i="16"/>
  <c r="G21" i="16"/>
  <c r="F21" i="16"/>
  <c r="E21" i="16"/>
  <c r="D21" i="16"/>
  <c r="C21" i="16"/>
  <c r="B22" i="16"/>
  <c r="B21" i="16"/>
  <c r="D15" i="24" l="1"/>
  <c r="J18" i="24"/>
  <c r="J17" i="24"/>
  <c r="H12" i="24"/>
  <c r="J11" i="24"/>
  <c r="H9" i="24"/>
  <c r="B24" i="22" l="1"/>
  <c r="B23" i="22"/>
  <c r="B22" i="22"/>
  <c r="B16" i="22"/>
  <c r="B15" i="22"/>
  <c r="B14" i="22"/>
  <c r="B12" i="22"/>
  <c r="B25" i="13" l="1"/>
  <c r="N25" i="13"/>
  <c r="N26" i="13" s="1"/>
  <c r="M25" i="13"/>
  <c r="M26" i="13" s="1"/>
  <c r="L25" i="13"/>
  <c r="L26" i="13" s="1"/>
  <c r="K25" i="13"/>
  <c r="K26" i="13" s="1"/>
  <c r="J25" i="13"/>
  <c r="J26" i="13" s="1"/>
  <c r="I25" i="13"/>
  <c r="I26" i="13" s="1"/>
  <c r="H25" i="13"/>
  <c r="H26" i="13" s="1"/>
  <c r="G25" i="13"/>
  <c r="G26" i="13" s="1"/>
  <c r="F25" i="13"/>
  <c r="F26" i="13" s="1"/>
  <c r="E25" i="13"/>
  <c r="E26" i="13" s="1"/>
  <c r="D25" i="13"/>
  <c r="D26" i="13" s="1"/>
  <c r="C25" i="13"/>
  <c r="C26" i="13" s="1"/>
  <c r="B26" i="13"/>
  <c r="N9" i="23" l="1"/>
  <c r="M9" i="23"/>
  <c r="L9" i="23"/>
  <c r="K9" i="23"/>
  <c r="J9" i="23"/>
  <c r="I9" i="23"/>
  <c r="H9" i="23"/>
  <c r="G9" i="23"/>
  <c r="F9" i="23"/>
  <c r="E9" i="23"/>
  <c r="D9" i="23"/>
  <c r="C9" i="23"/>
  <c r="N7" i="23"/>
  <c r="M7" i="23"/>
  <c r="L7" i="23"/>
  <c r="K7" i="23"/>
  <c r="J7" i="23"/>
  <c r="I7" i="23"/>
  <c r="H7" i="23"/>
  <c r="G7" i="23"/>
  <c r="F7" i="23"/>
  <c r="E7" i="23"/>
  <c r="D7" i="23"/>
  <c r="C7" i="23"/>
  <c r="B7" i="23" l="1"/>
  <c r="F15" i="22" l="1"/>
  <c r="F6" i="23" s="1"/>
  <c r="N14" i="22"/>
  <c r="M14" i="22"/>
  <c r="L14" i="22"/>
  <c r="K14" i="22"/>
  <c r="J14" i="22"/>
  <c r="I14" i="22"/>
  <c r="H14" i="22"/>
  <c r="G14" i="22"/>
  <c r="F14" i="22"/>
  <c r="E14" i="22"/>
  <c r="D14" i="22"/>
  <c r="C14" i="22"/>
  <c r="N19" i="22"/>
  <c r="M19" i="22"/>
  <c r="L19" i="22"/>
  <c r="K19" i="22"/>
  <c r="J19" i="22"/>
  <c r="I19" i="22"/>
  <c r="H19" i="22"/>
  <c r="G19" i="22"/>
  <c r="F19" i="22"/>
  <c r="E19" i="22"/>
  <c r="D19" i="22"/>
  <c r="C19" i="22"/>
  <c r="B19" i="22"/>
  <c r="N16" i="22"/>
  <c r="N4" i="16" s="1"/>
  <c r="M16" i="22"/>
  <c r="M4" i="16" s="1"/>
  <c r="L16" i="22"/>
  <c r="L4" i="16" s="1"/>
  <c r="K16" i="22"/>
  <c r="K4" i="16" s="1"/>
  <c r="J16" i="22"/>
  <c r="J4" i="16" s="1"/>
  <c r="I16" i="22"/>
  <c r="I4" i="16" s="1"/>
  <c r="H16" i="22"/>
  <c r="H4" i="16" s="1"/>
  <c r="G16" i="22"/>
  <c r="G4" i="16" s="1"/>
  <c r="F16" i="22"/>
  <c r="F4" i="16" s="1"/>
  <c r="E16" i="22"/>
  <c r="E4" i="16" s="1"/>
  <c r="D16" i="22"/>
  <c r="D4" i="16" s="1"/>
  <c r="C16" i="22"/>
  <c r="C4" i="16" s="1"/>
  <c r="B3" i="13"/>
  <c r="B2" i="13"/>
  <c r="B7" i="13"/>
  <c r="B6" i="13"/>
  <c r="E16" i="16" l="1"/>
  <c r="E9" i="16"/>
  <c r="I16" i="16"/>
  <c r="I9" i="16"/>
  <c r="M16" i="16"/>
  <c r="M9" i="16"/>
  <c r="F16" i="16"/>
  <c r="F9" i="16"/>
  <c r="J16" i="16"/>
  <c r="J9" i="16"/>
  <c r="N16" i="16"/>
  <c r="N9" i="16"/>
  <c r="C16" i="16"/>
  <c r="C9" i="16"/>
  <c r="G16" i="16"/>
  <c r="G9" i="16"/>
  <c r="K16" i="16"/>
  <c r="K9" i="16"/>
  <c r="D16" i="16"/>
  <c r="D9" i="16"/>
  <c r="H16" i="16"/>
  <c r="H9" i="16"/>
  <c r="L16" i="16"/>
  <c r="L9" i="16"/>
  <c r="B20" i="22"/>
  <c r="B4" i="16"/>
  <c r="L17" i="16" l="1"/>
  <c r="L23" i="16"/>
  <c r="D17" i="16"/>
  <c r="D23" i="16"/>
  <c r="G17" i="16"/>
  <c r="G23" i="16"/>
  <c r="N17" i="16"/>
  <c r="N23" i="16" s="1"/>
  <c r="F17" i="16"/>
  <c r="F23" i="16" s="1"/>
  <c r="I17" i="16"/>
  <c r="I23" i="16" s="1"/>
  <c r="B16" i="16"/>
  <c r="B9" i="16"/>
  <c r="K8" i="16"/>
  <c r="G8" i="16"/>
  <c r="C8" i="16"/>
  <c r="K7" i="16"/>
  <c r="G7" i="16"/>
  <c r="C7" i="16"/>
  <c r="N8" i="16"/>
  <c r="J8" i="16"/>
  <c r="F8" i="16"/>
  <c r="N7" i="16"/>
  <c r="J7" i="16"/>
  <c r="F7" i="16"/>
  <c r="B8" i="16"/>
  <c r="M8" i="16"/>
  <c r="I8" i="16"/>
  <c r="E8" i="16"/>
  <c r="M7" i="16"/>
  <c r="I7" i="16"/>
  <c r="E7" i="16"/>
  <c r="B7" i="16"/>
  <c r="L8" i="16"/>
  <c r="H8" i="16"/>
  <c r="D8" i="16"/>
  <c r="L7" i="16"/>
  <c r="H7" i="16"/>
  <c r="D7" i="16"/>
  <c r="H17" i="16"/>
  <c r="H23" i="16" s="1"/>
  <c r="K17" i="16"/>
  <c r="K23" i="16"/>
  <c r="C17" i="16"/>
  <c r="C23" i="16"/>
  <c r="J17" i="16"/>
  <c r="J23" i="16" s="1"/>
  <c r="M17" i="16"/>
  <c r="M23" i="16" s="1"/>
  <c r="E17" i="16"/>
  <c r="E23" i="16" s="1"/>
  <c r="B17" i="16" l="1"/>
  <c r="B23" i="16" s="1"/>
  <c r="N20" i="22"/>
  <c r="M20" i="22"/>
  <c r="L20" i="22"/>
  <c r="K20" i="22"/>
  <c r="J20" i="22"/>
  <c r="I20" i="22"/>
  <c r="H20" i="22"/>
  <c r="G20" i="22"/>
  <c r="F20" i="22"/>
  <c r="E20" i="22"/>
  <c r="D20" i="22"/>
  <c r="C20" i="22"/>
  <c r="N15" i="22" l="1"/>
  <c r="N6" i="23" s="1"/>
  <c r="N8" i="23" s="1"/>
  <c r="B18" i="24" s="1"/>
  <c r="D18" i="24" s="1"/>
  <c r="D15" i="22"/>
  <c r="H15" i="22"/>
  <c r="H6" i="23" s="1"/>
  <c r="H8" i="23" s="1"/>
  <c r="B12" i="24" s="1"/>
  <c r="D12" i="24" s="1"/>
  <c r="L15" i="22"/>
  <c r="L6" i="23" s="1"/>
  <c r="L8" i="23" s="1"/>
  <c r="B16" i="24" s="1"/>
  <c r="D16" i="24" s="1"/>
  <c r="H16" i="24" s="1"/>
  <c r="G15" i="22"/>
  <c r="K15" i="22"/>
  <c r="J15" i="22"/>
  <c r="J6" i="23" s="1"/>
  <c r="B6" i="23"/>
  <c r="B8" i="23" s="1"/>
  <c r="E15" i="22"/>
  <c r="E6" i="23" s="1"/>
  <c r="E8" i="23" s="1"/>
  <c r="I15" i="22"/>
  <c r="I6" i="23" s="1"/>
  <c r="M15" i="22"/>
  <c r="C15" i="22"/>
  <c r="F8" i="23"/>
  <c r="J8" i="23"/>
  <c r="I8" i="23"/>
  <c r="B13" i="24" s="1"/>
  <c r="D13" i="24" s="1"/>
  <c r="H13" i="24" s="1"/>
  <c r="B8" i="24" l="1"/>
  <c r="D8" i="24" s="1"/>
  <c r="H8" i="24" s="1"/>
  <c r="C24" i="22"/>
  <c r="C6" i="23"/>
  <c r="C8" i="23" s="1"/>
  <c r="B6" i="24" s="1"/>
  <c r="G22" i="22"/>
  <c r="G6" i="23"/>
  <c r="G8" i="23" s="1"/>
  <c r="B11" i="24" s="1"/>
  <c r="D11" i="24" s="1"/>
  <c r="M22" i="22"/>
  <c r="M6" i="23"/>
  <c r="M8" i="23" s="1"/>
  <c r="B17" i="24" s="1"/>
  <c r="D17" i="24" s="1"/>
  <c r="M24" i="22"/>
  <c r="K22" i="22"/>
  <c r="K6" i="23"/>
  <c r="K8" i="23" s="1"/>
  <c r="B15" i="24" s="1"/>
  <c r="H15" i="24" s="1"/>
  <c r="D23" i="22"/>
  <c r="D6" i="23"/>
  <c r="D8" i="23" s="1"/>
  <c r="B7" i="24"/>
  <c r="D7" i="24" s="1"/>
  <c r="H7" i="24" s="1"/>
  <c r="B14" i="24"/>
  <c r="M23" i="22"/>
  <c r="G24" i="22"/>
  <c r="K24" i="22"/>
  <c r="E24" i="22"/>
  <c r="C23" i="22"/>
  <c r="K23" i="22"/>
  <c r="C22" i="22"/>
  <c r="N24" i="22"/>
  <c r="D24" i="22"/>
  <c r="F22" i="22"/>
  <c r="N23" i="22"/>
  <c r="H22" i="22"/>
  <c r="F23" i="22"/>
  <c r="D22" i="22"/>
  <c r="J23" i="22"/>
  <c r="L24" i="22"/>
  <c r="G23" i="22"/>
  <c r="N22" i="22"/>
  <c r="F24" i="22"/>
  <c r="H24" i="22"/>
  <c r="L23" i="22"/>
  <c r="J22" i="22"/>
  <c r="L22" i="22"/>
  <c r="J24" i="22"/>
  <c r="H23" i="22"/>
  <c r="I24" i="22"/>
  <c r="E22" i="22"/>
  <c r="I22" i="22"/>
  <c r="E23" i="22"/>
  <c r="I23" i="22"/>
  <c r="B9" i="24" l="1"/>
  <c r="D9" i="24" s="1"/>
  <c r="B10" i="24"/>
  <c r="D10" i="24" s="1"/>
  <c r="H10" i="24" s="1"/>
  <c r="D6" i="24"/>
  <c r="B19" i="24" l="1"/>
  <c r="H6" i="24"/>
  <c r="D19" i="24"/>
  <c r="B7" i="5" l="1"/>
  <c r="B18" i="13"/>
  <c r="B17" i="13"/>
  <c r="B4" i="5" l="1"/>
  <c r="E5" i="5" s="1"/>
  <c r="B6" i="5"/>
  <c r="F5" i="5"/>
  <c r="C5" i="5" l="1"/>
  <c r="G5" i="5"/>
  <c r="D5" i="5"/>
  <c r="C38" i="1"/>
  <c r="N13" i="1" l="1"/>
  <c r="M13" i="1"/>
  <c r="L13" i="1"/>
  <c r="K13" i="1"/>
  <c r="J13" i="1"/>
  <c r="I13" i="1"/>
  <c r="H13" i="1"/>
  <c r="G13" i="1"/>
  <c r="F13" i="1"/>
  <c r="H60" i="1"/>
  <c r="F52" i="1" l="1"/>
  <c r="E52" i="1"/>
  <c r="N7" i="13" l="1"/>
  <c r="M7" i="13"/>
  <c r="L7" i="13" l="1"/>
  <c r="K7" i="13"/>
  <c r="J7" i="13"/>
  <c r="I7" i="13"/>
  <c r="H32" i="1"/>
  <c r="B13" i="1" s="1"/>
  <c r="N18" i="13" l="1"/>
  <c r="M18" i="13"/>
  <c r="L18" i="13"/>
  <c r="K18" i="13"/>
  <c r="J18" i="13"/>
  <c r="I18" i="13"/>
  <c r="H18" i="13"/>
  <c r="G18" i="13"/>
  <c r="F18" i="13"/>
  <c r="E18" i="13"/>
  <c r="D18" i="13"/>
  <c r="C18" i="13"/>
  <c r="N17" i="13"/>
  <c r="M17" i="13"/>
  <c r="L17" i="13"/>
  <c r="K17" i="13"/>
  <c r="J17" i="13"/>
  <c r="I17" i="13"/>
  <c r="H17" i="13"/>
  <c r="G17" i="13"/>
  <c r="F17" i="13"/>
  <c r="E17" i="13"/>
  <c r="D17" i="13"/>
  <c r="C17" i="13"/>
  <c r="L8" i="13"/>
  <c r="M8" i="13" l="1"/>
  <c r="F60" i="1" l="1"/>
  <c r="K8" i="13"/>
  <c r="N8" i="13"/>
  <c r="E32" i="1"/>
  <c r="N15" i="13" l="1"/>
  <c r="N12" i="13"/>
  <c r="H21" i="1"/>
  <c r="N21" i="1"/>
  <c r="B6" i="1"/>
  <c r="N18" i="1" l="1"/>
  <c r="J18" i="1"/>
  <c r="F18" i="1"/>
  <c r="B18" i="1"/>
  <c r="H18" i="1"/>
  <c r="D18" i="1"/>
  <c r="K18" i="1"/>
  <c r="C18" i="1"/>
  <c r="M18" i="1"/>
  <c r="I18" i="1"/>
  <c r="E18" i="1"/>
  <c r="L18" i="1"/>
  <c r="G18" i="1"/>
  <c r="B12" i="1"/>
  <c r="B14" i="1"/>
  <c r="L21" i="1"/>
  <c r="B21" i="1"/>
  <c r="I21" i="1"/>
  <c r="K21" i="1"/>
  <c r="G21" i="1"/>
  <c r="J21" i="1"/>
  <c r="M21" i="1"/>
  <c r="F21" i="1"/>
  <c r="L12" i="13" l="1"/>
  <c r="L15" i="13"/>
  <c r="M15" i="13"/>
  <c r="M12" i="13"/>
  <c r="K15" i="13"/>
  <c r="K12" i="13"/>
  <c r="B15" i="1"/>
  <c r="E21" i="1"/>
  <c r="D21" i="1"/>
  <c r="C21" i="1"/>
  <c r="F57" i="1"/>
  <c r="F56" i="1"/>
  <c r="N11" i="1"/>
  <c r="N10" i="1"/>
  <c r="N14" i="1"/>
  <c r="I45" i="1"/>
  <c r="G46" i="1"/>
  <c r="D39" i="1"/>
  <c r="D38" i="1"/>
  <c r="D36" i="1"/>
  <c r="M11" i="1"/>
  <c r="L11" i="1"/>
  <c r="L28" i="1" s="1"/>
  <c r="M10" i="1"/>
  <c r="L10" i="1"/>
  <c r="M14" i="1"/>
  <c r="L14" i="1"/>
  <c r="G52" i="1"/>
  <c r="G41" i="1"/>
  <c r="K14" i="1"/>
  <c r="K11" i="1"/>
  <c r="D37" i="1"/>
  <c r="K10" i="1"/>
  <c r="I46" i="1"/>
  <c r="I34" i="1"/>
  <c r="D57" i="1"/>
  <c r="J14" i="1"/>
  <c r="D45" i="1"/>
  <c r="J11" i="1"/>
  <c r="J28" i="1" s="1"/>
  <c r="J10" i="1"/>
  <c r="H58" i="1"/>
  <c r="H57" i="1"/>
  <c r="E13" i="1" s="1"/>
  <c r="H56" i="1"/>
  <c r="D13" i="1" s="1"/>
  <c r="I33" i="1"/>
  <c r="G55" i="1"/>
  <c r="G53" i="1"/>
  <c r="G51" i="1"/>
  <c r="G50" i="1"/>
  <c r="G49" i="1"/>
  <c r="G48" i="1"/>
  <c r="G47" i="1"/>
  <c r="G44" i="1"/>
  <c r="G43" i="1"/>
  <c r="G42" i="1"/>
  <c r="G40" i="1"/>
  <c r="G39" i="1"/>
  <c r="G38" i="1"/>
  <c r="G36" i="1"/>
  <c r="G35" i="1"/>
  <c r="G34" i="1"/>
  <c r="G33" i="1"/>
  <c r="J8" i="13"/>
  <c r="G7" i="13"/>
  <c r="G8" i="13" s="1"/>
  <c r="G14" i="1"/>
  <c r="F7" i="13"/>
  <c r="F8" i="13" s="1"/>
  <c r="I55" i="1"/>
  <c r="I53" i="1"/>
  <c r="I51" i="1"/>
  <c r="I50" i="1"/>
  <c r="I49" i="1"/>
  <c r="I48" i="1"/>
  <c r="I47" i="1"/>
  <c r="I44" i="1"/>
  <c r="I43" i="1"/>
  <c r="I42" i="1"/>
  <c r="I40" i="1"/>
  <c r="I39" i="1"/>
  <c r="I38" i="1"/>
  <c r="I36" i="1"/>
  <c r="I35" i="1"/>
  <c r="D56" i="1"/>
  <c r="D54" i="1"/>
  <c r="D53" i="1"/>
  <c r="D51" i="1"/>
  <c r="I11" i="1"/>
  <c r="H11" i="1"/>
  <c r="G10" i="1"/>
  <c r="H10" i="1"/>
  <c r="I10" i="1"/>
  <c r="G11" i="1"/>
  <c r="F11" i="1"/>
  <c r="F28" i="1" s="1"/>
  <c r="F10" i="1"/>
  <c r="E11" i="1"/>
  <c r="E10" i="1"/>
  <c r="D11" i="1"/>
  <c r="D10" i="1"/>
  <c r="C10" i="1"/>
  <c r="C11" i="1"/>
  <c r="I41" i="1"/>
  <c r="F32" i="1"/>
  <c r="I54" i="1"/>
  <c r="I52" i="1"/>
  <c r="I37" i="1"/>
  <c r="F58" i="1"/>
  <c r="B24" i="1" l="1"/>
  <c r="B25" i="1"/>
  <c r="B23" i="1"/>
  <c r="G15" i="13"/>
  <c r="G12" i="13"/>
  <c r="J15" i="13"/>
  <c r="J12" i="13"/>
  <c r="F15" i="13"/>
  <c r="F12" i="13"/>
  <c r="K15" i="1"/>
  <c r="M15" i="1"/>
  <c r="J15" i="1"/>
  <c r="G15" i="1"/>
  <c r="N15" i="1"/>
  <c r="L15" i="1"/>
  <c r="E28" i="1"/>
  <c r="D28" i="1"/>
  <c r="E7" i="13"/>
  <c r="E8" i="13" s="1"/>
  <c r="I14" i="1"/>
  <c r="H7" i="13"/>
  <c r="H8" i="13" s="1"/>
  <c r="I8" i="13"/>
  <c r="D14" i="1"/>
  <c r="D7" i="13"/>
  <c r="D8" i="13" s="1"/>
  <c r="H59" i="1"/>
  <c r="C13" i="1" s="1"/>
  <c r="F14" i="1"/>
  <c r="H14" i="1"/>
  <c r="I32" i="1"/>
  <c r="F59" i="1"/>
  <c r="J23" i="1" l="1"/>
  <c r="J24" i="1"/>
  <c r="J25" i="1"/>
  <c r="L24" i="1"/>
  <c r="L25" i="1"/>
  <c r="L23" i="1"/>
  <c r="M24" i="1"/>
  <c r="M23" i="1"/>
  <c r="M25" i="1"/>
  <c r="K23" i="1"/>
  <c r="K24" i="1"/>
  <c r="K25" i="1"/>
  <c r="N23" i="1"/>
  <c r="N24" i="1"/>
  <c r="N25" i="1"/>
  <c r="G25" i="1"/>
  <c r="G24" i="1"/>
  <c r="G23" i="1"/>
  <c r="I15" i="13"/>
  <c r="I12" i="13"/>
  <c r="E15" i="13"/>
  <c r="E12" i="13"/>
  <c r="H12" i="13"/>
  <c r="H15" i="13"/>
  <c r="D12" i="13"/>
  <c r="D15" i="13"/>
  <c r="F15" i="1"/>
  <c r="D15" i="1"/>
  <c r="I15" i="1"/>
  <c r="H15" i="1"/>
  <c r="C28" i="1"/>
  <c r="E14" i="1"/>
  <c r="C7" i="13"/>
  <c r="C8" i="13" s="1"/>
  <c r="B8" i="13"/>
  <c r="B15" i="13" s="1"/>
  <c r="I23" i="1" l="1"/>
  <c r="I24" i="1"/>
  <c r="I25" i="1"/>
  <c r="D24" i="1"/>
  <c r="D25" i="1"/>
  <c r="D23" i="1"/>
  <c r="F23" i="1"/>
  <c r="F24" i="1"/>
  <c r="F25" i="1"/>
  <c r="H24" i="1"/>
  <c r="H23" i="1"/>
  <c r="H25" i="1"/>
  <c r="B12" i="13"/>
  <c r="C15" i="13"/>
  <c r="C12" i="13"/>
  <c r="E15" i="1"/>
  <c r="C14" i="1"/>
  <c r="E24" i="1" l="1"/>
  <c r="E23" i="1"/>
  <c r="E25" i="1"/>
  <c r="C15" i="1"/>
  <c r="C23" i="1" l="1"/>
  <c r="C25" i="1"/>
  <c r="C24" i="1"/>
  <c r="F8" i="5"/>
  <c r="B8" i="5"/>
  <c r="E8" i="5"/>
  <c r="D8" i="5"/>
  <c r="C8" i="5"/>
  <c r="G8" i="5"/>
</calcChain>
</file>

<file path=xl/sharedStrings.xml><?xml version="1.0" encoding="utf-8"?>
<sst xmlns="http://schemas.openxmlformats.org/spreadsheetml/2006/main" count="743" uniqueCount="198">
  <si>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</si>
  <si>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</si>
  <si>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</si>
  <si>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</si>
  <si>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</si>
  <si>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</si>
  <si>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</si>
  <si>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</si>
  <si>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</si>
  <si>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</si>
  <si>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</si>
  <si>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</si>
  <si>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</si>
  <si>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</si>
  <si>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</si>
  <si>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</si>
  <si>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</si>
  <si>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</si>
  <si>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</si>
  <si>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</si>
  <si>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</si>
  <si>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</si>
  <si>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</si>
  <si>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</si>
  <si>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</si>
  <si>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</si>
  <si>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</si>
  <si>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</si>
  <si>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</si>
  <si>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</si>
  <si>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</si>
  <si>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</si>
  <si>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</si>
  <si>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</si>
  <si>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</si>
  <si>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</si>
  <si>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</si>
  <si>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</si>
  <si>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</si>
  <si>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</si>
  <si>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</si>
  <si>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Notes:</t>
  </si>
  <si>
    <t>PS NORTH</t>
  </si>
  <si>
    <t>DPL SOUTH</t>
  </si>
  <si>
    <t>Preliminary FRR Obligation</t>
  </si>
  <si>
    <t>Total Peak Load of FRR Entities</t>
  </si>
  <si>
    <t>Reliability Requirement adjusted for FRR</t>
  </si>
  <si>
    <t>Net CONE, $/MW-Day (UCAP Price)</t>
  </si>
  <si>
    <t>Variable Resource Requirement Curve:</t>
  </si>
  <si>
    <t>&gt; 115%</t>
  </si>
  <si>
    <t>Participant-Funded ICTRs Awarded</t>
  </si>
  <si>
    <t>ATSI</t>
  </si>
  <si>
    <t xml:space="preserve">FRR Portion of the Preliminary Peak Load Forecast       </t>
  </si>
  <si>
    <t>AEP</t>
  </si>
  <si>
    <t>Forecast Pool Requirement</t>
  </si>
  <si>
    <t>PJM Region</t>
  </si>
  <si>
    <t>FRR Peak Load</t>
  </si>
  <si>
    <t>Percent of Preliminary Forecast Peak Load</t>
  </si>
  <si>
    <t>DEOK</t>
  </si>
  <si>
    <t>Limiting conditions at the CETL for modeled LDAs:</t>
  </si>
  <si>
    <t>PSNORTH</t>
  </si>
  <si>
    <t>ATSI-CLEVELAND</t>
  </si>
  <si>
    <t>EKPC</t>
  </si>
  <si>
    <t>ATSI-Cleveland</t>
  </si>
  <si>
    <t>*</t>
  </si>
  <si>
    <t>Quantities are in Unforced Capacity Megawatts</t>
  </si>
  <si>
    <t>North</t>
  </si>
  <si>
    <t>West 1</t>
  </si>
  <si>
    <t>West 2</t>
  </si>
  <si>
    <t>South 1</t>
  </si>
  <si>
    <t>South 2</t>
  </si>
  <si>
    <t>CETL to CETO Ratio %</t>
  </si>
  <si>
    <t>PL</t>
  </si>
  <si>
    <t>Minimum Internal Resource Requirement</t>
  </si>
  <si>
    <t>FRR Load Requirement (% Obligation):</t>
  </si>
  <si>
    <t xml:space="preserve">LDA      </t>
  </si>
  <si>
    <t>* LDA has adequate internal resources to meet the reliability criterion.</t>
  </si>
  <si>
    <t xml:space="preserve">DR Constraints for FRR Load (ICAP as % of peak load) </t>
  </si>
  <si>
    <t>Pool-Wide Average EFORd for 2018/2019 including OMC outages</t>
  </si>
  <si>
    <t>LDA CETO/CETL Data; Zonal Peak Loads, Base Zonal FRR Scaling Factors, and FRR load.</t>
  </si>
  <si>
    <t xml:space="preserve">  Violation/Limiting Facility</t>
  </si>
  <si>
    <t>Base Capacity DR Constraint</t>
  </si>
  <si>
    <t>Base Capacity DR Constraint as Unforced Capacity</t>
  </si>
  <si>
    <t>Base Capacity Constraint</t>
  </si>
  <si>
    <t>Base Capacity Constraint as Unforced Capacity</t>
  </si>
  <si>
    <t>External Source Zone</t>
  </si>
  <si>
    <t xml:space="preserve">  Thermal / Pumphrey 230/115 kV transformer</t>
  </si>
  <si>
    <t xml:space="preserve">  Thermal / Wescoville 500/138 kV transformer</t>
  </si>
  <si>
    <t>Simultaneous</t>
  </si>
  <si>
    <t>First Contingency Total Transfer Capability (FCTTC)</t>
  </si>
  <si>
    <t>Capacity Benefit Margin (CBM)</t>
  </si>
  <si>
    <t>Preliminary Zonal Peak Load Forecast less FRR load</t>
  </si>
  <si>
    <t>2019-2020 RPM Base Residual Auction Planning Parameters</t>
  </si>
  <si>
    <t>Load data: from 2016 Load Report with adjustments due to load served outside PJM.</t>
  </si>
  <si>
    <t>2015 IRM Study</t>
  </si>
  <si>
    <t>Locational Deliverability Area</t>
  </si>
  <si>
    <t>2019/2020 Capacity Import Limits in Megawatts</t>
  </si>
  <si>
    <t>2015 Zonal W/N Coincident Peak Loads</t>
  </si>
  <si>
    <t xml:space="preserve">Confirmed NEDTS * </t>
  </si>
  <si>
    <t>Approved CIL Exception Requests **</t>
  </si>
  <si>
    <t>Capacity Import Limit (CIL) for use in BRA ***</t>
  </si>
  <si>
    <t>Base Capacity DR/EE Resources Credit Rate, $/MW</t>
  </si>
  <si>
    <t>Base Capacity Resources Credit Rate, $/MW</t>
  </si>
  <si>
    <t>Capacity Performance Resources Credit Rate, $/MW</t>
  </si>
  <si>
    <t xml:space="preserve">   </t>
  </si>
  <si>
    <t>&gt;598</t>
  </si>
  <si>
    <t>&gt;851</t>
  </si>
  <si>
    <t>&gt;1484</t>
  </si>
  <si>
    <t>&gt;4071</t>
  </si>
  <si>
    <t>&gt;1875</t>
  </si>
  <si>
    <t>&gt;1104</t>
  </si>
  <si>
    <t>&gt;863</t>
  </si>
  <si>
    <t>&gt;1403</t>
  </si>
  <si>
    <t>&gt;3197</t>
  </si>
  <si>
    <t>&gt;161</t>
  </si>
  <si>
    <t>&gt;2358</t>
  </si>
  <si>
    <t xml:space="preserve">  Thermal/ Keeney - Rock Springs 500 kV line </t>
  </si>
  <si>
    <t xml:space="preserve">   Voltage/ Voltage Collapse</t>
  </si>
  <si>
    <t xml:space="preserve">   Thermal/ Roseland - Williams Pipeline 230 kV</t>
  </si>
  <si>
    <t xml:space="preserve">   Thermal/ Red Lion - Cedar Creek 230 kV line</t>
  </si>
  <si>
    <t xml:space="preserve">   Thermal/ South Canton - Harmon 345 kV line</t>
  </si>
  <si>
    <t>&gt;3082</t>
  </si>
  <si>
    <t>&gt;3071</t>
  </si>
  <si>
    <t>Doc#7333988</t>
  </si>
  <si>
    <t xml:space="preserve">   Thermal/ Black River-US Steel 138 kV line</t>
  </si>
  <si>
    <t>EE Addback (UCAP), MW</t>
  </si>
  <si>
    <t>EE Addback (ICAP), MW</t>
  </si>
  <si>
    <t xml:space="preserve"> ** Initial Planning Parameters posted on 2/1/2016. Updated on 4/15/2016 to reflect FRR elections and inclusion of 65.7 MW BGE LDA ICTRs.</t>
  </si>
  <si>
    <t>2019/2020 Base Capacity Constraints</t>
  </si>
  <si>
    <t>Preliminary Peak Load Forecast adjusted for FRR</t>
  </si>
  <si>
    <t xml:space="preserve">  </t>
  </si>
  <si>
    <t>Updated on 5/9/2016 to reflect adjustments for (1) total quantity of EE Resources for which PJM accepted an EE M&amp;V Plan submitted for the auction, and (2) final value of approved CIL exceptions and confirmed NEDTS.</t>
  </si>
  <si>
    <t>Updated on 6/7/2016 to add Post Clearing BRA Credit Rates. **</t>
  </si>
  <si>
    <t>ATSI-C</t>
  </si>
  <si>
    <t>Point 1 x-axis (MW)</t>
  </si>
  <si>
    <t>Point 2 x-axis (MW)</t>
  </si>
  <si>
    <t>Point 3 x-axis (MW)</t>
  </si>
  <si>
    <t>Point 4 x-axis (MW)</t>
  </si>
  <si>
    <t>Base Capacity DR/EE</t>
  </si>
  <si>
    <t>Base Capacity Generation</t>
  </si>
  <si>
    <t>CP Resources</t>
  </si>
  <si>
    <t>Base Capacity</t>
  </si>
  <si>
    <t>Total Resources</t>
  </si>
  <si>
    <t>BRA Base Capacity DR/EE Resource Clearing Price, $/MW-day</t>
  </si>
  <si>
    <t>BRA Base Capacity Resource Clearing Price, $/MW-day</t>
  </si>
  <si>
    <t>1st IA Reliability Requirement</t>
  </si>
  <si>
    <t>BRA Reliability Requirement</t>
  </si>
  <si>
    <t>Change in Reliability Requirement *</t>
  </si>
  <si>
    <t>Change in CETL</t>
  </si>
  <si>
    <t>Capacity Import Limit Margin **</t>
  </si>
  <si>
    <t xml:space="preserve">   * As per Section 5.4.(c) of the PJM OATT, the reliability requirement for the RTO and each LDA will be updated since the change in reliability requirement for the RTO and each LDA or parent of the LDA exceeds the lesser of the 500 MW or 1% threshold.</t>
  </si>
  <si>
    <t>** Capacity Import Limit Margin indicates the capacity import capability remaining into the LDA.</t>
  </si>
  <si>
    <t>PJM Buy Bids &amp; Sell Offers</t>
  </si>
  <si>
    <t>Location</t>
  </si>
  <si>
    <t>Change in Reliability Requirement (MW)</t>
  </si>
  <si>
    <t>Uncleared PJM Buy Bids from Prior IA</t>
  </si>
  <si>
    <t>Capacity Type</t>
  </si>
  <si>
    <t>Point 1 y-axis ($/MW-Day)</t>
  </si>
  <si>
    <t>Point 2 y-axis ($/MW-Day)</t>
  </si>
  <si>
    <t>Point 3 y-axis ($/MW-Day)</t>
  </si>
  <si>
    <t>Point 4 y-axis ($/MW-Day)</t>
  </si>
  <si>
    <t>RTO (Rest of)</t>
  </si>
  <si>
    <t>--</t>
  </si>
  <si>
    <t xml:space="preserve"> --</t>
  </si>
  <si>
    <t>MAAC (Rest of)</t>
  </si>
  <si>
    <t>EMAAC (Rest of)</t>
  </si>
  <si>
    <t>SWMAAC (Rest of)</t>
  </si>
  <si>
    <t>PS (Rest of)</t>
  </si>
  <si>
    <t>ATSI (Rest of)</t>
  </si>
  <si>
    <t>TOTAL</t>
  </si>
  <si>
    <t>2019-2020 RPM First Incremental Auction Planning Parameters</t>
  </si>
  <si>
    <t>2016 IRM Study</t>
  </si>
  <si>
    <t>Load data: from 2017 Load Report with adjustments due to load served outside PJM.</t>
  </si>
  <si>
    <t>Updated FRR Obligation</t>
  </si>
  <si>
    <t>EE Addback to Peak Load Forecast (NA for this IA)</t>
  </si>
  <si>
    <t>EE Addback to Reliability Requirement (NA for this IA)</t>
  </si>
  <si>
    <t>Updated Peak Load Forecast</t>
  </si>
  <si>
    <t xml:space="preserve">Configuration of 1st Incremental Auction for 2019/2020 Delivery Year </t>
  </si>
  <si>
    <r>
      <t xml:space="preserve">  *** In addition to ensuring that the CIL used in the auction plus the granted exceptions to not exceed the granted Network External Designated (NED) transmission service less the CBM, PJM is also ensuring that the CIL used in the auction plus the granted exceptions does not exceed the FCTTC less the CBM.  </t>
    </r>
    <r>
      <rPr>
        <b/>
        <sz val="11"/>
        <rFont val="Calibri"/>
        <family val="2"/>
        <scheme val="minor"/>
      </rPr>
      <t>Because the simultaneous limit is zero, no imports will be cleared in the auction other than those for which a CIL exception was granted.</t>
    </r>
  </si>
  <si>
    <t>2019-2020 1st Incremental Auction Configuration</t>
  </si>
  <si>
    <t>Previously Committed Capacity (Cleared in BRA)</t>
  </si>
  <si>
    <t>BaseGen</t>
  </si>
  <si>
    <t xml:space="preserve">   **  The quantities of approved CIL exception requests are as of 8/7/17.</t>
  </si>
  <si>
    <t xml:space="preserve">   *  Confirmed NEDTS are as of 8/7/2017.</t>
  </si>
  <si>
    <t>PJM Buy Bid (MW) *</t>
  </si>
  <si>
    <t>Price Points for PJM Buy Bids and PJM Sell Offers **</t>
  </si>
  <si>
    <t xml:space="preserve">   * A PJM Sell Offer is indicated by a negative PJM Buy Bid.  ATSI (Rest of) Buy Bid of 60.0 MW was netted with ATSI-Cleveland Sell Offer of 109.0 MW.</t>
  </si>
  <si>
    <t xml:space="preserve"> ** The price of a PJM buy bid is based on the Updated VRR Curve Increment which is the portion of the Updated VRR Curve remaining beyond the point representing all capacity already procured in prior auctions for the Delivery Year. The price of a PJM Sell Offer is based on the Updated VRR Curve Decrement which is the portion of the Updated VRR Curve to the left of the point representing all capacity already procured in prior auctions for the Delivery Year. </t>
  </si>
  <si>
    <t>2019-2020 Pre-Clearing 1st IA Credit Rates</t>
  </si>
  <si>
    <t>Revision Notes:</t>
  </si>
  <si>
    <t>8/11/2017:  Original posted.</t>
  </si>
  <si>
    <t>8/15/2017: Corrections made in Credit Rates.</t>
  </si>
  <si>
    <t>Net CONE, $/MW-Day (ICAP Price)</t>
  </si>
  <si>
    <t>1st IA Base Capacity DR/EE Resource Clearing Price, $/MW-day</t>
  </si>
  <si>
    <t>1st IA Base Capacity Resource Clearing Price, $/MW-day</t>
  </si>
  <si>
    <t>1st IA Capacity Performance Resource Clearing Price, $/MW-day</t>
  </si>
  <si>
    <t>2019-2020 Post-Clearing 1st IA Credit Rates</t>
  </si>
  <si>
    <t>9/22/2017: Includes Post-Clearing Credit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</si>
</sst>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000"/>
    <numFmt numFmtId="165" formatCode="0.0%"/>
    <numFmt numFmtId="166" formatCode="0.0"/>
    <numFmt numFmtId="167" formatCode="&quot;$&quot;#,##0.00"/>
    <numFmt numFmtId="168" formatCode="#,##0.0"/>
    <numFmt numFmtId="169" formatCode="0.00000"/>
    <numFmt numFmtId="170" formatCode="&quot;$&quot;#,##0"/>
    <numFmt numFmtId="172" formatCode="_(* #,##0.0_);_(* \(#,##0.0\);_(* &quot;-&quot;??_);_(@_)"/>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4"/>
      <name val="Arial"/>
      <family val="2"/>
    </font>
    <font>
      <b/>
      <sz val="12"/>
      <name val="Arial"/>
      <family val="2"/>
    </font>
    <font>
      <sz val="12"/>
      <name val="Arial"/>
      <family val="2"/>
    </font>
    <font>
      <sz val="10"/>
      <name val="Arial"/>
      <family val="2"/>
    </font>
    <font>
      <sz val="10"/>
      <name val="Arial"/>
      <family val="2"/>
    </font>
    <font>
      <sz val="11"/>
      <name val="Arial"/>
      <family val="2"/>
    </font>
    <font>
      <sz val="11"/>
      <color theme="1"/>
      <name val="Calibri"/>
      <family val="2"/>
      <scheme val="minor"/>
    </font>
    <font>
      <sz val="10"/>
      <color rgb="FFFF0000"/>
      <name val="Arial"/>
      <family val="2"/>
    </font>
    <font>
      <b/>
      <sz val="12"/>
      <color rgb="FFFF0000"/>
      <name val="Arial"/>
      <family val="2"/>
    </font>
    <font>
      <sz val="10"/>
      <color theme="1"/>
      <name val="Arial"/>
      <family val="2"/>
    </font>
    <font>
      <b/>
      <sz val="12"/>
      <name val="Calibri"/>
      <family val="2"/>
      <scheme val="minor"/>
    </font>
    <font>
      <sz val="11"/>
      <name val="Calibri"/>
      <family val="2"/>
      <scheme val="minor"/>
    </font>
    <font>
      <b/>
      <sz val="11"/>
      <name val="Calibri"/>
      <family val="2"/>
      <scheme val="minor"/>
    </font>
    <font>
      <b/>
      <sz val="11"/>
      <color rgb="FFFF0000"/>
      <name val="Calibri"/>
      <family val="2"/>
      <scheme val="minor"/>
    </font>
    <font>
      <b/>
      <sz val="14"/>
      <name val="Calibri"/>
      <family val="2"/>
      <scheme val="minor"/>
    </font>
    <font>
      <b/>
      <sz val="12"/>
      <color rgb="FFFF0000"/>
      <name val="Calibri"/>
      <family val="2"/>
      <scheme val="minor"/>
    </font>
    <font>
      <sz val="10"/>
      <name val="Calibri"/>
      <family val="2"/>
      <scheme val="minor"/>
    </font>
    <font>
      <sz val="12"/>
      <name val="Calibri"/>
      <family val="2"/>
      <scheme val="minor"/>
    </font>
    <font>
      <sz val="12"/>
      <color rgb="FFFF0000"/>
      <name val="Calibri"/>
      <family val="2"/>
      <scheme val="minor"/>
    </font>
    <font>
      <sz val="12"/>
      <color rgb="FF1F497D"/>
      <name val="Calibri"/>
      <family val="2"/>
      <scheme val="minor"/>
    </font>
    <font>
      <sz val="12"/>
      <color rgb="FF002060"/>
      <name val="Calibri"/>
      <family val="2"/>
      <scheme val="minor"/>
    </font>
    <font>
      <b/>
      <sz val="10"/>
      <name val="Calibri"/>
      <family val="2"/>
      <scheme val="minor"/>
    </font>
    <font>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38">
    <xf numFmtId="0" fontId="0" fillId="0" borderId="0"/>
    <xf numFmtId="43" fontId="4" fillId="0" borderId="0" applyFont="0" applyFill="0" applyBorder="0" applyAlignment="0" applyProtection="0"/>
    <xf numFmtId="43" fontId="13" fillId="0" borderId="0" applyFont="0" applyFill="0" applyBorder="0" applyAlignment="0" applyProtection="0"/>
    <xf numFmtId="0" fontId="11" fillId="0" borderId="0"/>
    <xf numFmtId="0" fontId="10" fillId="0" borderId="0">
      <alignment wrapText="1"/>
    </xf>
    <xf numFmtId="0" fontId="10" fillId="0" borderId="0"/>
    <xf numFmtId="0" fontId="13" fillId="0" borderId="0"/>
    <xf numFmtId="9" fontId="4"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0" fillId="0" borderId="0"/>
    <xf numFmtId="0" fontId="3" fillId="0" borderId="0"/>
    <xf numFmtId="9" fontId="10" fillId="0" borderId="0" applyFont="0" applyFill="0" applyBorder="0" applyAlignment="0" applyProtection="0"/>
    <xf numFmtId="0" fontId="16" fillId="0" borderId="0"/>
    <xf numFmtId="0" fontId="4" fillId="0" borderId="0"/>
    <xf numFmtId="0" fontId="16" fillId="0" borderId="0"/>
    <xf numFmtId="0" fontId="2" fillId="0" borderId="0"/>
    <xf numFmtId="0" fontId="4" fillId="0" borderId="0"/>
    <xf numFmtId="0" fontId="4" fillId="0" borderId="0">
      <alignment wrapText="1"/>
    </xf>
    <xf numFmtId="43" fontId="1" fillId="0" borderId="0" applyFont="0" applyFill="0" applyBorder="0" applyAlignment="0" applyProtection="0"/>
    <xf numFmtId="0" fontId="4" fillId="0" borderId="0"/>
    <xf numFmtId="0" fontId="4" fillId="0" borderId="0"/>
    <xf numFmtId="0" fontId="1" fillId="0" borderId="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9" fontId="4" fillId="0" borderId="0" applyFont="0" applyFill="0" applyBorder="0" applyAlignment="0" applyProtection="0"/>
  </cellStyleXfs>
  <cellXfs count="227">
    <xf numFmtId="0" fontId="0" fillId="0" borderId="0" xfId="0"/>
    <xf numFmtId="0" fontId="0" fillId="0" borderId="0" xfId="0" applyAlignment="1">
      <alignment horizontal="center"/>
    </xf>
    <xf numFmtId="0" fontId="9" fillId="0" borderId="0" xfId="0" applyFont="1" applyBorder="1"/>
    <xf numFmtId="0" fontId="6" fillId="0" borderId="0" xfId="0" applyFont="1" applyAlignment="1">
      <alignment wrapText="1"/>
    </xf>
    <xf numFmtId="0" fontId="14" fillId="0" borderId="0" xfId="0" applyFont="1"/>
    <xf numFmtId="0" fontId="8" fillId="0" borderId="0" xfId="0" applyFont="1" applyFill="1" applyBorder="1" applyAlignment="1">
      <alignment horizontal="left" vertical="center"/>
    </xf>
    <xf numFmtId="0" fontId="12" fillId="0" borderId="0" xfId="0" applyFont="1" applyFill="1" applyBorder="1" applyAlignment="1">
      <alignment horizontal="left" vertical="center"/>
    </xf>
    <xf numFmtId="3" fontId="0" fillId="0" borderId="0" xfId="0" applyNumberFormat="1"/>
    <xf numFmtId="0" fontId="4" fillId="0" borderId="0" xfId="0" applyFont="1"/>
    <xf numFmtId="0" fontId="0" fillId="0" borderId="0" xfId="0" applyBorder="1"/>
    <xf numFmtId="0" fontId="12" fillId="0" borderId="0" xfId="0" applyFont="1" applyBorder="1" applyAlignment="1">
      <alignment vertical="top" wrapText="1"/>
    </xf>
    <xf numFmtId="168" fontId="4" fillId="0" borderId="0" xfId="0" applyNumberFormat="1" applyFont="1"/>
    <xf numFmtId="0" fontId="15" fillId="0" borderId="0" xfId="0" applyFont="1" applyFill="1" applyBorder="1" applyAlignment="1">
      <alignment horizontal="center" vertical="center"/>
    </xf>
    <xf numFmtId="168" fontId="9" fillId="0" borderId="0" xfId="0" applyNumberFormat="1" applyFont="1" applyBorder="1" applyAlignment="1">
      <alignment horizontal="right"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xf>
    <xf numFmtId="0" fontId="18" fillId="0" borderId="0" xfId="0" applyFont="1"/>
    <xf numFmtId="0" fontId="17"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17" fillId="0" borderId="11" xfId="0" applyFont="1" applyBorder="1" applyAlignment="1">
      <alignment horizontal="center" vertical="center"/>
    </xf>
    <xf numFmtId="14" fontId="21" fillId="0" borderId="0" xfId="0" applyNumberFormat="1" applyFont="1" applyBorder="1" applyAlignment="1">
      <alignment horizontal="center" vertical="center"/>
    </xf>
    <xf numFmtId="0" fontId="22" fillId="0" borderId="0" xfId="5" applyFont="1" applyAlignment="1">
      <alignment horizontal="center" vertical="center"/>
    </xf>
    <xf numFmtId="0" fontId="23" fillId="0" borderId="0" xfId="5" applyFont="1"/>
    <xf numFmtId="0" fontId="21" fillId="0" borderId="0" xfId="5" applyFont="1" applyFill="1" applyBorder="1" applyAlignment="1">
      <alignment horizontal="left" vertical="center"/>
    </xf>
    <xf numFmtId="14" fontId="22" fillId="0" borderId="0" xfId="5" applyNumberFormat="1" applyFont="1" applyAlignment="1">
      <alignment horizontal="left"/>
    </xf>
    <xf numFmtId="0" fontId="23" fillId="0" borderId="0" xfId="5" applyFont="1" applyAlignment="1">
      <alignment horizontal="center"/>
    </xf>
    <xf numFmtId="168" fontId="23" fillId="0" borderId="0" xfId="5" applyNumberFormat="1" applyFont="1" applyAlignment="1">
      <alignment horizontal="center"/>
    </xf>
    <xf numFmtId="0" fontId="23" fillId="0" borderId="0" xfId="5" applyFont="1" applyBorder="1"/>
    <xf numFmtId="0" fontId="21" fillId="0" borderId="16" xfId="5" applyFont="1" applyBorder="1" applyAlignment="1">
      <alignment horizontal="center"/>
    </xf>
    <xf numFmtId="0" fontId="23" fillId="0" borderId="0" xfId="0" applyFont="1"/>
    <xf numFmtId="0" fontId="17" fillId="0" borderId="14" xfId="5" applyFont="1" applyBorder="1" applyAlignment="1">
      <alignment horizontal="right" wrapText="1"/>
    </xf>
    <xf numFmtId="0" fontId="17" fillId="0" borderId="19" xfId="5" applyFont="1" applyBorder="1" applyAlignment="1">
      <alignment horizontal="center" vertical="center" wrapText="1"/>
    </xf>
    <xf numFmtId="168" fontId="17" fillId="0" borderId="20" xfId="5" applyNumberFormat="1" applyFont="1" applyBorder="1" applyAlignment="1">
      <alignment horizontal="center" vertical="center" wrapText="1"/>
    </xf>
    <xf numFmtId="0" fontId="17" fillId="0" borderId="14" xfId="5" applyFont="1" applyBorder="1" applyAlignment="1">
      <alignment horizontal="center" vertical="center" wrapText="1"/>
    </xf>
    <xf numFmtId="0" fontId="17" fillId="0" borderId="17" xfId="5" applyFont="1" applyBorder="1" applyAlignment="1">
      <alignment horizontal="center" vertical="center" wrapText="1"/>
    </xf>
    <xf numFmtId="0" fontId="17" fillId="0" borderId="20" xfId="5" applyFont="1" applyBorder="1" applyAlignment="1">
      <alignment horizontal="center" vertical="center" wrapText="1"/>
    </xf>
    <xf numFmtId="4" fontId="24" fillId="0" borderId="21" xfId="5" applyNumberFormat="1" applyFont="1" applyBorder="1" applyAlignment="1">
      <alignment horizontal="right"/>
    </xf>
    <xf numFmtId="168" fontId="24" fillId="0" borderId="22" xfId="5" applyNumberFormat="1" applyFont="1" applyBorder="1" applyAlignment="1">
      <alignment horizontal="center" vertical="center" wrapText="1"/>
    </xf>
    <xf numFmtId="168" fontId="24" fillId="0" borderId="23" xfId="5" applyNumberFormat="1" applyFont="1" applyFill="1" applyBorder="1" applyAlignment="1">
      <alignment horizontal="center" vertical="center"/>
    </xf>
    <xf numFmtId="168" fontId="17" fillId="0" borderId="21" xfId="5" applyNumberFormat="1" applyFont="1" applyFill="1" applyBorder="1" applyAlignment="1">
      <alignment horizontal="center" vertical="center"/>
    </xf>
    <xf numFmtId="168" fontId="17" fillId="0" borderId="24" xfId="5" quotePrefix="1" applyNumberFormat="1" applyFont="1" applyFill="1" applyBorder="1" applyAlignment="1">
      <alignment horizontal="center" vertical="center"/>
    </xf>
    <xf numFmtId="166" fontId="17" fillId="0" borderId="25" xfId="5" quotePrefix="1" applyNumberFormat="1" applyFont="1" applyBorder="1" applyAlignment="1">
      <alignment horizontal="center" vertical="center"/>
    </xf>
    <xf numFmtId="167" fontId="17" fillId="0" borderId="23" xfId="5" quotePrefix="1" applyNumberFormat="1" applyFont="1" applyBorder="1" applyAlignment="1">
      <alignment horizontal="center" vertical="center"/>
    </xf>
    <xf numFmtId="166" fontId="17" fillId="0" borderId="26" xfId="5" applyNumberFormat="1" applyFont="1" applyBorder="1" applyAlignment="1">
      <alignment horizontal="center" vertical="center"/>
    </xf>
    <xf numFmtId="167" fontId="17" fillId="0" borderId="27" xfId="5" applyNumberFormat="1" applyFont="1" applyBorder="1" applyAlignment="1">
      <alignment horizontal="center" vertical="center"/>
    </xf>
    <xf numFmtId="4" fontId="24" fillId="0" borderId="28" xfId="5" applyNumberFormat="1" applyFont="1" applyBorder="1" applyAlignment="1">
      <alignment horizontal="right"/>
    </xf>
    <xf numFmtId="168" fontId="24" fillId="0" borderId="28" xfId="5" applyNumberFormat="1" applyFont="1" applyBorder="1" applyAlignment="1">
      <alignment horizontal="center" vertical="center" wrapText="1"/>
    </xf>
    <xf numFmtId="168" fontId="24" fillId="0" borderId="27" xfId="5" applyNumberFormat="1" applyFont="1" applyFill="1" applyBorder="1" applyAlignment="1">
      <alignment horizontal="center" vertical="center"/>
    </xf>
    <xf numFmtId="168" fontId="17" fillId="0" borderId="29" xfId="5" applyNumberFormat="1" applyFont="1" applyFill="1" applyBorder="1" applyAlignment="1">
      <alignment horizontal="center" vertical="center"/>
    </xf>
    <xf numFmtId="168" fontId="24" fillId="0" borderId="30" xfId="5" applyNumberFormat="1" applyFont="1" applyBorder="1" applyAlignment="1">
      <alignment horizontal="center" vertical="center" wrapText="1"/>
    </xf>
    <xf numFmtId="168" fontId="17" fillId="0" borderId="28" xfId="5" quotePrefix="1" applyNumberFormat="1" applyFont="1" applyFill="1" applyBorder="1" applyAlignment="1">
      <alignment horizontal="center" vertical="center"/>
    </xf>
    <xf numFmtId="4" fontId="24" fillId="0" borderId="29" xfId="5" applyNumberFormat="1" applyFont="1" applyBorder="1" applyAlignment="1">
      <alignment horizontal="right"/>
    </xf>
    <xf numFmtId="4" fontId="24" fillId="0" borderId="31" xfId="5" applyNumberFormat="1" applyFont="1" applyBorder="1" applyAlignment="1">
      <alignment horizontal="right"/>
    </xf>
    <xf numFmtId="168" fontId="24" fillId="0" borderId="32" xfId="5" applyNumberFormat="1" applyFont="1" applyFill="1" applyBorder="1" applyAlignment="1">
      <alignment horizontal="center" vertical="center"/>
    </xf>
    <xf numFmtId="166" fontId="17" fillId="0" borderId="33" xfId="5" applyNumberFormat="1" applyFont="1" applyBorder="1" applyAlignment="1">
      <alignment horizontal="center" vertical="center"/>
    </xf>
    <xf numFmtId="167" fontId="17" fillId="0" borderId="32" xfId="5" applyNumberFormat="1" applyFont="1" applyBorder="1" applyAlignment="1">
      <alignment horizontal="center" vertical="center"/>
    </xf>
    <xf numFmtId="4" fontId="24" fillId="0" borderId="34" xfId="5" applyNumberFormat="1" applyFont="1" applyBorder="1" applyAlignment="1">
      <alignment horizontal="right"/>
    </xf>
    <xf numFmtId="168" fontId="24" fillId="0" borderId="35" xfId="13" applyNumberFormat="1" applyFont="1" applyBorder="1" applyAlignment="1">
      <alignment horizontal="center" vertical="center"/>
    </xf>
    <xf numFmtId="168" fontId="24" fillId="0" borderId="36" xfId="5" applyNumberFormat="1" applyFont="1" applyFill="1" applyBorder="1" applyAlignment="1">
      <alignment horizontal="center" vertical="center"/>
    </xf>
    <xf numFmtId="168" fontId="17" fillId="0" borderId="34" xfId="5" applyNumberFormat="1" applyFont="1" applyFill="1" applyBorder="1" applyAlignment="1">
      <alignment horizontal="center" vertical="center"/>
    </xf>
    <xf numFmtId="168" fontId="17" fillId="0" borderId="37" xfId="5" quotePrefix="1" applyNumberFormat="1" applyFont="1" applyFill="1" applyBorder="1" applyAlignment="1">
      <alignment horizontal="center" vertical="center"/>
    </xf>
    <xf numFmtId="166" fontId="17" fillId="0" borderId="35" xfId="5" applyNumberFormat="1" applyFont="1" applyBorder="1" applyAlignment="1">
      <alignment horizontal="center" vertical="center"/>
    </xf>
    <xf numFmtId="167" fontId="17" fillId="0" borderId="36" xfId="5" applyNumberFormat="1" applyFont="1" applyBorder="1" applyAlignment="1">
      <alignment horizontal="center" vertical="center"/>
    </xf>
    <xf numFmtId="4" fontId="17" fillId="0" borderId="0" xfId="5" applyNumberFormat="1" applyFont="1" applyBorder="1" applyAlignment="1">
      <alignment horizontal="right"/>
    </xf>
    <xf numFmtId="168" fontId="17" fillId="0" borderId="0" xfId="13" applyNumberFormat="1" applyFont="1" applyBorder="1" applyAlignment="1">
      <alignment horizontal="center"/>
    </xf>
    <xf numFmtId="168" fontId="17" fillId="0" borderId="0" xfId="5" applyNumberFormat="1" applyFont="1" applyBorder="1" applyAlignment="1">
      <alignment horizontal="center"/>
    </xf>
    <xf numFmtId="4" fontId="22" fillId="0" borderId="0" xfId="5" applyNumberFormat="1" applyFont="1" applyBorder="1" applyAlignment="1">
      <alignment horizontal="left"/>
    </xf>
    <xf numFmtId="0" fontId="17" fillId="0" borderId="0" xfId="5" applyFont="1" applyBorder="1" applyAlignment="1">
      <alignment horizontal="left"/>
    </xf>
    <xf numFmtId="14" fontId="17" fillId="0" borderId="0" xfId="5" applyNumberFormat="1" applyFont="1" applyBorder="1" applyAlignment="1">
      <alignment horizontal="left"/>
    </xf>
    <xf numFmtId="0" fontId="17" fillId="0" borderId="0" xfId="5" applyFont="1" applyBorder="1" applyAlignment="1">
      <alignment horizontal="center"/>
    </xf>
    <xf numFmtId="0" fontId="24" fillId="0" borderId="0" xfId="5" applyFont="1" applyBorder="1"/>
    <xf numFmtId="0" fontId="24" fillId="0" borderId="0" xfId="5" applyFont="1" applyFill="1" applyBorder="1" applyAlignment="1">
      <alignment horizontal="left"/>
    </xf>
    <xf numFmtId="170" fontId="22" fillId="0" borderId="0" xfId="5" applyNumberFormat="1" applyFont="1" applyFill="1" applyBorder="1" applyAlignment="1">
      <alignment horizont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xf>
    <xf numFmtId="0" fontId="17" fillId="0" borderId="1" xfId="0" applyFont="1" applyFill="1" applyBorder="1" applyAlignment="1">
      <alignment horizontal="center" vertical="center"/>
    </xf>
    <xf numFmtId="0" fontId="24" fillId="0" borderId="1" xfId="5" applyFont="1" applyBorder="1" applyAlignment="1">
      <alignment horizontal="left" vertical="center" wrapText="1"/>
    </xf>
    <xf numFmtId="172" fontId="24" fillId="0" borderId="1" xfId="1" applyNumberFormat="1" applyFont="1" applyBorder="1" applyAlignment="1">
      <alignment horizontal="center" vertical="center"/>
    </xf>
    <xf numFmtId="1" fontId="24" fillId="0" borderId="1" xfId="5" applyNumberFormat="1" applyFont="1" applyBorder="1" applyAlignment="1">
      <alignment horizontal="left" vertical="center" wrapText="1"/>
    </xf>
    <xf numFmtId="168" fontId="24" fillId="0" borderId="1" xfId="5" applyNumberFormat="1" applyFont="1" applyBorder="1" applyAlignment="1">
      <alignment horizontal="center" vertical="center" wrapText="1"/>
    </xf>
    <xf numFmtId="165" fontId="24" fillId="0" borderId="1" xfId="5" applyNumberFormat="1" applyFont="1" applyBorder="1" applyAlignment="1">
      <alignment horizontal="center" vertical="center" wrapText="1"/>
    </xf>
    <xf numFmtId="168" fontId="24" fillId="0" borderId="1" xfId="5" applyNumberFormat="1" applyFont="1" applyBorder="1" applyAlignment="1">
      <alignment horizontal="center" vertical="center"/>
    </xf>
    <xf numFmtId="168" fontId="24" fillId="0" borderId="1" xfId="5" applyNumberFormat="1" applyFont="1" applyFill="1" applyBorder="1" applyAlignment="1">
      <alignment horizontal="center" vertical="center"/>
    </xf>
    <xf numFmtId="0" fontId="24" fillId="0" borderId="0" xfId="5" applyFont="1" applyBorder="1" applyAlignment="1"/>
    <xf numFmtId="0" fontId="24" fillId="0" borderId="0" xfId="5" applyFont="1" applyAlignment="1">
      <alignment horizontal="center"/>
    </xf>
    <xf numFmtId="168" fontId="24" fillId="0" borderId="0" xfId="5" applyNumberFormat="1" applyFont="1" applyAlignment="1">
      <alignment horizontal="center"/>
    </xf>
    <xf numFmtId="0" fontId="24" fillId="0" borderId="0" xfId="5" applyFont="1" applyBorder="1" applyAlignment="1">
      <alignment vertical="center"/>
    </xf>
    <xf numFmtId="0" fontId="24" fillId="0" borderId="0" xfId="5" applyFont="1" applyAlignment="1"/>
    <xf numFmtId="0" fontId="24" fillId="0" borderId="0" xfId="5" applyFont="1" applyFill="1" applyBorder="1" applyAlignment="1">
      <alignment vertical="center"/>
    </xf>
    <xf numFmtId="0" fontId="23" fillId="0" borderId="0" xfId="5" applyFont="1" applyAlignment="1"/>
    <xf numFmtId="0" fontId="21" fillId="0" borderId="0" xfId="0" applyFont="1" applyBorder="1" applyAlignment="1">
      <alignment horizontal="left" vertical="center"/>
    </xf>
    <xf numFmtId="0" fontId="24" fillId="0" borderId="1" xfId="0" applyFont="1" applyBorder="1" applyAlignment="1">
      <alignment horizontal="left" vertical="center"/>
    </xf>
    <xf numFmtId="165" fontId="24" fillId="0" borderId="1" xfId="0" applyNumberFormat="1" applyFont="1" applyBorder="1" applyAlignment="1">
      <alignment horizontal="center" vertical="center"/>
    </xf>
    <xf numFmtId="10"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xf>
    <xf numFmtId="168" fontId="24" fillId="0" borderId="1" xfId="0" applyNumberFormat="1" applyFont="1" applyBorder="1" applyAlignment="1">
      <alignment horizontal="center" vertical="center"/>
    </xf>
    <xf numFmtId="167" fontId="24" fillId="0" borderId="1" xfId="0" applyNumberFormat="1" applyFont="1" applyBorder="1" applyAlignment="1">
      <alignment horizontal="center"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24" fillId="0" borderId="3" xfId="0" applyFont="1" applyBorder="1" applyAlignment="1">
      <alignment horizontal="left" vertical="center" wrapText="1"/>
    </xf>
    <xf numFmtId="168" fontId="24" fillId="0" borderId="1" xfId="0" applyNumberFormat="1" applyFont="1" applyBorder="1" applyAlignment="1">
      <alignment horizontal="right" vertical="center" wrapText="1"/>
    </xf>
    <xf numFmtId="168" fontId="24" fillId="0" borderId="1" xfId="0" applyNumberFormat="1" applyFont="1" applyBorder="1" applyAlignment="1">
      <alignment horizontal="right" vertical="center"/>
    </xf>
    <xf numFmtId="1" fontId="24" fillId="0" borderId="3" xfId="0" applyNumberFormat="1" applyFont="1" applyBorder="1" applyAlignment="1">
      <alignment horizontal="left" vertical="center" wrapText="1"/>
    </xf>
    <xf numFmtId="3" fontId="24" fillId="0" borderId="1" xfId="0" applyNumberFormat="1" applyFont="1" applyBorder="1" applyAlignment="1">
      <alignment horizontal="right" vertical="center"/>
    </xf>
    <xf numFmtId="1" fontId="24" fillId="0" borderId="3" xfId="0" applyNumberFormat="1" applyFont="1" applyBorder="1" applyAlignment="1">
      <alignment horizontal="left" vertical="center"/>
    </xf>
    <xf numFmtId="168" fontId="17" fillId="0" borderId="1" xfId="0" applyNumberFormat="1" applyFont="1" applyBorder="1" applyAlignment="1">
      <alignment horizontal="right" vertical="center" wrapText="1"/>
    </xf>
    <xf numFmtId="0" fontId="17" fillId="0" borderId="1" xfId="0" applyFont="1" applyBorder="1" applyAlignment="1">
      <alignment horizontal="left" vertical="center" wrapText="1"/>
    </xf>
    <xf numFmtId="167" fontId="17" fillId="0" borderId="1" xfId="0" applyNumberFormat="1" applyFont="1" applyBorder="1" applyAlignment="1">
      <alignment horizontal="right" vertical="center" wrapText="1"/>
    </xf>
    <xf numFmtId="1" fontId="24" fillId="0" borderId="3" xfId="15" applyNumberFormat="1" applyFont="1" applyFill="1" applyBorder="1" applyAlignment="1">
      <alignment horizontal="left" vertical="center"/>
    </xf>
    <xf numFmtId="0" fontId="24" fillId="0" borderId="1" xfId="0" applyFont="1" applyBorder="1" applyAlignment="1">
      <alignment horizontal="left" vertical="center" wrapText="1"/>
    </xf>
    <xf numFmtId="167" fontId="24" fillId="0" borderId="1" xfId="0" applyNumberFormat="1" applyFont="1" applyBorder="1" applyAlignment="1">
      <alignment horizontal="right" vertical="center" wrapText="1"/>
    </xf>
    <xf numFmtId="165" fontId="24" fillId="0" borderId="1" xfId="0" applyNumberFormat="1" applyFont="1" applyBorder="1" applyAlignment="1">
      <alignment horizontal="right" vertical="center" wrapText="1"/>
    </xf>
    <xf numFmtId="166" fontId="24" fillId="0" borderId="1" xfId="0" applyNumberFormat="1" applyFont="1" applyBorder="1" applyAlignment="1">
      <alignment horizontal="right" vertical="center"/>
    </xf>
    <xf numFmtId="168" fontId="24" fillId="0" borderId="1" xfId="7" applyNumberFormat="1" applyFont="1" applyBorder="1" applyAlignment="1">
      <alignment horizontal="right" vertical="center"/>
    </xf>
    <xf numFmtId="1" fontId="24" fillId="0" borderId="11" xfId="0" applyNumberFormat="1" applyFont="1" applyBorder="1" applyAlignment="1">
      <alignment horizontal="left" vertical="center"/>
    </xf>
    <xf numFmtId="165" fontId="24" fillId="0" borderId="1" xfId="7" applyNumberFormat="1" applyFont="1" applyBorder="1" applyAlignment="1">
      <alignment horizontal="right" vertical="center"/>
    </xf>
    <xf numFmtId="0" fontId="24" fillId="0" borderId="0" xfId="0" applyFont="1" applyBorder="1" applyAlignment="1">
      <alignment horizontal="left"/>
    </xf>
    <xf numFmtId="0" fontId="24" fillId="0" borderId="0" xfId="0" applyFont="1"/>
    <xf numFmtId="0" fontId="17" fillId="0" borderId="1" xfId="0" applyFont="1" applyBorder="1" applyAlignment="1">
      <alignment horizontal="right" vertical="center" wrapText="1"/>
    </xf>
    <xf numFmtId="0" fontId="17" fillId="0" borderId="1" xfId="0" applyFont="1" applyBorder="1" applyAlignment="1">
      <alignment horizontal="center" vertical="center" wrapText="1"/>
    </xf>
    <xf numFmtId="0" fontId="17" fillId="0" borderId="0" xfId="0" applyFont="1" applyAlignment="1">
      <alignment horizontal="right" wrapText="1"/>
    </xf>
    <xf numFmtId="0" fontId="17" fillId="0" borderId="0" xfId="0" applyFont="1" applyAlignment="1">
      <alignment wrapText="1"/>
    </xf>
    <xf numFmtId="0" fontId="24" fillId="0" borderId="1" xfId="0" applyFont="1" applyBorder="1" applyAlignment="1">
      <alignment horizontal="right" vertical="center" wrapText="1"/>
    </xf>
    <xf numFmtId="168" fontId="24" fillId="0" borderId="1" xfId="0" applyNumberFormat="1" applyFont="1" applyBorder="1" applyAlignment="1">
      <alignment horizontal="center" vertical="center" wrapText="1"/>
    </xf>
    <xf numFmtId="166" fontId="24" fillId="0" borderId="1" xfId="0" applyNumberFormat="1" applyFont="1" applyBorder="1" applyAlignment="1">
      <alignment horizontal="right" vertical="center" wrapText="1"/>
    </xf>
    <xf numFmtId="0" fontId="26" fillId="0" borderId="0" xfId="0" applyFont="1" applyAlignment="1">
      <alignment vertical="center"/>
    </xf>
    <xf numFmtId="0" fontId="24" fillId="0" borderId="1" xfId="0" applyFont="1" applyBorder="1" applyAlignment="1">
      <alignment horizontal="right" vertical="center"/>
    </xf>
    <xf numFmtId="168" fontId="24" fillId="0" borderId="1" xfId="0" applyNumberFormat="1" applyFont="1" applyFill="1" applyBorder="1" applyAlignment="1">
      <alignment horizontal="right" vertical="center"/>
    </xf>
    <xf numFmtId="168" fontId="24" fillId="0" borderId="1" xfId="7" applyNumberFormat="1" applyFont="1" applyFill="1" applyBorder="1" applyAlignment="1">
      <alignment horizontal="right" vertical="center"/>
    </xf>
    <xf numFmtId="169" fontId="24" fillId="0" borderId="1" xfId="7" applyNumberFormat="1" applyFont="1" applyBorder="1" applyAlignment="1">
      <alignment horizontal="righ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xf numFmtId="0" fontId="24" fillId="0" borderId="1" xfId="0" applyFont="1" applyFill="1" applyBorder="1" applyAlignment="1">
      <alignment horizontal="right" vertical="center"/>
    </xf>
    <xf numFmtId="168" fontId="17" fillId="0" borderId="1" xfId="1" applyNumberFormat="1" applyFont="1" applyFill="1" applyBorder="1" applyAlignment="1">
      <alignment horizontal="right" vertical="center"/>
    </xf>
    <xf numFmtId="9" fontId="24" fillId="0" borderId="1" xfId="7" applyFont="1" applyFill="1" applyBorder="1" applyAlignment="1">
      <alignment horizontal="right" vertical="center"/>
    </xf>
    <xf numFmtId="168" fontId="17" fillId="0" borderId="1" xfId="0" applyNumberFormat="1" applyFont="1" applyFill="1" applyBorder="1" applyAlignment="1">
      <alignment horizontal="right" vertical="center"/>
    </xf>
    <xf numFmtId="0" fontId="25" fillId="0" borderId="0" xfId="0" applyFont="1" applyBorder="1"/>
    <xf numFmtId="9" fontId="24" fillId="0" borderId="1" xfId="7" applyNumberFormat="1" applyFont="1" applyFill="1" applyBorder="1" applyAlignment="1">
      <alignment horizontal="right" vertical="center"/>
    </xf>
    <xf numFmtId="166" fontId="24" fillId="0" borderId="1" xfId="7" applyNumberFormat="1" applyFont="1" applyBorder="1" applyAlignment="1">
      <alignment horizontal="right" vertical="center"/>
    </xf>
    <xf numFmtId="165" fontId="24" fillId="0" borderId="0" xfId="7" applyNumberFormat="1" applyFont="1" applyBorder="1"/>
    <xf numFmtId="0" fontId="17" fillId="0" borderId="6" xfId="0" applyFont="1" applyBorder="1" applyAlignment="1">
      <alignment horizontal="left" vertical="center"/>
    </xf>
    <xf numFmtId="0" fontId="17" fillId="0" borderId="7" xfId="0" applyFont="1" applyBorder="1" applyAlignment="1">
      <alignment horizontal="left" vertical="center"/>
    </xf>
    <xf numFmtId="0" fontId="25" fillId="0" borderId="7" xfId="0" applyFont="1" applyBorder="1" applyAlignment="1">
      <alignment horizontal="left"/>
    </xf>
    <xf numFmtId="0" fontId="17" fillId="0" borderId="0" xfId="0" applyFont="1" applyBorder="1" applyAlignment="1">
      <alignment horizontal="center" vertical="center"/>
    </xf>
    <xf numFmtId="0" fontId="25" fillId="0" borderId="0" xfId="0" applyFont="1" applyBorder="1" applyAlignment="1">
      <alignment vertical="center"/>
    </xf>
    <xf numFmtId="0" fontId="24" fillId="0" borderId="0" xfId="0" applyFont="1" applyFill="1" applyBorder="1" applyAlignment="1">
      <alignment vertical="center"/>
    </xf>
    <xf numFmtId="0" fontId="24" fillId="0" borderId="12" xfId="0" applyFont="1" applyFill="1" applyBorder="1" applyAlignment="1">
      <alignment horizontal="right" vertical="center"/>
    </xf>
    <xf numFmtId="0" fontId="24" fillId="0" borderId="0" xfId="0" applyFont="1" applyAlignment="1">
      <alignment horizontal="center"/>
    </xf>
    <xf numFmtId="0" fontId="24" fillId="0" borderId="0" xfId="0" applyFont="1" applyAlignment="1">
      <alignment vertical="center"/>
    </xf>
    <xf numFmtId="0" fontId="24" fillId="0" borderId="0" xfId="0" applyFont="1" applyBorder="1" applyAlignment="1">
      <alignment horizontal="left" vertical="center"/>
    </xf>
    <xf numFmtId="14" fontId="17" fillId="0" borderId="0" xfId="0" applyNumberFormat="1" applyFont="1" applyBorder="1" applyAlignment="1">
      <alignment horizontal="center" vertical="center"/>
    </xf>
    <xf numFmtId="0" fontId="24" fillId="4" borderId="1" xfId="0" applyFont="1" applyFill="1" applyBorder="1" applyAlignment="1">
      <alignment horizontal="left" vertical="center"/>
    </xf>
    <xf numFmtId="0" fontId="24" fillId="4" borderId="1" xfId="0" applyFont="1" applyFill="1" applyBorder="1" applyAlignment="1">
      <alignment horizontal="right" vertical="center"/>
    </xf>
    <xf numFmtId="0" fontId="17" fillId="0" borderId="0" xfId="0" applyFont="1" applyBorder="1"/>
    <xf numFmtId="0" fontId="24" fillId="4" borderId="9" xfId="0" applyFont="1" applyFill="1" applyBorder="1" applyAlignment="1">
      <alignment horizontal="left" vertical="center"/>
    </xf>
    <xf numFmtId="10" fontId="24" fillId="4" borderId="9" xfId="0" applyNumberFormat="1" applyFont="1" applyFill="1" applyBorder="1" applyAlignment="1">
      <alignment horizontal="right" vertical="center"/>
    </xf>
    <xf numFmtId="0" fontId="17" fillId="0" borderId="1" xfId="0" applyFont="1" applyBorder="1" applyAlignment="1">
      <alignment horizontal="left" vertical="center"/>
    </xf>
    <xf numFmtId="0" fontId="24" fillId="0" borderId="1" xfId="0" applyFont="1" applyFill="1" applyBorder="1" applyAlignment="1">
      <alignment vertical="center"/>
    </xf>
    <xf numFmtId="168" fontId="24" fillId="0" borderId="1" xfId="1" applyNumberFormat="1" applyFont="1" applyFill="1" applyBorder="1" applyAlignment="1">
      <alignment horizontal="right" vertical="center"/>
    </xf>
    <xf numFmtId="1" fontId="24" fillId="0" borderId="3" xfId="15" applyNumberFormat="1" applyFont="1" applyFill="1" applyBorder="1" applyAlignment="1">
      <alignment horizontal="left" vertical="center" wrapText="1"/>
    </xf>
    <xf numFmtId="0" fontId="17" fillId="0" borderId="1" xfId="0" applyFont="1" applyFill="1" applyBorder="1" applyAlignment="1">
      <alignment horizontal="left" vertical="center"/>
    </xf>
    <xf numFmtId="165" fontId="17" fillId="0" borderId="1" xfId="7" applyNumberFormat="1" applyFont="1" applyFill="1" applyBorder="1" applyAlignment="1">
      <alignment horizontal="right" vertical="center"/>
    </xf>
    <xf numFmtId="0" fontId="24" fillId="2" borderId="1" xfId="0" applyFont="1" applyFill="1" applyBorder="1" applyAlignment="1">
      <alignment vertical="center"/>
    </xf>
    <xf numFmtId="168" fontId="27" fillId="0" borderId="1" xfId="0" applyNumberFormat="1" applyFont="1" applyFill="1" applyBorder="1" applyAlignment="1">
      <alignment horizontal="right" vertical="center"/>
    </xf>
    <xf numFmtId="0" fontId="24" fillId="3" borderId="1" xfId="0" applyFont="1" applyFill="1" applyBorder="1" applyAlignment="1">
      <alignment vertical="center"/>
    </xf>
    <xf numFmtId="165" fontId="17" fillId="3" borderId="1" xfId="7" applyNumberFormat="1" applyFont="1" applyFill="1" applyBorder="1" applyAlignment="1">
      <alignment horizontal="right" vertical="center"/>
    </xf>
    <xf numFmtId="0" fontId="24" fillId="0" borderId="1" xfId="0"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21" fillId="0" borderId="0" xfId="0" applyFont="1" applyBorder="1" applyAlignment="1">
      <alignment horizontal="left"/>
    </xf>
    <xf numFmtId="0" fontId="23" fillId="0" borderId="0" xfId="0" applyFont="1" applyBorder="1"/>
    <xf numFmtId="0" fontId="28" fillId="0" borderId="1" xfId="0" applyFont="1" applyBorder="1" applyAlignment="1">
      <alignment horizontal="center" vertical="center" wrapText="1"/>
    </xf>
    <xf numFmtId="167" fontId="24" fillId="0" borderId="1" xfId="0" applyNumberFormat="1" applyFont="1" applyBorder="1" applyAlignment="1">
      <alignment horizontal="center" vertical="center" wrapText="1"/>
    </xf>
    <xf numFmtId="167" fontId="29" fillId="0" borderId="1" xfId="0" applyNumberFormat="1" applyFont="1" applyFill="1" applyBorder="1" applyAlignment="1">
      <alignment horizontal="center" vertical="center"/>
    </xf>
    <xf numFmtId="0" fontId="21" fillId="0" borderId="1" xfId="0" applyFont="1" applyBorder="1" applyAlignment="1">
      <alignment horizontal="center" vertical="center"/>
    </xf>
    <xf numFmtId="0" fontId="17" fillId="0" borderId="1" xfId="0" applyFont="1" applyBorder="1" applyAlignment="1">
      <alignment horizontal="left"/>
    </xf>
    <xf numFmtId="0" fontId="24" fillId="0" borderId="8" xfId="0" applyFont="1" applyFill="1" applyBorder="1" applyAlignment="1">
      <alignment horizontal="right" vertical="center"/>
    </xf>
    <xf numFmtId="0" fontId="17" fillId="0" borderId="8" xfId="0" applyFont="1" applyFill="1" applyBorder="1" applyAlignment="1">
      <alignment horizontal="right" vertical="center"/>
    </xf>
    <xf numFmtId="168" fontId="24" fillId="0" borderId="1" xfId="1" applyNumberFormat="1" applyFont="1" applyFill="1" applyBorder="1" applyAlignment="1">
      <alignment vertical="center"/>
    </xf>
    <xf numFmtId="0" fontId="17" fillId="0" borderId="0" xfId="0" applyFont="1" applyFill="1" applyBorder="1" applyAlignment="1">
      <alignment horizontal="left" vertical="center"/>
    </xf>
    <xf numFmtId="0" fontId="21" fillId="0" borderId="0" xfId="5" applyFont="1" applyBorder="1" applyAlignment="1">
      <alignment horizontal="left" vertical="center"/>
    </xf>
    <xf numFmtId="4" fontId="24" fillId="0" borderId="0" xfId="5" applyNumberFormat="1" applyFont="1" applyFill="1" applyBorder="1" applyAlignment="1">
      <alignment horizontal="left" vertical="top" wrapText="1"/>
    </xf>
    <xf numFmtId="0" fontId="17" fillId="0" borderId="1" xfId="35" applyFont="1" applyFill="1" applyBorder="1" applyAlignment="1">
      <alignment horizontal="center" vertical="center"/>
    </xf>
    <xf numFmtId="0" fontId="17" fillId="0" borderId="1" xfId="35" applyFont="1" applyBorder="1" applyAlignment="1">
      <alignment horizontal="center" vertical="center"/>
    </xf>
    <xf numFmtId="0" fontId="24" fillId="0" borderId="1" xfId="35" applyFont="1" applyBorder="1" applyAlignment="1">
      <alignment horizontal="right" vertical="center" wrapText="1"/>
    </xf>
    <xf numFmtId="0" fontId="24" fillId="0" borderId="1" xfId="35" applyFont="1" applyFill="1" applyBorder="1" applyAlignment="1">
      <alignment horizontal="right" vertical="center"/>
    </xf>
    <xf numFmtId="0" fontId="24" fillId="0" borderId="1" xfId="35" applyFont="1" applyBorder="1" applyAlignment="1">
      <alignment horizontal="right" vertical="center"/>
    </xf>
    <xf numFmtId="172" fontId="24" fillId="0" borderId="1" xfId="31" applyNumberFormat="1" applyFont="1" applyBorder="1" applyAlignment="1">
      <alignment horizontal="right" vertical="center"/>
    </xf>
    <xf numFmtId="172" fontId="23" fillId="0" borderId="1" xfId="1" applyNumberFormat="1" applyFont="1" applyBorder="1" applyAlignment="1">
      <alignment horizontal="right" vertical="center"/>
    </xf>
    <xf numFmtId="166" fontId="23" fillId="0" borderId="1" xfId="1" applyNumberFormat="1" applyFont="1" applyBorder="1" applyAlignment="1">
      <alignment horizontal="right" vertical="center"/>
    </xf>
    <xf numFmtId="167" fontId="0" fillId="0" borderId="0" xfId="0" applyNumberFormat="1"/>
    <xf numFmtId="0" fontId="24" fillId="0" borderId="1" xfId="0" applyFont="1" applyBorder="1" applyAlignment="1">
      <alignment horizontal="left" vertical="center"/>
    </xf>
    <xf numFmtId="0" fontId="7" fillId="0" borderId="0" xfId="0" applyFont="1" applyBorder="1" applyAlignment="1">
      <alignment horizontal="left"/>
    </xf>
    <xf numFmtId="0" fontId="24" fillId="0" borderId="2" xfId="5" applyFont="1" applyBorder="1" applyAlignment="1">
      <alignment vertical="top" wrapText="1"/>
    </xf>
    <xf numFmtId="1" fontId="22" fillId="0" borderId="0" xfId="5" quotePrefix="1" applyNumberFormat="1" applyFont="1" applyBorder="1" applyAlignment="1">
      <alignment horizontal="left"/>
    </xf>
    <xf numFmtId="1" fontId="22" fillId="0" borderId="0" xfId="5" applyNumberFormat="1" applyFont="1" applyBorder="1" applyAlignment="1">
      <alignment horizontal="left"/>
    </xf>
    <xf numFmtId="0" fontId="21" fillId="0" borderId="17" xfId="5" applyFont="1" applyBorder="1" applyAlignment="1">
      <alignment horizontal="center"/>
    </xf>
    <xf numFmtId="0" fontId="21" fillId="0" borderId="18" xfId="5" applyFont="1" applyBorder="1" applyAlignment="1">
      <alignment horizontal="center"/>
    </xf>
    <xf numFmtId="0" fontId="21" fillId="0" borderId="15" xfId="5" applyFont="1" applyBorder="1" applyAlignment="1">
      <alignment horizontal="center"/>
    </xf>
    <xf numFmtId="4" fontId="24" fillId="0" borderId="8" xfId="5" applyNumberFormat="1" applyFont="1" applyFill="1" applyBorder="1" applyAlignment="1">
      <alignment horizontal="left" vertical="top" wrapText="1"/>
    </xf>
    <xf numFmtId="4" fontId="24" fillId="0" borderId="13" xfId="5" applyNumberFormat="1" applyFont="1" applyFill="1" applyBorder="1" applyAlignment="1">
      <alignment horizontal="left" vertical="top" wrapText="1"/>
    </xf>
    <xf numFmtId="4" fontId="24" fillId="0" borderId="11" xfId="5" applyNumberFormat="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1" xfId="0" applyFont="1" applyBorder="1" applyAlignment="1">
      <alignment horizontal="left" vertical="center" wrapText="1"/>
    </xf>
    <xf numFmtId="0" fontId="24" fillId="0" borderId="1" xfId="0" applyFont="1" applyBorder="1" applyAlignment="1">
      <alignment vertical="center"/>
    </xf>
    <xf numFmtId="0" fontId="17" fillId="0" borderId="1" xfId="0" applyFont="1" applyBorder="1" applyAlignment="1">
      <alignment horizontal="left" vertical="center"/>
    </xf>
    <xf numFmtId="0" fontId="21" fillId="0" borderId="0" xfId="0" applyFont="1" applyBorder="1" applyAlignment="1">
      <alignment horizontal="left" vertical="center"/>
    </xf>
    <xf numFmtId="168" fontId="24" fillId="0" borderId="9" xfId="7" applyNumberFormat="1" applyFont="1" applyBorder="1" applyAlignment="1">
      <alignment horizontal="center" vertical="center" wrapText="1"/>
    </xf>
    <xf numFmtId="168" fontId="24" fillId="0" borderId="10" xfId="0" applyNumberFormat="1" applyFont="1" applyBorder="1" applyAlignment="1">
      <alignment horizontal="center" vertical="center" wrapText="1"/>
    </xf>
    <xf numFmtId="168" fontId="24" fillId="0" borderId="2" xfId="0" applyNumberFormat="1" applyFont="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24" fillId="0" borderId="1" xfId="0" applyFont="1" applyBorder="1" applyAlignment="1">
      <alignment horizontal="left" vertical="center"/>
    </xf>
    <xf numFmtId="168" fontId="24" fillId="0" borderId="1" xfId="0" applyNumberFormat="1" applyFont="1" applyFill="1" applyBorder="1" applyAlignment="1">
      <alignment horizontal="left" vertical="center"/>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0" fontId="18" fillId="0" borderId="1" xfId="0" applyFont="1" applyFill="1" applyBorder="1" applyAlignment="1">
      <alignment horizontal="left" vertical="center"/>
    </xf>
    <xf numFmtId="0" fontId="18" fillId="0" borderId="1" xfId="0" applyFont="1" applyBorder="1" applyAlignment="1">
      <alignment vertical="top" wrapText="1"/>
    </xf>
    <xf numFmtId="0" fontId="21" fillId="4" borderId="1" xfId="0" applyFont="1" applyFill="1" applyBorder="1" applyAlignment="1">
      <alignment horizontal="center" vertical="center"/>
    </xf>
  </cellXfs>
  <cellStyles count="38">
    <cellStyle name="Comma" xfId="1" builtinId="3"/>
    <cellStyle name="Comma 2" xfId="2"/>
    <cellStyle name="Comma 2 2" xfId="9"/>
    <cellStyle name="Comma 2 2 2" xfId="25"/>
    <cellStyle name="Comma 2 3" xfId="30"/>
    <cellStyle name="Comma 2 4" xfId="20"/>
    <cellStyle name="Comma 3" xfId="8"/>
    <cellStyle name="Comma 3 2" xfId="31"/>
    <cellStyle name="Comma 3 3" xfId="24"/>
    <cellStyle name="Currency 2" xfId="10"/>
    <cellStyle name="Currency 2 2" xfId="33"/>
    <cellStyle name="Currency 2 3" xfId="26"/>
    <cellStyle name="Currency 3" xfId="34"/>
    <cellStyle name="Currency 4" xfId="32"/>
    <cellStyle name="Normal" xfId="0" builtinId="0"/>
    <cellStyle name="Normal 10 2" xfId="18"/>
    <cellStyle name="Normal 2" xfId="3"/>
    <cellStyle name="Normal 2 2" xfId="4"/>
    <cellStyle name="Normal 2 2 2" xfId="19"/>
    <cellStyle name="Normal 2 3" xfId="11"/>
    <cellStyle name="Normal 2 3 2" xfId="27"/>
    <cellStyle name="Normal 2 4" xfId="21"/>
    <cellStyle name="Normal 3" xfId="14"/>
    <cellStyle name="Normal 3 7" xfId="16"/>
    <cellStyle name="Normal 4" xfId="15"/>
    <cellStyle name="Normal 4 3" xfId="5"/>
    <cellStyle name="Normal 4 3 2" xfId="35"/>
    <cellStyle name="Normal 4 3 3" xfId="22"/>
    <cellStyle name="Normal 6" xfId="6"/>
    <cellStyle name="Normal 6 2" xfId="12"/>
    <cellStyle name="Normal 6 2 2" xfId="28"/>
    <cellStyle name="Normal 6 3" xfId="36"/>
    <cellStyle name="Normal 6 4" xfId="23"/>
    <cellStyle name="Normal 6 7" xfId="17"/>
    <cellStyle name="Percent" xfId="7" builtinId="5"/>
    <cellStyle name="Percent 2" xfId="13"/>
    <cellStyle name="Percent 2 2" xfId="37"/>
    <cellStyle name="Percent 2 3"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workbookViewId="0"/>
  </sheetViews>
  <sheetFormatPr defaultRowHeight="12.75" x14ac:dyDescent="0.2"/>
  <cols>
    <col min="1" max="1" width="20.7109375" customWidth="1"/>
    <col min="2" max="37" width="15.7109375" customWidth="1"/>
  </cols>
  <sheetData>
    <row r="1" spans="1:14" ht="20.100000000000001" customHeight="1" x14ac:dyDescent="0.2">
      <c r="A1" s="25" t="s">
        <v>177</v>
      </c>
      <c r="B1" s="25"/>
      <c r="C1" s="25"/>
      <c r="D1" s="25"/>
      <c r="E1" s="25"/>
      <c r="F1" s="25"/>
      <c r="G1" s="25"/>
      <c r="H1" s="25"/>
      <c r="I1" s="22">
        <v>43000</v>
      </c>
      <c r="J1" s="23" t="s">
        <v>12</v>
      </c>
      <c r="K1" s="23" t="s">
        <v>12</v>
      </c>
      <c r="L1" s="24"/>
      <c r="M1" s="24"/>
      <c r="N1" s="24"/>
    </row>
    <row r="2" spans="1:14" ht="20.100000000000001" customHeight="1" x14ac:dyDescent="0.25">
      <c r="A2" s="25" t="s">
        <v>152</v>
      </c>
      <c r="B2" s="25"/>
      <c r="C2" s="25"/>
      <c r="D2" s="25"/>
      <c r="E2" s="25"/>
      <c r="F2" s="25"/>
      <c r="G2" s="25"/>
      <c r="H2" s="25"/>
      <c r="I2" s="26"/>
      <c r="J2" s="27"/>
      <c r="K2" s="24"/>
      <c r="L2" s="24"/>
      <c r="M2" s="24"/>
      <c r="N2" s="24"/>
    </row>
    <row r="3" spans="1:14" ht="20.100000000000001" customHeight="1" thickBot="1" x14ac:dyDescent="0.3">
      <c r="A3" s="198">
        <v>54202538</v>
      </c>
      <c r="B3" s="199"/>
      <c r="C3" s="27"/>
      <c r="D3" s="28" t="s">
        <v>12</v>
      </c>
      <c r="E3" s="27"/>
      <c r="F3" s="27"/>
      <c r="G3" s="27"/>
      <c r="H3" s="27"/>
      <c r="I3" s="27"/>
      <c r="J3" s="27"/>
      <c r="K3" s="24"/>
      <c r="L3" s="24"/>
      <c r="M3" s="24"/>
      <c r="N3" s="24"/>
    </row>
    <row r="4" spans="1:14" ht="20.100000000000001" customHeight="1" thickBot="1" x14ac:dyDescent="0.35">
      <c r="A4" s="29"/>
      <c r="B4" s="30"/>
      <c r="C4" s="30"/>
      <c r="D4" s="30"/>
      <c r="E4" s="30"/>
      <c r="F4" s="200" t="s">
        <v>185</v>
      </c>
      <c r="G4" s="201"/>
      <c r="H4" s="201"/>
      <c r="I4" s="201"/>
      <c r="J4" s="201"/>
      <c r="K4" s="201"/>
      <c r="L4" s="201"/>
      <c r="M4" s="202"/>
      <c r="N4" s="31"/>
    </row>
    <row r="5" spans="1:14" ht="60" customHeight="1" thickBot="1" x14ac:dyDescent="0.3">
      <c r="A5" s="32" t="s">
        <v>153</v>
      </c>
      <c r="B5" s="33" t="s">
        <v>154</v>
      </c>
      <c r="C5" s="34" t="s">
        <v>155</v>
      </c>
      <c r="D5" s="35" t="s">
        <v>184</v>
      </c>
      <c r="E5" s="36" t="s">
        <v>156</v>
      </c>
      <c r="F5" s="33" t="s">
        <v>134</v>
      </c>
      <c r="G5" s="37" t="s">
        <v>157</v>
      </c>
      <c r="H5" s="33" t="s">
        <v>135</v>
      </c>
      <c r="I5" s="37" t="s">
        <v>158</v>
      </c>
      <c r="J5" s="33" t="s">
        <v>136</v>
      </c>
      <c r="K5" s="37" t="s">
        <v>159</v>
      </c>
      <c r="L5" s="33" t="s">
        <v>137</v>
      </c>
      <c r="M5" s="37" t="s">
        <v>160</v>
      </c>
      <c r="N5" s="31"/>
    </row>
    <row r="6" spans="1:14" ht="20.100000000000001" customHeight="1" x14ac:dyDescent="0.25">
      <c r="A6" s="38" t="s">
        <v>161</v>
      </c>
      <c r="B6" s="39">
        <f>'1st IA Configuration'!B8-'1st IA Configuration'!C8-'1st IA Configuration'!J8-'1st IA Configuration'!L8</f>
        <v>-914.36280000000261</v>
      </c>
      <c r="C6" s="40" t="s">
        <v>24</v>
      </c>
      <c r="D6" s="41">
        <f t="shared" ref="D6:D18" si="0">ROUND(SUM(B6:C6),1)</f>
        <v>-914.4</v>
      </c>
      <c r="E6" s="42" t="s">
        <v>181</v>
      </c>
      <c r="F6" s="43">
        <v>0</v>
      </c>
      <c r="G6" s="44">
        <v>0</v>
      </c>
      <c r="H6" s="43">
        <f>-D6</f>
        <v>914.4</v>
      </c>
      <c r="I6" s="44">
        <v>0</v>
      </c>
      <c r="J6" s="45" t="s">
        <v>163</v>
      </c>
      <c r="K6" s="46" t="s">
        <v>163</v>
      </c>
      <c r="L6" s="45" t="s">
        <v>163</v>
      </c>
      <c r="M6" s="46" t="s">
        <v>163</v>
      </c>
      <c r="N6" s="31"/>
    </row>
    <row r="7" spans="1:14" ht="20.100000000000001" customHeight="1" x14ac:dyDescent="0.25">
      <c r="A7" s="47" t="s">
        <v>164</v>
      </c>
      <c r="B7" s="48">
        <f>'1st IA Configuration'!C8-'1st IA Configuration'!D8-'1st IA Configuration'!E8-'1st IA Configuration'!N8</f>
        <v>-112</v>
      </c>
      <c r="C7" s="49" t="s">
        <v>24</v>
      </c>
      <c r="D7" s="50">
        <f t="shared" si="0"/>
        <v>-112</v>
      </c>
      <c r="E7" s="52" t="s">
        <v>181</v>
      </c>
      <c r="F7" s="45">
        <v>0</v>
      </c>
      <c r="G7" s="46">
        <v>0</v>
      </c>
      <c r="H7" s="45">
        <f>-D7</f>
        <v>112</v>
      </c>
      <c r="I7" s="46">
        <v>0</v>
      </c>
      <c r="J7" s="45" t="s">
        <v>163</v>
      </c>
      <c r="K7" s="46" t="s">
        <v>163</v>
      </c>
      <c r="L7" s="45" t="s">
        <v>163</v>
      </c>
      <c r="M7" s="46" t="s">
        <v>163</v>
      </c>
      <c r="N7" s="31"/>
    </row>
    <row r="8" spans="1:14" ht="20.100000000000001" customHeight="1" x14ac:dyDescent="0.25">
      <c r="A8" s="47" t="s">
        <v>165</v>
      </c>
      <c r="B8" s="51">
        <f>'1st IA Configuration'!D8-'1st IA Configuration'!F8-'1st IA Configuration'!H8</f>
        <v>-222</v>
      </c>
      <c r="C8" s="49" t="s">
        <v>24</v>
      </c>
      <c r="D8" s="50">
        <f t="shared" si="0"/>
        <v>-222</v>
      </c>
      <c r="E8" s="52" t="s">
        <v>181</v>
      </c>
      <c r="F8" s="45">
        <v>0</v>
      </c>
      <c r="G8" s="46">
        <v>21.79</v>
      </c>
      <c r="H8" s="45">
        <f>-D8</f>
        <v>222</v>
      </c>
      <c r="I8" s="46">
        <v>46.99</v>
      </c>
      <c r="J8" s="45" t="s">
        <v>163</v>
      </c>
      <c r="K8" s="46" t="s">
        <v>163</v>
      </c>
      <c r="L8" s="45" t="s">
        <v>163</v>
      </c>
      <c r="M8" s="46" t="s">
        <v>163</v>
      </c>
      <c r="N8" s="31"/>
    </row>
    <row r="9" spans="1:14" ht="20.100000000000001" customHeight="1" x14ac:dyDescent="0.25">
      <c r="A9" s="47" t="s">
        <v>166</v>
      </c>
      <c r="B9" s="48">
        <f>'1st IA Configuration'!E8-'1st IA Configuration'!I8-'1st IA Configuration'!M8</f>
        <v>-60</v>
      </c>
      <c r="C9" s="49" t="s">
        <v>24</v>
      </c>
      <c r="D9" s="50">
        <f t="shared" si="0"/>
        <v>-60</v>
      </c>
      <c r="E9" s="52" t="s">
        <v>181</v>
      </c>
      <c r="F9" s="45">
        <v>0</v>
      </c>
      <c r="G9" s="46">
        <v>0</v>
      </c>
      <c r="H9" s="45">
        <f>-D9</f>
        <v>60</v>
      </c>
      <c r="I9" s="46">
        <v>0</v>
      </c>
      <c r="J9" s="45" t="s">
        <v>163</v>
      </c>
      <c r="K9" s="46" t="s">
        <v>163</v>
      </c>
      <c r="L9" s="45" t="s">
        <v>163</v>
      </c>
      <c r="M9" s="46" t="s">
        <v>163</v>
      </c>
      <c r="N9" s="31"/>
    </row>
    <row r="10" spans="1:14" ht="20.100000000000001" customHeight="1" x14ac:dyDescent="0.25">
      <c r="A10" s="47" t="s">
        <v>167</v>
      </c>
      <c r="B10" s="48">
        <f>'1st IA Configuration'!F8-'1st IA Configuration'!G8</f>
        <v>-19</v>
      </c>
      <c r="C10" s="49" t="s">
        <v>24</v>
      </c>
      <c r="D10" s="50">
        <f t="shared" si="0"/>
        <v>-19</v>
      </c>
      <c r="E10" s="52" t="s">
        <v>181</v>
      </c>
      <c r="F10" s="45">
        <v>0</v>
      </c>
      <c r="G10" s="46">
        <v>0</v>
      </c>
      <c r="H10" s="45">
        <f>-D10</f>
        <v>19</v>
      </c>
      <c r="I10" s="46">
        <v>0</v>
      </c>
      <c r="J10" s="45" t="s">
        <v>163</v>
      </c>
      <c r="K10" s="46" t="s">
        <v>163</v>
      </c>
      <c r="L10" s="45" t="s">
        <v>163</v>
      </c>
      <c r="M10" s="46" t="s">
        <v>163</v>
      </c>
      <c r="N10" s="31"/>
    </row>
    <row r="11" spans="1:14" ht="20.100000000000001" customHeight="1" x14ac:dyDescent="0.25">
      <c r="A11" s="47" t="s">
        <v>42</v>
      </c>
      <c r="B11" s="48">
        <f>'1st IA Configuration'!G8</f>
        <v>-332</v>
      </c>
      <c r="C11" s="49" t="s">
        <v>24</v>
      </c>
      <c r="D11" s="50">
        <f t="shared" si="0"/>
        <v>-332</v>
      </c>
      <c r="E11" s="52" t="s">
        <v>181</v>
      </c>
      <c r="F11" s="45">
        <v>0</v>
      </c>
      <c r="G11" s="46">
        <v>0</v>
      </c>
      <c r="H11" s="45">
        <v>197.4</v>
      </c>
      <c r="I11" s="46">
        <v>0</v>
      </c>
      <c r="J11" s="45">
        <f>-D11</f>
        <v>332</v>
      </c>
      <c r="K11" s="46">
        <v>100.11</v>
      </c>
      <c r="L11" s="45" t="s">
        <v>163</v>
      </c>
      <c r="M11" s="46" t="s">
        <v>163</v>
      </c>
      <c r="N11" s="31"/>
    </row>
    <row r="12" spans="1:14" ht="20.100000000000001" customHeight="1" x14ac:dyDescent="0.25">
      <c r="A12" s="53" t="s">
        <v>43</v>
      </c>
      <c r="B12" s="48">
        <f>'1st IA Configuration'!H8</f>
        <v>-37</v>
      </c>
      <c r="C12" s="49" t="s">
        <v>24</v>
      </c>
      <c r="D12" s="50">
        <f t="shared" si="0"/>
        <v>-37</v>
      </c>
      <c r="E12" s="52" t="s">
        <v>181</v>
      </c>
      <c r="F12" s="45">
        <v>0</v>
      </c>
      <c r="G12" s="46">
        <v>68.39</v>
      </c>
      <c r="H12" s="45">
        <f>-D12</f>
        <v>37</v>
      </c>
      <c r="I12" s="46">
        <v>115.95</v>
      </c>
      <c r="J12" s="45" t="s">
        <v>163</v>
      </c>
      <c r="K12" s="46" t="s">
        <v>163</v>
      </c>
      <c r="L12" s="45" t="s">
        <v>163</v>
      </c>
      <c r="M12" s="46" t="s">
        <v>163</v>
      </c>
      <c r="N12" s="31"/>
    </row>
    <row r="13" spans="1:14" ht="20.100000000000001" customHeight="1" x14ac:dyDescent="0.25">
      <c r="A13" s="54" t="s">
        <v>7</v>
      </c>
      <c r="B13" s="48">
        <f>'1st IA Configuration'!I8</f>
        <v>-28</v>
      </c>
      <c r="C13" s="55" t="s">
        <v>24</v>
      </c>
      <c r="D13" s="50">
        <f t="shared" si="0"/>
        <v>-28</v>
      </c>
      <c r="E13" s="52" t="s">
        <v>181</v>
      </c>
      <c r="F13" s="45">
        <v>0</v>
      </c>
      <c r="G13" s="46">
        <v>27.13</v>
      </c>
      <c r="H13" s="45">
        <f t="shared" ref="H13:H16" si="1">-D13</f>
        <v>28</v>
      </c>
      <c r="I13" s="46">
        <v>39.729999999999997</v>
      </c>
      <c r="J13" s="45" t="s">
        <v>163</v>
      </c>
      <c r="K13" s="46" t="s">
        <v>163</v>
      </c>
      <c r="L13" s="45" t="s">
        <v>163</v>
      </c>
      <c r="M13" s="46" t="s">
        <v>163</v>
      </c>
      <c r="N13" s="31"/>
    </row>
    <row r="14" spans="1:14" ht="20.100000000000001" customHeight="1" x14ac:dyDescent="0.25">
      <c r="A14" s="54" t="s">
        <v>168</v>
      </c>
      <c r="B14" s="48">
        <f>'1st IA Configuration'!J8-'1st IA Configuration'!K8</f>
        <v>60</v>
      </c>
      <c r="C14" s="55" t="s">
        <v>24</v>
      </c>
      <c r="D14" s="50">
        <v>0</v>
      </c>
      <c r="E14" s="52" t="s">
        <v>162</v>
      </c>
      <c r="F14" s="45" t="s">
        <v>163</v>
      </c>
      <c r="G14" s="46" t="s">
        <v>163</v>
      </c>
      <c r="H14" s="45" t="s">
        <v>163</v>
      </c>
      <c r="I14" s="46" t="s">
        <v>163</v>
      </c>
      <c r="J14" s="45" t="s">
        <v>163</v>
      </c>
      <c r="K14" s="46" t="s">
        <v>163</v>
      </c>
      <c r="L14" s="45" t="s">
        <v>163</v>
      </c>
      <c r="M14" s="46" t="s">
        <v>163</v>
      </c>
      <c r="N14" s="31"/>
    </row>
    <row r="15" spans="1:14" ht="20.100000000000001" customHeight="1" x14ac:dyDescent="0.25">
      <c r="A15" s="54" t="s">
        <v>61</v>
      </c>
      <c r="B15" s="48">
        <f>'1st IA Configuration'!K8</f>
        <v>-109</v>
      </c>
      <c r="C15" s="55" t="s">
        <v>24</v>
      </c>
      <c r="D15" s="50">
        <f>ROUND(B15+B14,1)</f>
        <v>-49</v>
      </c>
      <c r="E15" s="52" t="s">
        <v>181</v>
      </c>
      <c r="F15" s="56">
        <v>0</v>
      </c>
      <c r="G15" s="57">
        <v>23.2</v>
      </c>
      <c r="H15" s="56">
        <f t="shared" si="1"/>
        <v>49</v>
      </c>
      <c r="I15" s="57">
        <v>55.87</v>
      </c>
      <c r="J15" s="45" t="s">
        <v>163</v>
      </c>
      <c r="K15" s="46" t="s">
        <v>163</v>
      </c>
      <c r="L15" s="45" t="s">
        <v>163</v>
      </c>
      <c r="M15" s="46" t="s">
        <v>163</v>
      </c>
      <c r="N15" s="31"/>
    </row>
    <row r="16" spans="1:14" ht="20.100000000000001" customHeight="1" x14ac:dyDescent="0.25">
      <c r="A16" s="54" t="s">
        <v>18</v>
      </c>
      <c r="B16" s="48">
        <f>'1st IA Configuration'!L8</f>
        <v>-204</v>
      </c>
      <c r="C16" s="55" t="s">
        <v>24</v>
      </c>
      <c r="D16" s="50">
        <f t="shared" si="0"/>
        <v>-204</v>
      </c>
      <c r="E16" s="52" t="s">
        <v>181</v>
      </c>
      <c r="F16" s="56">
        <v>0</v>
      </c>
      <c r="G16" s="57">
        <v>29.4</v>
      </c>
      <c r="H16" s="56">
        <f t="shared" si="1"/>
        <v>204</v>
      </c>
      <c r="I16" s="57">
        <v>67.150000000000006</v>
      </c>
      <c r="J16" s="45" t="s">
        <v>163</v>
      </c>
      <c r="K16" s="46" t="s">
        <v>163</v>
      </c>
      <c r="L16" s="45" t="s">
        <v>163</v>
      </c>
      <c r="M16" s="46" t="s">
        <v>163</v>
      </c>
      <c r="N16" s="31"/>
    </row>
    <row r="17" spans="1:15" ht="20.100000000000001" customHeight="1" x14ac:dyDescent="0.25">
      <c r="A17" s="54" t="s">
        <v>3</v>
      </c>
      <c r="B17" s="48">
        <f>'1st IA Configuration'!M8</f>
        <v>-247</v>
      </c>
      <c r="C17" s="55" t="s">
        <v>24</v>
      </c>
      <c r="D17" s="50">
        <f t="shared" si="0"/>
        <v>-247</v>
      </c>
      <c r="E17" s="52" t="s">
        <v>181</v>
      </c>
      <c r="F17" s="56">
        <v>0</v>
      </c>
      <c r="G17" s="57">
        <v>0</v>
      </c>
      <c r="H17" s="56">
        <v>204.8</v>
      </c>
      <c r="I17" s="57">
        <v>0</v>
      </c>
      <c r="J17" s="45">
        <f>-D17</f>
        <v>247</v>
      </c>
      <c r="K17" s="46">
        <v>16.54</v>
      </c>
      <c r="L17" s="45" t="s">
        <v>163</v>
      </c>
      <c r="M17" s="46" t="s">
        <v>163</v>
      </c>
      <c r="N17" s="31"/>
    </row>
    <row r="18" spans="1:15" ht="20.100000000000001" customHeight="1" thickBot="1" x14ac:dyDescent="0.3">
      <c r="A18" s="58" t="s">
        <v>72</v>
      </c>
      <c r="B18" s="59">
        <f>'1st IA Configuration'!N8</f>
        <v>-255</v>
      </c>
      <c r="C18" s="60" t="s">
        <v>24</v>
      </c>
      <c r="D18" s="61">
        <f t="shared" si="0"/>
        <v>-255</v>
      </c>
      <c r="E18" s="62" t="s">
        <v>181</v>
      </c>
      <c r="F18" s="63">
        <v>0</v>
      </c>
      <c r="G18" s="64">
        <v>0</v>
      </c>
      <c r="H18" s="63">
        <v>79.7</v>
      </c>
      <c r="I18" s="64">
        <v>0</v>
      </c>
      <c r="J18" s="63">
        <f>-D18</f>
        <v>255</v>
      </c>
      <c r="K18" s="64">
        <v>69.989999999999995</v>
      </c>
      <c r="L18" s="63" t="s">
        <v>163</v>
      </c>
      <c r="M18" s="64" t="s">
        <v>163</v>
      </c>
      <c r="N18" s="31"/>
    </row>
    <row r="19" spans="1:15" ht="20.100000000000001" customHeight="1" x14ac:dyDescent="0.25">
      <c r="A19" s="65" t="s">
        <v>169</v>
      </c>
      <c r="B19" s="66">
        <f>SUM(B6:B18)</f>
        <v>-2479.3628000000026</v>
      </c>
      <c r="C19" s="67" t="s">
        <v>24</v>
      </c>
      <c r="D19" s="66">
        <f>SUM(D6:D18)</f>
        <v>-2479.4</v>
      </c>
      <c r="E19" s="67"/>
      <c r="F19" s="28" t="s">
        <v>12</v>
      </c>
      <c r="G19" s="27"/>
      <c r="H19" s="27"/>
      <c r="I19" s="24"/>
      <c r="J19" s="24"/>
      <c r="K19" s="24"/>
      <c r="L19" s="24"/>
      <c r="M19" s="24"/>
      <c r="N19" s="31"/>
    </row>
    <row r="20" spans="1:15" ht="20.100000000000001" customHeight="1" x14ac:dyDescent="0.25">
      <c r="A20" s="68" t="s">
        <v>12</v>
      </c>
      <c r="B20" s="66"/>
      <c r="C20" s="67"/>
      <c r="D20" s="67"/>
      <c r="E20" s="67"/>
      <c r="F20" s="67"/>
      <c r="G20" s="27"/>
      <c r="H20" s="27"/>
      <c r="I20" s="27"/>
      <c r="J20" s="24"/>
      <c r="K20" s="31"/>
      <c r="L20" s="31"/>
      <c r="M20" s="31"/>
      <c r="N20" s="31"/>
    </row>
    <row r="21" spans="1:15" ht="20.100000000000001" customHeight="1" x14ac:dyDescent="0.2">
      <c r="A21" s="203" t="s">
        <v>186</v>
      </c>
      <c r="B21" s="204"/>
      <c r="C21" s="204"/>
      <c r="D21" s="204"/>
      <c r="E21" s="204"/>
      <c r="F21" s="204"/>
      <c r="G21" s="204"/>
      <c r="H21" s="204"/>
      <c r="I21" s="204"/>
      <c r="J21" s="204"/>
      <c r="K21" s="204"/>
      <c r="L21" s="204"/>
      <c r="M21" s="205"/>
      <c r="N21" s="185"/>
    </row>
    <row r="22" spans="1:15" ht="50.1" customHeight="1" x14ac:dyDescent="0.2">
      <c r="A22" s="197" t="s">
        <v>187</v>
      </c>
      <c r="B22" s="197"/>
      <c r="C22" s="197"/>
      <c r="D22" s="197"/>
      <c r="E22" s="197"/>
      <c r="F22" s="197"/>
      <c r="G22" s="197"/>
      <c r="H22" s="197"/>
      <c r="I22" s="197"/>
      <c r="J22" s="197"/>
      <c r="K22" s="197"/>
      <c r="L22" s="197"/>
      <c r="M22" s="197"/>
      <c r="N22" s="31"/>
    </row>
    <row r="24" spans="1:15" x14ac:dyDescent="0.2">
      <c r="A24" t="s">
        <v>189</v>
      </c>
      <c r="C24" t="s">
        <v>12</v>
      </c>
      <c r="D24" t="s">
        <v>12</v>
      </c>
      <c r="E24" t="s">
        <v>12</v>
      </c>
      <c r="F24" t="s">
        <v>12</v>
      </c>
      <c r="G24" t="s">
        <v>12</v>
      </c>
      <c r="H24" t="s">
        <v>12</v>
      </c>
      <c r="I24" t="s">
        <v>12</v>
      </c>
      <c r="J24" t="s">
        <v>12</v>
      </c>
      <c r="K24" t="s">
        <v>12</v>
      </c>
      <c r="L24" t="s">
        <v>12</v>
      </c>
      <c r="M24" t="s">
        <v>12</v>
      </c>
      <c r="N24" t="s">
        <v>12</v>
      </c>
      <c r="O24" t="s">
        <v>12</v>
      </c>
    </row>
    <row r="25" spans="1:15" x14ac:dyDescent="0.2">
      <c r="A25" t="s">
        <v>190</v>
      </c>
      <c r="C25" t="s">
        <v>12</v>
      </c>
      <c r="D25" t="s">
        <v>12</v>
      </c>
      <c r="E25" t="s">
        <v>12</v>
      </c>
      <c r="F25" t="s">
        <v>12</v>
      </c>
      <c r="G25" t="s">
        <v>12</v>
      </c>
      <c r="H25" t="s">
        <v>12</v>
      </c>
      <c r="I25" t="s">
        <v>12</v>
      </c>
      <c r="J25" t="s">
        <v>12</v>
      </c>
      <c r="K25" t="s">
        <v>12</v>
      </c>
      <c r="L25" t="s">
        <v>12</v>
      </c>
      <c r="M25" t="s">
        <v>12</v>
      </c>
      <c r="N25" t="s">
        <v>12</v>
      </c>
      <c r="O25" t="s">
        <v>12</v>
      </c>
    </row>
    <row r="26" spans="1:15" x14ac:dyDescent="0.2">
      <c r="A26" t="s">
        <v>191</v>
      </c>
      <c r="D26" t="s">
        <v>12</v>
      </c>
      <c r="E26" t="s">
        <v>12</v>
      </c>
      <c r="F26" t="s">
        <v>12</v>
      </c>
      <c r="G26" t="s">
        <v>12</v>
      </c>
      <c r="H26" t="s">
        <v>12</v>
      </c>
      <c r="I26" t="s">
        <v>12</v>
      </c>
      <c r="J26" t="s">
        <v>12</v>
      </c>
      <c r="K26" t="s">
        <v>12</v>
      </c>
      <c r="L26" t="s">
        <v>12</v>
      </c>
      <c r="M26" t="s">
        <v>12</v>
      </c>
      <c r="N26" t="s">
        <v>12</v>
      </c>
      <c r="O26" t="s">
        <v>12</v>
      </c>
    </row>
    <row r="27" spans="1:15" x14ac:dyDescent="0.2">
      <c r="A27" s="8" t="s">
        <v>197</v>
      </c>
      <c r="D27" t="s">
        <v>12</v>
      </c>
      <c r="E27" t="s">
        <v>12</v>
      </c>
      <c r="F27" t="s">
        <v>12</v>
      </c>
      <c r="G27" t="s">
        <v>12</v>
      </c>
      <c r="H27" t="s">
        <v>12</v>
      </c>
      <c r="I27" t="s">
        <v>12</v>
      </c>
      <c r="J27" t="s">
        <v>12</v>
      </c>
      <c r="K27" t="s">
        <v>12</v>
      </c>
      <c r="L27" t="s">
        <v>12</v>
      </c>
      <c r="M27" t="s">
        <v>12</v>
      </c>
      <c r="N27" t="s">
        <v>12</v>
      </c>
      <c r="O27" t="s">
        <v>12</v>
      </c>
    </row>
    <row r="28" spans="1:15" x14ac:dyDescent="0.2">
      <c r="C28" t="s">
        <v>12</v>
      </c>
      <c r="D28" t="s">
        <v>12</v>
      </c>
      <c r="E28" t="s">
        <v>12</v>
      </c>
      <c r="F28" t="s">
        <v>12</v>
      </c>
      <c r="G28" t="s">
        <v>12</v>
      </c>
      <c r="H28" t="s">
        <v>12</v>
      </c>
      <c r="I28" t="s">
        <v>12</v>
      </c>
      <c r="J28" t="s">
        <v>12</v>
      </c>
      <c r="K28" t="s">
        <v>12</v>
      </c>
      <c r="L28" t="s">
        <v>12</v>
      </c>
      <c r="M28" t="s">
        <v>12</v>
      </c>
      <c r="N28" t="s">
        <v>12</v>
      </c>
      <c r="O28" t="s">
        <v>12</v>
      </c>
    </row>
    <row r="29" spans="1:15" x14ac:dyDescent="0.2">
      <c r="C29" t="s">
        <v>12</v>
      </c>
      <c r="D29" t="s">
        <v>12</v>
      </c>
      <c r="E29" t="s">
        <v>12</v>
      </c>
      <c r="F29" t="s">
        <v>12</v>
      </c>
      <c r="G29" t="s">
        <v>12</v>
      </c>
      <c r="H29" t="s">
        <v>12</v>
      </c>
      <c r="I29" t="s">
        <v>12</v>
      </c>
      <c r="J29" t="s">
        <v>12</v>
      </c>
      <c r="K29" t="s">
        <v>12</v>
      </c>
      <c r="L29" t="s">
        <v>12</v>
      </c>
      <c r="M29" t="s">
        <v>12</v>
      </c>
      <c r="N29" t="s">
        <v>12</v>
      </c>
      <c r="O29" t="s">
        <v>12</v>
      </c>
    </row>
    <row r="30" spans="1:15" x14ac:dyDescent="0.2">
      <c r="C30" t="s">
        <v>12</v>
      </c>
      <c r="D30" t="s">
        <v>12</v>
      </c>
      <c r="E30" t="s">
        <v>12</v>
      </c>
      <c r="F30" t="s">
        <v>12</v>
      </c>
      <c r="G30" t="s">
        <v>12</v>
      </c>
      <c r="H30" t="s">
        <v>12</v>
      </c>
      <c r="I30" t="s">
        <v>12</v>
      </c>
      <c r="J30" t="s">
        <v>12</v>
      </c>
      <c r="K30" t="s">
        <v>12</v>
      </c>
      <c r="L30" t="s">
        <v>12</v>
      </c>
      <c r="M30" t="s">
        <v>12</v>
      </c>
      <c r="N30" t="s">
        <v>12</v>
      </c>
      <c r="O30" t="s">
        <v>12</v>
      </c>
    </row>
    <row r="31" spans="1:15" x14ac:dyDescent="0.2">
      <c r="C31" t="s">
        <v>12</v>
      </c>
      <c r="D31" t="s">
        <v>12</v>
      </c>
      <c r="E31" t="s">
        <v>12</v>
      </c>
      <c r="F31" t="s">
        <v>130</v>
      </c>
      <c r="G31" t="s">
        <v>12</v>
      </c>
      <c r="H31" t="s">
        <v>12</v>
      </c>
      <c r="I31" t="s">
        <v>12</v>
      </c>
      <c r="J31" t="s">
        <v>12</v>
      </c>
      <c r="K31" t="s">
        <v>12</v>
      </c>
      <c r="L31" t="s">
        <v>12</v>
      </c>
      <c r="M31" t="s">
        <v>12</v>
      </c>
      <c r="N31" t="s">
        <v>12</v>
      </c>
      <c r="O31" t="s">
        <v>12</v>
      </c>
    </row>
    <row r="32" spans="1:15" x14ac:dyDescent="0.2">
      <c r="C32" t="s">
        <v>12</v>
      </c>
      <c r="D32" t="s">
        <v>12</v>
      </c>
      <c r="E32" t="s">
        <v>12</v>
      </c>
      <c r="F32" t="s">
        <v>12</v>
      </c>
      <c r="G32" t="s">
        <v>12</v>
      </c>
      <c r="H32" t="s">
        <v>12</v>
      </c>
      <c r="I32" t="s">
        <v>12</v>
      </c>
      <c r="J32" t="s">
        <v>12</v>
      </c>
      <c r="K32" t="s">
        <v>12</v>
      </c>
      <c r="L32" t="s">
        <v>12</v>
      </c>
      <c r="M32" t="s">
        <v>12</v>
      </c>
      <c r="N32" t="s">
        <v>12</v>
      </c>
      <c r="O32" t="s">
        <v>12</v>
      </c>
    </row>
    <row r="33" spans="3:15" x14ac:dyDescent="0.2">
      <c r="C33" t="s">
        <v>12</v>
      </c>
      <c r="D33" t="s">
        <v>12</v>
      </c>
      <c r="E33" t="s">
        <v>12</v>
      </c>
      <c r="F33" t="s">
        <v>12</v>
      </c>
      <c r="G33" t="s">
        <v>12</v>
      </c>
      <c r="H33" t="s">
        <v>12</v>
      </c>
      <c r="I33" t="s">
        <v>12</v>
      </c>
      <c r="J33" t="s">
        <v>12</v>
      </c>
      <c r="K33" t="s">
        <v>12</v>
      </c>
      <c r="L33" t="s">
        <v>12</v>
      </c>
      <c r="M33" t="s">
        <v>12</v>
      </c>
      <c r="N33" t="s">
        <v>12</v>
      </c>
      <c r="O33" t="s">
        <v>12</v>
      </c>
    </row>
    <row r="34" spans="3:15" x14ac:dyDescent="0.2">
      <c r="C34" t="s">
        <v>12</v>
      </c>
      <c r="E34" t="s">
        <v>12</v>
      </c>
      <c r="F34" t="s">
        <v>12</v>
      </c>
      <c r="G34" t="s">
        <v>12</v>
      </c>
      <c r="H34" t="s">
        <v>12</v>
      </c>
      <c r="I34" t="s">
        <v>12</v>
      </c>
      <c r="J34" t="s">
        <v>12</v>
      </c>
      <c r="K34" t="s">
        <v>12</v>
      </c>
      <c r="L34" t="s">
        <v>12</v>
      </c>
      <c r="M34" t="s">
        <v>12</v>
      </c>
      <c r="N34" t="s">
        <v>12</v>
      </c>
      <c r="O34" t="s">
        <v>12</v>
      </c>
    </row>
  </sheetData>
  <mergeCells count="4">
    <mergeCell ref="A22:M22"/>
    <mergeCell ref="A3:B3"/>
    <mergeCell ref="F4:M4"/>
    <mergeCell ref="A21:M21"/>
  </mergeCells>
  <pageMargins left="0.5" right="0.7" top="0.5" bottom="0.5" header="0.3" footer="0.3"/>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heetViews>
  <sheetFormatPr defaultRowHeight="12.75" x14ac:dyDescent="0.2"/>
  <cols>
    <col min="1" max="1" width="50.7109375" customWidth="1"/>
    <col min="2" max="21" width="15.7109375" customWidth="1"/>
  </cols>
  <sheetData>
    <row r="1" spans="1:14" ht="18.75" x14ac:dyDescent="0.2">
      <c r="A1" s="184" t="s">
        <v>179</v>
      </c>
      <c r="B1" s="184"/>
      <c r="C1" s="184"/>
      <c r="D1" s="184"/>
      <c r="E1" s="184"/>
      <c r="F1" s="184"/>
      <c r="G1" s="184"/>
      <c r="H1" s="184"/>
      <c r="I1" s="184"/>
      <c r="J1" s="184"/>
      <c r="K1" s="184"/>
      <c r="L1" s="184"/>
      <c r="M1" s="184"/>
      <c r="N1" s="184"/>
    </row>
    <row r="2" spans="1:14" ht="15.75" x14ac:dyDescent="0.25">
      <c r="A2" s="69" t="s">
        <v>12</v>
      </c>
      <c r="B2" s="69"/>
      <c r="C2" s="69"/>
      <c r="D2" s="69"/>
      <c r="E2" s="70"/>
      <c r="F2" s="69"/>
      <c r="G2" s="71"/>
      <c r="H2" s="72"/>
      <c r="I2" s="72"/>
      <c r="J2" s="72"/>
      <c r="K2" s="72"/>
      <c r="L2" s="72"/>
      <c r="M2" s="72"/>
      <c r="N2" s="72"/>
    </row>
    <row r="3" spans="1:14" ht="15.75" x14ac:dyDescent="0.25">
      <c r="A3" s="69"/>
      <c r="B3" s="69"/>
      <c r="C3" s="69"/>
      <c r="D3" s="69"/>
      <c r="E3" s="70"/>
      <c r="F3" s="69"/>
      <c r="G3" s="71"/>
      <c r="H3" s="72"/>
      <c r="I3" s="72"/>
      <c r="J3" s="72"/>
      <c r="K3" s="72"/>
      <c r="L3" s="72"/>
      <c r="M3" s="72"/>
      <c r="N3" s="72"/>
    </row>
    <row r="4" spans="1:14" ht="20.100000000000001" customHeight="1" x14ac:dyDescent="0.25">
      <c r="A4" s="73"/>
      <c r="B4" s="74" t="s">
        <v>12</v>
      </c>
      <c r="C4" s="206" t="s">
        <v>95</v>
      </c>
      <c r="D4" s="206"/>
      <c r="E4" s="206"/>
      <c r="F4" s="206"/>
      <c r="G4" s="206"/>
      <c r="H4" s="206"/>
      <c r="I4" s="206"/>
      <c r="J4" s="206"/>
      <c r="K4" s="206"/>
      <c r="L4" s="206"/>
      <c r="M4" s="206"/>
      <c r="N4" s="206"/>
    </row>
    <row r="5" spans="1:14" ht="20.100000000000001" customHeight="1" x14ac:dyDescent="0.2">
      <c r="A5" s="75" t="s">
        <v>12</v>
      </c>
      <c r="B5" s="76" t="s">
        <v>13</v>
      </c>
      <c r="C5" s="76" t="s">
        <v>17</v>
      </c>
      <c r="D5" s="76" t="s">
        <v>16</v>
      </c>
      <c r="E5" s="76" t="s">
        <v>14</v>
      </c>
      <c r="F5" s="76" t="s">
        <v>8</v>
      </c>
      <c r="G5" s="76" t="s">
        <v>42</v>
      </c>
      <c r="H5" s="76" t="s">
        <v>43</v>
      </c>
      <c r="I5" s="76" t="s">
        <v>7</v>
      </c>
      <c r="J5" s="76" t="s">
        <v>51</v>
      </c>
      <c r="K5" s="76" t="s">
        <v>133</v>
      </c>
      <c r="L5" s="77" t="s">
        <v>18</v>
      </c>
      <c r="M5" s="77" t="s">
        <v>3</v>
      </c>
      <c r="N5" s="77" t="s">
        <v>72</v>
      </c>
    </row>
    <row r="6" spans="1:14" ht="20.100000000000001" customHeight="1" x14ac:dyDescent="0.2">
      <c r="A6" s="78" t="s">
        <v>145</v>
      </c>
      <c r="B6" s="79">
        <f>'1st IA Parameters'!B15</f>
        <v>154613.03719999999</v>
      </c>
      <c r="C6" s="79">
        <f>'1st IA Parameters'!C15</f>
        <v>66350</v>
      </c>
      <c r="D6" s="79">
        <f>'1st IA Parameters'!D15</f>
        <v>37023</v>
      </c>
      <c r="E6" s="79">
        <f>'1st IA Parameters'!E15</f>
        <v>15548</v>
      </c>
      <c r="F6" s="79">
        <f>'1st IA Parameters'!F15</f>
        <v>11823</v>
      </c>
      <c r="G6" s="79">
        <f>'1st IA Parameters'!G15</f>
        <v>6043</v>
      </c>
      <c r="H6" s="79">
        <f>'1st IA Parameters'!H15</f>
        <v>3023</v>
      </c>
      <c r="I6" s="79">
        <f>'1st IA Parameters'!I15</f>
        <v>8046</v>
      </c>
      <c r="J6" s="79">
        <f>'1st IA Parameters'!J15</f>
        <v>15693</v>
      </c>
      <c r="K6" s="79">
        <f>'1st IA Parameters'!K15</f>
        <v>5870</v>
      </c>
      <c r="L6" s="79">
        <f>'1st IA Parameters'!L15</f>
        <v>26305</v>
      </c>
      <c r="M6" s="79">
        <f>'1st IA Parameters'!M15</f>
        <v>8154</v>
      </c>
      <c r="N6" s="79">
        <f>'1st IA Parameters'!N15</f>
        <v>10310</v>
      </c>
    </row>
    <row r="7" spans="1:14" ht="20.100000000000001" customHeight="1" x14ac:dyDescent="0.2">
      <c r="A7" s="78" t="s">
        <v>146</v>
      </c>
      <c r="B7" s="79">
        <f>'BRA Parameters'!B15</f>
        <v>157092.4</v>
      </c>
      <c r="C7" s="79">
        <f>'BRA Parameters'!C15</f>
        <v>67662</v>
      </c>
      <c r="D7" s="79">
        <f>'BRA Parameters'!D15</f>
        <v>37633</v>
      </c>
      <c r="E7" s="79">
        <f>'BRA Parameters'!E15</f>
        <v>15883</v>
      </c>
      <c r="F7" s="79">
        <f>'BRA Parameters'!F15</f>
        <v>12174</v>
      </c>
      <c r="G7" s="79">
        <f>'BRA Parameters'!G15</f>
        <v>6375</v>
      </c>
      <c r="H7" s="79">
        <f>'BRA Parameters'!H15</f>
        <v>3060</v>
      </c>
      <c r="I7" s="79">
        <f>'BRA Parameters'!I15</f>
        <v>8074</v>
      </c>
      <c r="J7" s="79">
        <f>'BRA Parameters'!J15</f>
        <v>15742</v>
      </c>
      <c r="K7" s="79">
        <f>'BRA Parameters'!K15</f>
        <v>5979</v>
      </c>
      <c r="L7" s="79">
        <f>'BRA Parameters'!L15</f>
        <v>26509</v>
      </c>
      <c r="M7" s="79">
        <f>'BRA Parameters'!M15</f>
        <v>8401</v>
      </c>
      <c r="N7" s="79">
        <f>'BRA Parameters'!N15</f>
        <v>10565</v>
      </c>
    </row>
    <row r="8" spans="1:14" ht="20.100000000000001" customHeight="1" x14ac:dyDescent="0.2">
      <c r="A8" s="80" t="s">
        <v>147</v>
      </c>
      <c r="B8" s="81">
        <f>B6-B7</f>
        <v>-2479.3628000000026</v>
      </c>
      <c r="C8" s="81">
        <f t="shared" ref="C8:N8" si="0">C6-C7</f>
        <v>-1312</v>
      </c>
      <c r="D8" s="81">
        <f t="shared" si="0"/>
        <v>-610</v>
      </c>
      <c r="E8" s="81">
        <f t="shared" si="0"/>
        <v>-335</v>
      </c>
      <c r="F8" s="81">
        <f t="shared" si="0"/>
        <v>-351</v>
      </c>
      <c r="G8" s="81">
        <f t="shared" si="0"/>
        <v>-332</v>
      </c>
      <c r="H8" s="81">
        <f t="shared" si="0"/>
        <v>-37</v>
      </c>
      <c r="I8" s="81">
        <f t="shared" si="0"/>
        <v>-28</v>
      </c>
      <c r="J8" s="81">
        <f t="shared" si="0"/>
        <v>-49</v>
      </c>
      <c r="K8" s="81">
        <f t="shared" si="0"/>
        <v>-109</v>
      </c>
      <c r="L8" s="81">
        <f t="shared" si="0"/>
        <v>-204</v>
      </c>
      <c r="M8" s="81">
        <f t="shared" si="0"/>
        <v>-247</v>
      </c>
      <c r="N8" s="81">
        <f t="shared" si="0"/>
        <v>-255</v>
      </c>
    </row>
    <row r="9" spans="1:14" ht="20.100000000000001" customHeight="1" x14ac:dyDescent="0.2">
      <c r="A9" s="78" t="s">
        <v>148</v>
      </c>
      <c r="B9" s="82" t="s">
        <v>24</v>
      </c>
      <c r="C9" s="83">
        <f>'1st IA Parameters'!C11-'BRA Parameters'!C11</f>
        <v>0</v>
      </c>
      <c r="D9" s="83">
        <f>'1st IA Parameters'!D11-'BRA Parameters'!D11</f>
        <v>0</v>
      </c>
      <c r="E9" s="83">
        <f>'1st IA Parameters'!E11-'BRA Parameters'!E11</f>
        <v>0</v>
      </c>
      <c r="F9" s="83">
        <f>'1st IA Parameters'!F11-'BRA Parameters'!F11</f>
        <v>0</v>
      </c>
      <c r="G9" s="83">
        <f>'1st IA Parameters'!G11-'BRA Parameters'!G11</f>
        <v>0</v>
      </c>
      <c r="H9" s="83">
        <f>'1st IA Parameters'!H11-'BRA Parameters'!H11</f>
        <v>0</v>
      </c>
      <c r="I9" s="83">
        <f>'1st IA Parameters'!I11-'BRA Parameters'!I11</f>
        <v>0</v>
      </c>
      <c r="J9" s="83">
        <f>'1st IA Parameters'!J11-'BRA Parameters'!J11</f>
        <v>0</v>
      </c>
      <c r="K9" s="83">
        <f>'1st IA Parameters'!K11-'BRA Parameters'!K11</f>
        <v>0</v>
      </c>
      <c r="L9" s="83">
        <f>'1st IA Parameters'!L11-'BRA Parameters'!L11</f>
        <v>0</v>
      </c>
      <c r="M9" s="83">
        <f>'1st IA Parameters'!M11-'BRA Parameters'!M11</f>
        <v>0</v>
      </c>
      <c r="N9" s="83">
        <f>'1st IA Parameters'!N11-'BRA Parameters'!N11</f>
        <v>0</v>
      </c>
    </row>
    <row r="10" spans="1:14" ht="20.100000000000001" customHeight="1" x14ac:dyDescent="0.2">
      <c r="A10" s="78" t="s">
        <v>149</v>
      </c>
      <c r="B10" s="82" t="s">
        <v>24</v>
      </c>
      <c r="C10" s="84">
        <v>607.4</v>
      </c>
      <c r="D10" s="84">
        <v>0</v>
      </c>
      <c r="E10" s="84">
        <v>3206.8</v>
      </c>
      <c r="F10" s="84">
        <v>491.1</v>
      </c>
      <c r="G10" s="84">
        <v>335.8</v>
      </c>
      <c r="H10" s="84">
        <v>298.5</v>
      </c>
      <c r="I10" s="84">
        <v>4640.5</v>
      </c>
      <c r="J10" s="84">
        <v>2920.6</v>
      </c>
      <c r="K10" s="84">
        <v>1311.8</v>
      </c>
      <c r="L10" s="84">
        <v>0</v>
      </c>
      <c r="M10" s="84">
        <v>0</v>
      </c>
      <c r="N10" s="84">
        <v>4649.8</v>
      </c>
    </row>
    <row r="11" spans="1:14" ht="15.75" x14ac:dyDescent="0.25">
      <c r="A11" s="85"/>
      <c r="B11" s="86"/>
      <c r="C11" s="87" t="s">
        <v>12</v>
      </c>
      <c r="D11" s="87" t="s">
        <v>12</v>
      </c>
      <c r="E11" s="87" t="s">
        <v>12</v>
      </c>
      <c r="F11" s="87" t="s">
        <v>12</v>
      </c>
      <c r="G11" s="87" t="s">
        <v>12</v>
      </c>
      <c r="H11" s="87" t="s">
        <v>12</v>
      </c>
      <c r="I11" s="87"/>
      <c r="J11" s="87"/>
      <c r="K11" s="87"/>
      <c r="L11" s="87"/>
      <c r="M11" s="87"/>
      <c r="N11" s="87"/>
    </row>
    <row r="12" spans="1:14" ht="15.75" x14ac:dyDescent="0.25">
      <c r="A12" s="88" t="s">
        <v>150</v>
      </c>
      <c r="B12" s="86"/>
      <c r="C12" s="86"/>
      <c r="D12" s="86"/>
      <c r="E12" s="86"/>
      <c r="F12" s="86"/>
      <c r="G12" s="86"/>
      <c r="H12" s="89"/>
      <c r="I12" s="89"/>
      <c r="J12" s="89"/>
      <c r="K12" s="89"/>
      <c r="L12" s="89"/>
      <c r="M12" s="89"/>
      <c r="N12" s="89"/>
    </row>
    <row r="13" spans="1:14" ht="15.75" x14ac:dyDescent="0.25">
      <c r="A13" s="88" t="s">
        <v>12</v>
      </c>
      <c r="B13" s="86"/>
      <c r="C13" s="86"/>
      <c r="D13" s="86"/>
      <c r="E13" s="86"/>
      <c r="F13" s="86"/>
      <c r="G13" s="86"/>
      <c r="H13" s="89"/>
      <c r="I13" s="89"/>
      <c r="J13" s="89"/>
      <c r="K13" s="89"/>
      <c r="L13" s="89"/>
      <c r="M13" s="89"/>
      <c r="N13" s="89"/>
    </row>
    <row r="14" spans="1:14" ht="15.75" x14ac:dyDescent="0.2">
      <c r="A14" s="90" t="s">
        <v>151</v>
      </c>
      <c r="B14" s="91"/>
      <c r="C14" s="91"/>
      <c r="D14" s="91"/>
      <c r="E14" s="91"/>
      <c r="F14" s="91"/>
      <c r="G14" s="91"/>
      <c r="H14" s="91"/>
      <c r="I14" s="91"/>
      <c r="J14" s="91"/>
      <c r="K14" s="91"/>
      <c r="L14" s="91"/>
      <c r="M14" s="91"/>
      <c r="N14" s="91"/>
    </row>
  </sheetData>
  <mergeCells count="1">
    <mergeCell ref="C4:N4"/>
  </mergeCells>
  <pageMargins left="0.5" right="0.7" top="0.5" bottom="0.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heetViews>
  <sheetFormatPr defaultRowHeight="12.75" x14ac:dyDescent="0.2"/>
  <cols>
    <col min="1" max="1" width="60.7109375" customWidth="1"/>
    <col min="2" max="20" width="16.7109375" customWidth="1"/>
  </cols>
  <sheetData>
    <row r="1" spans="1:14" ht="20.100000000000001" customHeight="1" x14ac:dyDescent="0.25">
      <c r="A1" s="92" t="s">
        <v>170</v>
      </c>
      <c r="B1" s="18"/>
      <c r="C1" s="18"/>
      <c r="D1" s="18"/>
      <c r="E1" s="18"/>
      <c r="F1" s="18"/>
      <c r="G1" s="14" t="s">
        <v>12</v>
      </c>
      <c r="H1" s="15" t="s">
        <v>12</v>
      </c>
      <c r="I1" s="16" t="s">
        <v>12</v>
      </c>
      <c r="J1" s="17"/>
      <c r="K1" s="17"/>
      <c r="L1" s="17"/>
      <c r="M1" s="17"/>
      <c r="N1" s="17"/>
    </row>
    <row r="2" spans="1:14" ht="20.100000000000001" customHeight="1" x14ac:dyDescent="0.25">
      <c r="A2" s="18"/>
      <c r="B2" s="18"/>
      <c r="C2" s="18"/>
      <c r="D2" s="18"/>
      <c r="E2" s="18"/>
      <c r="F2" s="18"/>
      <c r="G2" s="14"/>
      <c r="H2" s="15"/>
      <c r="I2" s="16"/>
      <c r="J2" s="17"/>
      <c r="K2" s="17"/>
      <c r="L2" s="17"/>
      <c r="M2" s="17"/>
      <c r="N2" s="17"/>
    </row>
    <row r="3" spans="1:14" ht="20.100000000000001" customHeight="1" x14ac:dyDescent="0.2">
      <c r="A3" s="93" t="s">
        <v>12</v>
      </c>
      <c r="B3" s="21" t="s">
        <v>13</v>
      </c>
      <c r="C3" s="212" t="s">
        <v>41</v>
      </c>
      <c r="D3" s="212"/>
      <c r="E3" s="212"/>
      <c r="F3" s="212"/>
      <c r="G3" s="212"/>
      <c r="H3" s="212"/>
      <c r="I3" s="212"/>
      <c r="J3" s="212"/>
      <c r="K3" s="212"/>
      <c r="L3" s="212"/>
      <c r="M3" s="212"/>
      <c r="N3" s="212"/>
    </row>
    <row r="4" spans="1:14" ht="20.100000000000001" customHeight="1" x14ac:dyDescent="0.2">
      <c r="A4" s="93" t="s">
        <v>35</v>
      </c>
      <c r="B4" s="94">
        <v>0.16600000000000001</v>
      </c>
      <c r="C4" s="211" t="s">
        <v>171</v>
      </c>
      <c r="D4" s="211"/>
      <c r="E4" s="211"/>
      <c r="F4" s="211"/>
      <c r="G4" s="211"/>
      <c r="H4" s="211"/>
      <c r="I4" s="211"/>
      <c r="J4" s="211"/>
      <c r="K4" s="211"/>
      <c r="L4" s="211"/>
      <c r="M4" s="211"/>
      <c r="N4" s="211"/>
    </row>
    <row r="5" spans="1:14" ht="20.100000000000001" customHeight="1" x14ac:dyDescent="0.2">
      <c r="A5" s="93" t="s">
        <v>36</v>
      </c>
      <c r="B5" s="95">
        <v>6.59E-2</v>
      </c>
      <c r="C5" s="211" t="s">
        <v>171</v>
      </c>
      <c r="D5" s="211"/>
      <c r="E5" s="211"/>
      <c r="F5" s="211"/>
      <c r="G5" s="211"/>
      <c r="H5" s="211"/>
      <c r="I5" s="211"/>
      <c r="J5" s="211"/>
      <c r="K5" s="211"/>
      <c r="L5" s="211"/>
      <c r="M5" s="211"/>
      <c r="N5" s="211"/>
    </row>
    <row r="6" spans="1:14" ht="20.100000000000001" customHeight="1" x14ac:dyDescent="0.2">
      <c r="A6" s="93" t="s">
        <v>37</v>
      </c>
      <c r="B6" s="96">
        <v>1.0891999999999999</v>
      </c>
      <c r="C6" s="211" t="s">
        <v>171</v>
      </c>
      <c r="D6" s="211"/>
      <c r="E6" s="211"/>
      <c r="F6" s="211"/>
      <c r="G6" s="211"/>
      <c r="H6" s="211"/>
      <c r="I6" s="211"/>
      <c r="J6" s="211"/>
      <c r="K6" s="211"/>
      <c r="L6" s="211"/>
      <c r="M6" s="211"/>
      <c r="N6" s="211"/>
    </row>
    <row r="7" spans="1:14" ht="20.100000000000001" customHeight="1" x14ac:dyDescent="0.2">
      <c r="A7" s="93" t="s">
        <v>38</v>
      </c>
      <c r="B7" s="97">
        <v>154510</v>
      </c>
      <c r="C7" s="211" t="s">
        <v>172</v>
      </c>
      <c r="D7" s="211"/>
      <c r="E7" s="211"/>
      <c r="F7" s="211"/>
      <c r="G7" s="211"/>
      <c r="H7" s="211"/>
      <c r="I7" s="211"/>
      <c r="J7" s="211"/>
      <c r="K7" s="211"/>
      <c r="L7" s="211"/>
      <c r="M7" s="211"/>
      <c r="N7" s="211"/>
    </row>
    <row r="8" spans="1:14" ht="20.100000000000001" customHeight="1" x14ac:dyDescent="0.2">
      <c r="A8" s="93" t="s">
        <v>12</v>
      </c>
      <c r="B8" s="98" t="s">
        <v>12</v>
      </c>
      <c r="C8" s="206" t="s">
        <v>95</v>
      </c>
      <c r="D8" s="206"/>
      <c r="E8" s="206"/>
      <c r="F8" s="206"/>
      <c r="G8" s="206"/>
      <c r="H8" s="206"/>
      <c r="I8" s="206"/>
      <c r="J8" s="206"/>
      <c r="K8" s="206"/>
      <c r="L8" s="206"/>
      <c r="M8" s="206"/>
      <c r="N8" s="206"/>
    </row>
    <row r="9" spans="1:14" ht="20.100000000000001" customHeight="1" x14ac:dyDescent="0.2">
      <c r="A9" s="99" t="s">
        <v>12</v>
      </c>
      <c r="B9" s="100" t="s">
        <v>13</v>
      </c>
      <c r="C9" s="100" t="s">
        <v>17</v>
      </c>
      <c r="D9" s="100" t="s">
        <v>16</v>
      </c>
      <c r="E9" s="100" t="s">
        <v>14</v>
      </c>
      <c r="F9" s="100" t="s">
        <v>8</v>
      </c>
      <c r="G9" s="100" t="s">
        <v>42</v>
      </c>
      <c r="H9" s="100" t="s">
        <v>43</v>
      </c>
      <c r="I9" s="100" t="s">
        <v>7</v>
      </c>
      <c r="J9" s="101" t="s">
        <v>51</v>
      </c>
      <c r="K9" s="101" t="s">
        <v>63</v>
      </c>
      <c r="L9" s="77" t="s">
        <v>18</v>
      </c>
      <c r="M9" s="77" t="s">
        <v>3</v>
      </c>
      <c r="N9" s="77" t="s">
        <v>72</v>
      </c>
    </row>
    <row r="10" spans="1:14" ht="20.100000000000001" customHeight="1" x14ac:dyDescent="0.2">
      <c r="A10" s="102" t="s">
        <v>9</v>
      </c>
      <c r="B10" s="103" t="s">
        <v>24</v>
      </c>
      <c r="C10" s="103">
        <v>-9020</v>
      </c>
      <c r="D10" s="104">
        <v>2600</v>
      </c>
      <c r="E10" s="104">
        <v>2530</v>
      </c>
      <c r="F10" s="104">
        <v>5790</v>
      </c>
      <c r="G10" s="104">
        <v>2580</v>
      </c>
      <c r="H10" s="104">
        <v>1230</v>
      </c>
      <c r="I10" s="104">
        <v>1420</v>
      </c>
      <c r="J10" s="104">
        <v>3870</v>
      </c>
      <c r="K10" s="104">
        <v>3510</v>
      </c>
      <c r="L10" s="104">
        <v>270</v>
      </c>
      <c r="M10" s="104">
        <v>4180</v>
      </c>
      <c r="N10" s="104">
        <v>-750</v>
      </c>
    </row>
    <row r="11" spans="1:14" ht="20.100000000000001" customHeight="1" x14ac:dyDescent="0.2">
      <c r="A11" s="102" t="s">
        <v>11</v>
      </c>
      <c r="B11" s="103" t="s">
        <v>24</v>
      </c>
      <c r="C11" s="103">
        <v>7385</v>
      </c>
      <c r="D11" s="104">
        <v>8856</v>
      </c>
      <c r="E11" s="104">
        <v>9400</v>
      </c>
      <c r="F11" s="104">
        <v>7856</v>
      </c>
      <c r="G11" s="104">
        <v>3827</v>
      </c>
      <c r="H11" s="104">
        <v>1898</v>
      </c>
      <c r="I11" s="104">
        <v>6985</v>
      </c>
      <c r="J11" s="104">
        <v>9212</v>
      </c>
      <c r="K11" s="104">
        <v>5501</v>
      </c>
      <c r="L11" s="104">
        <v>5160</v>
      </c>
      <c r="M11" s="104">
        <v>6234.7</v>
      </c>
      <c r="N11" s="104">
        <v>6168</v>
      </c>
    </row>
    <row r="12" spans="1:14" ht="20.100000000000001" customHeight="1" x14ac:dyDescent="0.2">
      <c r="A12" s="105" t="s">
        <v>10</v>
      </c>
      <c r="B12" s="103">
        <f>ROUND((B7*B6),1)</f>
        <v>168292.3</v>
      </c>
      <c r="C12" s="103">
        <v>66350</v>
      </c>
      <c r="D12" s="116">
        <v>37023</v>
      </c>
      <c r="E12" s="116">
        <v>15548</v>
      </c>
      <c r="F12" s="116">
        <v>11823</v>
      </c>
      <c r="G12" s="116">
        <v>6043</v>
      </c>
      <c r="H12" s="116">
        <v>3023</v>
      </c>
      <c r="I12" s="116">
        <v>8046</v>
      </c>
      <c r="J12" s="116">
        <v>15693</v>
      </c>
      <c r="K12" s="116">
        <v>5870</v>
      </c>
      <c r="L12" s="116">
        <v>26305</v>
      </c>
      <c r="M12" s="116">
        <v>8154</v>
      </c>
      <c r="N12" s="116">
        <v>10310</v>
      </c>
    </row>
    <row r="13" spans="1:14" ht="20.100000000000001" customHeight="1" x14ac:dyDescent="0.2">
      <c r="A13" s="102" t="s">
        <v>45</v>
      </c>
      <c r="B13" s="104">
        <v>12559</v>
      </c>
      <c r="C13" s="106">
        <v>0</v>
      </c>
      <c r="D13" s="106">
        <v>0</v>
      </c>
      <c r="E13" s="106">
        <v>0</v>
      </c>
      <c r="F13" s="106">
        <v>0</v>
      </c>
      <c r="G13" s="106">
        <v>0</v>
      </c>
      <c r="H13" s="106">
        <v>0</v>
      </c>
      <c r="I13" s="106">
        <v>0</v>
      </c>
      <c r="J13" s="106">
        <v>0</v>
      </c>
      <c r="K13" s="106">
        <v>0</v>
      </c>
      <c r="L13" s="106">
        <v>0</v>
      </c>
      <c r="M13" s="106">
        <v>0</v>
      </c>
      <c r="N13" s="106">
        <v>0</v>
      </c>
    </row>
    <row r="14" spans="1:14" ht="20.100000000000001" customHeight="1" x14ac:dyDescent="0.2">
      <c r="A14" s="102" t="s">
        <v>173</v>
      </c>
      <c r="B14" s="104">
        <f>B13*$B$6</f>
        <v>13679.262799999999</v>
      </c>
      <c r="C14" s="106">
        <f t="shared" ref="C14:N14" si="0">C13*$B$6</f>
        <v>0</v>
      </c>
      <c r="D14" s="106">
        <f t="shared" si="0"/>
        <v>0</v>
      </c>
      <c r="E14" s="106">
        <f t="shared" si="0"/>
        <v>0</v>
      </c>
      <c r="F14" s="106">
        <f t="shared" si="0"/>
        <v>0</v>
      </c>
      <c r="G14" s="106">
        <f t="shared" si="0"/>
        <v>0</v>
      </c>
      <c r="H14" s="106">
        <f t="shared" si="0"/>
        <v>0</v>
      </c>
      <c r="I14" s="106">
        <f t="shared" si="0"/>
        <v>0</v>
      </c>
      <c r="J14" s="106">
        <f t="shared" si="0"/>
        <v>0</v>
      </c>
      <c r="K14" s="106">
        <f t="shared" si="0"/>
        <v>0</v>
      </c>
      <c r="L14" s="106">
        <f t="shared" si="0"/>
        <v>0</v>
      </c>
      <c r="M14" s="106">
        <f t="shared" si="0"/>
        <v>0</v>
      </c>
      <c r="N14" s="106">
        <f t="shared" si="0"/>
        <v>0</v>
      </c>
    </row>
    <row r="15" spans="1:14" ht="20.100000000000001" customHeight="1" x14ac:dyDescent="0.2">
      <c r="A15" s="107" t="s">
        <v>46</v>
      </c>
      <c r="B15" s="103">
        <f>B12-B14</f>
        <v>154613.03719999999</v>
      </c>
      <c r="C15" s="103">
        <f t="shared" ref="C15:N15" si="1">C12-C14</f>
        <v>66350</v>
      </c>
      <c r="D15" s="103">
        <f t="shared" si="1"/>
        <v>37023</v>
      </c>
      <c r="E15" s="103">
        <f t="shared" si="1"/>
        <v>15548</v>
      </c>
      <c r="F15" s="103">
        <f>F12-F14</f>
        <v>11823</v>
      </c>
      <c r="G15" s="103">
        <f t="shared" si="1"/>
        <v>6043</v>
      </c>
      <c r="H15" s="103">
        <f t="shared" si="1"/>
        <v>3023</v>
      </c>
      <c r="I15" s="103">
        <f t="shared" si="1"/>
        <v>8046</v>
      </c>
      <c r="J15" s="103">
        <f t="shared" si="1"/>
        <v>15693</v>
      </c>
      <c r="K15" s="103">
        <f t="shared" si="1"/>
        <v>5870</v>
      </c>
      <c r="L15" s="103">
        <f t="shared" si="1"/>
        <v>26305</v>
      </c>
      <c r="M15" s="103">
        <f t="shared" si="1"/>
        <v>8154</v>
      </c>
      <c r="N15" s="103">
        <f t="shared" si="1"/>
        <v>10310</v>
      </c>
    </row>
    <row r="16" spans="1:14" ht="20.100000000000001" customHeight="1" x14ac:dyDescent="0.2">
      <c r="A16" s="109" t="s">
        <v>47</v>
      </c>
      <c r="B16" s="110">
        <f>'BRA Parameters'!B16*(1-'BRA Parameters'!$B$5)/(1-'1st IA Parameters'!$B$5)</f>
        <v>299.26795846269135</v>
      </c>
      <c r="C16" s="110">
        <f>'BRA Parameters'!C16*(1-'BRA Parameters'!$B$5)/(1-'1st IA Parameters'!$B$5)</f>
        <v>261.99194947007811</v>
      </c>
      <c r="D16" s="110">
        <f>'BRA Parameters'!D16*(1-'BRA Parameters'!$B$5)/(1-'1st IA Parameters'!$B$5)</f>
        <v>283.59963601327479</v>
      </c>
      <c r="E16" s="110">
        <f>'BRA Parameters'!E16*(1-'BRA Parameters'!$B$5)/(1-'1st IA Parameters'!$B$5)</f>
        <v>229.9053848624344</v>
      </c>
      <c r="F16" s="110">
        <f>'BRA Parameters'!F16*(1-'BRA Parameters'!$B$5)/(1-'1st IA Parameters'!$B$5)</f>
        <v>303.26753024301462</v>
      </c>
      <c r="G16" s="110">
        <f>'BRA Parameters'!G16*(1-'BRA Parameters'!$B$5)/(1-'1st IA Parameters'!$B$5)</f>
        <v>303.26753024301462</v>
      </c>
      <c r="H16" s="110">
        <f>'BRA Parameters'!H16*(1-'BRA Parameters'!$B$5)/(1-'1st IA Parameters'!$B$5)</f>
        <v>262.2419227063483</v>
      </c>
      <c r="I16" s="110">
        <f>'BRA Parameters'!I16*(1-'BRA Parameters'!$B$5)/(1-'1st IA Parameters'!$B$5)</f>
        <v>244.20385397709023</v>
      </c>
      <c r="J16" s="110">
        <f>'BRA Parameters'!J16*(1-'BRA Parameters'!$B$5)/(1-'1st IA Parameters'!$B$5)</f>
        <v>264.03173107804304</v>
      </c>
      <c r="K16" s="110">
        <f>'BRA Parameters'!K16*(1-'BRA Parameters'!$B$5)/(1-'1st IA Parameters'!$B$5)</f>
        <v>264.03173107804304</v>
      </c>
      <c r="L16" s="110">
        <f>'BRA Parameters'!L16*(1-'BRA Parameters'!$B$5)/(1-'1st IA Parameters'!$B$5)</f>
        <v>328.40483888234661</v>
      </c>
      <c r="M16" s="110">
        <f>'BRA Parameters'!M16*(1-'BRA Parameters'!$B$5)/(1-'1st IA Parameters'!$B$5)</f>
        <v>215.59691681832777</v>
      </c>
      <c r="N16" s="110">
        <f>'BRA Parameters'!N16*(1-'BRA Parameters'!$B$5)/(1-'1st IA Parameters'!$B$5)</f>
        <v>277.71026656674871</v>
      </c>
    </row>
    <row r="17" spans="1:14" ht="20.100000000000001" customHeight="1" x14ac:dyDescent="0.2">
      <c r="A17" s="111" t="s">
        <v>175</v>
      </c>
      <c r="B17" s="103">
        <v>0</v>
      </c>
      <c r="C17" s="103">
        <v>0</v>
      </c>
      <c r="D17" s="103">
        <v>0</v>
      </c>
      <c r="E17" s="103">
        <v>0</v>
      </c>
      <c r="F17" s="103">
        <v>0</v>
      </c>
      <c r="G17" s="103">
        <v>0</v>
      </c>
      <c r="H17" s="103">
        <v>0</v>
      </c>
      <c r="I17" s="103">
        <v>0</v>
      </c>
      <c r="J17" s="103">
        <v>0</v>
      </c>
      <c r="K17" s="103">
        <v>0</v>
      </c>
      <c r="L17" s="103">
        <v>0</v>
      </c>
      <c r="M17" s="103">
        <v>0</v>
      </c>
      <c r="N17" s="103">
        <v>0</v>
      </c>
    </row>
    <row r="18" spans="1:14" ht="20.100000000000001" customHeight="1" x14ac:dyDescent="0.2">
      <c r="A18" s="207" t="s">
        <v>48</v>
      </c>
      <c r="B18" s="207"/>
      <c r="C18" s="207"/>
      <c r="D18" s="207"/>
      <c r="E18" s="207"/>
      <c r="F18" s="207"/>
      <c r="G18" s="207"/>
      <c r="H18" s="207"/>
      <c r="I18" s="207"/>
      <c r="J18" s="207"/>
      <c r="K18" s="207"/>
      <c r="L18" s="207"/>
      <c r="M18" s="207"/>
      <c r="N18" s="207"/>
    </row>
    <row r="19" spans="1:14" ht="20.100000000000001" customHeight="1" x14ac:dyDescent="0.2">
      <c r="A19" s="112" t="s">
        <v>25</v>
      </c>
      <c r="B19" s="113">
        <f>'BRA Parameters'!B20*(1-'BRA Parameters'!$B$5)/(1-'1st IA Parameters'!$B$5)</f>
        <v>448.90193769403697</v>
      </c>
      <c r="C19" s="113">
        <f>'BRA Parameters'!C20*(1-'BRA Parameters'!$B$5)/(1-'1st IA Parameters'!$B$5)</f>
        <v>392.98792420511711</v>
      </c>
      <c r="D19" s="113">
        <f>'BRA Parameters'!D20*(1-'BRA Parameters'!$B$5)/(1-'1st IA Parameters'!$B$5)</f>
        <v>425.4044534846376</v>
      </c>
      <c r="E19" s="113">
        <f>'BRA Parameters'!E20*(1-'BRA Parameters'!$B$5)/(1-'1st IA Parameters'!$B$5)</f>
        <v>392.82794133390422</v>
      </c>
      <c r="F19" s="113">
        <f>'BRA Parameters'!F20*(1-'BRA Parameters'!$B$5)/(1-'1st IA Parameters'!$B$5)</f>
        <v>454.90129536452196</v>
      </c>
      <c r="G19" s="113">
        <f>'BRA Parameters'!G20*(1-'BRA Parameters'!$B$5)/(1-'1st IA Parameters'!$B$5)</f>
        <v>454.90129536452196</v>
      </c>
      <c r="H19" s="113">
        <f>'BRA Parameters'!H20*(1-'BRA Parameters'!$B$5)/(1-'1st IA Parameters'!$B$5)</f>
        <v>393.36788352424787</v>
      </c>
      <c r="I19" s="113">
        <f>'BRA Parameters'!I20*(1-'BRA Parameters'!$B$5)/(1-'1st IA Parameters'!$B$5)</f>
        <v>392.82794133390422</v>
      </c>
      <c r="J19" s="113">
        <f>'BRA Parameters'!J20*(1-'BRA Parameters'!$B$5)/(1-'1st IA Parameters'!$B$5)</f>
        <v>396.04759661706447</v>
      </c>
      <c r="K19" s="113">
        <f>'BRA Parameters'!K20*(1-'BRA Parameters'!$B$5)/(1-'1st IA Parameters'!$B$5)</f>
        <v>396.04759661706447</v>
      </c>
      <c r="L19" s="113">
        <f>'BRA Parameters'!L20*(1-'BRA Parameters'!$B$5)/(1-'1st IA Parameters'!$B$5)</f>
        <v>492.60725832351994</v>
      </c>
      <c r="M19" s="113">
        <f>'BRA Parameters'!M20*(1-'BRA Parameters'!$B$5)/(1-'1st IA Parameters'!$B$5)</f>
        <v>392.82794133390422</v>
      </c>
      <c r="N19" s="113">
        <f>'BRA Parameters'!N20*(1-'BRA Parameters'!$B$5)/(1-'1st IA Parameters'!$B$5)</f>
        <v>416.56539985012313</v>
      </c>
    </row>
    <row r="20" spans="1:14" ht="20.100000000000001" customHeight="1" x14ac:dyDescent="0.2">
      <c r="A20" s="102" t="s">
        <v>26</v>
      </c>
      <c r="B20" s="113">
        <f>ROUND(B$16*0.75,2)</f>
        <v>224.45</v>
      </c>
      <c r="C20" s="113">
        <f t="shared" ref="C20:M20" si="2">ROUND(C$16*0.75,2)</f>
        <v>196.49</v>
      </c>
      <c r="D20" s="113">
        <f t="shared" si="2"/>
        <v>212.7</v>
      </c>
      <c r="E20" s="113">
        <f t="shared" si="2"/>
        <v>172.43</v>
      </c>
      <c r="F20" s="113">
        <f t="shared" si="2"/>
        <v>227.45</v>
      </c>
      <c r="G20" s="113">
        <f t="shared" si="2"/>
        <v>227.45</v>
      </c>
      <c r="H20" s="113">
        <f t="shared" si="2"/>
        <v>196.68</v>
      </c>
      <c r="I20" s="113">
        <f t="shared" si="2"/>
        <v>183.15</v>
      </c>
      <c r="J20" s="113">
        <f t="shared" si="2"/>
        <v>198.02</v>
      </c>
      <c r="K20" s="113">
        <f t="shared" si="2"/>
        <v>198.02</v>
      </c>
      <c r="L20" s="113">
        <f t="shared" si="2"/>
        <v>246.3</v>
      </c>
      <c r="M20" s="113">
        <f t="shared" si="2"/>
        <v>161.69999999999999</v>
      </c>
      <c r="N20" s="113">
        <f>ROUND(N$16*0.75,2)</f>
        <v>208.28</v>
      </c>
    </row>
    <row r="21" spans="1:14" ht="20.100000000000001" customHeight="1" x14ac:dyDescent="0.2">
      <c r="A21" s="102" t="s">
        <v>27</v>
      </c>
      <c r="B21" s="113">
        <v>0</v>
      </c>
      <c r="C21" s="113">
        <v>0</v>
      </c>
      <c r="D21" s="113">
        <v>0</v>
      </c>
      <c r="E21" s="113">
        <v>0</v>
      </c>
      <c r="F21" s="113">
        <v>0</v>
      </c>
      <c r="G21" s="113">
        <v>0</v>
      </c>
      <c r="H21" s="113">
        <v>0</v>
      </c>
      <c r="I21" s="113">
        <v>0</v>
      </c>
      <c r="J21" s="113">
        <v>0</v>
      </c>
      <c r="K21" s="113">
        <v>0</v>
      </c>
      <c r="L21" s="113">
        <v>0</v>
      </c>
      <c r="M21" s="113">
        <v>0</v>
      </c>
      <c r="N21" s="113">
        <v>0</v>
      </c>
    </row>
    <row r="22" spans="1:14" ht="20.100000000000001" customHeight="1" x14ac:dyDescent="0.2">
      <c r="A22" s="102" t="s">
        <v>28</v>
      </c>
      <c r="B22" s="103">
        <f>ROUND(B$15*(1+$B$4-0.2%)/(1+$B$4),1)+B17</f>
        <v>154347.79999999999</v>
      </c>
      <c r="C22" s="103">
        <f>ROUND(C$15*(1+$B$4-0.2%)/(1+$B$4),1)+C17</f>
        <v>66236.2</v>
      </c>
      <c r="D22" s="103">
        <f t="shared" ref="D22:N22" si="3">ROUND(D$15*(1+$B$4-0.2%)/(1+$B$4),1)+D17</f>
        <v>36959.5</v>
      </c>
      <c r="E22" s="103">
        <f t="shared" si="3"/>
        <v>15521.3</v>
      </c>
      <c r="F22" s="103">
        <f t="shared" si="3"/>
        <v>11802.7</v>
      </c>
      <c r="G22" s="103">
        <f t="shared" si="3"/>
        <v>6032.6</v>
      </c>
      <c r="H22" s="103">
        <f t="shared" si="3"/>
        <v>3017.8</v>
      </c>
      <c r="I22" s="103">
        <f t="shared" si="3"/>
        <v>8032.2</v>
      </c>
      <c r="J22" s="103">
        <f t="shared" si="3"/>
        <v>15666.1</v>
      </c>
      <c r="K22" s="103">
        <f t="shared" si="3"/>
        <v>5859.9</v>
      </c>
      <c r="L22" s="103">
        <f t="shared" si="3"/>
        <v>26259.9</v>
      </c>
      <c r="M22" s="103">
        <f t="shared" si="3"/>
        <v>8140</v>
      </c>
      <c r="N22" s="103">
        <f t="shared" si="3"/>
        <v>10292.299999999999</v>
      </c>
    </row>
    <row r="23" spans="1:14" ht="20.100000000000001" customHeight="1" x14ac:dyDescent="0.2">
      <c r="A23" s="102" t="s">
        <v>29</v>
      </c>
      <c r="B23" s="103">
        <f>ROUND(B$15*(1+$B$4+2.9%)/(1+$B$4),1)+B17</f>
        <v>158458.5</v>
      </c>
      <c r="C23" s="103">
        <f t="shared" ref="C23:N23" si="4">ROUND(C$15*(1+$B$4+2.9%)/(1+$B$4),1)+C17</f>
        <v>68000.2</v>
      </c>
      <c r="D23" s="103">
        <f t="shared" si="4"/>
        <v>37943.800000000003</v>
      </c>
      <c r="E23" s="103">
        <f t="shared" si="4"/>
        <v>15934.7</v>
      </c>
      <c r="F23" s="103">
        <f t="shared" si="4"/>
        <v>12117.1</v>
      </c>
      <c r="G23" s="103">
        <f t="shared" si="4"/>
        <v>6193.3</v>
      </c>
      <c r="H23" s="103">
        <f t="shared" si="4"/>
        <v>3098.2</v>
      </c>
      <c r="I23" s="103">
        <f t="shared" si="4"/>
        <v>8246.1</v>
      </c>
      <c r="J23" s="103">
        <f t="shared" si="4"/>
        <v>16083.3</v>
      </c>
      <c r="K23" s="103">
        <f t="shared" si="4"/>
        <v>6016</v>
      </c>
      <c r="L23" s="103">
        <f t="shared" si="4"/>
        <v>26959.200000000001</v>
      </c>
      <c r="M23" s="103">
        <f t="shared" si="4"/>
        <v>8356.7999999999993</v>
      </c>
      <c r="N23" s="103">
        <f t="shared" si="4"/>
        <v>10566.4</v>
      </c>
    </row>
    <row r="24" spans="1:14" ht="20.100000000000001" customHeight="1" x14ac:dyDescent="0.2">
      <c r="A24" s="102" t="s">
        <v>30</v>
      </c>
      <c r="B24" s="103">
        <f>ROUND(B$15*(1+$B$4+8.8%)/(1+$B$4),1)+B17</f>
        <v>166281.9</v>
      </c>
      <c r="C24" s="103">
        <f t="shared" ref="C24:N24" si="5">ROUND(C$15*(1+$B$4+8.8%)/(1+$B$4),1)+C17</f>
        <v>71357.5</v>
      </c>
      <c r="D24" s="103">
        <f t="shared" si="5"/>
        <v>39817.199999999997</v>
      </c>
      <c r="E24" s="103">
        <f t="shared" si="5"/>
        <v>16721.400000000001</v>
      </c>
      <c r="F24" s="103">
        <f t="shared" si="5"/>
        <v>12715.3</v>
      </c>
      <c r="G24" s="103">
        <f t="shared" si="5"/>
        <v>6499.1</v>
      </c>
      <c r="H24" s="103">
        <f t="shared" si="5"/>
        <v>3251.2</v>
      </c>
      <c r="I24" s="103">
        <f t="shared" si="5"/>
        <v>8653.2000000000007</v>
      </c>
      <c r="J24" s="103">
        <f t="shared" si="5"/>
        <v>16877.400000000001</v>
      </c>
      <c r="K24" s="103">
        <f t="shared" si="5"/>
        <v>6313</v>
      </c>
      <c r="L24" s="103">
        <f t="shared" si="5"/>
        <v>28290.3</v>
      </c>
      <c r="M24" s="103">
        <f t="shared" si="5"/>
        <v>8769.4</v>
      </c>
      <c r="N24" s="103">
        <f t="shared" si="5"/>
        <v>11088.1</v>
      </c>
    </row>
    <row r="25" spans="1:14" ht="20.100000000000001" customHeight="1" x14ac:dyDescent="0.2">
      <c r="A25" s="102" t="s">
        <v>50</v>
      </c>
      <c r="B25" s="114" t="s">
        <v>24</v>
      </c>
      <c r="C25" s="115">
        <v>892</v>
      </c>
      <c r="D25" s="115" t="s">
        <v>24</v>
      </c>
      <c r="E25" s="115" t="s">
        <v>24</v>
      </c>
      <c r="F25" s="115" t="s">
        <v>24</v>
      </c>
      <c r="G25" s="115" t="s">
        <v>24</v>
      </c>
      <c r="H25" s="115">
        <v>72</v>
      </c>
      <c r="I25" s="115" t="s">
        <v>24</v>
      </c>
      <c r="J25" s="115" t="s">
        <v>24</v>
      </c>
      <c r="K25" s="115" t="s">
        <v>24</v>
      </c>
      <c r="L25" s="115" t="s">
        <v>24</v>
      </c>
      <c r="M25" s="115">
        <v>65.7</v>
      </c>
      <c r="N25" s="115" t="s">
        <v>24</v>
      </c>
    </row>
    <row r="26" spans="1:14" ht="20.100000000000001" customHeight="1" x14ac:dyDescent="0.2">
      <c r="A26" s="208" t="s">
        <v>74</v>
      </c>
      <c r="B26" s="209"/>
      <c r="C26" s="209"/>
      <c r="D26" s="209"/>
      <c r="E26" s="209"/>
      <c r="F26" s="209"/>
      <c r="G26" s="209"/>
      <c r="H26" s="209"/>
      <c r="I26" s="209"/>
      <c r="J26" s="209"/>
      <c r="K26" s="209"/>
      <c r="L26" s="209"/>
      <c r="M26" s="209"/>
      <c r="N26" s="210"/>
    </row>
    <row r="27" spans="1:14" ht="20.100000000000001" customHeight="1" x14ac:dyDescent="0.2">
      <c r="A27" s="102" t="s">
        <v>73</v>
      </c>
      <c r="B27" s="114" t="s">
        <v>24</v>
      </c>
      <c r="C27" s="114" t="s">
        <v>24</v>
      </c>
      <c r="D27" s="114" t="s">
        <v>24</v>
      </c>
      <c r="E27" s="114" t="s">
        <v>24</v>
      </c>
      <c r="F27" s="114" t="s">
        <v>24</v>
      </c>
      <c r="G27" s="114" t="s">
        <v>24</v>
      </c>
      <c r="H27" s="114" t="s">
        <v>24</v>
      </c>
      <c r="I27" s="114" t="s">
        <v>24</v>
      </c>
      <c r="J27" s="114" t="s">
        <v>24</v>
      </c>
      <c r="K27" s="114" t="s">
        <v>24</v>
      </c>
      <c r="L27" s="114" t="s">
        <v>24</v>
      </c>
      <c r="M27" s="114" t="s">
        <v>24</v>
      </c>
      <c r="N27" s="114" t="s">
        <v>24</v>
      </c>
    </row>
  </sheetData>
  <mergeCells count="8">
    <mergeCell ref="C8:N8"/>
    <mergeCell ref="A18:N18"/>
    <mergeCell ref="A26:N26"/>
    <mergeCell ref="C6:N6"/>
    <mergeCell ref="C3:N3"/>
    <mergeCell ref="C4:N4"/>
    <mergeCell ref="C5:N5"/>
    <mergeCell ref="C7:N7"/>
  </mergeCells>
  <pageMargins left="0.5" right="0.7" top="0.5" bottom="0.5" header="0.3" footer="0.3"/>
  <pageSetup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79"/>
  <sheetViews>
    <sheetView zoomScaleNormal="100" zoomScaleSheetLayoutView="75" workbookViewId="0">
      <selection sqref="A1:F1"/>
    </sheetView>
  </sheetViews>
  <sheetFormatPr defaultColWidth="30.7109375" defaultRowHeight="12.75" x14ac:dyDescent="0.2"/>
  <cols>
    <col min="1" max="1" width="57.5703125" customWidth="1"/>
    <col min="2" max="7" width="16.7109375" style="1" customWidth="1"/>
    <col min="8" max="8" width="16.7109375" customWidth="1"/>
    <col min="9" max="9" width="17.7109375" customWidth="1"/>
    <col min="10" max="14" width="18.7109375" customWidth="1"/>
    <col min="15" max="15" width="41.28515625" bestFit="1" customWidth="1"/>
  </cols>
  <sheetData>
    <row r="1" spans="1:15" ht="24.95" customHeight="1" x14ac:dyDescent="0.25">
      <c r="A1" s="213" t="s">
        <v>92</v>
      </c>
      <c r="B1" s="213"/>
      <c r="C1" s="213"/>
      <c r="D1" s="213"/>
      <c r="E1" s="213"/>
      <c r="F1" s="213"/>
      <c r="G1" s="154">
        <v>42528</v>
      </c>
      <c r="H1" s="15" t="s">
        <v>12</v>
      </c>
      <c r="I1" s="16" t="s">
        <v>12</v>
      </c>
      <c r="J1" s="17"/>
      <c r="K1" s="17"/>
      <c r="L1" s="17"/>
      <c r="M1" s="17"/>
      <c r="N1" s="17"/>
    </row>
    <row r="2" spans="1:15" ht="20.100000000000001" customHeight="1" x14ac:dyDescent="0.2">
      <c r="A2" s="219" t="s">
        <v>132</v>
      </c>
      <c r="B2" s="219"/>
      <c r="C2" s="219"/>
      <c r="D2" s="219"/>
      <c r="E2" s="219"/>
      <c r="F2" s="219"/>
      <c r="G2" s="219"/>
      <c r="H2" s="219"/>
      <c r="I2" s="219"/>
      <c r="J2" s="219"/>
      <c r="K2" s="219"/>
      <c r="L2" s="219"/>
      <c r="M2" s="219"/>
      <c r="N2" s="219"/>
    </row>
    <row r="3" spans="1:15" ht="20.100000000000001" customHeight="1" x14ac:dyDescent="0.2">
      <c r="A3" s="93" t="s">
        <v>123</v>
      </c>
      <c r="B3" s="21" t="s">
        <v>13</v>
      </c>
      <c r="C3" s="212" t="s">
        <v>41</v>
      </c>
      <c r="D3" s="212"/>
      <c r="E3" s="212"/>
      <c r="F3" s="212"/>
      <c r="G3" s="212"/>
      <c r="H3" s="212"/>
      <c r="I3" s="212"/>
      <c r="J3" s="212"/>
      <c r="K3" s="212"/>
      <c r="L3" s="212"/>
      <c r="M3" s="212"/>
      <c r="N3" s="212"/>
    </row>
    <row r="4" spans="1:15" ht="20.100000000000001" customHeight="1" x14ac:dyDescent="0.2">
      <c r="A4" s="93" t="s">
        <v>35</v>
      </c>
      <c r="B4" s="94">
        <v>0.16500000000000001</v>
      </c>
      <c r="C4" s="211" t="s">
        <v>94</v>
      </c>
      <c r="D4" s="211"/>
      <c r="E4" s="211"/>
      <c r="F4" s="211"/>
      <c r="G4" s="211"/>
      <c r="H4" s="211"/>
      <c r="I4" s="211"/>
      <c r="J4" s="211"/>
      <c r="K4" s="211"/>
      <c r="L4" s="211"/>
      <c r="M4" s="211"/>
      <c r="N4" s="211"/>
    </row>
    <row r="5" spans="1:15" ht="20.100000000000001" customHeight="1" x14ac:dyDescent="0.2">
      <c r="A5" s="93" t="s">
        <v>36</v>
      </c>
      <c r="B5" s="95">
        <v>6.6000000000000003E-2</v>
      </c>
      <c r="C5" s="211" t="s">
        <v>94</v>
      </c>
      <c r="D5" s="211"/>
      <c r="E5" s="211"/>
      <c r="F5" s="211"/>
      <c r="G5" s="211"/>
      <c r="H5" s="211"/>
      <c r="I5" s="211"/>
      <c r="J5" s="211"/>
      <c r="K5" s="211"/>
      <c r="L5" s="211"/>
      <c r="M5" s="211"/>
      <c r="N5" s="211"/>
    </row>
    <row r="6" spans="1:15" ht="20.100000000000001" customHeight="1" x14ac:dyDescent="0.2">
      <c r="A6" s="93" t="s">
        <v>37</v>
      </c>
      <c r="B6" s="96">
        <f>ROUND((1+B4)*(1-B5),4)</f>
        <v>1.0881000000000001</v>
      </c>
      <c r="C6" s="219" t="s">
        <v>94</v>
      </c>
      <c r="D6" s="219"/>
      <c r="E6" s="219"/>
      <c r="F6" s="219"/>
      <c r="G6" s="219"/>
      <c r="H6" s="219"/>
      <c r="I6" s="219"/>
      <c r="J6" s="219"/>
      <c r="K6" s="219"/>
      <c r="L6" s="219"/>
      <c r="M6" s="219"/>
      <c r="N6" s="219"/>
    </row>
    <row r="7" spans="1:15" ht="20.100000000000001" customHeight="1" x14ac:dyDescent="0.2">
      <c r="A7" s="93" t="s">
        <v>38</v>
      </c>
      <c r="B7" s="97">
        <v>157188.5</v>
      </c>
      <c r="C7" s="211" t="s">
        <v>93</v>
      </c>
      <c r="D7" s="211"/>
      <c r="E7" s="211"/>
      <c r="F7" s="211"/>
      <c r="G7" s="211"/>
      <c r="H7" s="211"/>
      <c r="I7" s="211"/>
      <c r="J7" s="211"/>
      <c r="K7" s="211"/>
      <c r="L7" s="211"/>
      <c r="M7" s="211"/>
      <c r="N7" s="211"/>
    </row>
    <row r="8" spans="1:15" ht="20.100000000000001" customHeight="1" x14ac:dyDescent="0.2">
      <c r="A8" s="93" t="s">
        <v>12</v>
      </c>
      <c r="B8" s="98" t="s">
        <v>12</v>
      </c>
      <c r="C8" s="206" t="s">
        <v>95</v>
      </c>
      <c r="D8" s="206"/>
      <c r="E8" s="206"/>
      <c r="F8" s="206"/>
      <c r="G8" s="206"/>
      <c r="H8" s="206"/>
      <c r="I8" s="206"/>
      <c r="J8" s="206"/>
      <c r="K8" s="206"/>
      <c r="L8" s="206"/>
      <c r="M8" s="206"/>
      <c r="N8" s="206"/>
    </row>
    <row r="9" spans="1:15" ht="30" customHeight="1" x14ac:dyDescent="0.2">
      <c r="A9" s="99" t="s">
        <v>12</v>
      </c>
      <c r="B9" s="100" t="s">
        <v>13</v>
      </c>
      <c r="C9" s="100" t="s">
        <v>17</v>
      </c>
      <c r="D9" s="100" t="s">
        <v>16</v>
      </c>
      <c r="E9" s="100" t="s">
        <v>14</v>
      </c>
      <c r="F9" s="100" t="s">
        <v>8</v>
      </c>
      <c r="G9" s="100" t="s">
        <v>42</v>
      </c>
      <c r="H9" s="100" t="s">
        <v>43</v>
      </c>
      <c r="I9" s="100" t="s">
        <v>7</v>
      </c>
      <c r="J9" s="101" t="s">
        <v>51</v>
      </c>
      <c r="K9" s="101" t="s">
        <v>63</v>
      </c>
      <c r="L9" s="77" t="s">
        <v>18</v>
      </c>
      <c r="M9" s="77" t="s">
        <v>3</v>
      </c>
      <c r="N9" s="77" t="s">
        <v>72</v>
      </c>
      <c r="O9" s="5" t="s">
        <v>12</v>
      </c>
    </row>
    <row r="10" spans="1:15" ht="19.899999999999999" customHeight="1" x14ac:dyDescent="0.2">
      <c r="A10" s="102" t="s">
        <v>9</v>
      </c>
      <c r="B10" s="103" t="s">
        <v>24</v>
      </c>
      <c r="C10" s="103">
        <f>B59</f>
        <v>-6930</v>
      </c>
      <c r="D10" s="104">
        <f>B56</f>
        <v>1580</v>
      </c>
      <c r="E10" s="104">
        <f>B57</f>
        <v>3920</v>
      </c>
      <c r="F10" s="104">
        <f>B53</f>
        <v>5590</v>
      </c>
      <c r="G10" s="104">
        <f>B54</f>
        <v>2280</v>
      </c>
      <c r="H10" s="104">
        <f>B45</f>
        <v>1230</v>
      </c>
      <c r="I10" s="104">
        <f>B51</f>
        <v>2870</v>
      </c>
      <c r="J10" s="104">
        <f>B36</f>
        <v>4490</v>
      </c>
      <c r="K10" s="104">
        <f>B37</f>
        <v>3390</v>
      </c>
      <c r="L10" s="104">
        <f>B39</f>
        <v>610</v>
      </c>
      <c r="M10" s="104">
        <f>B38</f>
        <v>4060</v>
      </c>
      <c r="N10" s="104">
        <f>B52</f>
        <v>-170</v>
      </c>
      <c r="O10" s="4" t="s">
        <v>12</v>
      </c>
    </row>
    <row r="11" spans="1:15" ht="19.899999999999999" customHeight="1" x14ac:dyDescent="0.2">
      <c r="A11" s="102" t="s">
        <v>11</v>
      </c>
      <c r="B11" s="103" t="s">
        <v>24</v>
      </c>
      <c r="C11" s="103">
        <f>C59</f>
        <v>7385</v>
      </c>
      <c r="D11" s="104">
        <f>C56</f>
        <v>8856</v>
      </c>
      <c r="E11" s="104">
        <f>C57</f>
        <v>9400</v>
      </c>
      <c r="F11" s="104">
        <f>C53</f>
        <v>7856</v>
      </c>
      <c r="G11" s="104">
        <f>C54</f>
        <v>3827</v>
      </c>
      <c r="H11" s="104">
        <f>C45</f>
        <v>1898</v>
      </c>
      <c r="I11" s="104">
        <f>C51</f>
        <v>6985</v>
      </c>
      <c r="J11" s="104">
        <f>C36</f>
        <v>9212</v>
      </c>
      <c r="K11" s="104">
        <f>C37</f>
        <v>5501</v>
      </c>
      <c r="L11" s="104">
        <f>C39</f>
        <v>5160</v>
      </c>
      <c r="M11" s="104">
        <f>C38</f>
        <v>6234.7</v>
      </c>
      <c r="N11" s="104">
        <f>C52</f>
        <v>6168</v>
      </c>
    </row>
    <row r="12" spans="1:15" ht="19.899999999999999" customHeight="1" x14ac:dyDescent="0.2">
      <c r="A12" s="105" t="s">
        <v>10</v>
      </c>
      <c r="B12" s="103">
        <f>ROUND((B7*B6),1)</f>
        <v>171036.79999999999</v>
      </c>
      <c r="C12" s="103">
        <v>67662</v>
      </c>
      <c r="D12" s="116">
        <v>37633</v>
      </c>
      <c r="E12" s="116">
        <v>15883</v>
      </c>
      <c r="F12" s="116">
        <v>12174</v>
      </c>
      <c r="G12" s="116">
        <v>6375</v>
      </c>
      <c r="H12" s="116">
        <v>3060</v>
      </c>
      <c r="I12" s="116">
        <v>8074</v>
      </c>
      <c r="J12" s="116">
        <v>15742</v>
      </c>
      <c r="K12" s="116">
        <v>5979</v>
      </c>
      <c r="L12" s="116">
        <v>26509</v>
      </c>
      <c r="M12" s="116">
        <v>8401</v>
      </c>
      <c r="N12" s="116">
        <v>10565</v>
      </c>
      <c r="O12" s="4" t="s">
        <v>12</v>
      </c>
    </row>
    <row r="13" spans="1:15" ht="19.899999999999999" customHeight="1" x14ac:dyDescent="0.2">
      <c r="A13" s="102" t="s">
        <v>45</v>
      </c>
      <c r="B13" s="104">
        <f>H32</f>
        <v>12815.4</v>
      </c>
      <c r="C13" s="106">
        <f>H59</f>
        <v>0</v>
      </c>
      <c r="D13" s="106">
        <f>H56</f>
        <v>0</v>
      </c>
      <c r="E13" s="106">
        <f>H57</f>
        <v>0</v>
      </c>
      <c r="F13" s="106">
        <f>H53</f>
        <v>0</v>
      </c>
      <c r="G13" s="106">
        <f>H54</f>
        <v>0</v>
      </c>
      <c r="H13" s="106">
        <f>H45</f>
        <v>0</v>
      </c>
      <c r="I13" s="106">
        <f>H51</f>
        <v>0</v>
      </c>
      <c r="J13" s="106">
        <f>H36</f>
        <v>0</v>
      </c>
      <c r="K13" s="106">
        <f>H37</f>
        <v>0</v>
      </c>
      <c r="L13" s="104">
        <f>H39</f>
        <v>0</v>
      </c>
      <c r="M13" s="106">
        <f>H38</f>
        <v>0</v>
      </c>
      <c r="N13" s="106">
        <f>H52</f>
        <v>0</v>
      </c>
    </row>
    <row r="14" spans="1:15" ht="19.899999999999999" customHeight="1" x14ac:dyDescent="0.2">
      <c r="A14" s="102" t="s">
        <v>44</v>
      </c>
      <c r="B14" s="104">
        <f>ROUND(B13*$B$6,1)</f>
        <v>13944.4</v>
      </c>
      <c r="C14" s="106">
        <f t="shared" ref="C14:I14" si="0">ROUND(C13*$B$6,1)</f>
        <v>0</v>
      </c>
      <c r="D14" s="106">
        <f t="shared" si="0"/>
        <v>0</v>
      </c>
      <c r="E14" s="106">
        <f t="shared" si="0"/>
        <v>0</v>
      </c>
      <c r="F14" s="106">
        <f t="shared" si="0"/>
        <v>0</v>
      </c>
      <c r="G14" s="106">
        <f t="shared" si="0"/>
        <v>0</v>
      </c>
      <c r="H14" s="106">
        <f t="shared" si="0"/>
        <v>0</v>
      </c>
      <c r="I14" s="106">
        <f t="shared" si="0"/>
        <v>0</v>
      </c>
      <c r="J14" s="106">
        <f>ROUND(J13*$B$6,1)</f>
        <v>0</v>
      </c>
      <c r="K14" s="106">
        <f>ROUND(K13*$B$6,1)</f>
        <v>0</v>
      </c>
      <c r="L14" s="104">
        <f>ROUND(L13*$B$6,1)</f>
        <v>0</v>
      </c>
      <c r="M14" s="106">
        <f>ROUND(M13*$B$6,1)</f>
        <v>0</v>
      </c>
      <c r="N14" s="106">
        <f>ROUND(N13*$B$6,1)</f>
        <v>0</v>
      </c>
    </row>
    <row r="15" spans="1:15" ht="19.899999999999999" customHeight="1" x14ac:dyDescent="0.2">
      <c r="A15" s="107" t="s">
        <v>46</v>
      </c>
      <c r="B15" s="108">
        <f>B12-B14</f>
        <v>157092.4</v>
      </c>
      <c r="C15" s="108">
        <f t="shared" ref="C15:N15" si="1">C12-C14</f>
        <v>67662</v>
      </c>
      <c r="D15" s="108">
        <f t="shared" si="1"/>
        <v>37633</v>
      </c>
      <c r="E15" s="108">
        <f t="shared" si="1"/>
        <v>15883</v>
      </c>
      <c r="F15" s="108">
        <f t="shared" si="1"/>
        <v>12174</v>
      </c>
      <c r="G15" s="108">
        <f t="shared" si="1"/>
        <v>6375</v>
      </c>
      <c r="H15" s="108">
        <f t="shared" si="1"/>
        <v>3060</v>
      </c>
      <c r="I15" s="108">
        <f t="shared" si="1"/>
        <v>8074</v>
      </c>
      <c r="J15" s="108">
        <f t="shared" si="1"/>
        <v>15742</v>
      </c>
      <c r="K15" s="108">
        <f t="shared" si="1"/>
        <v>5979</v>
      </c>
      <c r="L15" s="108">
        <f t="shared" si="1"/>
        <v>26509</v>
      </c>
      <c r="M15" s="108">
        <f t="shared" si="1"/>
        <v>8401</v>
      </c>
      <c r="N15" s="108">
        <f t="shared" si="1"/>
        <v>10565</v>
      </c>
    </row>
    <row r="16" spans="1:15" ht="19.899999999999999" customHeight="1" x14ac:dyDescent="0.2">
      <c r="A16" s="109" t="s">
        <v>47</v>
      </c>
      <c r="B16" s="110">
        <v>299.3</v>
      </c>
      <c r="C16" s="110">
        <v>262.02</v>
      </c>
      <c r="D16" s="110">
        <v>283.63</v>
      </c>
      <c r="E16" s="110">
        <v>229.93</v>
      </c>
      <c r="F16" s="110">
        <v>303.3</v>
      </c>
      <c r="G16" s="110">
        <v>303.3</v>
      </c>
      <c r="H16" s="110">
        <v>262.27</v>
      </c>
      <c r="I16" s="110">
        <v>244.23</v>
      </c>
      <c r="J16" s="110">
        <v>264.06</v>
      </c>
      <c r="K16" s="110">
        <v>264.06</v>
      </c>
      <c r="L16" s="110">
        <v>328.44</v>
      </c>
      <c r="M16" s="110">
        <v>215.62</v>
      </c>
      <c r="N16" s="110">
        <v>277.74</v>
      </c>
      <c r="O16" s="4" t="s">
        <v>12</v>
      </c>
    </row>
    <row r="17" spans="1:15" ht="19.899999999999999" customHeight="1" x14ac:dyDescent="0.2">
      <c r="A17" s="117" t="s">
        <v>126</v>
      </c>
      <c r="B17" s="103">
        <v>1738.3</v>
      </c>
      <c r="C17" s="103">
        <v>609.6</v>
      </c>
      <c r="D17" s="103">
        <v>204.7</v>
      </c>
      <c r="E17" s="103">
        <v>307.60000000000002</v>
      </c>
      <c r="F17" s="103">
        <v>46.8</v>
      </c>
      <c r="G17" s="103">
        <v>9.1999999999999993</v>
      </c>
      <c r="H17" s="103">
        <v>1.2</v>
      </c>
      <c r="I17" s="103">
        <v>121.5</v>
      </c>
      <c r="J17" s="103">
        <v>49.5</v>
      </c>
      <c r="K17" s="103">
        <v>0.5</v>
      </c>
      <c r="L17" s="103">
        <v>666.4</v>
      </c>
      <c r="M17" s="103">
        <v>186.1</v>
      </c>
      <c r="N17" s="103">
        <v>56.6</v>
      </c>
      <c r="O17" s="4"/>
    </row>
    <row r="18" spans="1:15" ht="19.899999999999999" customHeight="1" x14ac:dyDescent="0.2">
      <c r="A18" s="117" t="s">
        <v>125</v>
      </c>
      <c r="B18" s="103">
        <f>ROUND(B17*$B$6,1)</f>
        <v>1891.4</v>
      </c>
      <c r="C18" s="103">
        <f t="shared" ref="C18:N18" si="2">ROUND(C17*$B$6,1)</f>
        <v>663.3</v>
      </c>
      <c r="D18" s="103">
        <f t="shared" si="2"/>
        <v>222.7</v>
      </c>
      <c r="E18" s="103">
        <f t="shared" si="2"/>
        <v>334.7</v>
      </c>
      <c r="F18" s="103">
        <f t="shared" si="2"/>
        <v>50.9</v>
      </c>
      <c r="G18" s="103">
        <f t="shared" si="2"/>
        <v>10</v>
      </c>
      <c r="H18" s="103">
        <f t="shared" si="2"/>
        <v>1.3</v>
      </c>
      <c r="I18" s="103">
        <f t="shared" si="2"/>
        <v>132.19999999999999</v>
      </c>
      <c r="J18" s="103">
        <f t="shared" si="2"/>
        <v>53.9</v>
      </c>
      <c r="K18" s="103">
        <f t="shared" si="2"/>
        <v>0.5</v>
      </c>
      <c r="L18" s="103">
        <f t="shared" si="2"/>
        <v>725.1</v>
      </c>
      <c r="M18" s="103">
        <f t="shared" si="2"/>
        <v>202.5</v>
      </c>
      <c r="N18" s="103">
        <f t="shared" si="2"/>
        <v>61.6</v>
      </c>
      <c r="O18" s="4"/>
    </row>
    <row r="19" spans="1:15" ht="19.899999999999999" customHeight="1" x14ac:dyDescent="0.2">
      <c r="A19" s="207" t="s">
        <v>48</v>
      </c>
      <c r="B19" s="207"/>
      <c r="C19" s="207"/>
      <c r="D19" s="207"/>
      <c r="E19" s="207"/>
      <c r="F19" s="207"/>
      <c r="G19" s="207"/>
      <c r="H19" s="207"/>
      <c r="I19" s="207"/>
      <c r="J19" s="207"/>
      <c r="K19" s="207"/>
      <c r="L19" s="207"/>
      <c r="M19" s="207"/>
      <c r="N19" s="207"/>
    </row>
    <row r="20" spans="1:15" ht="19.899999999999999" customHeight="1" x14ac:dyDescent="0.2">
      <c r="A20" s="112" t="s">
        <v>25</v>
      </c>
      <c r="B20" s="113">
        <v>448.95</v>
      </c>
      <c r="C20" s="113">
        <v>393.03</v>
      </c>
      <c r="D20" s="113">
        <v>425.45</v>
      </c>
      <c r="E20" s="113">
        <v>392.87</v>
      </c>
      <c r="F20" s="113">
        <v>454.95</v>
      </c>
      <c r="G20" s="113">
        <v>454.95</v>
      </c>
      <c r="H20" s="113">
        <v>393.41</v>
      </c>
      <c r="I20" s="113">
        <v>392.87</v>
      </c>
      <c r="J20" s="113">
        <v>396.09</v>
      </c>
      <c r="K20" s="113">
        <v>396.09</v>
      </c>
      <c r="L20" s="113">
        <v>492.66</v>
      </c>
      <c r="M20" s="113">
        <v>392.87</v>
      </c>
      <c r="N20" s="113">
        <v>416.61</v>
      </c>
      <c r="O20" s="4" t="s">
        <v>12</v>
      </c>
    </row>
    <row r="21" spans="1:15" ht="19.899999999999999" customHeight="1" x14ac:dyDescent="0.2">
      <c r="A21" s="102" t="s">
        <v>26</v>
      </c>
      <c r="B21" s="113">
        <f>ROUND(B$16*0.75,2)</f>
        <v>224.48</v>
      </c>
      <c r="C21" s="113">
        <f t="shared" ref="C21:M21" si="3">ROUND(C$16*0.75,2)</f>
        <v>196.52</v>
      </c>
      <c r="D21" s="113">
        <f t="shared" si="3"/>
        <v>212.72</v>
      </c>
      <c r="E21" s="113">
        <f t="shared" si="3"/>
        <v>172.45</v>
      </c>
      <c r="F21" s="113">
        <f t="shared" si="3"/>
        <v>227.48</v>
      </c>
      <c r="G21" s="113">
        <f t="shared" si="3"/>
        <v>227.48</v>
      </c>
      <c r="H21" s="113">
        <f t="shared" si="3"/>
        <v>196.7</v>
      </c>
      <c r="I21" s="113">
        <f t="shared" si="3"/>
        <v>183.17</v>
      </c>
      <c r="J21" s="113">
        <f t="shared" si="3"/>
        <v>198.05</v>
      </c>
      <c r="K21" s="113">
        <f t="shared" si="3"/>
        <v>198.05</v>
      </c>
      <c r="L21" s="113">
        <f t="shared" si="3"/>
        <v>246.33</v>
      </c>
      <c r="M21" s="113">
        <f t="shared" si="3"/>
        <v>161.72</v>
      </c>
      <c r="N21" s="113">
        <f>ROUND(N$16*0.75,2)</f>
        <v>208.31</v>
      </c>
    </row>
    <row r="22" spans="1:15" ht="19.899999999999999" customHeight="1" x14ac:dyDescent="0.2">
      <c r="A22" s="102" t="s">
        <v>27</v>
      </c>
      <c r="B22" s="113">
        <v>0</v>
      </c>
      <c r="C22" s="113">
        <v>0</v>
      </c>
      <c r="D22" s="113">
        <v>0</v>
      </c>
      <c r="E22" s="113">
        <v>0</v>
      </c>
      <c r="F22" s="113">
        <v>0</v>
      </c>
      <c r="G22" s="113">
        <v>0</v>
      </c>
      <c r="H22" s="113">
        <v>0</v>
      </c>
      <c r="I22" s="113">
        <v>0</v>
      </c>
      <c r="J22" s="113">
        <v>0</v>
      </c>
      <c r="K22" s="113">
        <v>0</v>
      </c>
      <c r="L22" s="113">
        <v>0</v>
      </c>
      <c r="M22" s="113">
        <v>0</v>
      </c>
      <c r="N22" s="113">
        <v>0</v>
      </c>
    </row>
    <row r="23" spans="1:15" ht="19.899999999999999" customHeight="1" x14ac:dyDescent="0.2">
      <c r="A23" s="102" t="s">
        <v>28</v>
      </c>
      <c r="B23" s="103">
        <f>ROUND(B$15*(1+$B$4-0.2%)/(1+$B$4),1)+B18</f>
        <v>158714.1</v>
      </c>
      <c r="C23" s="103">
        <f>ROUND(C$15*(1+$B$4-0.2%)/(1+$B$4),1)+C18</f>
        <v>68209.100000000006</v>
      </c>
      <c r="D23" s="103">
        <f t="shared" ref="D23:N23" si="4">ROUND(D$15*(1+$B$4-0.2%)/(1+$B$4),1)+D18</f>
        <v>37791.1</v>
      </c>
      <c r="E23" s="103">
        <f t="shared" si="4"/>
        <v>16190.400000000001</v>
      </c>
      <c r="F23" s="103">
        <f t="shared" si="4"/>
        <v>12204</v>
      </c>
      <c r="G23" s="103">
        <f t="shared" si="4"/>
        <v>6374.1</v>
      </c>
      <c r="H23" s="103">
        <f t="shared" si="4"/>
        <v>3056</v>
      </c>
      <c r="I23" s="103">
        <f t="shared" si="4"/>
        <v>8192.3000000000011</v>
      </c>
      <c r="J23" s="103">
        <f t="shared" si="4"/>
        <v>15768.9</v>
      </c>
      <c r="K23" s="103">
        <f t="shared" si="4"/>
        <v>5969.2</v>
      </c>
      <c r="L23" s="103">
        <f t="shared" si="4"/>
        <v>27188.6</v>
      </c>
      <c r="M23" s="103">
        <f t="shared" si="4"/>
        <v>8589.1</v>
      </c>
      <c r="N23" s="103">
        <f t="shared" si="4"/>
        <v>10608.5</v>
      </c>
    </row>
    <row r="24" spans="1:15" ht="19.899999999999999" customHeight="1" x14ac:dyDescent="0.2">
      <c r="A24" s="102" t="s">
        <v>29</v>
      </c>
      <c r="B24" s="103">
        <f>ROUND(B$15*(1+$B$4+2.9%)/(1+$B$4),1)+B18</f>
        <v>162894.29999999999</v>
      </c>
      <c r="C24" s="103">
        <f t="shared" ref="C24:N24" si="5">ROUND(C$15*(1+$B$4+2.9%)/(1+$B$4),1)+C18</f>
        <v>70009.600000000006</v>
      </c>
      <c r="D24" s="103">
        <f t="shared" si="5"/>
        <v>38792.5</v>
      </c>
      <c r="E24" s="103">
        <f t="shared" si="5"/>
        <v>16613.099999999999</v>
      </c>
      <c r="F24" s="103">
        <f t="shared" si="5"/>
        <v>12527.9</v>
      </c>
      <c r="G24" s="103">
        <f t="shared" si="5"/>
        <v>6543.7</v>
      </c>
      <c r="H24" s="103">
        <f t="shared" si="5"/>
        <v>3137.5</v>
      </c>
      <c r="I24" s="103">
        <f t="shared" si="5"/>
        <v>8407.2000000000007</v>
      </c>
      <c r="J24" s="103">
        <f t="shared" si="5"/>
        <v>16187.8</v>
      </c>
      <c r="K24" s="103">
        <f t="shared" si="5"/>
        <v>6128.3</v>
      </c>
      <c r="L24" s="103">
        <f t="shared" si="5"/>
        <v>27894</v>
      </c>
      <c r="M24" s="103">
        <f t="shared" si="5"/>
        <v>8812.6</v>
      </c>
      <c r="N24" s="103">
        <f t="shared" si="5"/>
        <v>10889.6</v>
      </c>
    </row>
    <row r="25" spans="1:15" ht="19.899999999999999" customHeight="1" x14ac:dyDescent="0.2">
      <c r="A25" s="102" t="s">
        <v>30</v>
      </c>
      <c r="B25" s="103">
        <f>ROUND(B$15*(1+$B$4+8.8%)/(1+$B$4),1)+B18</f>
        <v>170850</v>
      </c>
      <c r="C25" s="103">
        <f t="shared" ref="C25:N25" si="6">ROUND(C$15*(1+$B$4+8.8%)/(1+$B$4),1)+C18</f>
        <v>73436.2</v>
      </c>
      <c r="D25" s="103">
        <f t="shared" si="6"/>
        <v>40698.399999999994</v>
      </c>
      <c r="E25" s="103">
        <f t="shared" si="6"/>
        <v>17417.400000000001</v>
      </c>
      <c r="F25" s="103">
        <f t="shared" si="6"/>
        <v>13144.5</v>
      </c>
      <c r="G25" s="103">
        <f t="shared" si="6"/>
        <v>6866.5</v>
      </c>
      <c r="H25" s="103">
        <f t="shared" si="6"/>
        <v>3292.4</v>
      </c>
      <c r="I25" s="103">
        <f t="shared" si="6"/>
        <v>8816.1</v>
      </c>
      <c r="J25" s="103">
        <f t="shared" si="6"/>
        <v>16985</v>
      </c>
      <c r="K25" s="103">
        <f t="shared" si="6"/>
        <v>6431.1</v>
      </c>
      <c r="L25" s="103">
        <f t="shared" si="6"/>
        <v>29236.5</v>
      </c>
      <c r="M25" s="103">
        <f t="shared" si="6"/>
        <v>9238.1</v>
      </c>
      <c r="N25" s="103">
        <f t="shared" si="6"/>
        <v>11424.6</v>
      </c>
    </row>
    <row r="26" spans="1:15" ht="19.899999999999999" customHeight="1" x14ac:dyDescent="0.2">
      <c r="A26" s="102" t="s">
        <v>50</v>
      </c>
      <c r="B26" s="114" t="s">
        <v>24</v>
      </c>
      <c r="C26" s="115">
        <v>892</v>
      </c>
      <c r="D26" s="115" t="s">
        <v>24</v>
      </c>
      <c r="E26" s="115" t="s">
        <v>24</v>
      </c>
      <c r="F26" s="115" t="s">
        <v>24</v>
      </c>
      <c r="G26" s="115" t="s">
        <v>24</v>
      </c>
      <c r="H26" s="115">
        <v>72</v>
      </c>
      <c r="I26" s="115" t="s">
        <v>24</v>
      </c>
      <c r="J26" s="115" t="s">
        <v>24</v>
      </c>
      <c r="K26" s="115" t="s">
        <v>24</v>
      </c>
      <c r="L26" s="115" t="s">
        <v>24</v>
      </c>
      <c r="M26" s="115">
        <v>65.7</v>
      </c>
      <c r="N26" s="115" t="s">
        <v>24</v>
      </c>
    </row>
    <row r="27" spans="1:15" ht="19.899999999999999" customHeight="1" x14ac:dyDescent="0.2">
      <c r="A27" s="208" t="s">
        <v>74</v>
      </c>
      <c r="B27" s="209"/>
      <c r="C27" s="209"/>
      <c r="D27" s="209"/>
      <c r="E27" s="209"/>
      <c r="F27" s="209"/>
      <c r="G27" s="209"/>
      <c r="H27" s="209"/>
      <c r="I27" s="209"/>
      <c r="J27" s="209"/>
      <c r="K27" s="209"/>
      <c r="L27" s="209"/>
      <c r="M27" s="209"/>
      <c r="N27" s="210"/>
    </row>
    <row r="28" spans="1:15" ht="19.899999999999999" customHeight="1" x14ac:dyDescent="0.2">
      <c r="A28" s="102" t="s">
        <v>73</v>
      </c>
      <c r="B28" s="114" t="s">
        <v>24</v>
      </c>
      <c r="C28" s="118">
        <f>ROUND((C12-C11)/(F59*$B$6),3)</f>
        <v>0.97</v>
      </c>
      <c r="D28" s="118">
        <f>ROUND((D12-D11)/(F56*$B$6),3)</f>
        <v>0.85299999999999998</v>
      </c>
      <c r="E28" s="118">
        <f>ROUND((E12-E11)/(F57*$B$6),3)</f>
        <v>0.45300000000000001</v>
      </c>
      <c r="F28" s="118">
        <f>ROUND((F12-F11)/(F53*$B$6),3)</f>
        <v>0.40200000000000002</v>
      </c>
      <c r="G28" s="114" t="s">
        <v>24</v>
      </c>
      <c r="H28" s="114" t="s">
        <v>24</v>
      </c>
      <c r="I28" s="114" t="s">
        <v>24</v>
      </c>
      <c r="J28" s="118">
        <f>ROUND((J12-J11)/(F36*$B$6),3)</f>
        <v>0.47599999999999998</v>
      </c>
      <c r="K28" s="114" t="s">
        <v>24</v>
      </c>
      <c r="L28" s="118">
        <f>ROUND((L12-L11)/(F39*$B$6),3)</f>
        <v>0.89800000000000002</v>
      </c>
      <c r="M28" s="114" t="s">
        <v>24</v>
      </c>
      <c r="N28" s="114" t="s">
        <v>24</v>
      </c>
    </row>
    <row r="29" spans="1:15" ht="20.100000000000001" customHeight="1" x14ac:dyDescent="0.2">
      <c r="A29" s="217" t="s">
        <v>12</v>
      </c>
      <c r="B29" s="218"/>
      <c r="C29" s="218"/>
      <c r="D29" s="218"/>
      <c r="E29" s="218"/>
      <c r="F29" s="218"/>
      <c r="G29" s="218"/>
      <c r="H29" s="218"/>
      <c r="I29" s="218"/>
      <c r="J29" s="218"/>
      <c r="K29" s="218"/>
      <c r="L29" s="218"/>
      <c r="M29" s="218"/>
      <c r="N29" s="218"/>
    </row>
    <row r="30" spans="1:15" ht="18" customHeight="1" x14ac:dyDescent="0.25">
      <c r="A30" s="212" t="s">
        <v>79</v>
      </c>
      <c r="B30" s="212"/>
      <c r="C30" s="212"/>
      <c r="D30" s="212"/>
      <c r="E30" s="212"/>
      <c r="F30" s="212"/>
      <c r="G30" s="212"/>
      <c r="H30" s="212"/>
      <c r="I30" s="212"/>
      <c r="J30" s="119"/>
      <c r="K30" s="120"/>
      <c r="L30" s="120"/>
      <c r="M30" s="120"/>
      <c r="N30" s="120"/>
    </row>
    <row r="31" spans="1:15" s="3" customFormat="1" ht="84.95" customHeight="1" x14ac:dyDescent="0.25">
      <c r="A31" s="121" t="s">
        <v>39</v>
      </c>
      <c r="B31" s="122" t="s">
        <v>9</v>
      </c>
      <c r="C31" s="122" t="s">
        <v>11</v>
      </c>
      <c r="D31" s="122" t="s">
        <v>71</v>
      </c>
      <c r="E31" s="122" t="s">
        <v>97</v>
      </c>
      <c r="F31" s="122" t="s">
        <v>31</v>
      </c>
      <c r="G31" s="122" t="s">
        <v>32</v>
      </c>
      <c r="H31" s="122" t="s">
        <v>52</v>
      </c>
      <c r="I31" s="122" t="s">
        <v>91</v>
      </c>
      <c r="J31" s="123" t="s">
        <v>12</v>
      </c>
      <c r="K31" s="124"/>
      <c r="L31" s="124"/>
      <c r="M31" s="124"/>
      <c r="N31" s="124"/>
    </row>
    <row r="32" spans="1:15" s="3" customFormat="1" ht="19.899999999999999" customHeight="1" x14ac:dyDescent="0.25">
      <c r="A32" s="125" t="s">
        <v>13</v>
      </c>
      <c r="B32" s="125" t="s">
        <v>24</v>
      </c>
      <c r="C32" s="103" t="s">
        <v>24</v>
      </c>
      <c r="D32" s="126" t="s">
        <v>24</v>
      </c>
      <c r="E32" s="108">
        <f>E33+E34+E35+E36+E38+E39+E40+E41+E42+E43+E44+E46+E47+E48+E49+E50+E51+E52+E53+E55</f>
        <v>150518.20000000001</v>
      </c>
      <c r="F32" s="108">
        <f>F33+F34+F35+F36+F38+F39+F40+F41+F42+F43+F44+F46+F47+F48+F49+F50+F51+F52+F53+F55</f>
        <v>157188.5</v>
      </c>
      <c r="G32" s="127" t="s">
        <v>24</v>
      </c>
      <c r="H32" s="108">
        <f>H33+H34+H35+H36+H38+H39+H40+H41+H42+H43+H44+H46+H47+H48+H49+H50+H51+H52+H53+H55</f>
        <v>12815.4</v>
      </c>
      <c r="I32" s="108">
        <f>I33+I34+I35+I36+I38+I39+I40+I41+I42+I43+I44+I46+I47+I48+I49+I50+I51+I52+I53+I55</f>
        <v>144373.1</v>
      </c>
      <c r="J32" s="128" t="s">
        <v>12</v>
      </c>
      <c r="K32" s="124"/>
      <c r="L32" s="124"/>
      <c r="M32" s="124"/>
      <c r="N32" s="124"/>
    </row>
    <row r="33" spans="1:14" s="2" customFormat="1" ht="19.899999999999999" customHeight="1" x14ac:dyDescent="0.25">
      <c r="A33" s="129" t="s">
        <v>2</v>
      </c>
      <c r="B33" s="104">
        <v>520</v>
      </c>
      <c r="C33" s="130" t="s">
        <v>105</v>
      </c>
      <c r="D33" s="131" t="s">
        <v>49</v>
      </c>
      <c r="E33" s="116">
        <v>2450</v>
      </c>
      <c r="F33" s="116">
        <v>2445</v>
      </c>
      <c r="G33" s="132">
        <f>F33/E33</f>
        <v>0.99795918367346936</v>
      </c>
      <c r="H33" s="103">
        <v>0</v>
      </c>
      <c r="I33" s="116">
        <f t="shared" ref="I33:I55" si="7">F33-H33</f>
        <v>2445</v>
      </c>
      <c r="J33" s="133" t="s">
        <v>12</v>
      </c>
      <c r="K33" s="134" t="s">
        <v>12</v>
      </c>
      <c r="L33" s="135"/>
      <c r="M33" s="135"/>
      <c r="N33" s="135"/>
    </row>
    <row r="34" spans="1:14" s="2" customFormat="1" ht="19.899999999999999" customHeight="1" x14ac:dyDescent="0.25">
      <c r="A34" s="136" t="s">
        <v>53</v>
      </c>
      <c r="B34" s="130">
        <v>740</v>
      </c>
      <c r="C34" s="130" t="s">
        <v>106</v>
      </c>
      <c r="D34" s="131" t="s">
        <v>49</v>
      </c>
      <c r="E34" s="131">
        <v>22290</v>
      </c>
      <c r="F34" s="131">
        <v>22901</v>
      </c>
      <c r="G34" s="132">
        <f t="shared" ref="G34:G44" si="8">F34/E34</f>
        <v>1.0274113952445043</v>
      </c>
      <c r="H34" s="103">
        <v>11947.5</v>
      </c>
      <c r="I34" s="116">
        <f t="shared" si="7"/>
        <v>10953.5</v>
      </c>
      <c r="J34" s="133" t="s">
        <v>12</v>
      </c>
      <c r="K34" s="134" t="s">
        <v>12</v>
      </c>
      <c r="L34" s="135"/>
      <c r="M34" s="135"/>
      <c r="N34" s="135"/>
    </row>
    <row r="35" spans="1:14" s="2" customFormat="1" ht="19.899999999999999" customHeight="1" x14ac:dyDescent="0.25">
      <c r="A35" s="136" t="s">
        <v>0</v>
      </c>
      <c r="B35" s="130">
        <v>2680</v>
      </c>
      <c r="C35" s="130" t="s">
        <v>121</v>
      </c>
      <c r="D35" s="131" t="s">
        <v>49</v>
      </c>
      <c r="E35" s="131">
        <v>8350</v>
      </c>
      <c r="F35" s="131">
        <v>8891</v>
      </c>
      <c r="G35" s="132">
        <f t="shared" si="8"/>
        <v>1.0647904191616766</v>
      </c>
      <c r="H35" s="103">
        <v>0</v>
      </c>
      <c r="I35" s="116">
        <f t="shared" si="7"/>
        <v>8891</v>
      </c>
      <c r="J35" s="133" t="s">
        <v>12</v>
      </c>
      <c r="K35" s="134" t="s">
        <v>12</v>
      </c>
      <c r="L35" s="135"/>
      <c r="M35" s="135"/>
      <c r="N35" s="135"/>
    </row>
    <row r="36" spans="1:14" s="2" customFormat="1" ht="19.899999999999999" customHeight="1" x14ac:dyDescent="0.25">
      <c r="A36" s="136" t="s">
        <v>51</v>
      </c>
      <c r="B36" s="130">
        <v>4490</v>
      </c>
      <c r="C36" s="137">
        <v>9212</v>
      </c>
      <c r="D36" s="138">
        <f>C36/B36</f>
        <v>2.0516703786191535</v>
      </c>
      <c r="E36" s="131">
        <v>12640</v>
      </c>
      <c r="F36" s="131">
        <v>12617</v>
      </c>
      <c r="G36" s="132">
        <f t="shared" si="8"/>
        <v>0.99818037974683549</v>
      </c>
      <c r="H36" s="103">
        <v>0</v>
      </c>
      <c r="I36" s="116">
        <f t="shared" si="7"/>
        <v>12617</v>
      </c>
      <c r="J36" s="133" t="s">
        <v>12</v>
      </c>
      <c r="K36" s="134" t="s">
        <v>12</v>
      </c>
      <c r="L36" s="135"/>
      <c r="M36" s="135"/>
      <c r="N36" s="135"/>
    </row>
    <row r="37" spans="1:14" s="2" customFormat="1" ht="19.899999999999999" customHeight="1" x14ac:dyDescent="0.25">
      <c r="A37" s="136" t="s">
        <v>61</v>
      </c>
      <c r="B37" s="130">
        <v>3390</v>
      </c>
      <c r="C37" s="137">
        <v>5501</v>
      </c>
      <c r="D37" s="138">
        <f>C37/B37</f>
        <v>1.6227138643067847</v>
      </c>
      <c r="E37" s="131" t="s">
        <v>24</v>
      </c>
      <c r="F37" s="131">
        <v>4221.6000000000004</v>
      </c>
      <c r="G37" s="132" t="s">
        <v>24</v>
      </c>
      <c r="H37" s="103">
        <v>0</v>
      </c>
      <c r="I37" s="116">
        <f t="shared" si="7"/>
        <v>4221.6000000000004</v>
      </c>
      <c r="J37" s="133" t="s">
        <v>12</v>
      </c>
      <c r="K37" s="134" t="s">
        <v>12</v>
      </c>
      <c r="L37" s="135"/>
      <c r="M37" s="135"/>
      <c r="N37" s="135"/>
    </row>
    <row r="38" spans="1:14" s="2" customFormat="1" ht="19.899999999999999" customHeight="1" x14ac:dyDescent="0.25">
      <c r="A38" s="129" t="s">
        <v>3</v>
      </c>
      <c r="B38" s="130">
        <v>4060</v>
      </c>
      <c r="C38" s="137">
        <f>6169+65.7</f>
        <v>6234.7</v>
      </c>
      <c r="D38" s="138">
        <f>C38/B38</f>
        <v>1.5356403940886698</v>
      </c>
      <c r="E38" s="116">
        <v>6490</v>
      </c>
      <c r="F38" s="116">
        <v>6758</v>
      </c>
      <c r="G38" s="132">
        <f t="shared" si="8"/>
        <v>1.0412942989214176</v>
      </c>
      <c r="H38" s="103">
        <v>0</v>
      </c>
      <c r="I38" s="116">
        <f t="shared" si="7"/>
        <v>6758</v>
      </c>
      <c r="J38" s="133" t="s">
        <v>12</v>
      </c>
      <c r="K38" s="134" t="s">
        <v>12</v>
      </c>
      <c r="L38" s="135"/>
      <c r="M38" s="135"/>
      <c r="N38" s="135"/>
    </row>
    <row r="39" spans="1:14" s="2" customFormat="1" ht="19.899999999999999" customHeight="1" x14ac:dyDescent="0.25">
      <c r="A39" s="129" t="s">
        <v>18</v>
      </c>
      <c r="B39" s="104">
        <v>610</v>
      </c>
      <c r="C39" s="137">
        <v>5160</v>
      </c>
      <c r="D39" s="138">
        <f>C39/B39</f>
        <v>8.4590163934426226</v>
      </c>
      <c r="E39" s="116">
        <v>20900</v>
      </c>
      <c r="F39" s="116">
        <v>21855</v>
      </c>
      <c r="G39" s="132">
        <f t="shared" si="8"/>
        <v>1.0456937799043062</v>
      </c>
      <c r="H39" s="103">
        <v>0</v>
      </c>
      <c r="I39" s="116">
        <f t="shared" si="7"/>
        <v>21855</v>
      </c>
      <c r="J39" s="133" t="s">
        <v>12</v>
      </c>
      <c r="K39" s="134" t="s">
        <v>104</v>
      </c>
      <c r="L39" s="135"/>
      <c r="M39" s="135"/>
      <c r="N39" s="135"/>
    </row>
    <row r="40" spans="1:14" s="2" customFormat="1" ht="19.899999999999999" customHeight="1" x14ac:dyDescent="0.25">
      <c r="A40" s="129" t="s">
        <v>19</v>
      </c>
      <c r="B40" s="104">
        <v>1290</v>
      </c>
      <c r="C40" s="130" t="s">
        <v>107</v>
      </c>
      <c r="D40" s="131" t="s">
        <v>49</v>
      </c>
      <c r="E40" s="116">
        <v>3170</v>
      </c>
      <c r="F40" s="116">
        <v>3344</v>
      </c>
      <c r="G40" s="132">
        <f t="shared" si="8"/>
        <v>1.0548895899053627</v>
      </c>
      <c r="H40" s="103">
        <v>0</v>
      </c>
      <c r="I40" s="116">
        <f t="shared" si="7"/>
        <v>3344</v>
      </c>
      <c r="J40" s="133" t="s">
        <v>12</v>
      </c>
      <c r="K40" s="134" t="s">
        <v>12</v>
      </c>
      <c r="L40" s="135"/>
      <c r="M40" s="135"/>
      <c r="N40" s="135"/>
    </row>
    <row r="41" spans="1:14" s="2" customFormat="1" ht="19.899999999999999" customHeight="1" x14ac:dyDescent="0.25">
      <c r="A41" s="129" t="s">
        <v>58</v>
      </c>
      <c r="B41" s="104">
        <v>3540</v>
      </c>
      <c r="C41" s="130" t="s">
        <v>108</v>
      </c>
      <c r="D41" s="131" t="s">
        <v>49</v>
      </c>
      <c r="E41" s="116">
        <v>5080</v>
      </c>
      <c r="F41" s="116">
        <v>5374</v>
      </c>
      <c r="G41" s="132">
        <f>F41/E41</f>
        <v>1.0578740157480315</v>
      </c>
      <c r="H41" s="103">
        <v>848.5</v>
      </c>
      <c r="I41" s="116">
        <f t="shared" si="7"/>
        <v>4525.5</v>
      </c>
      <c r="J41" s="133" t="s">
        <v>12</v>
      </c>
      <c r="K41" s="134" t="s">
        <v>12</v>
      </c>
      <c r="L41" s="135"/>
      <c r="M41" s="135"/>
      <c r="N41" s="135"/>
    </row>
    <row r="42" spans="1:14" s="2" customFormat="1" ht="19.899999999999999" customHeight="1" x14ac:dyDescent="0.25">
      <c r="A42" s="129" t="s">
        <v>4</v>
      </c>
      <c r="B42" s="104">
        <v>1630</v>
      </c>
      <c r="C42" s="130" t="s">
        <v>109</v>
      </c>
      <c r="D42" s="131" t="s">
        <v>49</v>
      </c>
      <c r="E42" s="116">
        <v>2780</v>
      </c>
      <c r="F42" s="116">
        <v>2827</v>
      </c>
      <c r="G42" s="132">
        <f t="shared" si="8"/>
        <v>1.016906474820144</v>
      </c>
      <c r="H42" s="103">
        <v>0</v>
      </c>
      <c r="I42" s="116">
        <f t="shared" si="7"/>
        <v>2827</v>
      </c>
      <c r="J42" s="133" t="s">
        <v>12</v>
      </c>
      <c r="K42" s="134" t="s">
        <v>12</v>
      </c>
      <c r="L42" s="135"/>
      <c r="M42" s="135"/>
      <c r="N42" s="135"/>
    </row>
    <row r="43" spans="1:14" s="2" customFormat="1" ht="19.899999999999999" customHeight="1" x14ac:dyDescent="0.25">
      <c r="A43" s="129" t="s">
        <v>20</v>
      </c>
      <c r="B43" s="104">
        <v>-2360</v>
      </c>
      <c r="C43" s="130" t="s">
        <v>64</v>
      </c>
      <c r="D43" s="131" t="s">
        <v>64</v>
      </c>
      <c r="E43" s="116">
        <v>18350</v>
      </c>
      <c r="F43" s="116">
        <v>20104</v>
      </c>
      <c r="G43" s="132">
        <f t="shared" si="8"/>
        <v>1.0955858310626703</v>
      </c>
      <c r="H43" s="103">
        <v>0</v>
      </c>
      <c r="I43" s="116">
        <f t="shared" si="7"/>
        <v>20104</v>
      </c>
      <c r="J43" s="133" t="s">
        <v>12</v>
      </c>
      <c r="K43" s="134" t="s">
        <v>12</v>
      </c>
      <c r="L43" s="135"/>
      <c r="M43" s="135"/>
      <c r="N43" s="135"/>
    </row>
    <row r="44" spans="1:14" s="2" customFormat="1" ht="19.899999999999999" customHeight="1" x14ac:dyDescent="0.25">
      <c r="A44" s="129" t="s">
        <v>1</v>
      </c>
      <c r="B44" s="104">
        <v>960</v>
      </c>
      <c r="C44" s="130" t="s">
        <v>110</v>
      </c>
      <c r="D44" s="131" t="s">
        <v>49</v>
      </c>
      <c r="E44" s="116">
        <v>3750</v>
      </c>
      <c r="F44" s="116">
        <v>3916</v>
      </c>
      <c r="G44" s="132">
        <f t="shared" si="8"/>
        <v>1.0442666666666667</v>
      </c>
      <c r="H44" s="103">
        <v>0</v>
      </c>
      <c r="I44" s="116">
        <f t="shared" si="7"/>
        <v>3916</v>
      </c>
      <c r="J44" s="133" t="s">
        <v>12</v>
      </c>
      <c r="K44" s="134" t="s">
        <v>12</v>
      </c>
      <c r="L44" s="135"/>
      <c r="M44" s="135"/>
      <c r="N44" s="135"/>
    </row>
    <row r="45" spans="1:14" s="2" customFormat="1" ht="19.899999999999999" customHeight="1" x14ac:dyDescent="0.25">
      <c r="A45" s="129" t="s">
        <v>43</v>
      </c>
      <c r="B45" s="104">
        <v>1230</v>
      </c>
      <c r="C45" s="139">
        <v>1898</v>
      </c>
      <c r="D45" s="138">
        <f>C45/B45</f>
        <v>1.5430894308943088</v>
      </c>
      <c r="E45" s="116" t="s">
        <v>24</v>
      </c>
      <c r="F45" s="131">
        <v>2279.5</v>
      </c>
      <c r="G45" s="132" t="s">
        <v>24</v>
      </c>
      <c r="H45" s="103">
        <v>0</v>
      </c>
      <c r="I45" s="116">
        <f t="shared" si="7"/>
        <v>2279.5</v>
      </c>
      <c r="J45" s="133" t="s">
        <v>12</v>
      </c>
      <c r="K45" s="134" t="s">
        <v>12</v>
      </c>
      <c r="L45" s="135"/>
      <c r="M45" s="135"/>
      <c r="N45" s="135"/>
    </row>
    <row r="46" spans="1:14" s="2" customFormat="1" ht="19.899999999999999" customHeight="1" x14ac:dyDescent="0.25">
      <c r="A46" s="129" t="s">
        <v>62</v>
      </c>
      <c r="B46" s="104">
        <v>750</v>
      </c>
      <c r="C46" s="130" t="s">
        <v>111</v>
      </c>
      <c r="D46" s="131" t="s">
        <v>49</v>
      </c>
      <c r="E46" s="116">
        <v>2053.1999999999998</v>
      </c>
      <c r="F46" s="116">
        <v>2138.5</v>
      </c>
      <c r="G46" s="132">
        <f>F46/E46</f>
        <v>1.0415449055133452</v>
      </c>
      <c r="H46" s="103">
        <v>19.399999999999999</v>
      </c>
      <c r="I46" s="116">
        <f t="shared" si="7"/>
        <v>2119.1</v>
      </c>
      <c r="J46" s="133" t="s">
        <v>12</v>
      </c>
      <c r="K46" s="135" t="s">
        <v>12</v>
      </c>
      <c r="L46" s="135"/>
      <c r="M46" s="135"/>
      <c r="N46" s="135"/>
    </row>
    <row r="47" spans="1:14" s="2" customFormat="1" ht="19.899999999999999" customHeight="1" x14ac:dyDescent="0.25">
      <c r="A47" s="129" t="s">
        <v>5</v>
      </c>
      <c r="B47" s="130">
        <v>2670</v>
      </c>
      <c r="C47" s="130" t="s">
        <v>122</v>
      </c>
      <c r="D47" s="131" t="s">
        <v>49</v>
      </c>
      <c r="E47" s="116">
        <v>5740</v>
      </c>
      <c r="F47" s="116">
        <v>5891</v>
      </c>
      <c r="G47" s="132">
        <f t="shared" ref="G47:G53" si="9">F47/E47</f>
        <v>1.0263066202090592</v>
      </c>
      <c r="H47" s="103">
        <v>0</v>
      </c>
      <c r="I47" s="116">
        <f t="shared" si="7"/>
        <v>5891</v>
      </c>
      <c r="J47" s="133" t="s">
        <v>12</v>
      </c>
      <c r="K47" s="135"/>
      <c r="L47" s="135"/>
      <c r="M47" s="135"/>
      <c r="N47" s="135"/>
    </row>
    <row r="48" spans="1:14" s="2" customFormat="1" ht="19.899999999999999" customHeight="1" x14ac:dyDescent="0.25">
      <c r="A48" s="129" t="s">
        <v>21</v>
      </c>
      <c r="B48" s="104">
        <v>1220</v>
      </c>
      <c r="C48" s="130" t="s">
        <v>112</v>
      </c>
      <c r="D48" s="131" t="s">
        <v>49</v>
      </c>
      <c r="E48" s="116">
        <v>2800</v>
      </c>
      <c r="F48" s="116">
        <v>2937</v>
      </c>
      <c r="G48" s="132">
        <f t="shared" si="9"/>
        <v>1.0489285714285714</v>
      </c>
      <c r="H48" s="103">
        <v>0</v>
      </c>
      <c r="I48" s="116">
        <f t="shared" si="7"/>
        <v>2937</v>
      </c>
      <c r="J48" s="133" t="s">
        <v>12</v>
      </c>
      <c r="K48" s="140" t="s">
        <v>12</v>
      </c>
      <c r="L48" s="135"/>
      <c r="M48" s="135"/>
      <c r="N48" s="135"/>
    </row>
    <row r="49" spans="1:14" s="2" customFormat="1" ht="19.899999999999999" customHeight="1" x14ac:dyDescent="0.25">
      <c r="A49" s="129" t="s">
        <v>6</v>
      </c>
      <c r="B49" s="104">
        <v>2780</v>
      </c>
      <c r="C49" s="130" t="s">
        <v>113</v>
      </c>
      <c r="D49" s="131" t="s">
        <v>49</v>
      </c>
      <c r="E49" s="116">
        <v>8060</v>
      </c>
      <c r="F49" s="116">
        <v>8497</v>
      </c>
      <c r="G49" s="132">
        <f t="shared" si="9"/>
        <v>1.0542183622828785</v>
      </c>
      <c r="H49" s="103">
        <v>0</v>
      </c>
      <c r="I49" s="116">
        <f t="shared" si="7"/>
        <v>8497</v>
      </c>
      <c r="J49" s="133" t="s">
        <v>12</v>
      </c>
      <c r="K49" s="135"/>
      <c r="L49" s="135"/>
      <c r="M49" s="135"/>
      <c r="N49" s="135"/>
    </row>
    <row r="50" spans="1:14" s="2" customFormat="1" ht="19.899999999999999" customHeight="1" x14ac:dyDescent="0.25">
      <c r="A50" s="129" t="s">
        <v>22</v>
      </c>
      <c r="B50" s="104">
        <v>140</v>
      </c>
      <c r="C50" s="130" t="s">
        <v>114</v>
      </c>
      <c r="D50" s="131" t="s">
        <v>49</v>
      </c>
      <c r="E50" s="116">
        <v>2870</v>
      </c>
      <c r="F50" s="116">
        <v>2779</v>
      </c>
      <c r="G50" s="132">
        <f t="shared" si="9"/>
        <v>0.96829268292682924</v>
      </c>
      <c r="H50" s="103">
        <v>0</v>
      </c>
      <c r="I50" s="116">
        <f t="shared" si="7"/>
        <v>2779</v>
      </c>
      <c r="J50" s="133" t="s">
        <v>12</v>
      </c>
      <c r="K50" s="135"/>
      <c r="L50" s="135"/>
      <c r="M50" s="135"/>
      <c r="N50" s="135"/>
    </row>
    <row r="51" spans="1:14" s="2" customFormat="1" ht="19.899999999999999" customHeight="1" x14ac:dyDescent="0.25">
      <c r="A51" s="129" t="s">
        <v>7</v>
      </c>
      <c r="B51" s="104">
        <v>2870</v>
      </c>
      <c r="C51" s="137">
        <v>6985</v>
      </c>
      <c r="D51" s="138">
        <f>C51/B51</f>
        <v>2.4337979094076654</v>
      </c>
      <c r="E51" s="116">
        <v>5910</v>
      </c>
      <c r="F51" s="116">
        <v>6387</v>
      </c>
      <c r="G51" s="132">
        <f t="shared" si="9"/>
        <v>1.0807106598984773</v>
      </c>
      <c r="H51" s="103">
        <v>0</v>
      </c>
      <c r="I51" s="116">
        <f t="shared" si="7"/>
        <v>6387</v>
      </c>
      <c r="J51" s="133" t="s">
        <v>12</v>
      </c>
      <c r="K51" s="135"/>
      <c r="L51" s="135"/>
      <c r="M51" s="135"/>
      <c r="N51" s="135"/>
    </row>
    <row r="52" spans="1:14" s="2" customFormat="1" ht="19.899999999999999" customHeight="1" x14ac:dyDescent="0.25">
      <c r="A52" s="129" t="s">
        <v>33</v>
      </c>
      <c r="B52" s="104">
        <v>-170</v>
      </c>
      <c r="C52" s="139">
        <v>6168</v>
      </c>
      <c r="D52" s="138" t="s">
        <v>64</v>
      </c>
      <c r="E52" s="116">
        <f>6770+190</f>
        <v>6960</v>
      </c>
      <c r="F52" s="116">
        <f>7083+183</f>
        <v>7266</v>
      </c>
      <c r="G52" s="132">
        <f t="shared" si="9"/>
        <v>1.0439655172413793</v>
      </c>
      <c r="H52" s="103">
        <v>0</v>
      </c>
      <c r="I52" s="116">
        <f t="shared" si="7"/>
        <v>7266</v>
      </c>
      <c r="J52" s="133" t="s">
        <v>12</v>
      </c>
      <c r="K52" s="135"/>
      <c r="L52" s="135"/>
      <c r="M52" s="135"/>
      <c r="N52" s="135"/>
    </row>
    <row r="53" spans="1:14" s="2" customFormat="1" ht="19.899999999999999" customHeight="1" x14ac:dyDescent="0.25">
      <c r="A53" s="129" t="s">
        <v>8</v>
      </c>
      <c r="B53" s="104">
        <v>5590</v>
      </c>
      <c r="C53" s="137">
        <v>7856</v>
      </c>
      <c r="D53" s="141">
        <f>C53/B53</f>
        <v>1.4053667262969589</v>
      </c>
      <c r="E53" s="116">
        <v>9490</v>
      </c>
      <c r="F53" s="116">
        <v>9868</v>
      </c>
      <c r="G53" s="132">
        <f t="shared" si="9"/>
        <v>1.039831401475237</v>
      </c>
      <c r="H53" s="103">
        <v>0</v>
      </c>
      <c r="I53" s="116">
        <f t="shared" si="7"/>
        <v>9868</v>
      </c>
      <c r="J53" s="133" t="s">
        <v>12</v>
      </c>
      <c r="K53" s="135"/>
      <c r="L53" s="135"/>
      <c r="M53" s="135"/>
      <c r="N53" s="135"/>
    </row>
    <row r="54" spans="1:14" s="2" customFormat="1" ht="19.899999999999999" customHeight="1" x14ac:dyDescent="0.25">
      <c r="A54" s="129" t="s">
        <v>42</v>
      </c>
      <c r="B54" s="104">
        <v>2280</v>
      </c>
      <c r="C54" s="137">
        <v>3827</v>
      </c>
      <c r="D54" s="141">
        <f>C54/B54</f>
        <v>1.6785087719298246</v>
      </c>
      <c r="E54" s="116" t="s">
        <v>24</v>
      </c>
      <c r="F54" s="131">
        <v>4921.2</v>
      </c>
      <c r="G54" s="132" t="s">
        <v>24</v>
      </c>
      <c r="H54" s="103">
        <v>0</v>
      </c>
      <c r="I54" s="116">
        <f t="shared" si="7"/>
        <v>4921.2</v>
      </c>
      <c r="J54" s="133" t="s">
        <v>12</v>
      </c>
      <c r="K54" s="135"/>
      <c r="L54" s="135"/>
      <c r="M54" s="135"/>
      <c r="N54" s="135"/>
    </row>
    <row r="55" spans="1:14" s="2" customFormat="1" ht="19.899999999999999" customHeight="1" x14ac:dyDescent="0.25">
      <c r="A55" s="129" t="s">
        <v>40</v>
      </c>
      <c r="B55" s="104" t="s">
        <v>24</v>
      </c>
      <c r="C55" s="130" t="s">
        <v>24</v>
      </c>
      <c r="D55" s="131" t="s">
        <v>24</v>
      </c>
      <c r="E55" s="116">
        <v>385</v>
      </c>
      <c r="F55" s="116">
        <v>393</v>
      </c>
      <c r="G55" s="132">
        <f>F55/E55</f>
        <v>1.0207792207792208</v>
      </c>
      <c r="H55" s="103">
        <v>0</v>
      </c>
      <c r="I55" s="116">
        <f t="shared" si="7"/>
        <v>393</v>
      </c>
      <c r="J55" s="133" t="s">
        <v>12</v>
      </c>
      <c r="K55" s="135"/>
      <c r="L55" s="135"/>
      <c r="M55" s="135"/>
      <c r="N55" s="135"/>
    </row>
    <row r="56" spans="1:14" s="2" customFormat="1" ht="19.899999999999999" customHeight="1" x14ac:dyDescent="0.25">
      <c r="A56" s="129" t="s">
        <v>16</v>
      </c>
      <c r="B56" s="130">
        <v>1580</v>
      </c>
      <c r="C56" s="137">
        <v>8856</v>
      </c>
      <c r="D56" s="141">
        <f>C56/B56</f>
        <v>5.6050632911392402</v>
      </c>
      <c r="E56" s="116" t="s">
        <v>24</v>
      </c>
      <c r="F56" s="116">
        <f>F33+F44+F47+F49+F53+F55</f>
        <v>31010</v>
      </c>
      <c r="G56" s="142" t="s">
        <v>24</v>
      </c>
      <c r="H56" s="116">
        <f>H33+H44+H47+H49+H53+H55</f>
        <v>0</v>
      </c>
      <c r="I56" s="214" t="s">
        <v>12</v>
      </c>
      <c r="J56" s="133" t="s">
        <v>12</v>
      </c>
      <c r="K56" s="135"/>
      <c r="L56" s="135"/>
      <c r="M56" s="135"/>
      <c r="N56" s="135"/>
    </row>
    <row r="57" spans="1:14" s="2" customFormat="1" ht="19.899999999999999" customHeight="1" x14ac:dyDescent="0.25">
      <c r="A57" s="129" t="s">
        <v>14</v>
      </c>
      <c r="B57" s="130">
        <v>3920</v>
      </c>
      <c r="C57" s="137">
        <v>9400</v>
      </c>
      <c r="D57" s="141">
        <f>C57/B57</f>
        <v>2.3979591836734695</v>
      </c>
      <c r="E57" s="116" t="s">
        <v>24</v>
      </c>
      <c r="F57" s="116">
        <f>F38+F51</f>
        <v>13145</v>
      </c>
      <c r="G57" s="142" t="s">
        <v>24</v>
      </c>
      <c r="H57" s="116">
        <f>H38+H51</f>
        <v>0</v>
      </c>
      <c r="I57" s="215"/>
      <c r="J57" s="133" t="s">
        <v>12</v>
      </c>
      <c r="K57" s="135"/>
      <c r="L57" s="135"/>
      <c r="M57" s="135"/>
      <c r="N57" s="135"/>
    </row>
    <row r="58" spans="1:14" s="2" customFormat="1" ht="19.899999999999999" customHeight="1" x14ac:dyDescent="0.25">
      <c r="A58" s="136" t="s">
        <v>15</v>
      </c>
      <c r="B58" s="130">
        <v>-8310</v>
      </c>
      <c r="C58" s="130" t="s">
        <v>64</v>
      </c>
      <c r="D58" s="131" t="s">
        <v>64</v>
      </c>
      <c r="E58" s="116" t="s">
        <v>24</v>
      </c>
      <c r="F58" s="116">
        <f>F48+F50+F52</f>
        <v>12982</v>
      </c>
      <c r="G58" s="142" t="s">
        <v>24</v>
      </c>
      <c r="H58" s="116">
        <f>H48+H50+H52</f>
        <v>0</v>
      </c>
      <c r="I58" s="215"/>
      <c r="J58" s="133" t="s">
        <v>12</v>
      </c>
      <c r="K58" s="135"/>
      <c r="L58" s="135"/>
      <c r="M58" s="135"/>
      <c r="N58" s="135"/>
    </row>
    <row r="59" spans="1:14" s="2" customFormat="1" ht="19.899999999999999" customHeight="1" x14ac:dyDescent="0.25">
      <c r="A59" s="129" t="s">
        <v>17</v>
      </c>
      <c r="B59" s="130">
        <v>-6930</v>
      </c>
      <c r="C59" s="137">
        <v>7385</v>
      </c>
      <c r="D59" s="141" t="s">
        <v>64</v>
      </c>
      <c r="E59" s="116" t="s">
        <v>24</v>
      </c>
      <c r="F59" s="116">
        <f>F56+F57+F58</f>
        <v>57137</v>
      </c>
      <c r="G59" s="142" t="s">
        <v>24</v>
      </c>
      <c r="H59" s="116">
        <f>H56+H57+H58</f>
        <v>0</v>
      </c>
      <c r="I59" s="215"/>
      <c r="J59" s="133" t="s">
        <v>12</v>
      </c>
      <c r="K59" s="135"/>
      <c r="L59" s="135"/>
      <c r="M59" s="135"/>
      <c r="N59" s="135"/>
    </row>
    <row r="60" spans="1:14" s="2" customFormat="1" ht="19.899999999999999" customHeight="1" x14ac:dyDescent="0.25">
      <c r="A60" s="136" t="s">
        <v>34</v>
      </c>
      <c r="B60" s="130">
        <v>2050</v>
      </c>
      <c r="C60" s="130" t="s">
        <v>115</v>
      </c>
      <c r="D60" s="131" t="s">
        <v>49</v>
      </c>
      <c r="E60" s="116" t="s">
        <v>24</v>
      </c>
      <c r="F60" s="116">
        <f>F34+F35+F36+F39+F40+F41+F42+F46</f>
        <v>79947.5</v>
      </c>
      <c r="G60" s="142" t="s">
        <v>24</v>
      </c>
      <c r="H60" s="116">
        <f>H34+H35+H36+H39+H40+H41+H42+H46</f>
        <v>12815.4</v>
      </c>
      <c r="I60" s="216"/>
      <c r="J60" s="133" t="s">
        <v>12</v>
      </c>
      <c r="K60" s="135"/>
      <c r="L60" s="135"/>
      <c r="M60" s="135"/>
      <c r="N60" s="135"/>
    </row>
    <row r="61" spans="1:14" s="2" customFormat="1" ht="19.899999999999999" customHeight="1" x14ac:dyDescent="0.25">
      <c r="A61" s="212" t="s">
        <v>76</v>
      </c>
      <c r="B61" s="212"/>
      <c r="C61" s="212"/>
      <c r="D61" s="212"/>
      <c r="E61" s="212"/>
      <c r="F61" s="212"/>
      <c r="G61" s="212"/>
      <c r="H61" s="212"/>
      <c r="I61" s="212"/>
      <c r="J61" s="119"/>
      <c r="K61" s="143"/>
      <c r="L61" s="135"/>
      <c r="M61" s="135"/>
      <c r="N61" s="135"/>
    </row>
    <row r="62" spans="1:14" s="2" customFormat="1" ht="5.0999999999999996" customHeight="1" x14ac:dyDescent="0.25">
      <c r="A62" s="144"/>
      <c r="B62" s="145"/>
      <c r="C62" s="145"/>
      <c r="D62" s="145"/>
      <c r="E62" s="145"/>
      <c r="F62" s="145"/>
      <c r="G62" s="145"/>
      <c r="H62" s="145"/>
      <c r="I62" s="146" t="s">
        <v>12</v>
      </c>
      <c r="J62" s="147"/>
      <c r="K62" s="143"/>
      <c r="L62" s="135"/>
      <c r="M62" s="135"/>
      <c r="N62" s="135"/>
    </row>
    <row r="63" spans="1:14" ht="20.100000000000001" customHeight="1" x14ac:dyDescent="0.25">
      <c r="A63" s="212" t="s">
        <v>59</v>
      </c>
      <c r="B63" s="212"/>
      <c r="C63" s="212"/>
      <c r="D63" s="212"/>
      <c r="E63" s="212"/>
      <c r="F63" s="212"/>
      <c r="G63" s="212"/>
      <c r="H63" s="212"/>
      <c r="I63" s="212"/>
      <c r="J63" s="148" t="s">
        <v>12</v>
      </c>
      <c r="K63" s="120"/>
      <c r="L63" s="120"/>
      <c r="M63" s="120"/>
      <c r="N63" s="120"/>
    </row>
    <row r="64" spans="1:14" ht="20.100000000000001" customHeight="1" x14ac:dyDescent="0.25">
      <c r="A64" s="121" t="s">
        <v>75</v>
      </c>
      <c r="B64" s="212" t="s">
        <v>80</v>
      </c>
      <c r="C64" s="212"/>
      <c r="D64" s="212"/>
      <c r="E64" s="212"/>
      <c r="F64" s="212"/>
      <c r="G64" s="212"/>
      <c r="H64" s="212"/>
      <c r="I64" s="212"/>
      <c r="J64" s="149"/>
      <c r="K64" s="120"/>
      <c r="L64" s="120"/>
      <c r="M64" s="120"/>
      <c r="N64" s="120"/>
    </row>
    <row r="65" spans="1:14" ht="20.100000000000001" customHeight="1" x14ac:dyDescent="0.25">
      <c r="A65" s="129" t="s">
        <v>17</v>
      </c>
      <c r="B65" s="220" t="s">
        <v>116</v>
      </c>
      <c r="C65" s="220"/>
      <c r="D65" s="220"/>
      <c r="E65" s="220"/>
      <c r="F65" s="220"/>
      <c r="G65" s="220"/>
      <c r="H65" s="220"/>
      <c r="I65" s="220"/>
      <c r="J65" s="149"/>
      <c r="K65" s="120"/>
      <c r="L65" s="120"/>
      <c r="M65" s="120"/>
      <c r="N65" s="120"/>
    </row>
    <row r="66" spans="1:14" ht="20.100000000000001" customHeight="1" x14ac:dyDescent="0.25">
      <c r="A66" s="129" t="s">
        <v>16</v>
      </c>
      <c r="B66" s="220" t="s">
        <v>116</v>
      </c>
      <c r="C66" s="220"/>
      <c r="D66" s="220"/>
      <c r="E66" s="220"/>
      <c r="F66" s="220"/>
      <c r="G66" s="220"/>
      <c r="H66" s="220"/>
      <c r="I66" s="220"/>
      <c r="J66" s="149"/>
      <c r="K66" s="120"/>
      <c r="L66" s="120"/>
      <c r="M66" s="120"/>
      <c r="N66" s="120"/>
    </row>
    <row r="67" spans="1:14" ht="20.100000000000001" customHeight="1" x14ac:dyDescent="0.25">
      <c r="A67" s="129" t="s">
        <v>14</v>
      </c>
      <c r="B67" s="220" t="s">
        <v>117</v>
      </c>
      <c r="C67" s="220"/>
      <c r="D67" s="220"/>
      <c r="E67" s="220"/>
      <c r="F67" s="220"/>
      <c r="G67" s="220"/>
      <c r="H67" s="220"/>
      <c r="I67" s="220"/>
      <c r="J67" s="149"/>
      <c r="K67" s="120"/>
      <c r="L67" s="120"/>
      <c r="M67" s="120"/>
      <c r="N67" s="120"/>
    </row>
    <row r="68" spans="1:14" ht="20.100000000000001" customHeight="1" x14ac:dyDescent="0.25">
      <c r="A68" s="129" t="s">
        <v>8</v>
      </c>
      <c r="B68" s="220" t="s">
        <v>118</v>
      </c>
      <c r="C68" s="220"/>
      <c r="D68" s="220"/>
      <c r="E68" s="220"/>
      <c r="F68" s="220"/>
      <c r="G68" s="220"/>
      <c r="H68" s="220"/>
      <c r="I68" s="220"/>
      <c r="J68" s="149"/>
      <c r="K68" s="120"/>
      <c r="L68" s="120"/>
      <c r="M68" s="120"/>
      <c r="N68" s="120"/>
    </row>
    <row r="69" spans="1:14" ht="20.100000000000001" customHeight="1" x14ac:dyDescent="0.25">
      <c r="A69" s="129" t="s">
        <v>60</v>
      </c>
      <c r="B69" s="220" t="s">
        <v>118</v>
      </c>
      <c r="C69" s="220"/>
      <c r="D69" s="220"/>
      <c r="E69" s="220"/>
      <c r="F69" s="220"/>
      <c r="G69" s="220"/>
      <c r="H69" s="220"/>
      <c r="I69" s="220"/>
      <c r="J69" s="149"/>
      <c r="K69" s="120"/>
      <c r="L69" s="120" t="s">
        <v>12</v>
      </c>
      <c r="M69" s="120"/>
      <c r="N69" s="120"/>
    </row>
    <row r="70" spans="1:14" ht="20.100000000000001" customHeight="1" x14ac:dyDescent="0.25">
      <c r="A70" s="129" t="s">
        <v>23</v>
      </c>
      <c r="B70" s="220" t="s">
        <v>119</v>
      </c>
      <c r="C70" s="220"/>
      <c r="D70" s="220"/>
      <c r="E70" s="220"/>
      <c r="F70" s="220"/>
      <c r="G70" s="220"/>
      <c r="H70" s="220"/>
      <c r="I70" s="220"/>
      <c r="J70" s="149"/>
      <c r="K70" s="120"/>
      <c r="L70" s="120"/>
      <c r="M70" s="120"/>
      <c r="N70" s="120"/>
    </row>
    <row r="71" spans="1:14" ht="20.100000000000001" customHeight="1" x14ac:dyDescent="0.25">
      <c r="A71" s="129" t="s">
        <v>7</v>
      </c>
      <c r="B71" s="220" t="s">
        <v>117</v>
      </c>
      <c r="C71" s="220"/>
      <c r="D71" s="220"/>
      <c r="E71" s="220"/>
      <c r="F71" s="220"/>
      <c r="G71" s="220"/>
      <c r="H71" s="220"/>
      <c r="I71" s="220"/>
      <c r="J71" s="149"/>
      <c r="K71" s="120"/>
      <c r="L71" s="120"/>
      <c r="M71" s="120"/>
      <c r="N71" s="120"/>
    </row>
    <row r="72" spans="1:14" ht="20.100000000000001" customHeight="1" x14ac:dyDescent="0.25">
      <c r="A72" s="136" t="s">
        <v>51</v>
      </c>
      <c r="B72" s="220" t="s">
        <v>120</v>
      </c>
      <c r="C72" s="220"/>
      <c r="D72" s="220"/>
      <c r="E72" s="220"/>
      <c r="F72" s="220"/>
      <c r="G72" s="220"/>
      <c r="H72" s="220"/>
      <c r="I72" s="220"/>
      <c r="J72" s="149"/>
      <c r="K72" s="120"/>
      <c r="L72" s="120"/>
      <c r="M72" s="120"/>
      <c r="N72" s="120"/>
    </row>
    <row r="73" spans="1:14" ht="20.100000000000001" customHeight="1" x14ac:dyDescent="0.25">
      <c r="A73" s="136" t="s">
        <v>61</v>
      </c>
      <c r="B73" s="220" t="s">
        <v>124</v>
      </c>
      <c r="C73" s="220"/>
      <c r="D73" s="220"/>
      <c r="E73" s="220"/>
      <c r="F73" s="220"/>
      <c r="G73" s="220"/>
      <c r="H73" s="220"/>
      <c r="I73" s="220"/>
      <c r="J73" s="90"/>
      <c r="K73" s="120"/>
      <c r="L73" s="120"/>
      <c r="M73" s="120"/>
      <c r="N73" s="120"/>
    </row>
    <row r="74" spans="1:14" ht="20.100000000000001" customHeight="1" x14ac:dyDescent="0.25">
      <c r="A74" s="136" t="s">
        <v>18</v>
      </c>
      <c r="B74" s="220" t="s">
        <v>117</v>
      </c>
      <c r="C74" s="220"/>
      <c r="D74" s="220"/>
      <c r="E74" s="220"/>
      <c r="F74" s="220"/>
      <c r="G74" s="220"/>
      <c r="H74" s="220"/>
      <c r="I74" s="220"/>
      <c r="J74" s="149"/>
      <c r="K74" s="120"/>
      <c r="L74" s="120"/>
      <c r="M74" s="120"/>
      <c r="N74" s="120"/>
    </row>
    <row r="75" spans="1:14" ht="20.100000000000001" customHeight="1" x14ac:dyDescent="0.25">
      <c r="A75" s="136" t="s">
        <v>3</v>
      </c>
      <c r="B75" s="220" t="s">
        <v>86</v>
      </c>
      <c r="C75" s="220"/>
      <c r="D75" s="220"/>
      <c r="E75" s="220"/>
      <c r="F75" s="220"/>
      <c r="G75" s="220"/>
      <c r="H75" s="220"/>
      <c r="I75" s="220"/>
      <c r="J75" s="149"/>
      <c r="K75" s="120"/>
      <c r="L75" s="120"/>
      <c r="M75" s="120"/>
      <c r="N75" s="120"/>
    </row>
    <row r="76" spans="1:14" ht="20.100000000000001" customHeight="1" x14ac:dyDescent="0.25">
      <c r="A76" s="136" t="s">
        <v>72</v>
      </c>
      <c r="B76" s="220" t="s">
        <v>87</v>
      </c>
      <c r="C76" s="220"/>
      <c r="D76" s="220"/>
      <c r="E76" s="220"/>
      <c r="F76" s="220"/>
      <c r="G76" s="220"/>
      <c r="H76" s="220"/>
      <c r="I76" s="220"/>
      <c r="J76" s="120"/>
      <c r="K76" s="120"/>
      <c r="L76" s="120"/>
      <c r="M76" s="120"/>
      <c r="N76" s="120"/>
    </row>
    <row r="77" spans="1:14" ht="15.75" x14ac:dyDescent="0.25">
      <c r="A77" s="150" t="s">
        <v>12</v>
      </c>
      <c r="B77" s="135" t="s">
        <v>12</v>
      </c>
      <c r="C77" s="151"/>
      <c r="D77" s="151"/>
      <c r="E77" s="151"/>
      <c r="F77" s="151"/>
      <c r="G77" s="151"/>
      <c r="H77" s="120"/>
      <c r="I77" s="120"/>
      <c r="J77" s="120"/>
      <c r="K77" s="120"/>
      <c r="L77" s="120"/>
      <c r="M77" s="120"/>
      <c r="N77" s="120"/>
    </row>
    <row r="78" spans="1:14" ht="20.100000000000001" customHeight="1" x14ac:dyDescent="0.25">
      <c r="A78" s="152" t="s">
        <v>127</v>
      </c>
      <c r="B78" s="151"/>
      <c r="C78" s="151"/>
      <c r="D78" s="151"/>
      <c r="E78" s="151"/>
      <c r="F78" s="151"/>
      <c r="G78" s="151"/>
      <c r="H78" s="120"/>
      <c r="I78" s="120"/>
      <c r="J78" s="120"/>
      <c r="K78" s="120"/>
      <c r="L78" s="120"/>
      <c r="M78" s="120"/>
      <c r="N78" s="120"/>
    </row>
    <row r="79" spans="1:14" ht="15.75" x14ac:dyDescent="0.2">
      <c r="A79" s="153" t="s">
        <v>131</v>
      </c>
      <c r="B79" s="153"/>
      <c r="C79" s="153"/>
      <c r="D79" s="153"/>
      <c r="E79" s="153"/>
      <c r="F79" s="153"/>
      <c r="G79" s="153"/>
      <c r="H79" s="153"/>
      <c r="I79" s="153"/>
      <c r="J79" s="153"/>
      <c r="K79" s="153"/>
      <c r="L79" s="153"/>
      <c r="M79" s="153"/>
      <c r="N79" s="153"/>
    </row>
  </sheetData>
  <mergeCells count="28">
    <mergeCell ref="A61:I61"/>
    <mergeCell ref="B66:I66"/>
    <mergeCell ref="B67:I67"/>
    <mergeCell ref="B68:I68"/>
    <mergeCell ref="B69:I69"/>
    <mergeCell ref="B70:I70"/>
    <mergeCell ref="A63:I63"/>
    <mergeCell ref="B64:I64"/>
    <mergeCell ref="B65:I65"/>
    <mergeCell ref="B76:I76"/>
    <mergeCell ref="B71:I71"/>
    <mergeCell ref="B72:I72"/>
    <mergeCell ref="B73:I73"/>
    <mergeCell ref="B74:I74"/>
    <mergeCell ref="B75:I75"/>
    <mergeCell ref="A1:F1"/>
    <mergeCell ref="I56:I60"/>
    <mergeCell ref="C8:N8"/>
    <mergeCell ref="A19:N19"/>
    <mergeCell ref="A27:N27"/>
    <mergeCell ref="A29:N29"/>
    <mergeCell ref="A30:I30"/>
    <mergeCell ref="A2:N2"/>
    <mergeCell ref="C3:N3"/>
    <mergeCell ref="C4:N4"/>
    <mergeCell ref="C5:N5"/>
    <mergeCell ref="C6:N6"/>
    <mergeCell ref="C7:N7"/>
  </mergeCells>
  <phoneticPr fontId="5" type="noConversion"/>
  <printOptions horizontalCentered="1" verticalCentered="1" gridLines="1"/>
  <pageMargins left="0.45" right="0.45" top="0.5" bottom="0.5" header="0.3" footer="0.3"/>
  <pageSetup scale="34" orientation="landscape" r:id="rId1"/>
  <headerFooter alignWithMargins="0"/>
  <rowBreaks count="1" manualBreakCount="1">
    <brk id="29" max="16383" man="1"/>
  </rowBreaks>
  <colBreaks count="1" manualBreakCount="1">
    <brk id="7" max="8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zoomScale="90" zoomScaleNormal="90" workbookViewId="0">
      <selection sqref="A1:B1"/>
    </sheetView>
  </sheetViews>
  <sheetFormatPr defaultRowHeight="12.75" x14ac:dyDescent="0.2"/>
  <cols>
    <col min="1" max="1" width="69.28515625" customWidth="1"/>
    <col min="2" max="14" width="15.7109375" customWidth="1"/>
  </cols>
  <sheetData>
    <row r="1" spans="1:14" ht="18.75" x14ac:dyDescent="0.25">
      <c r="A1" s="221" t="s">
        <v>128</v>
      </c>
      <c r="B1" s="222"/>
      <c r="C1" s="19"/>
      <c r="D1" s="20" t="s">
        <v>12</v>
      </c>
      <c r="E1" s="19"/>
      <c r="F1" s="19"/>
      <c r="G1" s="17"/>
      <c r="H1" s="17"/>
      <c r="I1" s="17"/>
      <c r="J1" s="17"/>
      <c r="K1" s="17"/>
      <c r="L1" s="17"/>
      <c r="M1" s="17"/>
      <c r="N1" s="17"/>
    </row>
    <row r="2" spans="1:14" ht="20.100000000000001" customHeight="1" x14ac:dyDescent="0.25">
      <c r="A2" s="155" t="s">
        <v>54</v>
      </c>
      <c r="B2" s="156">
        <f>'1st IA Parameters'!B6</f>
        <v>1.0891999999999999</v>
      </c>
      <c r="C2" s="157" t="s">
        <v>12</v>
      </c>
      <c r="D2" s="140" t="s">
        <v>12</v>
      </c>
      <c r="E2" s="135" t="s">
        <v>12</v>
      </c>
      <c r="F2" s="120"/>
      <c r="G2" s="120"/>
      <c r="H2" s="120"/>
      <c r="I2" s="120"/>
      <c r="J2" s="120"/>
      <c r="K2" s="120"/>
      <c r="L2" s="120"/>
      <c r="M2" s="120"/>
      <c r="N2" s="120"/>
    </row>
    <row r="3" spans="1:14" ht="20.100000000000001" customHeight="1" x14ac:dyDescent="0.25">
      <c r="A3" s="158" t="s">
        <v>78</v>
      </c>
      <c r="B3" s="159">
        <f>'1st IA Parameters'!B5</f>
        <v>6.59E-2</v>
      </c>
      <c r="C3" s="157"/>
      <c r="D3" s="140"/>
      <c r="E3" s="135"/>
      <c r="F3" s="120"/>
      <c r="G3" s="120"/>
      <c r="H3" s="120"/>
      <c r="I3" s="120"/>
      <c r="J3" s="120"/>
      <c r="K3" s="120"/>
      <c r="L3" s="120"/>
      <c r="M3" s="120"/>
      <c r="N3" s="120"/>
    </row>
    <row r="4" spans="1:14" ht="20.100000000000001" customHeight="1" x14ac:dyDescent="0.2">
      <c r="A4" s="158"/>
      <c r="B4" s="159"/>
      <c r="C4" s="223" t="s">
        <v>95</v>
      </c>
      <c r="D4" s="223"/>
      <c r="E4" s="223"/>
      <c r="F4" s="223"/>
      <c r="G4" s="223"/>
      <c r="H4" s="223"/>
      <c r="I4" s="223"/>
      <c r="J4" s="223"/>
      <c r="K4" s="223"/>
      <c r="L4" s="223"/>
      <c r="M4" s="223"/>
      <c r="N4" s="223"/>
    </row>
    <row r="5" spans="1:14" ht="15.75" x14ac:dyDescent="0.2">
      <c r="A5" s="160" t="s">
        <v>65</v>
      </c>
      <c r="B5" s="101" t="s">
        <v>55</v>
      </c>
      <c r="C5" s="101" t="s">
        <v>17</v>
      </c>
      <c r="D5" s="101" t="s">
        <v>16</v>
      </c>
      <c r="E5" s="101" t="s">
        <v>14</v>
      </c>
      <c r="F5" s="101" t="s">
        <v>8</v>
      </c>
      <c r="G5" s="101" t="s">
        <v>42</v>
      </c>
      <c r="H5" s="101" t="s">
        <v>43</v>
      </c>
      <c r="I5" s="101" t="s">
        <v>7</v>
      </c>
      <c r="J5" s="101" t="s">
        <v>51</v>
      </c>
      <c r="K5" s="122" t="s">
        <v>63</v>
      </c>
      <c r="L5" s="77" t="s">
        <v>18</v>
      </c>
      <c r="M5" s="77" t="s">
        <v>3</v>
      </c>
      <c r="N5" s="77" t="s">
        <v>72</v>
      </c>
    </row>
    <row r="6" spans="1:14" ht="20.100000000000001" customHeight="1" x14ac:dyDescent="0.2">
      <c r="A6" s="161" t="s">
        <v>176</v>
      </c>
      <c r="B6" s="162">
        <f>'1st IA Parameters'!B7</f>
        <v>154510</v>
      </c>
      <c r="C6" s="162">
        <v>56193</v>
      </c>
      <c r="D6" s="162">
        <v>30544</v>
      </c>
      <c r="E6" s="162">
        <v>12907</v>
      </c>
      <c r="F6" s="162">
        <v>9685</v>
      </c>
      <c r="G6" s="162">
        <v>4829.8999999999996</v>
      </c>
      <c r="H6" s="162">
        <v>2255.6</v>
      </c>
      <c r="I6" s="162">
        <v>6327</v>
      </c>
      <c r="J6" s="162">
        <v>12573</v>
      </c>
      <c r="K6" s="162">
        <v>4206.8999999999996</v>
      </c>
      <c r="L6" s="162">
        <v>21696</v>
      </c>
      <c r="M6" s="162">
        <v>6580</v>
      </c>
      <c r="N6" s="162">
        <v>7094</v>
      </c>
    </row>
    <row r="7" spans="1:14" ht="20.100000000000001" customHeight="1" x14ac:dyDescent="0.2">
      <c r="A7" s="161" t="s">
        <v>56</v>
      </c>
      <c r="B7" s="162">
        <f>'1st IA Parameters'!B13</f>
        <v>12559</v>
      </c>
      <c r="C7" s="162">
        <f>'BRA Parameters'!C13</f>
        <v>0</v>
      </c>
      <c r="D7" s="162">
        <f>'BRA Parameters'!D13</f>
        <v>0</v>
      </c>
      <c r="E7" s="162">
        <f>'BRA Parameters'!E13</f>
        <v>0</v>
      </c>
      <c r="F7" s="162">
        <f>'BRA Parameters'!F13</f>
        <v>0</v>
      </c>
      <c r="G7" s="162">
        <f>'BRA Parameters'!G13</f>
        <v>0</v>
      </c>
      <c r="H7" s="162">
        <f>'BRA Parameters'!H13</f>
        <v>0</v>
      </c>
      <c r="I7" s="162">
        <f>'BRA Parameters'!I13</f>
        <v>0</v>
      </c>
      <c r="J7" s="162">
        <f>'BRA Parameters'!J13</f>
        <v>0</v>
      </c>
      <c r="K7" s="162">
        <f>'BRA Parameters'!K13</f>
        <v>0</v>
      </c>
      <c r="L7" s="162">
        <f>'BRA Parameters'!L13</f>
        <v>0</v>
      </c>
      <c r="M7" s="162">
        <f>'BRA Parameters'!M13</f>
        <v>0</v>
      </c>
      <c r="N7" s="162">
        <f>'BRA Parameters'!N13</f>
        <v>0</v>
      </c>
    </row>
    <row r="8" spans="1:14" ht="20.100000000000001" customHeight="1" x14ac:dyDescent="0.2">
      <c r="A8" s="161" t="s">
        <v>129</v>
      </c>
      <c r="B8" s="162">
        <f>B6-B7</f>
        <v>141951</v>
      </c>
      <c r="C8" s="162">
        <f>C6-C7</f>
        <v>56193</v>
      </c>
      <c r="D8" s="162">
        <f t="shared" ref="D8:I8" si="0">D6-D7</f>
        <v>30544</v>
      </c>
      <c r="E8" s="162">
        <f t="shared" si="0"/>
        <v>12907</v>
      </c>
      <c r="F8" s="162">
        <f t="shared" si="0"/>
        <v>9685</v>
      </c>
      <c r="G8" s="162">
        <f t="shared" si="0"/>
        <v>4829.8999999999996</v>
      </c>
      <c r="H8" s="162">
        <f t="shared" si="0"/>
        <v>2255.6</v>
      </c>
      <c r="I8" s="162">
        <f t="shared" si="0"/>
        <v>6327</v>
      </c>
      <c r="J8" s="162">
        <f>J6-J7</f>
        <v>12573</v>
      </c>
      <c r="K8" s="162">
        <f>K6-K7</f>
        <v>4206.8999999999996</v>
      </c>
      <c r="L8" s="162">
        <f>L6-L7</f>
        <v>21696</v>
      </c>
      <c r="M8" s="162">
        <f>M6-M7</f>
        <v>6580</v>
      </c>
      <c r="N8" s="162">
        <f>N6-N7</f>
        <v>7094</v>
      </c>
    </row>
    <row r="9" spans="1:14" ht="20.100000000000001" customHeight="1" x14ac:dyDescent="0.2">
      <c r="A9" s="163" t="s">
        <v>174</v>
      </c>
      <c r="B9" s="162">
        <v>0</v>
      </c>
      <c r="C9" s="162">
        <v>0</v>
      </c>
      <c r="D9" s="162">
        <v>0</v>
      </c>
      <c r="E9" s="162">
        <v>0</v>
      </c>
      <c r="F9" s="162">
        <v>0</v>
      </c>
      <c r="G9" s="162">
        <v>0</v>
      </c>
      <c r="H9" s="162">
        <v>0</v>
      </c>
      <c r="I9" s="162">
        <v>0</v>
      </c>
      <c r="J9" s="162">
        <v>0</v>
      </c>
      <c r="K9" s="162">
        <v>0</v>
      </c>
      <c r="L9" s="162">
        <v>0</v>
      </c>
      <c r="M9" s="162">
        <v>0</v>
      </c>
      <c r="N9" s="162">
        <v>0</v>
      </c>
    </row>
    <row r="10" spans="1:14" ht="20.100000000000001" customHeight="1" x14ac:dyDescent="0.2">
      <c r="A10" s="164" t="s">
        <v>81</v>
      </c>
      <c r="B10" s="162"/>
      <c r="C10" s="162"/>
      <c r="D10" s="162"/>
      <c r="E10" s="162"/>
      <c r="F10" s="162"/>
      <c r="G10" s="162"/>
      <c r="H10" s="162"/>
      <c r="I10" s="162"/>
      <c r="J10" s="162"/>
      <c r="K10" s="162"/>
      <c r="L10" s="162"/>
      <c r="M10" s="162"/>
      <c r="N10" s="162"/>
    </row>
    <row r="11" spans="1:14" ht="20.100000000000001" customHeight="1" x14ac:dyDescent="0.2">
      <c r="A11" s="161" t="s">
        <v>57</v>
      </c>
      <c r="B11" s="165">
        <v>6.6000000000000003E-2</v>
      </c>
      <c r="C11" s="165">
        <v>0.21</v>
      </c>
      <c r="D11" s="165">
        <v>0.17</v>
      </c>
      <c r="E11" s="165">
        <v>8.6999999999999994E-2</v>
      </c>
      <c r="F11" s="165">
        <v>0.111</v>
      </c>
      <c r="G11" s="165">
        <v>4.2999999999999997E-2</v>
      </c>
      <c r="H11" s="165">
        <v>9.1999999999999998E-2</v>
      </c>
      <c r="I11" s="165">
        <v>7.2999999999999995E-2</v>
      </c>
      <c r="J11" s="165">
        <v>0.15</v>
      </c>
      <c r="K11" s="165">
        <v>0.27700000000000002</v>
      </c>
      <c r="L11" s="165">
        <v>0.16200000000000001</v>
      </c>
      <c r="M11" s="165">
        <v>6.4000000000000001E-2</v>
      </c>
      <c r="N11" s="165">
        <v>0.23899999999999999</v>
      </c>
    </row>
    <row r="12" spans="1:14" ht="20.100000000000001" customHeight="1" x14ac:dyDescent="0.2">
      <c r="A12" s="166" t="s">
        <v>82</v>
      </c>
      <c r="B12" s="162">
        <f>B8*B11*$B$2+B9*B11*$B$2</f>
        <v>10204.4599272</v>
      </c>
      <c r="C12" s="162">
        <f t="shared" ref="C12:M12" si="1">C8*C11*$B$2+C9*C11*$B$2</f>
        <v>12853.137275999998</v>
      </c>
      <c r="D12" s="162">
        <f t="shared" si="1"/>
        <v>5655.6492159999998</v>
      </c>
      <c r="E12" s="162">
        <f t="shared" si="1"/>
        <v>1223.0724827999998</v>
      </c>
      <c r="F12" s="162">
        <f t="shared" si="1"/>
        <v>1170.928122</v>
      </c>
      <c r="G12" s="162">
        <f t="shared" si="1"/>
        <v>226.21126443999995</v>
      </c>
      <c r="H12" s="162">
        <f t="shared" si="1"/>
        <v>226.02555583999998</v>
      </c>
      <c r="I12" s="162">
        <f t="shared" si="1"/>
        <v>503.06989319999997</v>
      </c>
      <c r="J12" s="162">
        <f t="shared" si="1"/>
        <v>2054.1767399999999</v>
      </c>
      <c r="K12" s="162">
        <f t="shared" si="1"/>
        <v>1269.2570679600001</v>
      </c>
      <c r="L12" s="162">
        <f t="shared" si="1"/>
        <v>3828.2678784</v>
      </c>
      <c r="M12" s="162">
        <f t="shared" si="1"/>
        <v>458.68390399999998</v>
      </c>
      <c r="N12" s="162">
        <f>N8*N11*$B$2+N9*N11*$B$2</f>
        <v>1846.7015671999998</v>
      </c>
    </row>
    <row r="13" spans="1:14" ht="20.100000000000001" customHeight="1" x14ac:dyDescent="0.2">
      <c r="A13" s="164" t="s">
        <v>83</v>
      </c>
      <c r="B13" s="130"/>
      <c r="C13" s="130"/>
      <c r="D13" s="130"/>
      <c r="E13" s="130"/>
      <c r="F13" s="130"/>
      <c r="G13" s="130"/>
      <c r="H13" s="130"/>
      <c r="I13" s="130"/>
      <c r="J13" s="130"/>
      <c r="K13" s="130"/>
      <c r="L13" s="130"/>
      <c r="M13" s="130"/>
      <c r="N13" s="130"/>
    </row>
    <row r="14" spans="1:14" ht="20.100000000000001" customHeight="1" x14ac:dyDescent="0.2">
      <c r="A14" s="161" t="s">
        <v>57</v>
      </c>
      <c r="B14" s="165">
        <v>0.159</v>
      </c>
      <c r="C14" s="165">
        <v>0.34499999999999997</v>
      </c>
      <c r="D14" s="165">
        <v>0.46500000000000002</v>
      </c>
      <c r="E14" s="165">
        <v>0.221</v>
      </c>
      <c r="F14" s="165">
        <v>0.48</v>
      </c>
      <c r="G14" s="165">
        <v>0.38100000000000001</v>
      </c>
      <c r="H14" s="165">
        <v>0.17299999999999999</v>
      </c>
      <c r="I14" s="165">
        <v>0.24299999999999999</v>
      </c>
      <c r="J14" s="165">
        <v>0.28499999999999998</v>
      </c>
      <c r="K14" s="165">
        <v>0.35299999999999998</v>
      </c>
      <c r="L14" s="165">
        <v>0.51600000000000001</v>
      </c>
      <c r="M14" s="165">
        <v>0.16</v>
      </c>
      <c r="N14" s="165">
        <v>0.26500000000000001</v>
      </c>
    </row>
    <row r="15" spans="1:14" ht="20.100000000000001" customHeight="1" x14ac:dyDescent="0.2">
      <c r="A15" s="166" t="s">
        <v>84</v>
      </c>
      <c r="B15" s="162">
        <f>B8*B14*(1-$B$3)+B9*B11*$B$2</f>
        <v>21082.832226899998</v>
      </c>
      <c r="C15" s="162">
        <f t="shared" ref="C15:M15" si="2">C8*C14*(1-$B$3)+C9*C11*$B$2</f>
        <v>18109.0090485</v>
      </c>
      <c r="D15" s="162">
        <f t="shared" si="2"/>
        <v>13266.984936000001</v>
      </c>
      <c r="E15" s="162">
        <f t="shared" si="2"/>
        <v>2664.4707427000003</v>
      </c>
      <c r="F15" s="162">
        <f t="shared" si="2"/>
        <v>4342.4440800000002</v>
      </c>
      <c r="G15" s="162">
        <f t="shared" si="2"/>
        <v>1718.92325379</v>
      </c>
      <c r="H15" s="162">
        <f t="shared" si="2"/>
        <v>364.50338107999994</v>
      </c>
      <c r="I15" s="162">
        <f t="shared" si="2"/>
        <v>1436.1423201</v>
      </c>
      <c r="J15" s="162">
        <f t="shared" si="2"/>
        <v>3347.1652005000001</v>
      </c>
      <c r="K15" s="162">
        <f t="shared" si="2"/>
        <v>1387.1718473699998</v>
      </c>
      <c r="L15" s="162">
        <f t="shared" si="2"/>
        <v>10457.376537600001</v>
      </c>
      <c r="M15" s="162">
        <f t="shared" si="2"/>
        <v>983.42048</v>
      </c>
      <c r="N15" s="162">
        <f>N8*N14*(1-$B$3)+N9*N11*$B$2</f>
        <v>1756.0239310000002</v>
      </c>
    </row>
    <row r="16" spans="1:14" ht="20.100000000000001" customHeight="1" x14ac:dyDescent="0.2">
      <c r="A16" s="164" t="s">
        <v>77</v>
      </c>
      <c r="B16" s="130"/>
      <c r="C16" s="130"/>
      <c r="D16" s="130"/>
      <c r="E16" s="167"/>
      <c r="F16" s="130"/>
      <c r="G16" s="130"/>
      <c r="H16" s="130"/>
      <c r="I16" s="167"/>
      <c r="J16" s="130"/>
      <c r="K16" s="130"/>
      <c r="L16" s="130"/>
      <c r="M16" s="130"/>
      <c r="N16" s="130"/>
    </row>
    <row r="17" spans="1:14" ht="20.100000000000001" customHeight="1" x14ac:dyDescent="0.2">
      <c r="A17" s="168" t="s">
        <v>81</v>
      </c>
      <c r="B17" s="169">
        <f t="shared" ref="B17:N17" si="3">B11</f>
        <v>6.6000000000000003E-2</v>
      </c>
      <c r="C17" s="169">
        <f t="shared" si="3"/>
        <v>0.21</v>
      </c>
      <c r="D17" s="169">
        <f t="shared" si="3"/>
        <v>0.17</v>
      </c>
      <c r="E17" s="169">
        <f t="shared" si="3"/>
        <v>8.6999999999999994E-2</v>
      </c>
      <c r="F17" s="169">
        <f t="shared" si="3"/>
        <v>0.111</v>
      </c>
      <c r="G17" s="169">
        <f t="shared" si="3"/>
        <v>4.2999999999999997E-2</v>
      </c>
      <c r="H17" s="169">
        <f t="shared" si="3"/>
        <v>9.1999999999999998E-2</v>
      </c>
      <c r="I17" s="169">
        <f t="shared" si="3"/>
        <v>7.2999999999999995E-2</v>
      </c>
      <c r="J17" s="169">
        <f t="shared" si="3"/>
        <v>0.15</v>
      </c>
      <c r="K17" s="169">
        <f t="shared" si="3"/>
        <v>0.27700000000000002</v>
      </c>
      <c r="L17" s="169">
        <f t="shared" si="3"/>
        <v>0.16200000000000001</v>
      </c>
      <c r="M17" s="169">
        <f t="shared" si="3"/>
        <v>6.4000000000000001E-2</v>
      </c>
      <c r="N17" s="169">
        <f t="shared" si="3"/>
        <v>0.23899999999999999</v>
      </c>
    </row>
    <row r="18" spans="1:14" ht="20.100000000000001" customHeight="1" x14ac:dyDescent="0.2">
      <c r="A18" s="168" t="s">
        <v>83</v>
      </c>
      <c r="B18" s="169">
        <f>B14</f>
        <v>0.159</v>
      </c>
      <c r="C18" s="169">
        <f t="shared" ref="C18:E18" si="4">C14</f>
        <v>0.34499999999999997</v>
      </c>
      <c r="D18" s="169">
        <f t="shared" si="4"/>
        <v>0.46500000000000002</v>
      </c>
      <c r="E18" s="169">
        <f t="shared" si="4"/>
        <v>0.221</v>
      </c>
      <c r="F18" s="169">
        <f>F14</f>
        <v>0.48</v>
      </c>
      <c r="G18" s="169">
        <f t="shared" ref="G18:K18" si="5">G14</f>
        <v>0.38100000000000001</v>
      </c>
      <c r="H18" s="169">
        <f t="shared" si="5"/>
        <v>0.17299999999999999</v>
      </c>
      <c r="I18" s="169">
        <f t="shared" si="5"/>
        <v>0.24299999999999999</v>
      </c>
      <c r="J18" s="169">
        <f t="shared" si="5"/>
        <v>0.28499999999999998</v>
      </c>
      <c r="K18" s="169">
        <f t="shared" si="5"/>
        <v>0.35299999999999998</v>
      </c>
      <c r="L18" s="169">
        <f>L14</f>
        <v>0.51600000000000001</v>
      </c>
      <c r="M18" s="169">
        <f>M14</f>
        <v>0.16</v>
      </c>
      <c r="N18" s="169">
        <f>N14</f>
        <v>0.26500000000000001</v>
      </c>
    </row>
    <row r="21" spans="1:14" ht="20.100000000000001" customHeight="1" x14ac:dyDescent="0.2">
      <c r="A21" s="186" t="s">
        <v>180</v>
      </c>
      <c r="B21" s="187" t="s">
        <v>55</v>
      </c>
      <c r="C21" s="187" t="s">
        <v>17</v>
      </c>
      <c r="D21" s="187" t="s">
        <v>16</v>
      </c>
      <c r="E21" s="187" t="s">
        <v>14</v>
      </c>
      <c r="F21" s="187" t="s">
        <v>8</v>
      </c>
      <c r="G21" s="187" t="s">
        <v>42</v>
      </c>
      <c r="H21" s="187" t="s">
        <v>43</v>
      </c>
      <c r="I21" s="187" t="s">
        <v>7</v>
      </c>
      <c r="J21" s="187" t="s">
        <v>51</v>
      </c>
      <c r="K21" s="172" t="s">
        <v>63</v>
      </c>
      <c r="L21" s="77" t="s">
        <v>18</v>
      </c>
      <c r="M21" s="77" t="s">
        <v>3</v>
      </c>
      <c r="N21" s="77" t="s">
        <v>72</v>
      </c>
    </row>
    <row r="22" spans="1:14" ht="20.100000000000001" customHeight="1" x14ac:dyDescent="0.2">
      <c r="A22" s="188" t="s">
        <v>138</v>
      </c>
      <c r="B22" s="192">
        <v>10191.299999999999</v>
      </c>
      <c r="C22" s="192">
        <v>3699</v>
      </c>
      <c r="D22" s="192">
        <v>1629.5</v>
      </c>
      <c r="E22" s="192">
        <v>727.4</v>
      </c>
      <c r="F22" s="192">
        <v>359.7</v>
      </c>
      <c r="G22" s="192">
        <v>167.5</v>
      </c>
      <c r="H22" s="192">
        <v>91.1</v>
      </c>
      <c r="I22" s="192">
        <v>474.5</v>
      </c>
      <c r="J22" s="192">
        <v>791.8</v>
      </c>
      <c r="K22" s="192">
        <v>267.10000000000002</v>
      </c>
      <c r="L22" s="192">
        <v>1945.2</v>
      </c>
      <c r="M22" s="192">
        <v>252.9</v>
      </c>
      <c r="N22" s="192">
        <v>703.9</v>
      </c>
    </row>
    <row r="23" spans="1:14" ht="20.100000000000001" customHeight="1" x14ac:dyDescent="0.2">
      <c r="A23" s="189" t="s">
        <v>139</v>
      </c>
      <c r="B23" s="192">
        <v>16807.3</v>
      </c>
      <c r="C23" s="192">
        <v>6907.5</v>
      </c>
      <c r="D23" s="192">
        <v>5136</v>
      </c>
      <c r="E23" s="192">
        <v>394.80000000000007</v>
      </c>
      <c r="F23" s="192">
        <v>108.69999999999999</v>
      </c>
      <c r="G23" s="192">
        <v>44.699999999999989</v>
      </c>
      <c r="H23" s="192">
        <v>42.700000000000017</v>
      </c>
      <c r="I23" s="192">
        <v>48.299999999999955</v>
      </c>
      <c r="J23" s="192">
        <v>695.3</v>
      </c>
      <c r="K23" s="193">
        <v>0</v>
      </c>
      <c r="L23" s="192">
        <v>1216.3</v>
      </c>
      <c r="M23" s="192">
        <v>346.5</v>
      </c>
      <c r="N23" s="192">
        <v>729.1</v>
      </c>
    </row>
    <row r="24" spans="1:14" ht="20.100000000000001" customHeight="1" x14ac:dyDescent="0.2">
      <c r="A24" s="190" t="s">
        <v>140</v>
      </c>
      <c r="B24" s="192">
        <v>140307.29999999999</v>
      </c>
      <c r="C24" s="192">
        <v>54308.5</v>
      </c>
      <c r="D24" s="192">
        <v>24003.8</v>
      </c>
      <c r="E24" s="192">
        <v>10272.4</v>
      </c>
      <c r="F24" s="192">
        <v>4986.6000000000004</v>
      </c>
      <c r="G24" s="192">
        <v>2993.1000000000004</v>
      </c>
      <c r="H24" s="192">
        <v>1464.7</v>
      </c>
      <c r="I24" s="192">
        <v>5725.6</v>
      </c>
      <c r="J24" s="192">
        <v>8804</v>
      </c>
      <c r="K24" s="192">
        <v>1821.9</v>
      </c>
      <c r="L24" s="192">
        <v>19809.900000000001</v>
      </c>
      <c r="M24" s="192">
        <v>2140.1</v>
      </c>
      <c r="N24" s="192">
        <v>8216.6</v>
      </c>
    </row>
    <row r="25" spans="1:14" ht="20.100000000000001" customHeight="1" x14ac:dyDescent="0.2">
      <c r="A25" s="190" t="s">
        <v>141</v>
      </c>
      <c r="B25" s="191">
        <f>B22+B23</f>
        <v>26998.6</v>
      </c>
      <c r="C25" s="191">
        <f>C22+C23</f>
        <v>10606.5</v>
      </c>
      <c r="D25" s="191">
        <f>D22+D23</f>
        <v>6765.5</v>
      </c>
      <c r="E25" s="191">
        <f t="shared" ref="E25:M25" si="6">E22+E23</f>
        <v>1122.2</v>
      </c>
      <c r="F25" s="191">
        <f t="shared" si="6"/>
        <v>468.4</v>
      </c>
      <c r="G25" s="191">
        <f t="shared" si="6"/>
        <v>212.2</v>
      </c>
      <c r="H25" s="191">
        <f t="shared" si="6"/>
        <v>133.80000000000001</v>
      </c>
      <c r="I25" s="191">
        <f t="shared" si="6"/>
        <v>522.79999999999995</v>
      </c>
      <c r="J25" s="191">
        <f t="shared" si="6"/>
        <v>1487.1</v>
      </c>
      <c r="K25" s="191">
        <f t="shared" si="6"/>
        <v>267.10000000000002</v>
      </c>
      <c r="L25" s="191">
        <f t="shared" si="6"/>
        <v>3161.5</v>
      </c>
      <c r="M25" s="191">
        <f t="shared" si="6"/>
        <v>599.4</v>
      </c>
      <c r="N25" s="191">
        <f>N22+N23</f>
        <v>1433</v>
      </c>
    </row>
    <row r="26" spans="1:14" ht="20.100000000000001" customHeight="1" x14ac:dyDescent="0.2">
      <c r="A26" s="190" t="s">
        <v>142</v>
      </c>
      <c r="B26" s="191">
        <f>B24+B25</f>
        <v>167305.9</v>
      </c>
      <c r="C26" s="191">
        <f t="shared" ref="C26:N26" si="7">C24+C25</f>
        <v>64915</v>
      </c>
      <c r="D26" s="191">
        <f t="shared" si="7"/>
        <v>30769.3</v>
      </c>
      <c r="E26" s="191">
        <f t="shared" si="7"/>
        <v>11394.6</v>
      </c>
      <c r="F26" s="191">
        <f t="shared" si="7"/>
        <v>5455</v>
      </c>
      <c r="G26" s="191">
        <f t="shared" si="7"/>
        <v>3205.3</v>
      </c>
      <c r="H26" s="191">
        <f t="shared" si="7"/>
        <v>1598.5</v>
      </c>
      <c r="I26" s="191">
        <f t="shared" si="7"/>
        <v>6248.4000000000005</v>
      </c>
      <c r="J26" s="191">
        <f t="shared" si="7"/>
        <v>10291.1</v>
      </c>
      <c r="K26" s="191">
        <f t="shared" si="7"/>
        <v>2089</v>
      </c>
      <c r="L26" s="191">
        <f t="shared" si="7"/>
        <v>22971.4</v>
      </c>
      <c r="M26" s="191">
        <f t="shared" si="7"/>
        <v>2739.5</v>
      </c>
      <c r="N26" s="191">
        <f t="shared" si="7"/>
        <v>9649.6</v>
      </c>
    </row>
    <row r="29" spans="1:14" x14ac:dyDescent="0.2">
      <c r="E29" s="7"/>
      <c r="F29" s="7"/>
      <c r="I29" s="7"/>
    </row>
    <row r="30" spans="1:14" x14ac:dyDescent="0.2">
      <c r="B30" s="7"/>
      <c r="C30" s="7"/>
      <c r="E30" s="7"/>
      <c r="F30" s="7"/>
      <c r="I30" s="7"/>
    </row>
    <row r="31" spans="1:14" x14ac:dyDescent="0.2">
      <c r="B31" s="7"/>
      <c r="C31" s="7"/>
      <c r="E31" s="7"/>
      <c r="F31" s="7"/>
      <c r="I31" s="7"/>
    </row>
    <row r="32" spans="1:14" x14ac:dyDescent="0.2">
      <c r="B32" s="7"/>
      <c r="C32" s="7"/>
      <c r="E32" s="7"/>
      <c r="F32" s="7"/>
      <c r="I32" s="7"/>
    </row>
    <row r="33" spans="2:9" x14ac:dyDescent="0.2">
      <c r="B33" s="7"/>
      <c r="C33" s="7"/>
      <c r="E33" s="7"/>
      <c r="F33" s="7"/>
      <c r="I33" s="7"/>
    </row>
    <row r="34" spans="2:9" x14ac:dyDescent="0.2">
      <c r="B34" s="7"/>
      <c r="C34" s="7"/>
      <c r="E34" s="7"/>
      <c r="F34" s="7"/>
      <c r="I34" s="7"/>
    </row>
    <row r="35" spans="2:9" x14ac:dyDescent="0.2">
      <c r="B35" s="7"/>
      <c r="C35" s="7"/>
      <c r="E35" s="7"/>
      <c r="F35" s="7"/>
      <c r="I35" s="7"/>
    </row>
    <row r="36" spans="2:9" x14ac:dyDescent="0.2">
      <c r="B36" s="7"/>
      <c r="C36" s="7"/>
      <c r="E36" s="7"/>
      <c r="F36" s="7"/>
      <c r="I36" s="7"/>
    </row>
    <row r="37" spans="2:9" x14ac:dyDescent="0.2">
      <c r="B37" s="7"/>
      <c r="C37" s="7"/>
      <c r="E37" s="7"/>
      <c r="F37" s="7"/>
      <c r="I37" s="7"/>
    </row>
    <row r="38" spans="2:9" x14ac:dyDescent="0.2">
      <c r="B38" s="7"/>
      <c r="C38" s="7"/>
      <c r="E38" s="7"/>
      <c r="F38" s="7"/>
      <c r="I38" s="7"/>
    </row>
    <row r="39" spans="2:9" x14ac:dyDescent="0.2">
      <c r="B39" s="7"/>
      <c r="C39" s="7"/>
      <c r="E39" s="7"/>
      <c r="F39" s="7"/>
      <c r="I39" s="7"/>
    </row>
    <row r="40" spans="2:9" x14ac:dyDescent="0.2">
      <c r="B40" s="7"/>
      <c r="C40" s="7"/>
      <c r="E40" s="7"/>
      <c r="F40" s="7"/>
      <c r="I40" s="7"/>
    </row>
    <row r="41" spans="2:9" x14ac:dyDescent="0.2">
      <c r="B41" s="7"/>
      <c r="C41" s="7"/>
      <c r="E41" s="7"/>
      <c r="F41" s="7"/>
      <c r="I41" s="7"/>
    </row>
    <row r="42" spans="2:9" x14ac:dyDescent="0.2">
      <c r="B42" s="7"/>
      <c r="C42" s="7"/>
      <c r="E42" s="7"/>
      <c r="F42" s="7"/>
      <c r="I42" s="7"/>
    </row>
    <row r="43" spans="2:9" x14ac:dyDescent="0.2">
      <c r="B43" s="7"/>
      <c r="C43" s="7"/>
      <c r="E43" s="7"/>
      <c r="F43" s="7"/>
      <c r="I43" s="7"/>
    </row>
    <row r="44" spans="2:9" x14ac:dyDescent="0.2">
      <c r="B44" s="7"/>
      <c r="C44" s="7"/>
      <c r="E44" s="7"/>
      <c r="F44" s="7"/>
      <c r="I44" s="7"/>
    </row>
    <row r="45" spans="2:9" x14ac:dyDescent="0.2">
      <c r="B45" s="7"/>
      <c r="C45" s="7"/>
      <c r="E45" s="7"/>
      <c r="F45" s="7"/>
      <c r="I45" s="7"/>
    </row>
    <row r="46" spans="2:9" x14ac:dyDescent="0.2">
      <c r="B46" s="7"/>
      <c r="C46" s="7"/>
      <c r="E46" s="7"/>
      <c r="F46" s="7"/>
      <c r="I46" s="7"/>
    </row>
    <row r="47" spans="2:9" x14ac:dyDescent="0.2">
      <c r="B47" s="7"/>
      <c r="C47" s="7"/>
      <c r="E47" s="7"/>
      <c r="F47" s="7"/>
      <c r="I47" s="7"/>
    </row>
    <row r="48" spans="2:9" x14ac:dyDescent="0.2">
      <c r="B48" s="7"/>
      <c r="C48" s="7"/>
      <c r="E48" s="7"/>
      <c r="F48" s="7"/>
      <c r="I48" s="7"/>
    </row>
    <row r="49" spans="2:9" x14ac:dyDescent="0.2">
      <c r="B49" s="7"/>
      <c r="C49" s="7"/>
      <c r="E49" s="7"/>
      <c r="F49" s="7"/>
      <c r="I49" s="7"/>
    </row>
    <row r="50" spans="2:9" x14ac:dyDescent="0.2">
      <c r="B50" s="7"/>
      <c r="C50" s="7"/>
      <c r="E50" s="7"/>
      <c r="F50" s="7"/>
      <c r="I50" s="7"/>
    </row>
    <row r="51" spans="2:9" x14ac:dyDescent="0.2">
      <c r="B51" s="7"/>
      <c r="C51" s="7"/>
      <c r="E51" s="7"/>
      <c r="F51" s="7"/>
      <c r="I51" s="7"/>
    </row>
    <row r="52" spans="2:9" x14ac:dyDescent="0.2">
      <c r="B52" s="7"/>
      <c r="C52" s="7"/>
      <c r="E52" s="7"/>
      <c r="F52" s="7"/>
      <c r="I52" s="7"/>
    </row>
    <row r="53" spans="2:9" x14ac:dyDescent="0.2">
      <c r="B53" s="7"/>
      <c r="C53" s="7"/>
      <c r="E53" s="7"/>
      <c r="F53" s="7"/>
    </row>
    <row r="54" spans="2:9" x14ac:dyDescent="0.2">
      <c r="B54" s="7"/>
      <c r="C54" s="7"/>
      <c r="E54" s="7"/>
      <c r="F54" s="7"/>
    </row>
    <row r="55" spans="2:9" x14ac:dyDescent="0.2">
      <c r="B55" s="7"/>
      <c r="C55" s="7"/>
      <c r="E55" s="7"/>
      <c r="F55" s="7"/>
    </row>
    <row r="56" spans="2:9" x14ac:dyDescent="0.2">
      <c r="B56" s="7"/>
      <c r="C56" s="7"/>
      <c r="E56" s="7"/>
      <c r="F56" s="7"/>
    </row>
    <row r="57" spans="2:9" x14ac:dyDescent="0.2">
      <c r="B57" s="7"/>
      <c r="C57" s="7"/>
      <c r="E57" s="7"/>
      <c r="F57" s="7"/>
    </row>
  </sheetData>
  <mergeCells count="2">
    <mergeCell ref="A1:B1"/>
    <mergeCell ref="C4:N4"/>
  </mergeCells>
  <pageMargins left="0.45" right="0.45" top="0.5" bottom="0.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sqref="A1:G1"/>
    </sheetView>
  </sheetViews>
  <sheetFormatPr defaultRowHeight="12.75" x14ac:dyDescent="0.2"/>
  <cols>
    <col min="1" max="1" width="85.7109375" customWidth="1"/>
    <col min="2" max="2" width="18.42578125" customWidth="1"/>
    <col min="3" max="3" width="16.42578125" customWidth="1"/>
    <col min="4" max="8" width="15.7109375" customWidth="1"/>
  </cols>
  <sheetData>
    <row r="1" spans="1:9" ht="24.95" customHeight="1" x14ac:dyDescent="0.2">
      <c r="A1" s="223" t="s">
        <v>96</v>
      </c>
      <c r="B1" s="223"/>
      <c r="C1" s="223"/>
      <c r="D1" s="223"/>
      <c r="E1" s="223"/>
      <c r="F1" s="223"/>
      <c r="G1" s="223"/>
    </row>
    <row r="2" spans="1:9" ht="24.95" customHeight="1" x14ac:dyDescent="0.2">
      <c r="A2" s="178"/>
      <c r="B2" s="226" t="s">
        <v>85</v>
      </c>
      <c r="C2" s="226"/>
      <c r="D2" s="226"/>
      <c r="E2" s="226"/>
      <c r="F2" s="226"/>
      <c r="G2" s="226"/>
    </row>
    <row r="3" spans="1:9" ht="24.95" customHeight="1" x14ac:dyDescent="0.25">
      <c r="A3" s="179" t="s">
        <v>12</v>
      </c>
      <c r="B3" s="171" t="s">
        <v>88</v>
      </c>
      <c r="C3" s="171" t="s">
        <v>66</v>
      </c>
      <c r="D3" s="171" t="s">
        <v>67</v>
      </c>
      <c r="E3" s="171" t="s">
        <v>68</v>
      </c>
      <c r="F3" s="171" t="s">
        <v>69</v>
      </c>
      <c r="G3" s="171" t="s">
        <v>70</v>
      </c>
      <c r="H3" s="12" t="s">
        <v>12</v>
      </c>
      <c r="I3" s="9"/>
    </row>
    <row r="4" spans="1:9" ht="20.100000000000001" customHeight="1" x14ac:dyDescent="0.2">
      <c r="A4" s="129" t="s">
        <v>89</v>
      </c>
      <c r="B4" s="104">
        <f>SUM(C4:G4)</f>
        <v>8211</v>
      </c>
      <c r="C4" s="104">
        <v>51</v>
      </c>
      <c r="D4" s="104">
        <v>2639.9</v>
      </c>
      <c r="E4" s="104">
        <v>4193.1000000000004</v>
      </c>
      <c r="F4" s="104">
        <v>704</v>
      </c>
      <c r="G4" s="104">
        <v>623</v>
      </c>
      <c r="H4" s="13" t="s">
        <v>12</v>
      </c>
    </row>
    <row r="5" spans="1:9" ht="20.100000000000001" customHeight="1" x14ac:dyDescent="0.2">
      <c r="A5" s="129" t="s">
        <v>90</v>
      </c>
      <c r="B5" s="104">
        <v>3500</v>
      </c>
      <c r="C5" s="104">
        <f>ROUND(C4*$B$5/$B$4,1)</f>
        <v>21.7</v>
      </c>
      <c r="D5" s="104">
        <f>ROUND(D4*$B$5/$B$4,1)</f>
        <v>1125.3</v>
      </c>
      <c r="E5" s="104">
        <f>ROUND(E4*$B$5/$B$4,1)</f>
        <v>1787.3</v>
      </c>
      <c r="F5" s="104">
        <f>ROUND(F4*$B$5/$B$4,1)</f>
        <v>300.10000000000002</v>
      </c>
      <c r="G5" s="104">
        <f>ROUND(G4*$B$5/$B$4,1)</f>
        <v>265.60000000000002</v>
      </c>
      <c r="H5" s="13" t="s">
        <v>12</v>
      </c>
    </row>
    <row r="6" spans="1:9" ht="20.100000000000001" customHeight="1" x14ac:dyDescent="0.2">
      <c r="A6" s="180" t="s">
        <v>98</v>
      </c>
      <c r="B6" s="104">
        <f>SUM(C6:G6)</f>
        <v>10707</v>
      </c>
      <c r="C6" s="104">
        <v>788</v>
      </c>
      <c r="D6" s="104">
        <v>2587</v>
      </c>
      <c r="E6" s="104">
        <v>5315</v>
      </c>
      <c r="F6" s="104">
        <v>1091</v>
      </c>
      <c r="G6" s="104">
        <v>926</v>
      </c>
      <c r="H6" s="13" t="s">
        <v>12</v>
      </c>
    </row>
    <row r="7" spans="1:9" ht="20.100000000000001" customHeight="1" x14ac:dyDescent="0.2">
      <c r="A7" s="180" t="s">
        <v>99</v>
      </c>
      <c r="B7" s="104">
        <f>SUM(C7:G7)</f>
        <v>5489.4</v>
      </c>
      <c r="C7" s="104">
        <v>0</v>
      </c>
      <c r="D7" s="104">
        <v>1916</v>
      </c>
      <c r="E7" s="104">
        <v>2399</v>
      </c>
      <c r="F7" s="104">
        <v>744.4</v>
      </c>
      <c r="G7" s="104">
        <v>430</v>
      </c>
      <c r="H7" s="13" t="s">
        <v>12</v>
      </c>
    </row>
    <row r="8" spans="1:9" ht="20.100000000000001" customHeight="1" x14ac:dyDescent="0.2">
      <c r="A8" s="181" t="s">
        <v>100</v>
      </c>
      <c r="B8" s="182">
        <f t="shared" ref="B8:G8" si="0">IF(MIN(B4-B5-B7,B6-B5-B7)&lt;0,0,MIN(B4-B5-B7,B6-B5-B7))</f>
        <v>0</v>
      </c>
      <c r="C8" s="182">
        <f t="shared" si="0"/>
        <v>29.3</v>
      </c>
      <c r="D8" s="182">
        <f t="shared" si="0"/>
        <v>0</v>
      </c>
      <c r="E8" s="182">
        <f t="shared" si="0"/>
        <v>6.8000000000001819</v>
      </c>
      <c r="F8" s="182">
        <f t="shared" si="0"/>
        <v>0</v>
      </c>
      <c r="G8" s="182">
        <f t="shared" si="0"/>
        <v>0</v>
      </c>
      <c r="H8" s="11" t="s">
        <v>12</v>
      </c>
    </row>
    <row r="9" spans="1:9" ht="20.100000000000001" customHeight="1" x14ac:dyDescent="0.2">
      <c r="A9" s="183" t="s">
        <v>41</v>
      </c>
      <c r="B9" s="31"/>
      <c r="C9" s="31"/>
      <c r="D9" s="31"/>
      <c r="E9" s="31"/>
      <c r="F9" s="31"/>
      <c r="G9" s="31"/>
      <c r="H9" s="11" t="s">
        <v>12</v>
      </c>
    </row>
    <row r="10" spans="1:9" ht="20.100000000000001" customHeight="1" x14ac:dyDescent="0.2">
      <c r="A10" s="224" t="s">
        <v>183</v>
      </c>
      <c r="B10" s="224"/>
      <c r="C10" s="224"/>
      <c r="D10" s="224"/>
      <c r="E10" s="224"/>
      <c r="F10" s="224"/>
      <c r="G10" s="224"/>
    </row>
    <row r="11" spans="1:9" ht="20.100000000000001" customHeight="1" x14ac:dyDescent="0.2">
      <c r="A11" s="224" t="s">
        <v>182</v>
      </c>
      <c r="B11" s="224"/>
      <c r="C11" s="224"/>
      <c r="D11" s="224"/>
      <c r="E11" s="224"/>
      <c r="F11" s="224"/>
      <c r="G11" s="224"/>
      <c r="H11" s="6"/>
    </row>
    <row r="12" spans="1:9" ht="50.1" customHeight="1" x14ac:dyDescent="0.2">
      <c r="A12" s="225" t="s">
        <v>178</v>
      </c>
      <c r="B12" s="225"/>
      <c r="C12" s="225"/>
      <c r="D12" s="225"/>
      <c r="E12" s="225"/>
      <c r="F12" s="225"/>
      <c r="G12" s="225"/>
      <c r="H12" s="10"/>
    </row>
    <row r="14" spans="1:9" x14ac:dyDescent="0.2">
      <c r="B14" s="7"/>
      <c r="C14" s="7"/>
      <c r="E14" s="7"/>
      <c r="F14" s="7"/>
      <c r="I14" s="7"/>
    </row>
    <row r="15" spans="1:9" x14ac:dyDescent="0.2">
      <c r="B15" s="7"/>
      <c r="C15" s="7"/>
      <c r="E15" s="7"/>
      <c r="F15" s="7"/>
      <c r="I15" s="7"/>
    </row>
    <row r="16" spans="1:9" x14ac:dyDescent="0.2">
      <c r="B16" s="7"/>
      <c r="C16" s="7"/>
      <c r="E16" s="7"/>
      <c r="F16" s="7"/>
      <c r="I16" s="7"/>
    </row>
    <row r="17" spans="2:9" x14ac:dyDescent="0.2">
      <c r="B17" s="7"/>
      <c r="C17" s="7"/>
      <c r="E17" s="7"/>
      <c r="F17" s="7"/>
      <c r="I17" s="7"/>
    </row>
    <row r="18" spans="2:9" x14ac:dyDescent="0.2">
      <c r="B18" s="7"/>
      <c r="C18" s="7"/>
      <c r="E18" s="7"/>
      <c r="F18" s="7"/>
      <c r="I18" s="7"/>
    </row>
    <row r="19" spans="2:9" x14ac:dyDescent="0.2">
      <c r="B19" s="7"/>
      <c r="C19" s="7"/>
      <c r="E19" s="7"/>
      <c r="F19" s="7"/>
      <c r="I19" s="7"/>
    </row>
    <row r="20" spans="2:9" x14ac:dyDescent="0.2">
      <c r="B20" s="7"/>
      <c r="C20" s="7"/>
      <c r="E20" s="7"/>
      <c r="F20" s="7"/>
      <c r="I20" s="7"/>
    </row>
    <row r="21" spans="2:9" x14ac:dyDescent="0.2">
      <c r="B21" s="7"/>
      <c r="C21" s="7"/>
      <c r="E21" s="7"/>
      <c r="F21" s="7"/>
      <c r="I21" s="7"/>
    </row>
    <row r="22" spans="2:9" x14ac:dyDescent="0.2">
      <c r="B22" s="7"/>
      <c r="C22" s="7"/>
      <c r="E22" s="7"/>
      <c r="F22" s="7"/>
      <c r="I22" s="7"/>
    </row>
    <row r="23" spans="2:9" x14ac:dyDescent="0.2">
      <c r="B23" s="7"/>
      <c r="C23" s="7"/>
      <c r="E23" s="7"/>
      <c r="F23" s="7"/>
      <c r="I23" s="7"/>
    </row>
    <row r="24" spans="2:9" x14ac:dyDescent="0.2">
      <c r="B24" s="7"/>
      <c r="C24" s="7"/>
      <c r="E24" s="7"/>
      <c r="F24" s="7"/>
      <c r="I24" s="7"/>
    </row>
    <row r="25" spans="2:9" x14ac:dyDescent="0.2">
      <c r="B25" s="7"/>
      <c r="C25" s="7"/>
      <c r="E25" s="7"/>
      <c r="F25" s="7"/>
      <c r="I25" s="7"/>
    </row>
    <row r="26" spans="2:9" x14ac:dyDescent="0.2">
      <c r="B26" s="7"/>
      <c r="C26" s="7"/>
      <c r="E26" s="7"/>
      <c r="F26" s="7"/>
      <c r="I26" s="7"/>
    </row>
    <row r="27" spans="2:9" x14ac:dyDescent="0.2">
      <c r="B27" s="7"/>
      <c r="C27" s="7"/>
      <c r="E27" s="7"/>
      <c r="F27" s="7"/>
      <c r="I27" s="7"/>
    </row>
    <row r="28" spans="2:9" x14ac:dyDescent="0.2">
      <c r="B28" s="7"/>
      <c r="C28" s="7"/>
      <c r="E28" s="7"/>
      <c r="F28" s="7"/>
      <c r="I28" s="7"/>
    </row>
    <row r="29" spans="2:9" x14ac:dyDescent="0.2">
      <c r="B29" s="7"/>
      <c r="C29" s="7"/>
      <c r="E29" s="7"/>
      <c r="F29" s="7"/>
      <c r="I29" s="7"/>
    </row>
    <row r="30" spans="2:9" x14ac:dyDescent="0.2">
      <c r="B30" s="7"/>
      <c r="C30" s="7"/>
      <c r="E30" s="7"/>
      <c r="F30" s="7"/>
      <c r="I30" s="7"/>
    </row>
    <row r="31" spans="2:9" x14ac:dyDescent="0.2">
      <c r="B31" s="7"/>
      <c r="C31" s="7"/>
      <c r="E31" s="7"/>
      <c r="F31" s="7"/>
      <c r="I31" s="7"/>
    </row>
    <row r="32" spans="2:9" x14ac:dyDescent="0.2">
      <c r="B32" s="7"/>
      <c r="C32" s="7"/>
      <c r="E32" s="7"/>
      <c r="F32" s="7"/>
      <c r="I32" s="7"/>
    </row>
    <row r="33" spans="2:6" x14ac:dyDescent="0.2">
      <c r="B33" s="7"/>
      <c r="C33" s="7"/>
      <c r="E33" s="7"/>
      <c r="F33" s="7"/>
    </row>
    <row r="34" spans="2:6" x14ac:dyDescent="0.2">
      <c r="B34" s="7"/>
      <c r="C34" s="7"/>
      <c r="E34" s="7"/>
      <c r="F34" s="7"/>
    </row>
    <row r="35" spans="2:6" x14ac:dyDescent="0.2">
      <c r="B35" s="7"/>
      <c r="C35" s="7"/>
      <c r="E35" s="7"/>
      <c r="F35" s="7"/>
    </row>
    <row r="36" spans="2:6" x14ac:dyDescent="0.2">
      <c r="B36" s="7"/>
      <c r="C36" s="7"/>
      <c r="E36" s="7"/>
      <c r="F36" s="7"/>
    </row>
    <row r="37" spans="2:6" x14ac:dyDescent="0.2">
      <c r="B37" s="7"/>
      <c r="C37" s="7"/>
      <c r="E37" s="7"/>
      <c r="F37" s="7"/>
    </row>
  </sheetData>
  <mergeCells count="5">
    <mergeCell ref="A11:G11"/>
    <mergeCell ref="A12:G12"/>
    <mergeCell ref="A1:G1"/>
    <mergeCell ref="B2:G2"/>
    <mergeCell ref="A10:G10"/>
  </mergeCells>
  <pageMargins left="0.7" right="0.7" top="0.75" bottom="0.75" header="0.3" footer="0.3"/>
  <pageSetup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zoomScale="80" zoomScaleNormal="80" workbookViewId="0"/>
  </sheetViews>
  <sheetFormatPr defaultRowHeight="12.75" x14ac:dyDescent="0.2"/>
  <cols>
    <col min="1" max="1" width="66.42578125" bestFit="1" customWidth="1"/>
    <col min="2" max="10" width="15.7109375" customWidth="1"/>
    <col min="11" max="11" width="19" customWidth="1"/>
    <col min="12" max="14" width="15.7109375" customWidth="1"/>
  </cols>
  <sheetData>
    <row r="1" spans="1:14" ht="18.75" x14ac:dyDescent="0.3">
      <c r="A1" s="173" t="s">
        <v>188</v>
      </c>
      <c r="B1" s="173"/>
      <c r="C1" s="173"/>
      <c r="D1" s="173"/>
      <c r="E1" s="173"/>
      <c r="F1" s="173"/>
      <c r="G1" s="173"/>
      <c r="H1" s="173"/>
      <c r="I1" s="173"/>
      <c r="J1" s="173"/>
      <c r="K1" s="173"/>
      <c r="L1" s="174"/>
      <c r="M1" s="174"/>
      <c r="N1" s="174"/>
    </row>
    <row r="2" spans="1:14" ht="18.75" x14ac:dyDescent="0.3">
      <c r="A2" s="173"/>
      <c r="B2" s="173"/>
      <c r="C2" s="173"/>
      <c r="D2" s="173"/>
      <c r="E2" s="173"/>
      <c r="F2" s="173"/>
      <c r="G2" s="173"/>
      <c r="H2" s="173"/>
      <c r="I2" s="173"/>
      <c r="J2" s="173"/>
      <c r="K2" s="173"/>
      <c r="L2" s="174"/>
      <c r="M2" s="174"/>
      <c r="N2" s="174"/>
    </row>
    <row r="3" spans="1:14" ht="20.100000000000001" customHeight="1" x14ac:dyDescent="0.2">
      <c r="A3" s="175" t="s">
        <v>12</v>
      </c>
      <c r="B3" s="171" t="s">
        <v>13</v>
      </c>
      <c r="C3" s="171" t="s">
        <v>17</v>
      </c>
      <c r="D3" s="171" t="s">
        <v>16</v>
      </c>
      <c r="E3" s="171" t="s">
        <v>14</v>
      </c>
      <c r="F3" s="171" t="s">
        <v>8</v>
      </c>
      <c r="G3" s="171" t="s">
        <v>42</v>
      </c>
      <c r="H3" s="171" t="s">
        <v>43</v>
      </c>
      <c r="I3" s="171" t="s">
        <v>7</v>
      </c>
      <c r="J3" s="171" t="s">
        <v>51</v>
      </c>
      <c r="K3" s="171" t="s">
        <v>63</v>
      </c>
      <c r="L3" s="77" t="s">
        <v>18</v>
      </c>
      <c r="M3" s="77" t="s">
        <v>3</v>
      </c>
      <c r="N3" s="77" t="s">
        <v>72</v>
      </c>
    </row>
    <row r="4" spans="1:14" ht="20.100000000000001" customHeight="1" x14ac:dyDescent="0.2">
      <c r="A4" s="170" t="s">
        <v>47</v>
      </c>
      <c r="B4" s="176">
        <f>'1st IA Parameters'!B16</f>
        <v>299.26795846269135</v>
      </c>
      <c r="C4" s="176">
        <f>'1st IA Parameters'!C16</f>
        <v>261.99194947007811</v>
      </c>
      <c r="D4" s="176">
        <f>'1st IA Parameters'!D16</f>
        <v>283.59963601327479</v>
      </c>
      <c r="E4" s="176">
        <f>'1st IA Parameters'!E16</f>
        <v>229.9053848624344</v>
      </c>
      <c r="F4" s="176">
        <f>'1st IA Parameters'!F16</f>
        <v>303.26753024301462</v>
      </c>
      <c r="G4" s="176">
        <f>'1st IA Parameters'!G16</f>
        <v>303.26753024301462</v>
      </c>
      <c r="H4" s="176">
        <f>'1st IA Parameters'!H16</f>
        <v>262.2419227063483</v>
      </c>
      <c r="I4" s="176">
        <f>'1st IA Parameters'!I16</f>
        <v>244.20385397709023</v>
      </c>
      <c r="J4" s="176">
        <f>'1st IA Parameters'!J16</f>
        <v>264.03173107804304</v>
      </c>
      <c r="K4" s="176">
        <f>'1st IA Parameters'!K16</f>
        <v>264.03173107804304</v>
      </c>
      <c r="L4" s="176">
        <f>'1st IA Parameters'!L16</f>
        <v>328.40483888234661</v>
      </c>
      <c r="M4" s="176">
        <f>'1st IA Parameters'!M16</f>
        <v>215.59691681832777</v>
      </c>
      <c r="N4" s="176">
        <f>'1st IA Parameters'!N16</f>
        <v>277.71026656674871</v>
      </c>
    </row>
    <row r="5" spans="1:14" ht="20.100000000000001" customHeight="1" x14ac:dyDescent="0.2">
      <c r="A5" s="170" t="s">
        <v>143</v>
      </c>
      <c r="B5" s="176">
        <v>80</v>
      </c>
      <c r="C5" s="176">
        <v>80</v>
      </c>
      <c r="D5" s="176">
        <v>99.77</v>
      </c>
      <c r="E5" s="176">
        <v>80</v>
      </c>
      <c r="F5" s="176">
        <v>99.77</v>
      </c>
      <c r="G5" s="176">
        <v>99.77</v>
      </c>
      <c r="H5" s="176">
        <v>99.77</v>
      </c>
      <c r="I5" s="176">
        <v>0.01</v>
      </c>
      <c r="J5" s="176">
        <v>80</v>
      </c>
      <c r="K5" s="176">
        <v>80</v>
      </c>
      <c r="L5" s="176">
        <v>182.77</v>
      </c>
      <c r="M5" s="176">
        <v>80.3</v>
      </c>
      <c r="N5" s="176">
        <v>80</v>
      </c>
    </row>
    <row r="6" spans="1:14" ht="20.100000000000001" customHeight="1" x14ac:dyDescent="0.2">
      <c r="A6" s="170" t="s">
        <v>144</v>
      </c>
      <c r="B6" s="176">
        <v>80</v>
      </c>
      <c r="C6" s="176">
        <v>80</v>
      </c>
      <c r="D6" s="176">
        <v>99.77</v>
      </c>
      <c r="E6" s="176">
        <v>80</v>
      </c>
      <c r="F6" s="176">
        <v>99.77</v>
      </c>
      <c r="G6" s="176">
        <v>99.77</v>
      </c>
      <c r="H6" s="176">
        <v>99.77</v>
      </c>
      <c r="I6" s="176">
        <v>80</v>
      </c>
      <c r="J6" s="176">
        <v>80</v>
      </c>
      <c r="K6" s="176">
        <v>80</v>
      </c>
      <c r="L6" s="176">
        <v>182.77</v>
      </c>
      <c r="M6" s="176">
        <v>80.3</v>
      </c>
      <c r="N6" s="176">
        <v>80</v>
      </c>
    </row>
    <row r="7" spans="1:14" ht="20.100000000000001" customHeight="1" x14ac:dyDescent="0.2">
      <c r="A7" s="170" t="s">
        <v>101</v>
      </c>
      <c r="B7" s="98">
        <f>ROUND(MAX($B$4*0.3, 0.24*B5,20)*366,2)</f>
        <v>32859.620000000003</v>
      </c>
      <c r="C7" s="98">
        <f t="shared" ref="C7:N7" si="0">ROUND(MAX($B$4*0.3, 0.24*C5,20)*366,2)</f>
        <v>32859.620000000003</v>
      </c>
      <c r="D7" s="98">
        <f t="shared" si="0"/>
        <v>32859.620000000003</v>
      </c>
      <c r="E7" s="98">
        <f t="shared" si="0"/>
        <v>32859.620000000003</v>
      </c>
      <c r="F7" s="98">
        <f t="shared" si="0"/>
        <v>32859.620000000003</v>
      </c>
      <c r="G7" s="98">
        <f t="shared" si="0"/>
        <v>32859.620000000003</v>
      </c>
      <c r="H7" s="98">
        <f t="shared" si="0"/>
        <v>32859.620000000003</v>
      </c>
      <c r="I7" s="98">
        <f t="shared" si="0"/>
        <v>32859.620000000003</v>
      </c>
      <c r="J7" s="98">
        <f t="shared" si="0"/>
        <v>32859.620000000003</v>
      </c>
      <c r="K7" s="98">
        <f t="shared" si="0"/>
        <v>32859.620000000003</v>
      </c>
      <c r="L7" s="98">
        <f t="shared" si="0"/>
        <v>32859.620000000003</v>
      </c>
      <c r="M7" s="98">
        <f t="shared" si="0"/>
        <v>32859.620000000003</v>
      </c>
      <c r="N7" s="98">
        <f t="shared" si="0"/>
        <v>32859.620000000003</v>
      </c>
    </row>
    <row r="8" spans="1:14" ht="20.100000000000001" customHeight="1" x14ac:dyDescent="0.2">
      <c r="A8" s="170" t="s">
        <v>102</v>
      </c>
      <c r="B8" s="98">
        <f>ROUND(MAX($B$4*0.3,0.24*B6,20)*366,2)</f>
        <v>32859.620000000003</v>
      </c>
      <c r="C8" s="98">
        <f t="shared" ref="C8:N8" si="1">ROUND(MAX($B$4*0.3,0.24*C6,20)*366,2)</f>
        <v>32859.620000000003</v>
      </c>
      <c r="D8" s="98">
        <f t="shared" si="1"/>
        <v>32859.620000000003</v>
      </c>
      <c r="E8" s="98">
        <f t="shared" si="1"/>
        <v>32859.620000000003</v>
      </c>
      <c r="F8" s="98">
        <f t="shared" si="1"/>
        <v>32859.620000000003</v>
      </c>
      <c r="G8" s="98">
        <f t="shared" si="1"/>
        <v>32859.620000000003</v>
      </c>
      <c r="H8" s="98">
        <f t="shared" si="1"/>
        <v>32859.620000000003</v>
      </c>
      <c r="I8" s="98">
        <f t="shared" si="1"/>
        <v>32859.620000000003</v>
      </c>
      <c r="J8" s="98">
        <f t="shared" si="1"/>
        <v>32859.620000000003</v>
      </c>
      <c r="K8" s="98">
        <f t="shared" si="1"/>
        <v>32859.620000000003</v>
      </c>
      <c r="L8" s="98">
        <f t="shared" si="1"/>
        <v>32859.620000000003</v>
      </c>
      <c r="M8" s="98">
        <f t="shared" si="1"/>
        <v>32859.620000000003</v>
      </c>
      <c r="N8" s="98">
        <f t="shared" si="1"/>
        <v>32859.620000000003</v>
      </c>
    </row>
    <row r="9" spans="1:14" ht="20.100000000000001" customHeight="1" x14ac:dyDescent="0.2">
      <c r="A9" s="170" t="s">
        <v>103</v>
      </c>
      <c r="B9" s="177">
        <f>ROUND(MAX(B4*0.5, 20)*366,2)</f>
        <v>54766.04</v>
      </c>
      <c r="C9" s="177">
        <f t="shared" ref="C9:N9" si="2">ROUND(MAX(C4*0.5, 20)*366,2)</f>
        <v>47944.53</v>
      </c>
      <c r="D9" s="177">
        <f t="shared" si="2"/>
        <v>51898.73</v>
      </c>
      <c r="E9" s="177">
        <f t="shared" si="2"/>
        <v>42072.69</v>
      </c>
      <c r="F9" s="177">
        <f t="shared" si="2"/>
        <v>55497.96</v>
      </c>
      <c r="G9" s="177">
        <f t="shared" si="2"/>
        <v>55497.96</v>
      </c>
      <c r="H9" s="177">
        <f t="shared" si="2"/>
        <v>47990.27</v>
      </c>
      <c r="I9" s="177">
        <f t="shared" si="2"/>
        <v>44689.31</v>
      </c>
      <c r="J9" s="177">
        <f t="shared" si="2"/>
        <v>48317.81</v>
      </c>
      <c r="K9" s="177">
        <f t="shared" si="2"/>
        <v>48317.81</v>
      </c>
      <c r="L9" s="177">
        <f t="shared" si="2"/>
        <v>60098.09</v>
      </c>
      <c r="M9" s="177">
        <f t="shared" si="2"/>
        <v>39454.239999999998</v>
      </c>
      <c r="N9" s="177">
        <f t="shared" si="2"/>
        <v>50820.98</v>
      </c>
    </row>
    <row r="11" spans="1:14" ht="12.75" customHeight="1" x14ac:dyDescent="0.3">
      <c r="B11" s="173"/>
    </row>
    <row r="12" spans="1:14" x14ac:dyDescent="0.2">
      <c r="B12" s="194" t="s">
        <v>12</v>
      </c>
    </row>
    <row r="13" spans="1:14" ht="18.75" x14ac:dyDescent="0.3">
      <c r="A13" s="173" t="s">
        <v>196</v>
      </c>
      <c r="B13" s="196"/>
      <c r="C13" s="196"/>
      <c r="D13" s="196"/>
      <c r="E13" s="196"/>
      <c r="F13" s="196"/>
      <c r="G13" s="196"/>
      <c r="H13" s="196"/>
      <c r="I13" s="196"/>
      <c r="J13" s="196"/>
    </row>
    <row r="14" spans="1:14" x14ac:dyDescent="0.2">
      <c r="B14" t="s">
        <v>12</v>
      </c>
    </row>
    <row r="15" spans="1:14" ht="20.100000000000001" customHeight="1" x14ac:dyDescent="0.2">
      <c r="A15" s="175" t="s">
        <v>12</v>
      </c>
      <c r="B15" s="171" t="s">
        <v>13</v>
      </c>
      <c r="C15" s="171" t="s">
        <v>17</v>
      </c>
      <c r="D15" s="171" t="s">
        <v>16</v>
      </c>
      <c r="E15" s="171" t="s">
        <v>14</v>
      </c>
      <c r="F15" s="171" t="s">
        <v>8</v>
      </c>
      <c r="G15" s="171" t="s">
        <v>42</v>
      </c>
      <c r="H15" s="171" t="s">
        <v>43</v>
      </c>
      <c r="I15" s="171" t="s">
        <v>7</v>
      </c>
      <c r="J15" s="171" t="s">
        <v>51</v>
      </c>
      <c r="K15" s="171" t="s">
        <v>63</v>
      </c>
      <c r="L15" s="77" t="s">
        <v>18</v>
      </c>
      <c r="M15" s="77" t="s">
        <v>3</v>
      </c>
      <c r="N15" s="77" t="s">
        <v>72</v>
      </c>
    </row>
    <row r="16" spans="1:14" ht="20.100000000000001" customHeight="1" x14ac:dyDescent="0.2">
      <c r="A16" s="195" t="s">
        <v>47</v>
      </c>
      <c r="B16" s="176">
        <f>B4</f>
        <v>299.26795846269135</v>
      </c>
      <c r="C16" s="176">
        <f t="shared" ref="C16:M16" si="3">C4</f>
        <v>261.99194947007811</v>
      </c>
      <c r="D16" s="176">
        <f t="shared" si="3"/>
        <v>283.59963601327479</v>
      </c>
      <c r="E16" s="176">
        <f t="shared" si="3"/>
        <v>229.9053848624344</v>
      </c>
      <c r="F16" s="176">
        <f t="shared" si="3"/>
        <v>303.26753024301462</v>
      </c>
      <c r="G16" s="176">
        <f t="shared" si="3"/>
        <v>303.26753024301462</v>
      </c>
      <c r="H16" s="176">
        <f t="shared" si="3"/>
        <v>262.2419227063483</v>
      </c>
      <c r="I16" s="176">
        <f t="shared" si="3"/>
        <v>244.20385397709023</v>
      </c>
      <c r="J16" s="176">
        <f t="shared" si="3"/>
        <v>264.03173107804304</v>
      </c>
      <c r="K16" s="176">
        <f t="shared" si="3"/>
        <v>264.03173107804304</v>
      </c>
      <c r="L16" s="176">
        <f t="shared" si="3"/>
        <v>328.40483888234661</v>
      </c>
      <c r="M16" s="176">
        <f t="shared" si="3"/>
        <v>215.59691681832777</v>
      </c>
      <c r="N16" s="176">
        <f>N4</f>
        <v>277.71026656674871</v>
      </c>
    </row>
    <row r="17" spans="1:14" ht="20.100000000000001" customHeight="1" x14ac:dyDescent="0.2">
      <c r="A17" s="195" t="s">
        <v>192</v>
      </c>
      <c r="B17" s="176">
        <f>B16*(1-'1st IA Parameters'!$B$5)</f>
        <v>279.5462</v>
      </c>
      <c r="C17" s="176">
        <f>C16*(1-'1st IA Parameters'!$B$5)</f>
        <v>244.72667999999999</v>
      </c>
      <c r="D17" s="176">
        <f>D16*(1-'1st IA Parameters'!$B$5)</f>
        <v>264.91041999999999</v>
      </c>
      <c r="E17" s="176">
        <f>E16*(1-'1st IA Parameters'!$B$5)</f>
        <v>214.75461999999999</v>
      </c>
      <c r="F17" s="176">
        <f>F16*(1-'1st IA Parameters'!$B$5)</f>
        <v>283.28219999999999</v>
      </c>
      <c r="G17" s="176">
        <f>G16*(1-'1st IA Parameters'!$B$5)</f>
        <v>283.28219999999999</v>
      </c>
      <c r="H17" s="176">
        <f>H16*(1-'1st IA Parameters'!$B$5)</f>
        <v>244.96017999999995</v>
      </c>
      <c r="I17" s="176">
        <f>I16*(1-'1st IA Parameters'!$B$5)</f>
        <v>228.11081999999999</v>
      </c>
      <c r="J17" s="176">
        <f>J16*(1-'1st IA Parameters'!$B$5)</f>
        <v>246.63204000000002</v>
      </c>
      <c r="K17" s="176">
        <f>K16*(1-'1st IA Parameters'!$B$5)</f>
        <v>246.63204000000002</v>
      </c>
      <c r="L17" s="176">
        <f>L16*(1-'1st IA Parameters'!$B$5)</f>
        <v>306.76295999999996</v>
      </c>
      <c r="M17" s="176">
        <f>M16*(1-'1st IA Parameters'!$B$5)</f>
        <v>201.38907999999998</v>
      </c>
      <c r="N17" s="176">
        <f>N16*(1-'1st IA Parameters'!$B$5)</f>
        <v>259.40915999999999</v>
      </c>
    </row>
    <row r="18" spans="1:14" ht="20.100000000000001" customHeight="1" x14ac:dyDescent="0.2">
      <c r="A18" s="195" t="s">
        <v>193</v>
      </c>
      <c r="B18" s="176">
        <v>15</v>
      </c>
      <c r="C18" s="176">
        <v>15</v>
      </c>
      <c r="D18" s="176">
        <v>22.22</v>
      </c>
      <c r="E18" s="176">
        <v>15</v>
      </c>
      <c r="F18" s="176">
        <v>22.22</v>
      </c>
      <c r="G18" s="176">
        <v>22.22</v>
      </c>
      <c r="H18" s="176">
        <v>22.22</v>
      </c>
      <c r="I18" s="176">
        <v>15</v>
      </c>
      <c r="J18" s="176">
        <v>15</v>
      </c>
      <c r="K18" s="176">
        <v>15</v>
      </c>
      <c r="L18" s="176">
        <v>15</v>
      </c>
      <c r="M18" s="176">
        <v>15</v>
      </c>
      <c r="N18" s="176">
        <v>15</v>
      </c>
    </row>
    <row r="19" spans="1:14" ht="20.100000000000001" customHeight="1" x14ac:dyDescent="0.2">
      <c r="A19" s="195" t="s">
        <v>194</v>
      </c>
      <c r="B19" s="176">
        <v>15</v>
      </c>
      <c r="C19" s="176">
        <v>15</v>
      </c>
      <c r="D19" s="176">
        <v>22.22</v>
      </c>
      <c r="E19" s="176">
        <v>15</v>
      </c>
      <c r="F19" s="176">
        <v>22.22</v>
      </c>
      <c r="G19" s="176">
        <v>22.22</v>
      </c>
      <c r="H19" s="176">
        <v>22.22</v>
      </c>
      <c r="I19" s="176">
        <v>15</v>
      </c>
      <c r="J19" s="176">
        <v>15</v>
      </c>
      <c r="K19" s="176">
        <v>15</v>
      </c>
      <c r="L19" s="176">
        <v>15</v>
      </c>
      <c r="M19" s="176">
        <v>15</v>
      </c>
      <c r="N19" s="176">
        <v>15</v>
      </c>
    </row>
    <row r="20" spans="1:14" ht="20.100000000000001" customHeight="1" x14ac:dyDescent="0.2">
      <c r="A20" s="195" t="s">
        <v>195</v>
      </c>
      <c r="B20" s="176">
        <v>51.33</v>
      </c>
      <c r="C20" s="176">
        <v>51.33</v>
      </c>
      <c r="D20" s="176">
        <v>58.55</v>
      </c>
      <c r="E20" s="176">
        <v>51.33</v>
      </c>
      <c r="F20" s="176">
        <v>58.55</v>
      </c>
      <c r="G20" s="176">
        <v>58.55</v>
      </c>
      <c r="H20" s="176">
        <v>58.55</v>
      </c>
      <c r="I20" s="176">
        <v>51.33</v>
      </c>
      <c r="J20" s="176">
        <v>51.33</v>
      </c>
      <c r="K20" s="176">
        <v>51.33</v>
      </c>
      <c r="L20" s="176">
        <v>51.33</v>
      </c>
      <c r="M20" s="176">
        <v>51.33</v>
      </c>
      <c r="N20" s="176">
        <v>51.33</v>
      </c>
    </row>
    <row r="21" spans="1:14" ht="20.100000000000001" customHeight="1" x14ac:dyDescent="0.2">
      <c r="A21" s="195" t="s">
        <v>101</v>
      </c>
      <c r="B21" s="98">
        <f>ROUND(MAX(20,0.2*B18)*366,2)</f>
        <v>7320</v>
      </c>
      <c r="C21" s="98">
        <f t="shared" ref="C21:N21" si="4">ROUND(MAX(20,0.2*C18)*366,2)</f>
        <v>7320</v>
      </c>
      <c r="D21" s="98">
        <f t="shared" si="4"/>
        <v>7320</v>
      </c>
      <c r="E21" s="98">
        <f t="shared" si="4"/>
        <v>7320</v>
      </c>
      <c r="F21" s="98">
        <f t="shared" si="4"/>
        <v>7320</v>
      </c>
      <c r="G21" s="98">
        <f t="shared" si="4"/>
        <v>7320</v>
      </c>
      <c r="H21" s="98">
        <f t="shared" si="4"/>
        <v>7320</v>
      </c>
      <c r="I21" s="98">
        <f t="shared" si="4"/>
        <v>7320</v>
      </c>
      <c r="J21" s="98">
        <f t="shared" si="4"/>
        <v>7320</v>
      </c>
      <c r="K21" s="98">
        <f t="shared" si="4"/>
        <v>7320</v>
      </c>
      <c r="L21" s="98">
        <f t="shared" si="4"/>
        <v>7320</v>
      </c>
      <c r="M21" s="98">
        <f t="shared" si="4"/>
        <v>7320</v>
      </c>
      <c r="N21" s="98">
        <f t="shared" si="4"/>
        <v>7320</v>
      </c>
    </row>
    <row r="22" spans="1:14" ht="20.100000000000001" customHeight="1" x14ac:dyDescent="0.2">
      <c r="A22" s="195" t="s">
        <v>102</v>
      </c>
      <c r="B22" s="98">
        <f>ROUND(MAX(20,0.2*B19)*366,2)</f>
        <v>7320</v>
      </c>
      <c r="C22" s="98">
        <f t="shared" ref="C22:N22" si="5">ROUND(MAX(20,0.2*C19)*366,2)</f>
        <v>7320</v>
      </c>
      <c r="D22" s="98">
        <f t="shared" si="5"/>
        <v>7320</v>
      </c>
      <c r="E22" s="98">
        <f t="shared" si="5"/>
        <v>7320</v>
      </c>
      <c r="F22" s="98">
        <f t="shared" si="5"/>
        <v>7320</v>
      </c>
      <c r="G22" s="98">
        <f t="shared" si="5"/>
        <v>7320</v>
      </c>
      <c r="H22" s="98">
        <f t="shared" si="5"/>
        <v>7320</v>
      </c>
      <c r="I22" s="98">
        <f t="shared" si="5"/>
        <v>7320</v>
      </c>
      <c r="J22" s="98">
        <f t="shared" si="5"/>
        <v>7320</v>
      </c>
      <c r="K22" s="98">
        <f t="shared" si="5"/>
        <v>7320</v>
      </c>
      <c r="L22" s="98">
        <f t="shared" si="5"/>
        <v>7320</v>
      </c>
      <c r="M22" s="98">
        <f t="shared" si="5"/>
        <v>7320</v>
      </c>
      <c r="N22" s="98">
        <f t="shared" si="5"/>
        <v>7320</v>
      </c>
    </row>
    <row r="23" spans="1:14" ht="20.100000000000001" customHeight="1" x14ac:dyDescent="0.2">
      <c r="A23" s="195" t="s">
        <v>103</v>
      </c>
      <c r="B23" s="177">
        <f>ROUND(MAX(20,0.2*B20,MIN(0.5*B16,1.5*B17-B20))*366,2)</f>
        <v>54766.04</v>
      </c>
      <c r="C23" s="177">
        <f t="shared" ref="C23:N23" si="6">ROUND(MAX(20,0.2*C20,MIN(0.5*C16,1.5*C17-C20))*366,2)</f>
        <v>47944.53</v>
      </c>
      <c r="D23" s="177">
        <f t="shared" si="6"/>
        <v>51898.73</v>
      </c>
      <c r="E23" s="177">
        <f t="shared" si="6"/>
        <v>42072.69</v>
      </c>
      <c r="F23" s="177">
        <f t="shared" si="6"/>
        <v>55497.96</v>
      </c>
      <c r="G23" s="177">
        <f t="shared" si="6"/>
        <v>55497.96</v>
      </c>
      <c r="H23" s="177">
        <f t="shared" si="6"/>
        <v>47990.27</v>
      </c>
      <c r="I23" s="177">
        <f t="shared" si="6"/>
        <v>44689.31</v>
      </c>
      <c r="J23" s="177">
        <f t="shared" si="6"/>
        <v>48317.81</v>
      </c>
      <c r="K23" s="177">
        <f t="shared" si="6"/>
        <v>48317.81</v>
      </c>
      <c r="L23" s="177">
        <f t="shared" si="6"/>
        <v>60098.09</v>
      </c>
      <c r="M23" s="177">
        <f t="shared" si="6"/>
        <v>39454.239999999998</v>
      </c>
      <c r="N23" s="177">
        <f t="shared" si="6"/>
        <v>50820.98</v>
      </c>
    </row>
  </sheetData>
  <pageMargins left="0.7" right="0.7" top="0.75" bottom="0.75" header="0.3" footer="0.3"/>
  <pageSetup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PJM Buy Bids-Sell Offers</vt:lpstr>
      <vt:lpstr>1st IA Configuration</vt:lpstr>
      <vt:lpstr>1st IA Parameters</vt:lpstr>
      <vt:lpstr>BRA Parameters</vt:lpstr>
      <vt:lpstr>Base Capacity Constraints</vt:lpstr>
      <vt:lpstr>Cap Import Limits</vt:lpstr>
      <vt:lpstr>Credit Rate</vt:lpstr>
      <vt:lpstr>'1st IA Configuration'!Print_Area</vt:lpstr>
      <vt:lpstr>'1st IA Parameters'!Print_Area</vt:lpstr>
      <vt:lpstr>'Base Capacity Constraints'!Print_Area</vt:lpstr>
      <vt:lpstr>'BRA Parameters'!Print_Area</vt:lpstr>
      <vt:lpstr>'Cap Import Limits'!Print_Area</vt:lpstr>
      <vt:lpstr>'Credit Rate'!Print_Area</vt:lpstr>
      <vt:lpstr>'PJM Buy Bids-Sell Offers'!Print_Area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Bhavaraju, Murty P.</cp:lastModifiedBy>
  <cp:lastPrinted>2017-09-21T16:26:42Z</cp:lastPrinted>
  <dcterms:created xsi:type="dcterms:W3CDTF">2007-01-26T13:56:48Z</dcterms:created>
  <dcterms:modified xsi:type="dcterms:W3CDTF">2017-09-21T16:27:16Z</dcterms:modified>
</cp:coreProperties>
</file>