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5" yWindow="300" windowWidth="12240" windowHeight="9060"/>
  </bookViews>
  <sheets>
    <sheet name="UCAP Oblig &amp; ZCP" sheetId="13" r:id="rId1"/>
    <sheet name="Summary" sheetId="7" r:id="rId2"/>
    <sheet name="BRA Resource Clearing Results" sheetId="5" r:id="rId3"/>
    <sheet name="BRA Load Pricing Results" sheetId="1" r:id="rId4"/>
    <sheet name="BRA CTRs" sheetId="2" r:id="rId5"/>
    <sheet name="BRA ICTRs" sheetId="3" r:id="rId6"/>
    <sheet name="1stIA Resource Clearing Results" sheetId="8" r:id="rId7"/>
    <sheet name="1st IA Load Pricing Results" sheetId="9" r:id="rId8"/>
    <sheet name="1st IA CTRs" sheetId="10" r:id="rId9"/>
    <sheet name="1st IA ICTRs" sheetId="11" r:id="rId10"/>
    <sheet name="2ndIA Resource Clearing Results" sheetId="14" r:id="rId11"/>
    <sheet name="2nd IA Load Pricing Results" sheetId="15" r:id="rId12"/>
    <sheet name="2nd IA CTRs" sheetId="16" r:id="rId13"/>
    <sheet name="2nd IA ICTRs" sheetId="17" r:id="rId14"/>
  </sheets>
  <definedNames>
    <definedName name="_xlnm.Print_Area" localSheetId="8">'1st IA CTRs'!$A$1:$AB$45</definedName>
    <definedName name="_xlnm.Print_Area" localSheetId="9">'1st IA ICTRs'!$A$1:$AC$104</definedName>
    <definedName name="_xlnm.Print_Area" localSheetId="7">'1st IA Load Pricing Results'!$A$1:$L$61</definedName>
    <definedName name="_xlnm.Print_Area" localSheetId="6">'1stIA Resource Clearing Results'!$A$1:$Y$76</definedName>
    <definedName name="_xlnm.Print_Area" localSheetId="12">'2nd IA CTRs'!$A$1:$AC$45</definedName>
    <definedName name="_xlnm.Print_Area" localSheetId="13">'2nd IA ICTRs'!$A$1:$AC$105</definedName>
    <definedName name="_xlnm.Print_Area" localSheetId="11">'2nd IA Load Pricing Results'!$A$1:$L$61</definedName>
    <definedName name="_xlnm.Print_Area" localSheetId="10">'2ndIA Resource Clearing Results'!$A$1:$Y$76</definedName>
    <definedName name="_xlnm.Print_Area" localSheetId="4">'BRA CTRs'!$A$1:$AB$45</definedName>
    <definedName name="_xlnm.Print_Area" localSheetId="5">'BRA ICTRs'!$A$1:$AC$105</definedName>
    <definedName name="_xlnm.Print_Area" localSheetId="3">'BRA Load Pricing Results'!$A$1:$L$59</definedName>
    <definedName name="_xlnm.Print_Area" localSheetId="2">'BRA Resource Clearing Results'!$A$1:$K$108</definedName>
    <definedName name="_xlnm.Print_Area" localSheetId="1">Summary!$A$1:$N$95</definedName>
    <definedName name="_xlnm.Print_Area" localSheetId="0">'UCAP Oblig &amp; ZCP'!$A$1:$N$27</definedName>
  </definedNames>
  <calcPr calcId="145621"/>
</workbook>
</file>

<file path=xl/calcChain.xml><?xml version="1.0" encoding="utf-8"?>
<calcChain xmlns="http://schemas.openxmlformats.org/spreadsheetml/2006/main">
  <c r="D6" i="16" l="1"/>
  <c r="T26" i="16" l="1"/>
  <c r="F14" i="15"/>
  <c r="B70" i="14"/>
  <c r="H66" i="14"/>
  <c r="H65" i="14"/>
  <c r="F64" i="14"/>
  <c r="B63" i="14"/>
  <c r="B64" i="14"/>
  <c r="B65" i="14"/>
  <c r="B66" i="14"/>
  <c r="B67" i="14"/>
  <c r="B71" i="14"/>
  <c r="B75" i="14"/>
  <c r="T74" i="14" l="1"/>
  <c r="X74" i="14" s="1"/>
  <c r="S74" i="14"/>
  <c r="W74" i="14" s="1"/>
  <c r="T73" i="14"/>
  <c r="X73" i="14" s="1"/>
  <c r="S73" i="14"/>
  <c r="S72" i="14"/>
  <c r="W72" i="14" s="1"/>
  <c r="S71" i="14"/>
  <c r="W71" i="14" s="1"/>
  <c r="T69" i="14"/>
  <c r="X69" i="14" s="1"/>
  <c r="S69" i="14"/>
  <c r="W69" i="14" s="1"/>
  <c r="S68" i="14"/>
  <c r="W68" i="14" s="1"/>
  <c r="S67" i="14"/>
  <c r="W67" i="14" s="1"/>
  <c r="S65" i="14"/>
  <c r="W65" i="14" s="1"/>
  <c r="S63" i="14"/>
  <c r="J24" i="7" l="1"/>
  <c r="I24" i="7"/>
  <c r="H24" i="7"/>
  <c r="J23" i="7"/>
  <c r="I23" i="7"/>
  <c r="H23" i="7"/>
  <c r="J22" i="7"/>
  <c r="I22" i="7"/>
  <c r="H22" i="7"/>
  <c r="J21" i="7"/>
  <c r="I21" i="7"/>
  <c r="H21" i="7"/>
  <c r="J20" i="7"/>
  <c r="I20" i="7"/>
  <c r="H20" i="7"/>
  <c r="Y65" i="17"/>
  <c r="S65" i="17"/>
  <c r="O65" i="17"/>
  <c r="N65" i="17"/>
  <c r="M65" i="17"/>
  <c r="J65" i="17"/>
  <c r="I65" i="17"/>
  <c r="H65" i="17"/>
  <c r="F65" i="17"/>
  <c r="W40" i="16" l="1"/>
  <c r="W39" i="16"/>
  <c r="W37" i="16"/>
  <c r="W36" i="16"/>
  <c r="W35" i="16"/>
  <c r="W34" i="16"/>
  <c r="W33" i="16"/>
  <c r="W32" i="16"/>
  <c r="W31" i="16"/>
  <c r="W30" i="16"/>
  <c r="W29" i="16"/>
  <c r="W28" i="16"/>
  <c r="W27" i="16"/>
  <c r="W26" i="16"/>
  <c r="W25" i="16"/>
  <c r="W24" i="16"/>
  <c r="W23" i="16"/>
  <c r="W22" i="16"/>
  <c r="W21" i="16"/>
  <c r="U40" i="16"/>
  <c r="U39" i="16"/>
  <c r="U38" i="16"/>
  <c r="U37" i="16"/>
  <c r="U36" i="16"/>
  <c r="U35" i="16"/>
  <c r="U34" i="16"/>
  <c r="U33" i="16"/>
  <c r="U32" i="16"/>
  <c r="U31" i="16"/>
  <c r="U30" i="16"/>
  <c r="U29" i="16"/>
  <c r="U28" i="16"/>
  <c r="U27" i="16"/>
  <c r="U26" i="16"/>
  <c r="U24" i="16"/>
  <c r="U23" i="16"/>
  <c r="U22" i="16"/>
  <c r="U2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5" i="16"/>
  <c r="S24" i="16"/>
  <c r="S23" i="16"/>
  <c r="S22" i="16"/>
  <c r="S2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3" i="16"/>
  <c r="Q22" i="16"/>
  <c r="Q21" i="16"/>
  <c r="O40" i="16"/>
  <c r="O39" i="16"/>
  <c r="O38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M40" i="16"/>
  <c r="M39" i="16"/>
  <c r="M38" i="16"/>
  <c r="M37" i="16"/>
  <c r="M36" i="16"/>
  <c r="M35" i="16"/>
  <c r="M34" i="16"/>
  <c r="M33" i="16"/>
  <c r="M32" i="16"/>
  <c r="M30" i="16"/>
  <c r="M29" i="16"/>
  <c r="M28" i="16"/>
  <c r="M27" i="16"/>
  <c r="M26" i="16"/>
  <c r="M25" i="16"/>
  <c r="M24" i="16"/>
  <c r="M23" i="16"/>
  <c r="M22" i="16"/>
  <c r="M21" i="16"/>
  <c r="K40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I40" i="16"/>
  <c r="I39" i="16"/>
  <c r="I38" i="16"/>
  <c r="I36" i="16"/>
  <c r="I35" i="16"/>
  <c r="I34" i="16"/>
  <c r="I33" i="16"/>
  <c r="I32" i="16"/>
  <c r="I31" i="16"/>
  <c r="I30" i="16"/>
  <c r="I29" i="16"/>
  <c r="I28" i="16"/>
  <c r="I27" i="16"/>
  <c r="I26" i="16"/>
  <c r="I24" i="16"/>
  <c r="I23" i="16"/>
  <c r="I22" i="16"/>
  <c r="I21" i="16"/>
  <c r="G38" i="16"/>
  <c r="G37" i="16"/>
  <c r="G36" i="16"/>
  <c r="G34" i="16"/>
  <c r="G32" i="16"/>
  <c r="G30" i="16"/>
  <c r="G29" i="16"/>
  <c r="G28" i="16"/>
  <c r="G27" i="16"/>
  <c r="G26" i="16"/>
  <c r="G25" i="16"/>
  <c r="G24" i="16"/>
  <c r="G23" i="16"/>
  <c r="G22" i="16"/>
  <c r="E32" i="16"/>
  <c r="E30" i="16"/>
  <c r="E29" i="16"/>
  <c r="E28" i="16"/>
  <c r="E27" i="16"/>
  <c r="E26" i="16"/>
  <c r="E24" i="16"/>
  <c r="E23" i="16"/>
  <c r="E22" i="16"/>
  <c r="H13" i="16"/>
  <c r="H10" i="16"/>
  <c r="H7" i="16"/>
  <c r="H6" i="16"/>
  <c r="G51" i="15"/>
  <c r="G47" i="15"/>
  <c r="G45" i="15"/>
  <c r="G41" i="15"/>
  <c r="F59" i="15"/>
  <c r="F58" i="15"/>
  <c r="F57" i="15"/>
  <c r="F56" i="15"/>
  <c r="F55" i="15"/>
  <c r="F54" i="15"/>
  <c r="F53" i="15"/>
  <c r="F52" i="15"/>
  <c r="F50" i="15"/>
  <c r="F49" i="15"/>
  <c r="F48" i="15"/>
  <c r="F46" i="15"/>
  <c r="F44" i="15"/>
  <c r="F43" i="15"/>
  <c r="F42" i="15"/>
  <c r="E57" i="15"/>
  <c r="I30" i="15" l="1"/>
  <c r="I31" i="15" s="1"/>
  <c r="I27" i="15"/>
  <c r="I28" i="15" s="1"/>
  <c r="I26" i="15"/>
  <c r="I17" i="15" l="1"/>
  <c r="I16" i="15"/>
  <c r="I15" i="15"/>
  <c r="I14" i="15"/>
  <c r="I13" i="15"/>
  <c r="D93" i="14" l="1"/>
  <c r="C93" i="14"/>
  <c r="B93" i="14"/>
  <c r="D92" i="14"/>
  <c r="C92" i="14"/>
  <c r="B92" i="14"/>
  <c r="D91" i="14"/>
  <c r="C91" i="14"/>
  <c r="B91" i="14"/>
  <c r="D90" i="14"/>
  <c r="C90" i="14"/>
  <c r="B90" i="14"/>
  <c r="D89" i="14"/>
  <c r="C89" i="14"/>
  <c r="B89" i="14"/>
  <c r="D88" i="14"/>
  <c r="C88" i="14"/>
  <c r="B88" i="14"/>
  <c r="D87" i="14"/>
  <c r="C87" i="14"/>
  <c r="B87" i="14"/>
  <c r="D86" i="14"/>
  <c r="C86" i="14"/>
  <c r="B86" i="14"/>
  <c r="D85" i="14"/>
  <c r="C85" i="14"/>
  <c r="B85" i="14"/>
  <c r="D84" i="14"/>
  <c r="C84" i="14"/>
  <c r="B84" i="14"/>
  <c r="D83" i="14"/>
  <c r="C83" i="14"/>
  <c r="B83" i="14"/>
  <c r="D82" i="14"/>
  <c r="D94" i="14" s="1"/>
  <c r="C82" i="14"/>
  <c r="B82" i="14"/>
  <c r="D81" i="14"/>
  <c r="C81" i="14"/>
  <c r="B81" i="14"/>
  <c r="H75" i="14"/>
  <c r="T75" i="14" s="1"/>
  <c r="G75" i="14"/>
  <c r="S75" i="14" s="1"/>
  <c r="F75" i="14"/>
  <c r="R75" i="14" s="1"/>
  <c r="D75" i="14"/>
  <c r="C75" i="14"/>
  <c r="H74" i="14"/>
  <c r="G74" i="14"/>
  <c r="F74" i="14"/>
  <c r="R74" i="14" s="1"/>
  <c r="D74" i="14"/>
  <c r="C74" i="14"/>
  <c r="B74" i="14"/>
  <c r="J73" i="14"/>
  <c r="H73" i="14"/>
  <c r="G73" i="14"/>
  <c r="F73" i="14"/>
  <c r="R73" i="14" s="1"/>
  <c r="U73" i="14" s="1"/>
  <c r="D73" i="14"/>
  <c r="C73" i="14"/>
  <c r="B73" i="14"/>
  <c r="H72" i="14"/>
  <c r="T72" i="14" s="1"/>
  <c r="G72" i="14"/>
  <c r="F72" i="14"/>
  <c r="R72" i="14" s="1"/>
  <c r="V72" i="14" s="1"/>
  <c r="D72" i="14"/>
  <c r="L72" i="14" s="1"/>
  <c r="G33" i="15" s="1"/>
  <c r="C72" i="14"/>
  <c r="B72" i="14"/>
  <c r="H71" i="14"/>
  <c r="T71" i="14" s="1"/>
  <c r="G71" i="14"/>
  <c r="F71" i="14"/>
  <c r="R71" i="14" s="1"/>
  <c r="V71" i="14" s="1"/>
  <c r="D71" i="14"/>
  <c r="C71" i="14"/>
  <c r="J71" i="14"/>
  <c r="H70" i="14"/>
  <c r="T70" i="14" s="1"/>
  <c r="X70" i="14" s="1"/>
  <c r="G70" i="14"/>
  <c r="S70" i="14" s="1"/>
  <c r="F70" i="14"/>
  <c r="R70" i="14" s="1"/>
  <c r="V70" i="14" s="1"/>
  <c r="D70" i="14"/>
  <c r="C70" i="14"/>
  <c r="H69" i="14"/>
  <c r="G69" i="14"/>
  <c r="F69" i="14"/>
  <c r="R69" i="14" s="1"/>
  <c r="D69" i="14"/>
  <c r="C69" i="14"/>
  <c r="B69" i="14"/>
  <c r="J69" i="14" s="1"/>
  <c r="H68" i="14"/>
  <c r="T68" i="14" s="1"/>
  <c r="G68" i="14"/>
  <c r="F68" i="14"/>
  <c r="R68" i="14" s="1"/>
  <c r="V68" i="14" s="1"/>
  <c r="D68" i="14"/>
  <c r="C68" i="14"/>
  <c r="B68" i="14"/>
  <c r="H67" i="14"/>
  <c r="T67" i="14" s="1"/>
  <c r="G67" i="14"/>
  <c r="F67" i="14"/>
  <c r="R67" i="14" s="1"/>
  <c r="V67" i="14" s="1"/>
  <c r="D67" i="14"/>
  <c r="C67" i="14"/>
  <c r="T66" i="14"/>
  <c r="G66" i="14"/>
  <c r="S66" i="14" s="1"/>
  <c r="F66" i="14"/>
  <c r="R66" i="14" s="1"/>
  <c r="V66" i="14" s="1"/>
  <c r="D66" i="14"/>
  <c r="C66" i="14"/>
  <c r="T65" i="14"/>
  <c r="G65" i="14"/>
  <c r="F65" i="14"/>
  <c r="R65" i="14" s="1"/>
  <c r="D65" i="14"/>
  <c r="C65" i="14"/>
  <c r="H64" i="14"/>
  <c r="T64" i="14" s="1"/>
  <c r="G64" i="14"/>
  <c r="S64" i="14" s="1"/>
  <c r="R64" i="14"/>
  <c r="D64" i="14"/>
  <c r="C64" i="14"/>
  <c r="H63" i="14"/>
  <c r="T63" i="14" s="1"/>
  <c r="G63" i="14"/>
  <c r="F63" i="14"/>
  <c r="R63" i="14" s="1"/>
  <c r="D63" i="14"/>
  <c r="C63" i="14"/>
  <c r="L58" i="14"/>
  <c r="L67" i="7" s="1"/>
  <c r="K58" i="14"/>
  <c r="K67" i="7" s="1"/>
  <c r="J58" i="14"/>
  <c r="I58" i="14"/>
  <c r="E58" i="14"/>
  <c r="L57" i="14"/>
  <c r="L66" i="7" s="1"/>
  <c r="K57" i="14"/>
  <c r="K66" i="7" s="1"/>
  <c r="J57" i="14"/>
  <c r="J66" i="7" s="1"/>
  <c r="I57" i="14"/>
  <c r="E57" i="14"/>
  <c r="L56" i="14"/>
  <c r="L65" i="7" s="1"/>
  <c r="K56" i="14"/>
  <c r="K65" i="7" s="1"/>
  <c r="J56" i="14"/>
  <c r="J65" i="7" s="1"/>
  <c r="I56" i="14"/>
  <c r="E56" i="14"/>
  <c r="L55" i="14"/>
  <c r="L64" i="7" s="1"/>
  <c r="K55" i="14"/>
  <c r="K64" i="7" s="1"/>
  <c r="J55" i="14"/>
  <c r="I55" i="14"/>
  <c r="E55" i="14"/>
  <c r="L54" i="14"/>
  <c r="L63" i="7" s="1"/>
  <c r="K54" i="14"/>
  <c r="K63" i="7" s="1"/>
  <c r="J54" i="14"/>
  <c r="J63" i="7" s="1"/>
  <c r="I54" i="14"/>
  <c r="E54" i="14"/>
  <c r="L53" i="14"/>
  <c r="L62" i="7" s="1"/>
  <c r="K53" i="14"/>
  <c r="K62" i="7" s="1"/>
  <c r="J53" i="14"/>
  <c r="J62" i="7" s="1"/>
  <c r="I53" i="14"/>
  <c r="E53" i="14"/>
  <c r="L52" i="14"/>
  <c r="L61" i="7" s="1"/>
  <c r="K52" i="14"/>
  <c r="K61" i="7" s="1"/>
  <c r="J52" i="14"/>
  <c r="I52" i="14"/>
  <c r="E52" i="14"/>
  <c r="L51" i="14"/>
  <c r="L60" i="7" s="1"/>
  <c r="K51" i="14"/>
  <c r="K60" i="7" s="1"/>
  <c r="J51" i="14"/>
  <c r="J60" i="7" s="1"/>
  <c r="I51" i="14"/>
  <c r="E51" i="14"/>
  <c r="L50" i="14"/>
  <c r="L59" i="7" s="1"/>
  <c r="K50" i="14"/>
  <c r="K59" i="7" s="1"/>
  <c r="J50" i="14"/>
  <c r="I50" i="14"/>
  <c r="E50" i="14"/>
  <c r="L49" i="14"/>
  <c r="L58" i="7" s="1"/>
  <c r="K49" i="14"/>
  <c r="K58" i="7" s="1"/>
  <c r="J49" i="14"/>
  <c r="J58" i="7" s="1"/>
  <c r="I49" i="14"/>
  <c r="E49" i="14"/>
  <c r="L48" i="14"/>
  <c r="L57" i="7" s="1"/>
  <c r="K48" i="14"/>
  <c r="K57" i="7" s="1"/>
  <c r="J48" i="14"/>
  <c r="J57" i="7" s="1"/>
  <c r="I48" i="14"/>
  <c r="E48" i="14"/>
  <c r="L47" i="14"/>
  <c r="L56" i="7" s="1"/>
  <c r="K47" i="14"/>
  <c r="K56" i="7" s="1"/>
  <c r="J47" i="14"/>
  <c r="I47" i="14"/>
  <c r="E47" i="14"/>
  <c r="L46" i="14"/>
  <c r="L55" i="7" s="1"/>
  <c r="K46" i="14"/>
  <c r="K55" i="7" s="1"/>
  <c r="J46" i="14"/>
  <c r="J55" i="7" s="1"/>
  <c r="I46" i="14"/>
  <c r="E46" i="14"/>
  <c r="Q41" i="14"/>
  <c r="L41" i="14"/>
  <c r="K41" i="14"/>
  <c r="J41" i="14"/>
  <c r="I41" i="14"/>
  <c r="E41" i="14"/>
  <c r="Q40" i="14"/>
  <c r="L40" i="14"/>
  <c r="K40" i="14"/>
  <c r="J40" i="14"/>
  <c r="J41" i="7" s="1"/>
  <c r="I40" i="14"/>
  <c r="E40" i="14"/>
  <c r="Q39" i="14"/>
  <c r="L39" i="14"/>
  <c r="K39" i="14"/>
  <c r="J39" i="14"/>
  <c r="J40" i="7" s="1"/>
  <c r="I39" i="14"/>
  <c r="E39" i="14"/>
  <c r="Q38" i="14"/>
  <c r="L38" i="14"/>
  <c r="L39" i="7" s="1"/>
  <c r="K38" i="14"/>
  <c r="K39" i="7" s="1"/>
  <c r="J38" i="14"/>
  <c r="I38" i="14"/>
  <c r="E38" i="14"/>
  <c r="Q37" i="14"/>
  <c r="L37" i="14"/>
  <c r="L38" i="7" s="1"/>
  <c r="K37" i="14"/>
  <c r="K38" i="7" s="1"/>
  <c r="J37" i="14"/>
  <c r="J38" i="7" s="1"/>
  <c r="I37" i="14"/>
  <c r="E37" i="14"/>
  <c r="Q36" i="14"/>
  <c r="L36" i="14"/>
  <c r="K36" i="14"/>
  <c r="J36" i="14"/>
  <c r="I36" i="14"/>
  <c r="E36" i="14"/>
  <c r="Q35" i="14"/>
  <c r="L35" i="14"/>
  <c r="L36" i="7" s="1"/>
  <c r="K35" i="14"/>
  <c r="K36" i="7" s="1"/>
  <c r="J35" i="14"/>
  <c r="J36" i="7" s="1"/>
  <c r="I35" i="14"/>
  <c r="E35" i="14"/>
  <c r="Q34" i="14"/>
  <c r="L34" i="14"/>
  <c r="L35" i="7" s="1"/>
  <c r="K34" i="14"/>
  <c r="K35" i="7" s="1"/>
  <c r="J34" i="14"/>
  <c r="J35" i="7" s="1"/>
  <c r="I34" i="14"/>
  <c r="E34" i="14"/>
  <c r="Q33" i="14"/>
  <c r="L33" i="14"/>
  <c r="L34" i="7" s="1"/>
  <c r="K33" i="14"/>
  <c r="K34" i="7" s="1"/>
  <c r="J33" i="14"/>
  <c r="I33" i="14"/>
  <c r="E33" i="14"/>
  <c r="Q32" i="14"/>
  <c r="L32" i="14"/>
  <c r="G16" i="15" s="1"/>
  <c r="K32" i="14"/>
  <c r="J32" i="14"/>
  <c r="J33" i="7" s="1"/>
  <c r="I32" i="14"/>
  <c r="E32" i="14"/>
  <c r="Q31" i="14"/>
  <c r="L31" i="14"/>
  <c r="G15" i="15" s="1"/>
  <c r="K31" i="14"/>
  <c r="J31" i="14"/>
  <c r="J32" i="7" s="1"/>
  <c r="I31" i="14"/>
  <c r="E31" i="14"/>
  <c r="Q30" i="14"/>
  <c r="L30" i="14"/>
  <c r="G14" i="15" s="1"/>
  <c r="K30" i="14"/>
  <c r="J30" i="14"/>
  <c r="I30" i="14"/>
  <c r="E30" i="14"/>
  <c r="Q29" i="14"/>
  <c r="L29" i="14"/>
  <c r="G13" i="15" s="1"/>
  <c r="K29" i="14"/>
  <c r="J29" i="14"/>
  <c r="J30" i="7" s="1"/>
  <c r="I29" i="14"/>
  <c r="E29" i="14"/>
  <c r="B17" i="14"/>
  <c r="D17" i="14" s="1"/>
  <c r="B16" i="14"/>
  <c r="D16" i="14" s="1"/>
  <c r="B15" i="14"/>
  <c r="D15" i="14" s="1"/>
  <c r="H17" i="7" s="1"/>
  <c r="B14" i="14"/>
  <c r="D14" i="14" s="1"/>
  <c r="B13" i="14"/>
  <c r="D13" i="14" s="1"/>
  <c r="B12" i="14"/>
  <c r="D12" i="14" s="1"/>
  <c r="B11" i="14"/>
  <c r="D11" i="14" s="1"/>
  <c r="H13" i="7" s="1"/>
  <c r="B10" i="14"/>
  <c r="D10" i="14" s="1"/>
  <c r="B9" i="14"/>
  <c r="D9" i="14" s="1"/>
  <c r="B8" i="14"/>
  <c r="D8" i="14" s="1"/>
  <c r="B7" i="14"/>
  <c r="D7" i="14" s="1"/>
  <c r="B6" i="14"/>
  <c r="D6" i="14" s="1"/>
  <c r="D5" i="14"/>
  <c r="F40" i="15"/>
  <c r="Y88" i="17"/>
  <c r="X88" i="17"/>
  <c r="V88" i="17"/>
  <c r="S88" i="17"/>
  <c r="O88" i="17"/>
  <c r="N88" i="17"/>
  <c r="J88" i="17"/>
  <c r="I88" i="17"/>
  <c r="Y87" i="17"/>
  <c r="X87" i="17"/>
  <c r="Z87" i="17" s="1"/>
  <c r="V87" i="17"/>
  <c r="S87" i="17"/>
  <c r="O87" i="17"/>
  <c r="N87" i="17"/>
  <c r="J87" i="17"/>
  <c r="I87" i="17"/>
  <c r="Y86" i="17"/>
  <c r="X86" i="17"/>
  <c r="Z86" i="17" s="1"/>
  <c r="V86" i="17"/>
  <c r="S86" i="17"/>
  <c r="O86" i="17"/>
  <c r="N86" i="17"/>
  <c r="J86" i="17"/>
  <c r="I86" i="17"/>
  <c r="Y85" i="17"/>
  <c r="X85" i="17"/>
  <c r="V85" i="17"/>
  <c r="S85" i="17"/>
  <c r="O85" i="17"/>
  <c r="N85" i="17"/>
  <c r="J85" i="17"/>
  <c r="I85" i="17"/>
  <c r="Y84" i="17"/>
  <c r="X84" i="17"/>
  <c r="V84" i="17"/>
  <c r="S84" i="17"/>
  <c r="O84" i="17"/>
  <c r="N84" i="17"/>
  <c r="M84" i="17"/>
  <c r="J84" i="17"/>
  <c r="I84" i="17"/>
  <c r="H84" i="17"/>
  <c r="Y83" i="17"/>
  <c r="Z83" i="17" s="1"/>
  <c r="X83" i="17"/>
  <c r="V83" i="17"/>
  <c r="S83" i="17"/>
  <c r="O83" i="17"/>
  <c r="N83" i="17"/>
  <c r="J83" i="17"/>
  <c r="I83" i="17"/>
  <c r="F83" i="17"/>
  <c r="Y82" i="17"/>
  <c r="X82" i="17"/>
  <c r="V82" i="17"/>
  <c r="S82" i="17"/>
  <c r="O82" i="17"/>
  <c r="N82" i="17"/>
  <c r="J82" i="17"/>
  <c r="I82" i="17"/>
  <c r="H82" i="17"/>
  <c r="Y81" i="17"/>
  <c r="X81" i="17"/>
  <c r="V81" i="17"/>
  <c r="S81" i="17"/>
  <c r="O81" i="17"/>
  <c r="N81" i="17"/>
  <c r="J81" i="17"/>
  <c r="I81" i="17"/>
  <c r="Y80" i="17"/>
  <c r="X80" i="17"/>
  <c r="V80" i="17"/>
  <c r="S80" i="17"/>
  <c r="O80" i="17"/>
  <c r="N80" i="17"/>
  <c r="J80" i="17"/>
  <c r="I80" i="17"/>
  <c r="Y79" i="17"/>
  <c r="X79" i="17"/>
  <c r="V79" i="17"/>
  <c r="S79" i="17"/>
  <c r="O79" i="17"/>
  <c r="N79" i="17"/>
  <c r="J79" i="17"/>
  <c r="I79" i="17"/>
  <c r="Y78" i="17"/>
  <c r="X78" i="17"/>
  <c r="Z78" i="17" s="1"/>
  <c r="V78" i="17"/>
  <c r="S78" i="17"/>
  <c r="O78" i="17"/>
  <c r="N78" i="17"/>
  <c r="J78" i="17"/>
  <c r="I78" i="17"/>
  <c r="Y77" i="17"/>
  <c r="X77" i="17"/>
  <c r="V77" i="17"/>
  <c r="S77" i="17"/>
  <c r="O77" i="17"/>
  <c r="N77" i="17"/>
  <c r="J77" i="17"/>
  <c r="I77" i="17"/>
  <c r="Y76" i="17"/>
  <c r="X76" i="17"/>
  <c r="V76" i="17"/>
  <c r="S76" i="17"/>
  <c r="O76" i="17"/>
  <c r="N76" i="17"/>
  <c r="J76" i="17"/>
  <c r="I76" i="17"/>
  <c r="Y75" i="17"/>
  <c r="X75" i="17"/>
  <c r="Z75" i="17" s="1"/>
  <c r="V75" i="17"/>
  <c r="S75" i="17"/>
  <c r="O75" i="17"/>
  <c r="N75" i="17"/>
  <c r="J75" i="17"/>
  <c r="I75" i="17"/>
  <c r="Y74" i="17"/>
  <c r="X74" i="17"/>
  <c r="V74" i="17"/>
  <c r="S74" i="17"/>
  <c r="O74" i="17"/>
  <c r="N74" i="17"/>
  <c r="J74" i="17"/>
  <c r="I74" i="17"/>
  <c r="H74" i="17"/>
  <c r="Y73" i="17"/>
  <c r="X73" i="17"/>
  <c r="V73" i="17"/>
  <c r="S73" i="17"/>
  <c r="O73" i="17"/>
  <c r="N73" i="17"/>
  <c r="J73" i="17"/>
  <c r="I73" i="17"/>
  <c r="Y72" i="17"/>
  <c r="X72" i="17"/>
  <c r="V72" i="17"/>
  <c r="S72" i="17"/>
  <c r="O72" i="17"/>
  <c r="N72" i="17"/>
  <c r="J72" i="17"/>
  <c r="K72" i="17" s="1"/>
  <c r="I72" i="17"/>
  <c r="H72" i="17"/>
  <c r="Y71" i="17"/>
  <c r="X71" i="17"/>
  <c r="V71" i="17"/>
  <c r="S71" i="17"/>
  <c r="R71" i="17"/>
  <c r="T71" i="17" s="1"/>
  <c r="O71" i="17"/>
  <c r="N71" i="17"/>
  <c r="J71" i="17"/>
  <c r="I71" i="17"/>
  <c r="H71" i="17"/>
  <c r="Y70" i="17"/>
  <c r="X70" i="17"/>
  <c r="Z70" i="17" s="1"/>
  <c r="V70" i="17"/>
  <c r="S70" i="17"/>
  <c r="O70" i="17"/>
  <c r="N70" i="17"/>
  <c r="J70" i="17"/>
  <c r="I70" i="17"/>
  <c r="F70" i="17"/>
  <c r="Y69" i="17"/>
  <c r="X69" i="17"/>
  <c r="V69" i="17"/>
  <c r="S69" i="17"/>
  <c r="O69" i="17"/>
  <c r="N69" i="17"/>
  <c r="M69" i="17"/>
  <c r="J69" i="17"/>
  <c r="I69" i="17"/>
  <c r="H69" i="17"/>
  <c r="Y68" i="17"/>
  <c r="X68" i="17"/>
  <c r="Z68" i="17" s="1"/>
  <c r="V68" i="17"/>
  <c r="S68" i="17"/>
  <c r="O68" i="17"/>
  <c r="N68" i="17"/>
  <c r="J68" i="17"/>
  <c r="I68" i="17"/>
  <c r="H68" i="17"/>
  <c r="K68" i="17" s="1"/>
  <c r="Y67" i="17"/>
  <c r="X67" i="17"/>
  <c r="V67" i="17"/>
  <c r="S67" i="17"/>
  <c r="O67" i="17"/>
  <c r="N67" i="17"/>
  <c r="J67" i="17"/>
  <c r="I67" i="17"/>
  <c r="H67" i="17"/>
  <c r="F67" i="17"/>
  <c r="Y66" i="17"/>
  <c r="X66" i="17"/>
  <c r="Z66" i="17" s="1"/>
  <c r="V66" i="17"/>
  <c r="S66" i="17"/>
  <c r="O66" i="17"/>
  <c r="N66" i="17"/>
  <c r="P66" i="17" s="1"/>
  <c r="M66" i="17"/>
  <c r="J66" i="17"/>
  <c r="I66" i="17"/>
  <c r="H66" i="17"/>
  <c r="K66" i="17" s="1"/>
  <c r="X65" i="17"/>
  <c r="Z65" i="17" s="1"/>
  <c r="V65" i="17"/>
  <c r="N89" i="17"/>
  <c r="G58" i="17"/>
  <c r="F58" i="17"/>
  <c r="E58" i="17"/>
  <c r="D58" i="17"/>
  <c r="C58" i="17"/>
  <c r="B58" i="17"/>
  <c r="J28" i="17"/>
  <c r="F28" i="17"/>
  <c r="B28" i="17"/>
  <c r="K26" i="17"/>
  <c r="J26" i="17"/>
  <c r="H26" i="17"/>
  <c r="G26" i="17"/>
  <c r="F26" i="17"/>
  <c r="E26" i="17"/>
  <c r="D26" i="17"/>
  <c r="B26" i="17"/>
  <c r="K20" i="17"/>
  <c r="J20" i="17"/>
  <c r="I20" i="17"/>
  <c r="H20" i="17"/>
  <c r="G20" i="17"/>
  <c r="F20" i="17"/>
  <c r="E20" i="17"/>
  <c r="E28" i="17" s="1"/>
  <c r="D20" i="17"/>
  <c r="B20" i="17"/>
  <c r="K13" i="17"/>
  <c r="J13" i="17"/>
  <c r="I13" i="17"/>
  <c r="H13" i="17"/>
  <c r="H28" i="17" s="1"/>
  <c r="G13" i="17"/>
  <c r="F13" i="17"/>
  <c r="M87" i="17" s="1"/>
  <c r="P87" i="17" s="1"/>
  <c r="E13" i="17"/>
  <c r="D13" i="17"/>
  <c r="F79" i="17" s="1"/>
  <c r="B13" i="17"/>
  <c r="V75" i="14" l="1"/>
  <c r="U75" i="14"/>
  <c r="V74" i="14"/>
  <c r="Y74" i="14" s="1"/>
  <c r="U74" i="14"/>
  <c r="X72" i="14"/>
  <c r="Y72" i="14" s="1"/>
  <c r="U72" i="14"/>
  <c r="X71" i="14"/>
  <c r="Y71" i="14" s="1"/>
  <c r="U71" i="14"/>
  <c r="L66" i="14"/>
  <c r="L70" i="14"/>
  <c r="W66" i="14"/>
  <c r="S76" i="14"/>
  <c r="W70" i="14"/>
  <c r="Y70" i="14" s="1"/>
  <c r="U70" i="14"/>
  <c r="V69" i="14"/>
  <c r="Y69" i="14" s="1"/>
  <c r="U69" i="14"/>
  <c r="X68" i="14"/>
  <c r="Y68" i="14" s="1"/>
  <c r="U68" i="14"/>
  <c r="J67" i="14"/>
  <c r="X67" i="14"/>
  <c r="Y67" i="14" s="1"/>
  <c r="U67" i="14"/>
  <c r="X66" i="14"/>
  <c r="U66" i="14"/>
  <c r="X65" i="14"/>
  <c r="U65" i="14"/>
  <c r="R76" i="14"/>
  <c r="L63" i="14"/>
  <c r="U64" i="14"/>
  <c r="T76" i="14"/>
  <c r="U63" i="14"/>
  <c r="X63" i="14"/>
  <c r="M57" i="14"/>
  <c r="M66" i="7" s="1"/>
  <c r="M51" i="14"/>
  <c r="M60" i="7" s="1"/>
  <c r="J75" i="14"/>
  <c r="I74" i="14"/>
  <c r="L74" i="14"/>
  <c r="I70" i="14"/>
  <c r="L68" i="14"/>
  <c r="G27" i="15" s="1"/>
  <c r="I66" i="14"/>
  <c r="K65" i="14"/>
  <c r="M29" i="14"/>
  <c r="B13" i="15" s="1"/>
  <c r="K64" i="14"/>
  <c r="M30" i="14"/>
  <c r="J31" i="7"/>
  <c r="M47" i="14"/>
  <c r="M56" i="7" s="1"/>
  <c r="J56" i="7"/>
  <c r="M50" i="14"/>
  <c r="M59" i="7" s="1"/>
  <c r="J59" i="7"/>
  <c r="L31" i="7"/>
  <c r="L33" i="7"/>
  <c r="M35" i="14"/>
  <c r="M36" i="14"/>
  <c r="J37" i="7"/>
  <c r="M38" i="14"/>
  <c r="M39" i="7" s="1"/>
  <c r="J39" i="7"/>
  <c r="M39" i="14"/>
  <c r="L40" i="7"/>
  <c r="G18" i="15"/>
  <c r="K42" i="7"/>
  <c r="E20" i="15"/>
  <c r="F20" i="15" s="1"/>
  <c r="I68" i="14"/>
  <c r="I72" i="14"/>
  <c r="K32" i="7"/>
  <c r="E15" i="15"/>
  <c r="M32" i="14"/>
  <c r="M33" i="14"/>
  <c r="J34" i="7"/>
  <c r="K37" i="7"/>
  <c r="E17" i="15"/>
  <c r="K41" i="7"/>
  <c r="E19" i="15"/>
  <c r="L42" i="7"/>
  <c r="G20" i="15"/>
  <c r="M52" i="14"/>
  <c r="M61" i="7" s="1"/>
  <c r="J61" i="7"/>
  <c r="M53" i="14"/>
  <c r="M62" i="7" s="1"/>
  <c r="M55" i="14"/>
  <c r="M64" i="7" s="1"/>
  <c r="J64" i="7"/>
  <c r="M58" i="14"/>
  <c r="M67" i="7" s="1"/>
  <c r="J67" i="7"/>
  <c r="C76" i="14"/>
  <c r="H76" i="14"/>
  <c r="K68" i="14"/>
  <c r="E27" i="15" s="1"/>
  <c r="K69" i="14"/>
  <c r="K72" i="14"/>
  <c r="E33" i="15" s="1"/>
  <c r="K73" i="14"/>
  <c r="M31" i="14"/>
  <c r="L32" i="7"/>
  <c r="L37" i="7"/>
  <c r="G17" i="15"/>
  <c r="L41" i="7"/>
  <c r="G19" i="15"/>
  <c r="K31" i="7"/>
  <c r="E14" i="15"/>
  <c r="K33" i="7"/>
  <c r="E16" i="15"/>
  <c r="K40" i="7"/>
  <c r="E18" i="15"/>
  <c r="M40" i="14"/>
  <c r="M41" i="14"/>
  <c r="J42" i="7"/>
  <c r="M49" i="14"/>
  <c r="M58" i="7" s="1"/>
  <c r="L65" i="14"/>
  <c r="K66" i="14"/>
  <c r="K67" i="14"/>
  <c r="K71" i="14"/>
  <c r="K75" i="14"/>
  <c r="L30" i="7"/>
  <c r="M30" i="7"/>
  <c r="K30" i="7"/>
  <c r="E13" i="15"/>
  <c r="E84" i="14"/>
  <c r="H10" i="7"/>
  <c r="F16" i="14"/>
  <c r="I18" i="7" s="1"/>
  <c r="H18" i="7"/>
  <c r="H11" i="7"/>
  <c r="H15" i="7"/>
  <c r="E82" i="14"/>
  <c r="H8" i="7"/>
  <c r="F10" i="14"/>
  <c r="I12" i="7" s="1"/>
  <c r="H12" i="7"/>
  <c r="E90" i="14"/>
  <c r="H16" i="7"/>
  <c r="E83" i="14"/>
  <c r="H9" i="7"/>
  <c r="E88" i="14"/>
  <c r="H14" i="7"/>
  <c r="F17" i="14"/>
  <c r="I19" i="7" s="1"/>
  <c r="H19" i="7"/>
  <c r="F5" i="14"/>
  <c r="I7" i="7" s="1"/>
  <c r="H7" i="7"/>
  <c r="K84" i="17"/>
  <c r="J89" i="17"/>
  <c r="K74" i="17"/>
  <c r="Z69" i="17"/>
  <c r="Z71" i="17"/>
  <c r="Z79" i="17"/>
  <c r="P69" i="17"/>
  <c r="P84" i="17"/>
  <c r="Z73" i="17"/>
  <c r="K82" i="17"/>
  <c r="K67" i="17"/>
  <c r="K69" i="17"/>
  <c r="Z81" i="17"/>
  <c r="Y30" i="16"/>
  <c r="AB30" i="16" s="1"/>
  <c r="Y22" i="16"/>
  <c r="AB22" i="16" s="1"/>
  <c r="Y23" i="16"/>
  <c r="AB23" i="16" s="1"/>
  <c r="Y27" i="16"/>
  <c r="AB27" i="16" s="1"/>
  <c r="Y32" i="16"/>
  <c r="AB32" i="16" s="1"/>
  <c r="G60" i="15"/>
  <c r="F81" i="14"/>
  <c r="O74" i="14"/>
  <c r="E87" i="14"/>
  <c r="E91" i="14"/>
  <c r="N65" i="14"/>
  <c r="V65" i="14" s="1"/>
  <c r="Y65" i="14" s="1"/>
  <c r="N71" i="14"/>
  <c r="N73" i="14"/>
  <c r="V73" i="14" s="1"/>
  <c r="G76" i="14"/>
  <c r="E85" i="14"/>
  <c r="F7" i="14"/>
  <c r="F9" i="14"/>
  <c r="I11" i="7" s="1"/>
  <c r="F11" i="14"/>
  <c r="I13" i="7" s="1"/>
  <c r="F13" i="14"/>
  <c r="I15" i="7" s="1"/>
  <c r="F14" i="14"/>
  <c r="L64" i="14"/>
  <c r="E66" i="14"/>
  <c r="J66" i="14"/>
  <c r="N66" i="14"/>
  <c r="E68" i="14"/>
  <c r="J68" i="14"/>
  <c r="N68" i="14"/>
  <c r="E72" i="14"/>
  <c r="J72" i="14"/>
  <c r="M72" i="14" s="1"/>
  <c r="C33" i="15" s="1"/>
  <c r="N72" i="14"/>
  <c r="B94" i="14"/>
  <c r="E81" i="14"/>
  <c r="E93" i="14"/>
  <c r="M34" i="14"/>
  <c r="M35" i="7" s="1"/>
  <c r="M37" i="14"/>
  <c r="M46" i="14"/>
  <c r="M55" i="7" s="1"/>
  <c r="M54" i="14"/>
  <c r="M63" i="7" s="1"/>
  <c r="F76" i="14"/>
  <c r="L67" i="14"/>
  <c r="L69" i="14"/>
  <c r="K70" i="14"/>
  <c r="L71" i="14"/>
  <c r="L73" i="14"/>
  <c r="K74" i="14"/>
  <c r="B76" i="14"/>
  <c r="F92" i="14"/>
  <c r="N63" i="14"/>
  <c r="V63" i="14" s="1"/>
  <c r="N67" i="14"/>
  <c r="N69" i="14"/>
  <c r="F6" i="14"/>
  <c r="I8" i="7" s="1"/>
  <c r="F8" i="14"/>
  <c r="I10" i="7" s="1"/>
  <c r="F12" i="14"/>
  <c r="I14" i="7" s="1"/>
  <c r="F15" i="14"/>
  <c r="I17" i="7" s="1"/>
  <c r="E70" i="14"/>
  <c r="J70" i="14"/>
  <c r="N70" i="14"/>
  <c r="E74" i="14"/>
  <c r="J74" i="14"/>
  <c r="N74" i="14"/>
  <c r="M48" i="14"/>
  <c r="M57" i="7" s="1"/>
  <c r="M56" i="14"/>
  <c r="M65" i="7" s="1"/>
  <c r="D76" i="14"/>
  <c r="K63" i="14"/>
  <c r="N64" i="14"/>
  <c r="V64" i="14" s="1"/>
  <c r="E89" i="14"/>
  <c r="E63" i="14"/>
  <c r="I63" i="14"/>
  <c r="E64" i="14"/>
  <c r="I64" i="14"/>
  <c r="E65" i="14"/>
  <c r="I65" i="14"/>
  <c r="I67" i="14"/>
  <c r="I69" i="14"/>
  <c r="I71" i="14"/>
  <c r="I73" i="14"/>
  <c r="I75" i="14"/>
  <c r="C94" i="14"/>
  <c r="E86" i="14"/>
  <c r="J63" i="14"/>
  <c r="J64" i="14"/>
  <c r="J65" i="14"/>
  <c r="E67" i="14"/>
  <c r="E69" i="14"/>
  <c r="E71" i="14"/>
  <c r="E73" i="14"/>
  <c r="E75" i="14"/>
  <c r="N75" i="14"/>
  <c r="E92" i="14"/>
  <c r="L75" i="14"/>
  <c r="E60" i="15"/>
  <c r="Y29" i="16"/>
  <c r="AB29" i="16" s="1"/>
  <c r="Y28" i="16"/>
  <c r="AB28" i="16" s="1"/>
  <c r="V89" i="17"/>
  <c r="Z67" i="17"/>
  <c r="R88" i="17"/>
  <c r="T88" i="17" s="1"/>
  <c r="R86" i="17"/>
  <c r="T86" i="17" s="1"/>
  <c r="R84" i="17"/>
  <c r="T84" i="17" s="1"/>
  <c r="R82" i="17"/>
  <c r="T82" i="17" s="1"/>
  <c r="R80" i="17"/>
  <c r="T80" i="17" s="1"/>
  <c r="R78" i="17"/>
  <c r="T78" i="17" s="1"/>
  <c r="R76" i="17"/>
  <c r="T76" i="17" s="1"/>
  <c r="R74" i="17"/>
  <c r="T74" i="17" s="1"/>
  <c r="R72" i="17"/>
  <c r="T72" i="17" s="1"/>
  <c r="R85" i="17"/>
  <c r="T85" i="17" s="1"/>
  <c r="R83" i="17"/>
  <c r="T83" i="17" s="1"/>
  <c r="R75" i="17"/>
  <c r="T75" i="17" s="1"/>
  <c r="R79" i="17"/>
  <c r="T79" i="17" s="1"/>
  <c r="R68" i="17"/>
  <c r="T68" i="17" s="1"/>
  <c r="R81" i="17"/>
  <c r="T81" i="17" s="1"/>
  <c r="R77" i="17"/>
  <c r="T77" i="17" s="1"/>
  <c r="R70" i="17"/>
  <c r="T70" i="17" s="1"/>
  <c r="R67" i="17"/>
  <c r="T67" i="17" s="1"/>
  <c r="R66" i="17"/>
  <c r="T66" i="17" s="1"/>
  <c r="R87" i="17"/>
  <c r="T87" i="17" s="1"/>
  <c r="R73" i="17"/>
  <c r="T73" i="17" s="1"/>
  <c r="R69" i="17"/>
  <c r="T69" i="17" s="1"/>
  <c r="G28" i="17"/>
  <c r="K28" i="17"/>
  <c r="R65" i="17"/>
  <c r="O89" i="17"/>
  <c r="Z77" i="17"/>
  <c r="S89" i="17"/>
  <c r="M67" i="17"/>
  <c r="P67" i="17" s="1"/>
  <c r="F68" i="17"/>
  <c r="M74" i="17"/>
  <c r="P74" i="17" s="1"/>
  <c r="F77" i="17"/>
  <c r="M78" i="17"/>
  <c r="P78" i="17" s="1"/>
  <c r="F85" i="17"/>
  <c r="Z85" i="17"/>
  <c r="F87" i="17"/>
  <c r="C98" i="17"/>
  <c r="H87" i="17"/>
  <c r="K87" i="17" s="1"/>
  <c r="H85" i="17"/>
  <c r="K85" i="17" s="1"/>
  <c r="H83" i="17"/>
  <c r="K83" i="17" s="1"/>
  <c r="H81" i="17"/>
  <c r="K81" i="17" s="1"/>
  <c r="H79" i="17"/>
  <c r="K79" i="17" s="1"/>
  <c r="H77" i="17"/>
  <c r="K77" i="17" s="1"/>
  <c r="H75" i="17"/>
  <c r="K75" i="17" s="1"/>
  <c r="H73" i="17"/>
  <c r="K73" i="17" s="1"/>
  <c r="H88" i="17"/>
  <c r="K88" i="17" s="1"/>
  <c r="H86" i="17"/>
  <c r="K86" i="17" s="1"/>
  <c r="H78" i="17"/>
  <c r="K78" i="17" s="1"/>
  <c r="D28" i="17"/>
  <c r="X89" i="17"/>
  <c r="F66" i="17"/>
  <c r="H70" i="17"/>
  <c r="K70" i="17" s="1"/>
  <c r="F71" i="17"/>
  <c r="Z72" i="17"/>
  <c r="M73" i="17"/>
  <c r="P73" i="17" s="1"/>
  <c r="Z74" i="17"/>
  <c r="M77" i="17"/>
  <c r="P77" i="17" s="1"/>
  <c r="H80" i="17"/>
  <c r="K80" i="17" s="1"/>
  <c r="M82" i="17"/>
  <c r="P82" i="17" s="1"/>
  <c r="M86" i="17"/>
  <c r="P86" i="17" s="1"/>
  <c r="F88" i="17"/>
  <c r="F86" i="17"/>
  <c r="F84" i="17"/>
  <c r="F82" i="17"/>
  <c r="F80" i="17"/>
  <c r="F78" i="17"/>
  <c r="F76" i="17"/>
  <c r="F74" i="17"/>
  <c r="F81" i="17"/>
  <c r="F73" i="17"/>
  <c r="M88" i="17"/>
  <c r="P88" i="17" s="1"/>
  <c r="M85" i="17"/>
  <c r="P85" i="17" s="1"/>
  <c r="M83" i="17"/>
  <c r="P83" i="17" s="1"/>
  <c r="M80" i="17"/>
  <c r="P80" i="17" s="1"/>
  <c r="M75" i="17"/>
  <c r="P75" i="17" s="1"/>
  <c r="M72" i="17"/>
  <c r="P72" i="17" s="1"/>
  <c r="M70" i="17"/>
  <c r="P70" i="17" s="1"/>
  <c r="M68" i="17"/>
  <c r="P68" i="17" s="1"/>
  <c r="I89" i="17"/>
  <c r="Y89" i="17"/>
  <c r="F69" i="17"/>
  <c r="K71" i="17"/>
  <c r="M71" i="17"/>
  <c r="P71" i="17" s="1"/>
  <c r="F72" i="17"/>
  <c r="F75" i="17"/>
  <c r="H76" i="17"/>
  <c r="K76" i="17" s="1"/>
  <c r="M76" i="17"/>
  <c r="P76" i="17" s="1"/>
  <c r="M79" i="17"/>
  <c r="P79" i="17" s="1"/>
  <c r="Z80" i="17"/>
  <c r="M81" i="17"/>
  <c r="P81" i="17" s="1"/>
  <c r="Z82" i="17"/>
  <c r="Z76" i="17"/>
  <c r="Z84" i="17"/>
  <c r="Z88" i="17"/>
  <c r="D6" i="10"/>
  <c r="D11" i="10"/>
  <c r="D8" i="10"/>
  <c r="Y66" i="14" l="1"/>
  <c r="U76" i="14"/>
  <c r="D13" i="15"/>
  <c r="D18" i="15" s="1"/>
  <c r="T19" i="16" s="1"/>
  <c r="V76" i="14"/>
  <c r="M75" i="14"/>
  <c r="M65" i="14"/>
  <c r="C13" i="15"/>
  <c r="C17" i="15" s="1"/>
  <c r="B8" i="15"/>
  <c r="H50" i="15" s="1"/>
  <c r="I50" i="15" s="1"/>
  <c r="J50" i="15" s="1"/>
  <c r="B9" i="16" s="1"/>
  <c r="M73" i="14"/>
  <c r="E32" i="15"/>
  <c r="E34" i="15" s="1"/>
  <c r="M70" i="14"/>
  <c r="M66" i="14"/>
  <c r="K76" i="14"/>
  <c r="H17" i="14"/>
  <c r="P75" i="14" s="1"/>
  <c r="X75" i="14" s="1"/>
  <c r="Y75" i="14" s="1"/>
  <c r="M42" i="7"/>
  <c r="C14" i="16"/>
  <c r="M33" i="7"/>
  <c r="C7" i="16"/>
  <c r="M64" i="14"/>
  <c r="M74" i="14"/>
  <c r="M69" i="14"/>
  <c r="C30" i="15" s="1"/>
  <c r="G30" i="15"/>
  <c r="G31" i="15" s="1"/>
  <c r="M68" i="14"/>
  <c r="C27" i="15" s="1"/>
  <c r="H16" i="14"/>
  <c r="J18" i="7" s="1"/>
  <c r="F93" i="14"/>
  <c r="F13" i="15"/>
  <c r="M41" i="7"/>
  <c r="C13" i="16"/>
  <c r="E30" i="15"/>
  <c r="E31" i="15" s="1"/>
  <c r="M31" i="7"/>
  <c r="C5" i="16"/>
  <c r="M67" i="14"/>
  <c r="C26" i="15" s="1"/>
  <c r="G26" i="15"/>
  <c r="G28" i="15" s="1"/>
  <c r="M32" i="7"/>
  <c r="C6" i="16"/>
  <c r="M40" i="7"/>
  <c r="C12" i="16"/>
  <c r="M37" i="7"/>
  <c r="C10" i="16"/>
  <c r="M71" i="14"/>
  <c r="C32" i="15" s="1"/>
  <c r="C34" i="15" s="1"/>
  <c r="C11" i="16" s="1"/>
  <c r="G32" i="15"/>
  <c r="G34" i="15" s="1"/>
  <c r="M38" i="7"/>
  <c r="D32" i="15"/>
  <c r="D33" i="15" s="1"/>
  <c r="O75" i="14"/>
  <c r="W75" i="14" s="1"/>
  <c r="H5" i="14"/>
  <c r="J7" i="7" s="1"/>
  <c r="E26" i="15"/>
  <c r="E28" i="15" s="1"/>
  <c r="M34" i="7"/>
  <c r="D26" i="15"/>
  <c r="M36" i="7"/>
  <c r="D30" i="15"/>
  <c r="AC63" i="17" s="1"/>
  <c r="C101" i="17" s="1"/>
  <c r="C20" i="15"/>
  <c r="J13" i="15"/>
  <c r="H13" i="15"/>
  <c r="F86" i="14"/>
  <c r="O68" i="14"/>
  <c r="H10" i="14"/>
  <c r="J12" i="7" s="1"/>
  <c r="I16" i="7"/>
  <c r="F83" i="14"/>
  <c r="I9" i="7"/>
  <c r="F87" i="14"/>
  <c r="O63" i="14"/>
  <c r="W63" i="14" s="1"/>
  <c r="J19" i="7"/>
  <c r="Z89" i="17"/>
  <c r="H51" i="15"/>
  <c r="I51" i="15" s="1"/>
  <c r="J51" i="15" s="1"/>
  <c r="J85" i="7" s="1"/>
  <c r="J17" i="13" s="1"/>
  <c r="H41" i="15"/>
  <c r="I41" i="15" s="1"/>
  <c r="J41" i="15" s="1"/>
  <c r="J75" i="7" s="1"/>
  <c r="J7" i="13" s="1"/>
  <c r="H53" i="15"/>
  <c r="I53" i="15" s="1"/>
  <c r="J53" i="15" s="1"/>
  <c r="J87" i="7" s="1"/>
  <c r="J19" i="13" s="1"/>
  <c r="H54" i="15"/>
  <c r="I54" i="15" s="1"/>
  <c r="J54" i="15" s="1"/>
  <c r="J88" i="7" s="1"/>
  <c r="J20" i="13" s="1"/>
  <c r="H43" i="15"/>
  <c r="I43" i="15" s="1"/>
  <c r="J43" i="15" s="1"/>
  <c r="H56" i="15"/>
  <c r="I56" i="15" s="1"/>
  <c r="J56" i="15" s="1"/>
  <c r="I76" i="14"/>
  <c r="O64" i="14"/>
  <c r="W64" i="14" s="1"/>
  <c r="H6" i="14"/>
  <c r="J8" i="7" s="1"/>
  <c r="F89" i="14"/>
  <c r="H13" i="14"/>
  <c r="J15" i="7" s="1"/>
  <c r="O71" i="14"/>
  <c r="L76" i="14"/>
  <c r="M63" i="14"/>
  <c r="J76" i="14"/>
  <c r="E76" i="14"/>
  <c r="H15" i="14"/>
  <c r="J17" i="7" s="1"/>
  <c r="O73" i="14"/>
  <c r="W73" i="14" s="1"/>
  <c r="Y73" i="14" s="1"/>
  <c r="H11" i="14"/>
  <c r="J13" i="7" s="1"/>
  <c r="O69" i="14"/>
  <c r="G92" i="14"/>
  <c r="H92" i="14" s="1"/>
  <c r="P74" i="14"/>
  <c r="G86" i="14"/>
  <c r="H86" i="14" s="1"/>
  <c r="F91" i="14"/>
  <c r="F88" i="14"/>
  <c r="O70" i="14"/>
  <c r="H12" i="14"/>
  <c r="J14" i="7" s="1"/>
  <c r="F85" i="14"/>
  <c r="H9" i="14"/>
  <c r="J11" i="7" s="1"/>
  <c r="O67" i="14"/>
  <c r="F82" i="14"/>
  <c r="F84" i="14"/>
  <c r="O66" i="14"/>
  <c r="H8" i="14"/>
  <c r="J10" i="7" s="1"/>
  <c r="N76" i="14"/>
  <c r="E94" i="14"/>
  <c r="F90" i="14"/>
  <c r="O72" i="14"/>
  <c r="H14" i="14"/>
  <c r="J16" i="7" s="1"/>
  <c r="H7" i="14"/>
  <c r="J9" i="7" s="1"/>
  <c r="O65" i="14"/>
  <c r="P63" i="14"/>
  <c r="M89" i="17"/>
  <c r="P65" i="17"/>
  <c r="H89" i="17"/>
  <c r="K65" i="17"/>
  <c r="T65" i="17"/>
  <c r="R89" i="17"/>
  <c r="F89" i="17"/>
  <c r="D5" i="10"/>
  <c r="D9" i="10"/>
  <c r="Y64" i="14" l="1"/>
  <c r="D14" i="15"/>
  <c r="D16" i="15" s="1"/>
  <c r="W76" i="14"/>
  <c r="Y63" i="14"/>
  <c r="Y76" i="14" s="1"/>
  <c r="H45" i="15"/>
  <c r="I45" i="15" s="1"/>
  <c r="J45" i="15" s="1"/>
  <c r="J79" i="7" s="1"/>
  <c r="J11" i="13" s="1"/>
  <c r="H49" i="15"/>
  <c r="I49" i="15" s="1"/>
  <c r="J49" i="15" s="1"/>
  <c r="J83" i="7" s="1"/>
  <c r="J15" i="13" s="1"/>
  <c r="H57" i="15"/>
  <c r="I57" i="15" s="1"/>
  <c r="J57" i="15" s="1"/>
  <c r="B20" i="15" s="1"/>
  <c r="H46" i="15"/>
  <c r="I46" i="15" s="1"/>
  <c r="J46" i="15" s="1"/>
  <c r="J80" i="7" s="1"/>
  <c r="J12" i="13" s="1"/>
  <c r="J84" i="7"/>
  <c r="J16" i="13" s="1"/>
  <c r="C19" i="15"/>
  <c r="C18" i="15"/>
  <c r="C15" i="15"/>
  <c r="C14" i="15"/>
  <c r="C16" i="15"/>
  <c r="F31" i="15"/>
  <c r="J31" i="15"/>
  <c r="H58" i="15"/>
  <c r="I58" i="15" s="1"/>
  <c r="J58" i="15" s="1"/>
  <c r="H28" i="15" s="1"/>
  <c r="H52" i="15"/>
  <c r="I52" i="15" s="1"/>
  <c r="J52" i="15" s="1"/>
  <c r="J86" i="7" s="1"/>
  <c r="J18" i="13" s="1"/>
  <c r="H40" i="15"/>
  <c r="I40" i="15" s="1"/>
  <c r="J40" i="15" s="1"/>
  <c r="J74" i="7" s="1"/>
  <c r="J6" i="13" s="1"/>
  <c r="H55" i="15"/>
  <c r="I55" i="15" s="1"/>
  <c r="J55" i="15" s="1"/>
  <c r="J89" i="7" s="1"/>
  <c r="J21" i="13" s="1"/>
  <c r="H47" i="15"/>
  <c r="I47" i="15" s="1"/>
  <c r="J47" i="15" s="1"/>
  <c r="J81" i="7" s="1"/>
  <c r="J13" i="13" s="1"/>
  <c r="H59" i="15"/>
  <c r="I59" i="15" s="1"/>
  <c r="J59" i="15" s="1"/>
  <c r="J93" i="7" s="1"/>
  <c r="J25" i="13" s="1"/>
  <c r="H48" i="15"/>
  <c r="I48" i="15" s="1"/>
  <c r="J48" i="15" s="1"/>
  <c r="J82" i="7" s="1"/>
  <c r="J14" i="13" s="1"/>
  <c r="H44" i="15"/>
  <c r="I44" i="15" s="1"/>
  <c r="J44" i="15" s="1"/>
  <c r="B19" i="15" s="1"/>
  <c r="B13" i="16" s="1"/>
  <c r="D13" i="16" s="1"/>
  <c r="F13" i="16" s="1"/>
  <c r="I13" i="16" s="1"/>
  <c r="H42" i="15"/>
  <c r="I42" i="15" s="1"/>
  <c r="J42" i="15" s="1"/>
  <c r="J76" i="7" s="1"/>
  <c r="J8" i="13" s="1"/>
  <c r="H31" i="15"/>
  <c r="Q75" i="14"/>
  <c r="D34" i="15"/>
  <c r="F28" i="15"/>
  <c r="Q63" i="17"/>
  <c r="D27" i="15"/>
  <c r="U63" i="17" s="1"/>
  <c r="U65" i="17" s="1"/>
  <c r="C31" i="15"/>
  <c r="C9" i="16" s="1"/>
  <c r="D9" i="16" s="1"/>
  <c r="F9" i="16" s="1"/>
  <c r="G81" i="14"/>
  <c r="G93" i="14"/>
  <c r="H93" i="14" s="1"/>
  <c r="J93" i="14" s="1"/>
  <c r="C28" i="15"/>
  <c r="C8" i="16" s="1"/>
  <c r="M76" i="14"/>
  <c r="K13" i="15"/>
  <c r="K41" i="15" s="1"/>
  <c r="T40" i="16"/>
  <c r="T35" i="16"/>
  <c r="T32" i="16"/>
  <c r="T30" i="16"/>
  <c r="T24" i="16"/>
  <c r="T23" i="16"/>
  <c r="T39" i="16"/>
  <c r="T38" i="16"/>
  <c r="T33" i="16"/>
  <c r="T28" i="16"/>
  <c r="T31" i="16"/>
  <c r="T29" i="16"/>
  <c r="T22" i="16"/>
  <c r="T25" i="16"/>
  <c r="T27" i="16"/>
  <c r="T36" i="16"/>
  <c r="T21" i="16"/>
  <c r="T37" i="16"/>
  <c r="T34" i="16"/>
  <c r="B17" i="15"/>
  <c r="B10" i="16" s="1"/>
  <c r="D10" i="16" s="1"/>
  <c r="F10" i="16" s="1"/>
  <c r="I10" i="16" s="1"/>
  <c r="J90" i="7"/>
  <c r="J22" i="13" s="1"/>
  <c r="J91" i="7"/>
  <c r="J23" i="13" s="1"/>
  <c r="B18" i="15"/>
  <c r="F34" i="15"/>
  <c r="J77" i="7"/>
  <c r="J9" i="13" s="1"/>
  <c r="B11" i="16"/>
  <c r="D11" i="16" s="1"/>
  <c r="F11" i="16" s="1"/>
  <c r="I11" i="16" s="1"/>
  <c r="Q74" i="14"/>
  <c r="P68" i="14"/>
  <c r="Q68" i="14" s="1"/>
  <c r="H34" i="15"/>
  <c r="I92" i="14"/>
  <c r="I19" i="15" s="1"/>
  <c r="J92" i="14"/>
  <c r="P70" i="14"/>
  <c r="G88" i="14"/>
  <c r="H81" i="14"/>
  <c r="F94" i="14"/>
  <c r="O76" i="14"/>
  <c r="P69" i="14"/>
  <c r="Q69" i="14" s="1"/>
  <c r="G87" i="14"/>
  <c r="H87" i="14" s="1"/>
  <c r="G91" i="14"/>
  <c r="H91" i="14" s="1"/>
  <c r="P73" i="14"/>
  <c r="P65" i="14"/>
  <c r="G83" i="14"/>
  <c r="H83" i="14" s="1"/>
  <c r="P66" i="14"/>
  <c r="G84" i="14"/>
  <c r="H84" i="14" s="1"/>
  <c r="G89" i="14"/>
  <c r="H89" i="14" s="1"/>
  <c r="P71" i="14"/>
  <c r="Q71" i="14" s="1"/>
  <c r="P72" i="14"/>
  <c r="G90" i="14"/>
  <c r="H90" i="14" s="1"/>
  <c r="Q63" i="14"/>
  <c r="G85" i="14"/>
  <c r="H85" i="14" s="1"/>
  <c r="P67" i="14"/>
  <c r="Q67" i="14" s="1"/>
  <c r="G82" i="14"/>
  <c r="H82" i="14" s="1"/>
  <c r="J82" i="14" s="1"/>
  <c r="P64" i="14"/>
  <c r="X64" i="14" s="1"/>
  <c r="X76" i="14" s="1"/>
  <c r="P89" i="17"/>
  <c r="T89" i="17"/>
  <c r="K89" i="17"/>
  <c r="E30" i="9"/>
  <c r="L20" i="1"/>
  <c r="K33" i="1"/>
  <c r="K30" i="1"/>
  <c r="K27" i="1"/>
  <c r="D20" i="15" l="1"/>
  <c r="X19" i="16" s="1"/>
  <c r="F19" i="16"/>
  <c r="F22" i="16" s="1"/>
  <c r="D15" i="15"/>
  <c r="H19" i="16" s="1"/>
  <c r="J60" i="15"/>
  <c r="J92" i="7"/>
  <c r="J24" i="13" s="1"/>
  <c r="B16" i="15"/>
  <c r="B7" i="16" s="1"/>
  <c r="D7" i="16" s="1"/>
  <c r="F7" i="16" s="1"/>
  <c r="I7" i="16" s="1"/>
  <c r="I25" i="16" s="1"/>
  <c r="J78" i="7"/>
  <c r="J10" i="13" s="1"/>
  <c r="B15" i="15"/>
  <c r="B6" i="16" s="1"/>
  <c r="J28" i="15"/>
  <c r="K51" i="15"/>
  <c r="D31" i="15"/>
  <c r="N19" i="16" s="1"/>
  <c r="N34" i="16" s="1"/>
  <c r="B8" i="16"/>
  <c r="D8" i="16" s="1"/>
  <c r="F8" i="16" s="1"/>
  <c r="I8" i="16" s="1"/>
  <c r="K39" i="16" s="1"/>
  <c r="K41" i="16" s="1"/>
  <c r="B14" i="15"/>
  <c r="B34" i="15"/>
  <c r="K47" i="15"/>
  <c r="K46" i="15"/>
  <c r="R19" i="16"/>
  <c r="R37" i="16" s="1"/>
  <c r="D28" i="15"/>
  <c r="I23" i="17"/>
  <c r="I24" i="17"/>
  <c r="K75" i="7"/>
  <c r="K7" i="13" s="1"/>
  <c r="N23" i="16"/>
  <c r="N24" i="16"/>
  <c r="K80" i="7"/>
  <c r="K12" i="13" s="1"/>
  <c r="I93" i="14"/>
  <c r="I20" i="15" s="1"/>
  <c r="K49" i="15"/>
  <c r="K42" i="15"/>
  <c r="K76" i="7" s="1"/>
  <c r="K8" i="13" s="1"/>
  <c r="B99" i="17"/>
  <c r="Q87" i="17"/>
  <c r="Q66" i="17"/>
  <c r="C99" i="17"/>
  <c r="Q79" i="17"/>
  <c r="Q88" i="17"/>
  <c r="Q80" i="17"/>
  <c r="Q85" i="17"/>
  <c r="Q84" i="17"/>
  <c r="Q83" i="17"/>
  <c r="Q86" i="17"/>
  <c r="Q82" i="17"/>
  <c r="Q76" i="17"/>
  <c r="Q77" i="17"/>
  <c r="Q81" i="17"/>
  <c r="Q69" i="17"/>
  <c r="Q73" i="17"/>
  <c r="Q70" i="17"/>
  <c r="Q71" i="17"/>
  <c r="Q78" i="17"/>
  <c r="Q75" i="17"/>
  <c r="Q68" i="17"/>
  <c r="Q74" i="17"/>
  <c r="Q72" i="17"/>
  <c r="Q67" i="17"/>
  <c r="Q65" i="17"/>
  <c r="K48" i="15"/>
  <c r="U71" i="17"/>
  <c r="C100" i="17"/>
  <c r="B100" i="17"/>
  <c r="U84" i="17"/>
  <c r="U79" i="17"/>
  <c r="U87" i="17"/>
  <c r="U82" i="17"/>
  <c r="U76" i="17"/>
  <c r="U69" i="17"/>
  <c r="U78" i="17"/>
  <c r="U72" i="17"/>
  <c r="U77" i="17"/>
  <c r="U67" i="17"/>
  <c r="U86" i="17"/>
  <c r="U66" i="17"/>
  <c r="U73" i="17"/>
  <c r="U80" i="17"/>
  <c r="U75" i="17"/>
  <c r="U68" i="17"/>
  <c r="U83" i="17"/>
  <c r="U70" i="17"/>
  <c r="U88" i="17"/>
  <c r="U74" i="17"/>
  <c r="U81" i="17"/>
  <c r="U85" i="17"/>
  <c r="I37" i="16"/>
  <c r="J19" i="16"/>
  <c r="D17" i="15"/>
  <c r="P19" i="16" s="1"/>
  <c r="D19" i="15"/>
  <c r="V19" i="16" s="1"/>
  <c r="H20" i="15"/>
  <c r="B14" i="16"/>
  <c r="D14" i="16" s="1"/>
  <c r="F14" i="16" s="1"/>
  <c r="I14" i="16" s="1"/>
  <c r="U25" i="16"/>
  <c r="U41" i="16" s="1"/>
  <c r="Q24" i="16"/>
  <c r="F18" i="15"/>
  <c r="B12" i="16"/>
  <c r="D12" i="16" s="1"/>
  <c r="F12" i="16" s="1"/>
  <c r="I12" i="16" s="1"/>
  <c r="F26" i="16"/>
  <c r="F32" i="16"/>
  <c r="H18" i="15"/>
  <c r="O37" i="16"/>
  <c r="O41" i="16" s="1"/>
  <c r="Q70" i="14"/>
  <c r="G94" i="14"/>
  <c r="H88" i="14"/>
  <c r="J90" i="14"/>
  <c r="I90" i="14"/>
  <c r="I33" i="15" s="1"/>
  <c r="J89" i="14"/>
  <c r="I89" i="14"/>
  <c r="I32" i="15" s="1"/>
  <c r="Q64" i="14"/>
  <c r="P76" i="14"/>
  <c r="Q73" i="14"/>
  <c r="Q72" i="14"/>
  <c r="Q66" i="14"/>
  <c r="I91" i="14"/>
  <c r="I18" i="15" s="1"/>
  <c r="J18" i="15" s="1"/>
  <c r="J91" i="14"/>
  <c r="H94" i="14"/>
  <c r="Q65" i="14"/>
  <c r="N29" i="16" l="1"/>
  <c r="N28" i="16"/>
  <c r="F24" i="16"/>
  <c r="F29" i="16"/>
  <c r="E63" i="17"/>
  <c r="F23" i="16"/>
  <c r="F28" i="16"/>
  <c r="F30" i="16"/>
  <c r="F27" i="16"/>
  <c r="J26" i="13"/>
  <c r="H14" i="15"/>
  <c r="H16" i="15" s="1"/>
  <c r="H17" i="15" s="1"/>
  <c r="J94" i="7"/>
  <c r="K85" i="7"/>
  <c r="K17" i="13" s="1"/>
  <c r="B5" i="16"/>
  <c r="D5" i="16" s="1"/>
  <c r="F5" i="16" s="1"/>
  <c r="C18" i="17" s="1"/>
  <c r="F16" i="15"/>
  <c r="F17" i="15" s="1"/>
  <c r="R28" i="16"/>
  <c r="R31" i="16"/>
  <c r="R25" i="16"/>
  <c r="R38" i="16"/>
  <c r="R29" i="16"/>
  <c r="R33" i="16"/>
  <c r="R27" i="16"/>
  <c r="R24" i="16"/>
  <c r="R32" i="16"/>
  <c r="R21" i="16"/>
  <c r="N33" i="16"/>
  <c r="N25" i="16"/>
  <c r="N37" i="16"/>
  <c r="N38" i="16"/>
  <c r="N35" i="16"/>
  <c r="N32" i="16"/>
  <c r="N26" i="16"/>
  <c r="N27" i="16"/>
  <c r="N36" i="16"/>
  <c r="N22" i="16"/>
  <c r="N39" i="16"/>
  <c r="N21" i="16"/>
  <c r="N30" i="16"/>
  <c r="N40" i="16"/>
  <c r="I26" i="17"/>
  <c r="B101" i="17" s="1"/>
  <c r="L19" i="16"/>
  <c r="L22" i="16" s="1"/>
  <c r="J14" i="15"/>
  <c r="J15" i="15" s="1"/>
  <c r="K81" i="7"/>
  <c r="K13" i="13" s="1"/>
  <c r="R40" i="16"/>
  <c r="R23" i="16"/>
  <c r="R35" i="16"/>
  <c r="R36" i="16"/>
  <c r="R34" i="16"/>
  <c r="R30" i="16"/>
  <c r="R26" i="16"/>
  <c r="R39" i="16"/>
  <c r="R22" i="16"/>
  <c r="U89" i="17"/>
  <c r="I41" i="16"/>
  <c r="L25" i="16"/>
  <c r="K82" i="7"/>
  <c r="K14" i="13" s="1"/>
  <c r="K83" i="7"/>
  <c r="K15" i="13" s="1"/>
  <c r="Q89" i="17"/>
  <c r="V25" i="16"/>
  <c r="J25" i="16"/>
  <c r="W63" i="17"/>
  <c r="P31" i="16"/>
  <c r="P29" i="16"/>
  <c r="P22" i="16"/>
  <c r="P39" i="16"/>
  <c r="P38" i="16"/>
  <c r="P33" i="16"/>
  <c r="P28" i="16"/>
  <c r="P25" i="16"/>
  <c r="P24" i="16"/>
  <c r="P26" i="16"/>
  <c r="P40" i="16"/>
  <c r="P35" i="16"/>
  <c r="P32" i="16"/>
  <c r="P30" i="16"/>
  <c r="P27" i="16"/>
  <c r="P23" i="16"/>
  <c r="P34" i="16"/>
  <c r="P21" i="16"/>
  <c r="P36" i="16"/>
  <c r="W38" i="16"/>
  <c r="W41" i="16" s="1"/>
  <c r="H24" i="16"/>
  <c r="H28" i="16"/>
  <c r="H36" i="16"/>
  <c r="G63" i="17"/>
  <c r="H37" i="16"/>
  <c r="H26" i="16"/>
  <c r="H34" i="16"/>
  <c r="H22" i="16"/>
  <c r="H32" i="16"/>
  <c r="H23" i="16"/>
  <c r="H27" i="16"/>
  <c r="H30" i="16"/>
  <c r="H25" i="16"/>
  <c r="H29" i="16"/>
  <c r="H38" i="16"/>
  <c r="S26" i="16"/>
  <c r="L63" i="17"/>
  <c r="J40" i="16"/>
  <c r="J21" i="16"/>
  <c r="J22" i="16"/>
  <c r="J35" i="16"/>
  <c r="J32" i="16"/>
  <c r="J30" i="16"/>
  <c r="J27" i="16"/>
  <c r="J23" i="16"/>
  <c r="J34" i="16"/>
  <c r="J29" i="16"/>
  <c r="J26" i="16"/>
  <c r="J28" i="16"/>
  <c r="J39" i="16"/>
  <c r="J38" i="16"/>
  <c r="J36" i="16"/>
  <c r="J33" i="16"/>
  <c r="J31" i="16"/>
  <c r="J24" i="16"/>
  <c r="K18" i="15"/>
  <c r="K45" i="15" s="1"/>
  <c r="P37" i="16"/>
  <c r="Q41" i="16"/>
  <c r="Y24" i="16"/>
  <c r="X36" i="16"/>
  <c r="X27" i="16"/>
  <c r="X34" i="16"/>
  <c r="X31" i="16"/>
  <c r="X29" i="16"/>
  <c r="X26" i="16"/>
  <c r="X22" i="16"/>
  <c r="X35" i="16"/>
  <c r="X32" i="16"/>
  <c r="X24" i="16"/>
  <c r="X33" i="16"/>
  <c r="X28" i="16"/>
  <c r="X25" i="16"/>
  <c r="X30" i="16"/>
  <c r="X23" i="16"/>
  <c r="X21" i="16"/>
  <c r="X37" i="16"/>
  <c r="X39" i="16"/>
  <c r="X40" i="16"/>
  <c r="AA63" i="17"/>
  <c r="V31" i="16"/>
  <c r="V40" i="16"/>
  <c r="V34" i="16"/>
  <c r="V22" i="16"/>
  <c r="V29" i="16"/>
  <c r="V39" i="16"/>
  <c r="V32" i="16"/>
  <c r="V27" i="16"/>
  <c r="V28" i="16"/>
  <c r="V24" i="16"/>
  <c r="V30" i="16"/>
  <c r="V33" i="16"/>
  <c r="V38" i="16"/>
  <c r="V26" i="16"/>
  <c r="V23" i="16"/>
  <c r="V35" i="16"/>
  <c r="V36" i="16"/>
  <c r="V21" i="16"/>
  <c r="V37" i="16"/>
  <c r="J37" i="16"/>
  <c r="I34" i="15"/>
  <c r="J34" i="15" s="1"/>
  <c r="K34" i="15" s="1"/>
  <c r="K43" i="15" s="1"/>
  <c r="K77" i="7" s="1"/>
  <c r="J94" i="14"/>
  <c r="Q76" i="14"/>
  <c r="F15" i="15"/>
  <c r="I94" i="14"/>
  <c r="E29" i="5"/>
  <c r="L30" i="16" l="1"/>
  <c r="L36" i="16"/>
  <c r="L28" i="16"/>
  <c r="L38" i="16"/>
  <c r="L31" i="16"/>
  <c r="L23" i="16"/>
  <c r="L40" i="16"/>
  <c r="L33" i="16"/>
  <c r="L24" i="16"/>
  <c r="L37" i="16"/>
  <c r="L26" i="16"/>
  <c r="L27" i="16"/>
  <c r="Z27" i="16" s="1"/>
  <c r="L21" i="16"/>
  <c r="L39" i="16"/>
  <c r="L29" i="16"/>
  <c r="L34" i="16"/>
  <c r="L35" i="16"/>
  <c r="L32" i="16"/>
  <c r="Z32" i="16" s="1"/>
  <c r="C7" i="17"/>
  <c r="C12" i="17"/>
  <c r="F6" i="16"/>
  <c r="I6" i="16" s="1"/>
  <c r="G40" i="16" s="1"/>
  <c r="H40" i="16" s="1"/>
  <c r="K14" i="15"/>
  <c r="K55" i="15" s="1"/>
  <c r="H15" i="15"/>
  <c r="K15" i="15" s="1"/>
  <c r="K54" i="15" s="1"/>
  <c r="F19" i="15"/>
  <c r="C25" i="17"/>
  <c r="C11" i="17"/>
  <c r="C9" i="17"/>
  <c r="C10" i="17"/>
  <c r="C17" i="17"/>
  <c r="C15" i="17"/>
  <c r="C65" i="17" s="1"/>
  <c r="C16" i="17"/>
  <c r="C23" i="17"/>
  <c r="C24" i="17"/>
  <c r="C19" i="17"/>
  <c r="C22" i="17"/>
  <c r="C8" i="17"/>
  <c r="G9" i="16"/>
  <c r="I9" i="16" s="1"/>
  <c r="M31" i="16" s="1"/>
  <c r="M41" i="16" s="1"/>
  <c r="J20" i="15"/>
  <c r="J16" i="15"/>
  <c r="K16" i="15" s="1"/>
  <c r="I28" i="17"/>
  <c r="R41" i="16"/>
  <c r="K20" i="15"/>
  <c r="K57" i="15" s="1"/>
  <c r="K79" i="7"/>
  <c r="K11" i="13" s="1"/>
  <c r="Z24" i="16"/>
  <c r="S41" i="16"/>
  <c r="Y26" i="16"/>
  <c r="T41" i="16"/>
  <c r="Z22" i="16"/>
  <c r="G65" i="17"/>
  <c r="G80" i="17"/>
  <c r="G85" i="17"/>
  <c r="G69" i="17"/>
  <c r="G73" i="17"/>
  <c r="G87" i="17"/>
  <c r="G83" i="17"/>
  <c r="C97" i="17"/>
  <c r="G75" i="17"/>
  <c r="G86" i="17"/>
  <c r="G72" i="17"/>
  <c r="G84" i="17"/>
  <c r="G76" i="17"/>
  <c r="G67" i="17"/>
  <c r="G79" i="17"/>
  <c r="G68" i="17"/>
  <c r="G66" i="17"/>
  <c r="G81" i="17"/>
  <c r="G88" i="17"/>
  <c r="B97" i="17"/>
  <c r="G71" i="17"/>
  <c r="G77" i="17"/>
  <c r="G82" i="17"/>
  <c r="G70" i="17"/>
  <c r="G78" i="17"/>
  <c r="G74" i="17"/>
  <c r="X38" i="16"/>
  <c r="X41" i="16" s="1"/>
  <c r="W81" i="17"/>
  <c r="W86" i="17"/>
  <c r="W84" i="17"/>
  <c r="W71" i="17"/>
  <c r="W70" i="17"/>
  <c r="W77" i="17"/>
  <c r="W83" i="17"/>
  <c r="B102" i="17"/>
  <c r="W67" i="17"/>
  <c r="W80" i="17"/>
  <c r="W74" i="17"/>
  <c r="W79" i="17"/>
  <c r="W78" i="17"/>
  <c r="W65" i="17"/>
  <c r="W69" i="17"/>
  <c r="W72" i="17"/>
  <c r="W88" i="17"/>
  <c r="W85" i="17"/>
  <c r="W68" i="17"/>
  <c r="W76" i="17"/>
  <c r="W75" i="17"/>
  <c r="W82" i="17"/>
  <c r="W73" i="17"/>
  <c r="C102" i="17"/>
  <c r="W87" i="17"/>
  <c r="W66" i="17"/>
  <c r="V41" i="16"/>
  <c r="AA78" i="17"/>
  <c r="AA73" i="17"/>
  <c r="AA65" i="17"/>
  <c r="AA87" i="17"/>
  <c r="AA76" i="17"/>
  <c r="C103" i="17"/>
  <c r="AA77" i="17"/>
  <c r="AA71" i="17"/>
  <c r="AA75" i="17"/>
  <c r="AA83" i="17"/>
  <c r="AA68" i="17"/>
  <c r="B103" i="17"/>
  <c r="AA80" i="17"/>
  <c r="AA69" i="17"/>
  <c r="AA84" i="17"/>
  <c r="AA72" i="17"/>
  <c r="AA67" i="17"/>
  <c r="AA70" i="17"/>
  <c r="AA79" i="17"/>
  <c r="AA88" i="17"/>
  <c r="AA82" i="17"/>
  <c r="AA74" i="17"/>
  <c r="AA86" i="17"/>
  <c r="AA66" i="17"/>
  <c r="AA85" i="17"/>
  <c r="AA81" i="17"/>
  <c r="J41" i="16"/>
  <c r="Z30" i="16"/>
  <c r="L68" i="17"/>
  <c r="B98" i="17"/>
  <c r="L72" i="17"/>
  <c r="L66" i="17"/>
  <c r="L82" i="17"/>
  <c r="L77" i="17"/>
  <c r="L86" i="17"/>
  <c r="L70" i="17"/>
  <c r="L69" i="17"/>
  <c r="L81" i="17"/>
  <c r="L78" i="17"/>
  <c r="L84" i="17"/>
  <c r="L85" i="17"/>
  <c r="L88" i="17"/>
  <c r="L75" i="17"/>
  <c r="L76" i="17"/>
  <c r="L79" i="17"/>
  <c r="L74" i="17"/>
  <c r="L83" i="17"/>
  <c r="L71" i="17"/>
  <c r="L87" i="17"/>
  <c r="L73" i="17"/>
  <c r="L80" i="17"/>
  <c r="L67" i="17"/>
  <c r="L65" i="17"/>
  <c r="Z29" i="16"/>
  <c r="Z23" i="16"/>
  <c r="Z28" i="16"/>
  <c r="P41" i="16"/>
  <c r="K9" i="13"/>
  <c r="K89" i="7"/>
  <c r="H19" i="15"/>
  <c r="K47" i="8"/>
  <c r="K46" i="8"/>
  <c r="AA28" i="16" l="1"/>
  <c r="L81" i="7" s="1"/>
  <c r="L13" i="13" s="1"/>
  <c r="AA30" i="16"/>
  <c r="L83" i="7" s="1"/>
  <c r="AA27" i="16"/>
  <c r="L80" i="7" s="1"/>
  <c r="L12" i="13" s="1"/>
  <c r="AA23" i="16"/>
  <c r="L76" i="7" s="1"/>
  <c r="L75" i="7"/>
  <c r="M75" i="7" s="1"/>
  <c r="M7" i="13" s="1"/>
  <c r="AA22" i="16"/>
  <c r="AA24" i="16"/>
  <c r="L77" i="7" s="1"/>
  <c r="AA29" i="16"/>
  <c r="L82" i="7" s="1"/>
  <c r="AA32" i="16"/>
  <c r="L85" i="7" s="1"/>
  <c r="L41" i="16"/>
  <c r="G33" i="16"/>
  <c r="H33" i="16" s="1"/>
  <c r="G31" i="16"/>
  <c r="H31" i="16" s="1"/>
  <c r="G21" i="16"/>
  <c r="H21" i="16" s="1"/>
  <c r="G39" i="16"/>
  <c r="H39" i="16" s="1"/>
  <c r="K53" i="15"/>
  <c r="N31" i="16"/>
  <c r="N41" i="16" s="1"/>
  <c r="G35" i="16"/>
  <c r="H35" i="16" s="1"/>
  <c r="C20" i="17"/>
  <c r="C72" i="17"/>
  <c r="C84" i="17"/>
  <c r="C78" i="17"/>
  <c r="C86" i="17"/>
  <c r="C13" i="17"/>
  <c r="B88" i="17" s="1"/>
  <c r="C26" i="17"/>
  <c r="B96" i="17" s="1"/>
  <c r="B104" i="17" s="1"/>
  <c r="C67" i="17"/>
  <c r="C81" i="17"/>
  <c r="C76" i="17"/>
  <c r="C77" i="17"/>
  <c r="K91" i="7"/>
  <c r="K23" i="13" s="1"/>
  <c r="C73" i="17"/>
  <c r="C88" i="17"/>
  <c r="C69" i="17"/>
  <c r="C68" i="17"/>
  <c r="C71" i="17"/>
  <c r="C83" i="17"/>
  <c r="C70" i="17"/>
  <c r="C66" i="17"/>
  <c r="C87" i="17"/>
  <c r="C75" i="17"/>
  <c r="C82" i="17"/>
  <c r="C80" i="17"/>
  <c r="C74" i="17"/>
  <c r="C85" i="17"/>
  <c r="C79" i="17"/>
  <c r="J17" i="15"/>
  <c r="K17" i="15" s="1"/>
  <c r="K56" i="15" s="1"/>
  <c r="J19" i="15"/>
  <c r="K19" i="15" s="1"/>
  <c r="K44" i="15" s="1"/>
  <c r="Z26" i="16"/>
  <c r="AB24" i="16"/>
  <c r="AA89" i="17"/>
  <c r="L89" i="17"/>
  <c r="B72" i="17"/>
  <c r="D72" i="17" s="1"/>
  <c r="E72" i="17" s="1"/>
  <c r="W89" i="17"/>
  <c r="G89" i="17"/>
  <c r="K88" i="7"/>
  <c r="K21" i="13"/>
  <c r="K40" i="15"/>
  <c r="B28" i="15"/>
  <c r="K28" i="15" s="1"/>
  <c r="K58" i="15" s="1"/>
  <c r="K52" i="15"/>
  <c r="K59" i="15"/>
  <c r="B31" i="15"/>
  <c r="K31" i="15" s="1"/>
  <c r="K50" i="15" s="1"/>
  <c r="D25" i="13"/>
  <c r="E23" i="13"/>
  <c r="D23" i="13"/>
  <c r="B23" i="13"/>
  <c r="E22" i="13"/>
  <c r="D22" i="13"/>
  <c r="D21" i="13"/>
  <c r="E19" i="13"/>
  <c r="D19" i="13"/>
  <c r="B19" i="13"/>
  <c r="E18" i="13"/>
  <c r="D18" i="13"/>
  <c r="D17" i="13"/>
  <c r="E15" i="13"/>
  <c r="D15" i="13"/>
  <c r="B15" i="13"/>
  <c r="E14" i="13"/>
  <c r="D14" i="13"/>
  <c r="D13" i="13"/>
  <c r="E11" i="13"/>
  <c r="D11" i="13"/>
  <c r="B11" i="13"/>
  <c r="E10" i="13"/>
  <c r="D10" i="13"/>
  <c r="D9" i="13"/>
  <c r="E7" i="13"/>
  <c r="D7" i="13"/>
  <c r="B7" i="13"/>
  <c r="E6" i="13"/>
  <c r="D6" i="13"/>
  <c r="D93" i="7"/>
  <c r="D92" i="7"/>
  <c r="D24" i="13" s="1"/>
  <c r="D91" i="7"/>
  <c r="D90" i="7"/>
  <c r="D89" i="7"/>
  <c r="D88" i="7"/>
  <c r="D20" i="13" s="1"/>
  <c r="D87" i="7"/>
  <c r="D86" i="7"/>
  <c r="D85" i="7"/>
  <c r="D84" i="7"/>
  <c r="D16" i="13" s="1"/>
  <c r="D83" i="7"/>
  <c r="D82" i="7"/>
  <c r="D81" i="7"/>
  <c r="D80" i="7"/>
  <c r="D12" i="13" s="1"/>
  <c r="D79" i="7"/>
  <c r="D78" i="7"/>
  <c r="D77" i="7"/>
  <c r="D76" i="7"/>
  <c r="D8" i="13" s="1"/>
  <c r="D75" i="7"/>
  <c r="D74" i="7"/>
  <c r="C93" i="7"/>
  <c r="E93" i="7" s="1"/>
  <c r="E25" i="13" s="1"/>
  <c r="C92" i="7"/>
  <c r="E92" i="7" s="1"/>
  <c r="E24" i="13" s="1"/>
  <c r="C91" i="7"/>
  <c r="E91" i="7" s="1"/>
  <c r="C90" i="7"/>
  <c r="E90" i="7" s="1"/>
  <c r="C89" i="7"/>
  <c r="E89" i="7" s="1"/>
  <c r="E21" i="13" s="1"/>
  <c r="C88" i="7"/>
  <c r="E88" i="7" s="1"/>
  <c r="E20" i="13" s="1"/>
  <c r="C87" i="7"/>
  <c r="E87" i="7" s="1"/>
  <c r="C86" i="7"/>
  <c r="E86" i="7" s="1"/>
  <c r="C85" i="7"/>
  <c r="E85" i="7" s="1"/>
  <c r="E17" i="13" s="1"/>
  <c r="C84" i="7"/>
  <c r="E84" i="7" s="1"/>
  <c r="E16" i="13" s="1"/>
  <c r="C83" i="7"/>
  <c r="E83" i="7" s="1"/>
  <c r="C82" i="7"/>
  <c r="E82" i="7" s="1"/>
  <c r="C81" i="7"/>
  <c r="E81" i="7" s="1"/>
  <c r="E13" i="13" s="1"/>
  <c r="C80" i="7"/>
  <c r="E80" i="7" s="1"/>
  <c r="E12" i="13" s="1"/>
  <c r="C79" i="7"/>
  <c r="E79" i="7" s="1"/>
  <c r="C78" i="7"/>
  <c r="E78" i="7" s="1"/>
  <c r="C77" i="7"/>
  <c r="E77" i="7" s="1"/>
  <c r="E9" i="13" s="1"/>
  <c r="C76" i="7"/>
  <c r="E76" i="7" s="1"/>
  <c r="E8" i="13" s="1"/>
  <c r="C75" i="7"/>
  <c r="E75" i="7" s="1"/>
  <c r="C74" i="7"/>
  <c r="E74" i="7" s="1"/>
  <c r="B93" i="7"/>
  <c r="B25" i="13" s="1"/>
  <c r="B92" i="7"/>
  <c r="B24" i="13" s="1"/>
  <c r="B91" i="7"/>
  <c r="B90" i="7"/>
  <c r="B22" i="13" s="1"/>
  <c r="B89" i="7"/>
  <c r="B21" i="13" s="1"/>
  <c r="B88" i="7"/>
  <c r="B20" i="13" s="1"/>
  <c r="B87" i="7"/>
  <c r="B86" i="7"/>
  <c r="B18" i="13" s="1"/>
  <c r="B85" i="7"/>
  <c r="B17" i="13" s="1"/>
  <c r="B84" i="7"/>
  <c r="B16" i="13" s="1"/>
  <c r="B83" i="7"/>
  <c r="B82" i="7"/>
  <c r="B14" i="13" s="1"/>
  <c r="B81" i="7"/>
  <c r="B13" i="13" s="1"/>
  <c r="B80" i="7"/>
  <c r="B12" i="13" s="1"/>
  <c r="B79" i="7"/>
  <c r="B78" i="7"/>
  <c r="B10" i="13" s="1"/>
  <c r="B77" i="7"/>
  <c r="B9" i="13" s="1"/>
  <c r="B76" i="7"/>
  <c r="B8" i="13" s="1"/>
  <c r="B75" i="7"/>
  <c r="B74" i="7"/>
  <c r="B6" i="13" s="1"/>
  <c r="G56" i="7"/>
  <c r="G55" i="7"/>
  <c r="G41" i="7"/>
  <c r="G39" i="7"/>
  <c r="F39" i="7"/>
  <c r="G38" i="7"/>
  <c r="G37" i="7"/>
  <c r="E47" i="7"/>
  <c r="D47" i="7"/>
  <c r="C47" i="7"/>
  <c r="B47" i="7"/>
  <c r="E46" i="7"/>
  <c r="D46" i="7"/>
  <c r="C46" i="7"/>
  <c r="B46" i="7"/>
  <c r="E45" i="7"/>
  <c r="D45" i="7"/>
  <c r="C45" i="7"/>
  <c r="B45" i="7"/>
  <c r="E44" i="7"/>
  <c r="D44" i="7"/>
  <c r="C44" i="7"/>
  <c r="B44" i="7"/>
  <c r="E43" i="7"/>
  <c r="D43" i="7"/>
  <c r="C43" i="7"/>
  <c r="B43" i="7"/>
  <c r="E42" i="7"/>
  <c r="D42" i="7"/>
  <c r="C42" i="7"/>
  <c r="B42" i="7"/>
  <c r="E41" i="7"/>
  <c r="D41" i="7"/>
  <c r="C41" i="7"/>
  <c r="B41" i="7"/>
  <c r="E40" i="7"/>
  <c r="D40" i="7"/>
  <c r="C40" i="7"/>
  <c r="B40" i="7"/>
  <c r="E39" i="7"/>
  <c r="D39" i="7"/>
  <c r="C39" i="7"/>
  <c r="B39" i="7"/>
  <c r="E38" i="7"/>
  <c r="D38" i="7"/>
  <c r="C38" i="7"/>
  <c r="B38" i="7"/>
  <c r="E37" i="7"/>
  <c r="D37" i="7"/>
  <c r="C37" i="7"/>
  <c r="B37" i="7"/>
  <c r="E36" i="7"/>
  <c r="D36" i="7"/>
  <c r="C36" i="7"/>
  <c r="B36" i="7"/>
  <c r="E35" i="7"/>
  <c r="D35" i="7"/>
  <c r="C35" i="7"/>
  <c r="B35" i="7"/>
  <c r="E34" i="7"/>
  <c r="D34" i="7"/>
  <c r="C34" i="7"/>
  <c r="B34" i="7"/>
  <c r="E33" i="7"/>
  <c r="D33" i="7"/>
  <c r="C33" i="7"/>
  <c r="B33" i="7"/>
  <c r="E32" i="7"/>
  <c r="D32" i="7"/>
  <c r="C32" i="7"/>
  <c r="B32" i="7"/>
  <c r="E31" i="7"/>
  <c r="D31" i="7"/>
  <c r="C31" i="7"/>
  <c r="B31" i="7"/>
  <c r="E30" i="7"/>
  <c r="D30" i="7"/>
  <c r="C30" i="7"/>
  <c r="B30" i="7"/>
  <c r="G24" i="7"/>
  <c r="F24" i="7"/>
  <c r="G23" i="7"/>
  <c r="F23" i="7"/>
  <c r="G22" i="7"/>
  <c r="F22" i="7"/>
  <c r="G21" i="7"/>
  <c r="F21" i="7"/>
  <c r="G20" i="7"/>
  <c r="F20" i="7"/>
  <c r="E24" i="7"/>
  <c r="E23" i="7"/>
  <c r="E22" i="7"/>
  <c r="E21" i="7"/>
  <c r="E20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H10" i="10"/>
  <c r="H13" i="10"/>
  <c r="L14" i="13" l="1"/>
  <c r="M82" i="7"/>
  <c r="M14" i="13" s="1"/>
  <c r="B26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L7" i="13"/>
  <c r="L9" i="13"/>
  <c r="M77" i="7"/>
  <c r="M9" i="13" s="1"/>
  <c r="L17" i="13"/>
  <c r="M85" i="7"/>
  <c r="M17" i="13" s="1"/>
  <c r="M83" i="7"/>
  <c r="M15" i="13" s="1"/>
  <c r="L15" i="13"/>
  <c r="L8" i="13"/>
  <c r="M76" i="7"/>
  <c r="M8" i="13" s="1"/>
  <c r="M81" i="7"/>
  <c r="M13" i="13" s="1"/>
  <c r="M80" i="7"/>
  <c r="M12" i="13" s="1"/>
  <c r="AA26" i="16"/>
  <c r="L79" i="7" s="1"/>
  <c r="K90" i="7"/>
  <c r="K22" i="13" s="1"/>
  <c r="B75" i="17"/>
  <c r="K87" i="7"/>
  <c r="K19" i="13" s="1"/>
  <c r="B65" i="17"/>
  <c r="D65" i="17" s="1"/>
  <c r="H41" i="16"/>
  <c r="C96" i="17"/>
  <c r="C104" i="17" s="1"/>
  <c r="G41" i="16"/>
  <c r="G5" i="16"/>
  <c r="B83" i="17"/>
  <c r="D83" i="17" s="1"/>
  <c r="E83" i="17" s="1"/>
  <c r="C28" i="17"/>
  <c r="B81" i="17"/>
  <c r="D81" i="17" s="1"/>
  <c r="E81" i="17" s="1"/>
  <c r="B71" i="17"/>
  <c r="D71" i="17" s="1"/>
  <c r="E71" i="17" s="1"/>
  <c r="D88" i="17"/>
  <c r="E88" i="17" s="1"/>
  <c r="B68" i="17"/>
  <c r="B69" i="17"/>
  <c r="B78" i="17"/>
  <c r="D78" i="17" s="1"/>
  <c r="E78" i="17" s="1"/>
  <c r="B86" i="17"/>
  <c r="D86" i="17" s="1"/>
  <c r="E86" i="17" s="1"/>
  <c r="B74" i="17"/>
  <c r="D74" i="17" s="1"/>
  <c r="E74" i="17" s="1"/>
  <c r="B67" i="17"/>
  <c r="D67" i="17" s="1"/>
  <c r="E67" i="17" s="1"/>
  <c r="B84" i="17"/>
  <c r="D84" i="17" s="1"/>
  <c r="E84" i="17" s="1"/>
  <c r="B73" i="17"/>
  <c r="D73" i="17" s="1"/>
  <c r="E73" i="17" s="1"/>
  <c r="B80" i="17"/>
  <c r="D80" i="17" s="1"/>
  <c r="E80" i="17" s="1"/>
  <c r="B77" i="17"/>
  <c r="D77" i="17" s="1"/>
  <c r="E77" i="17" s="1"/>
  <c r="B76" i="17"/>
  <c r="D76" i="17" s="1"/>
  <c r="E76" i="17" s="1"/>
  <c r="B85" i="17"/>
  <c r="D85" i="17" s="1"/>
  <c r="E85" i="17" s="1"/>
  <c r="H5" i="16"/>
  <c r="I5" i="16" s="1"/>
  <c r="E38" i="16" s="1"/>
  <c r="B79" i="17"/>
  <c r="D79" i="17" s="1"/>
  <c r="E79" i="17" s="1"/>
  <c r="B82" i="17"/>
  <c r="D82" i="17" s="1"/>
  <c r="E82" i="17" s="1"/>
  <c r="B66" i="17"/>
  <c r="D66" i="17" s="1"/>
  <c r="E66" i="17" s="1"/>
  <c r="B87" i="17"/>
  <c r="D87" i="17" s="1"/>
  <c r="E87" i="17" s="1"/>
  <c r="B70" i="17"/>
  <c r="D70" i="17" s="1"/>
  <c r="E70" i="17" s="1"/>
  <c r="C89" i="17"/>
  <c r="D68" i="17"/>
  <c r="E68" i="17" s="1"/>
  <c r="D69" i="17"/>
  <c r="E69" i="17" s="1"/>
  <c r="D75" i="17"/>
  <c r="E75" i="17" s="1"/>
  <c r="K78" i="7"/>
  <c r="K10" i="13" s="1"/>
  <c r="AB26" i="16"/>
  <c r="K84" i="7"/>
  <c r="K74" i="7"/>
  <c r="K93" i="7"/>
  <c r="K86" i="7"/>
  <c r="K20" i="13"/>
  <c r="K92" i="7"/>
  <c r="B94" i="7"/>
  <c r="C98" i="11"/>
  <c r="Y65" i="11"/>
  <c r="X65" i="11"/>
  <c r="V74" i="11"/>
  <c r="V65" i="11"/>
  <c r="T68" i="11"/>
  <c r="T67" i="11"/>
  <c r="T66" i="11"/>
  <c r="T65" i="11"/>
  <c r="S65" i="11"/>
  <c r="R66" i="11"/>
  <c r="R65" i="11"/>
  <c r="P89" i="11"/>
  <c r="P83" i="11"/>
  <c r="P66" i="11"/>
  <c r="P65" i="11"/>
  <c r="O65" i="11"/>
  <c r="N67" i="11"/>
  <c r="N66" i="11"/>
  <c r="N65" i="11"/>
  <c r="M89" i="11"/>
  <c r="M71" i="11"/>
  <c r="M70" i="11"/>
  <c r="M65" i="11"/>
  <c r="K74" i="11"/>
  <c r="K73" i="11"/>
  <c r="K72" i="11"/>
  <c r="K71" i="11"/>
  <c r="K70" i="11"/>
  <c r="K69" i="11"/>
  <c r="K68" i="11"/>
  <c r="K67" i="11"/>
  <c r="K66" i="11"/>
  <c r="K65" i="11"/>
  <c r="J65" i="11"/>
  <c r="I65" i="11"/>
  <c r="H66" i="11"/>
  <c r="H65" i="11"/>
  <c r="F67" i="11"/>
  <c r="F66" i="11"/>
  <c r="F65" i="11"/>
  <c r="I30" i="9"/>
  <c r="I31" i="9" s="1"/>
  <c r="I27" i="9"/>
  <c r="I26" i="9"/>
  <c r="I17" i="9"/>
  <c r="I16" i="9"/>
  <c r="I15" i="9"/>
  <c r="I14" i="9"/>
  <c r="I13" i="9"/>
  <c r="L11" i="13" l="1"/>
  <c r="M79" i="7"/>
  <c r="M11" i="13" s="1"/>
  <c r="E33" i="16"/>
  <c r="E31" i="16"/>
  <c r="B89" i="17"/>
  <c r="E35" i="16"/>
  <c r="Y35" i="16" s="1"/>
  <c r="E21" i="16"/>
  <c r="Y21" i="16" s="1"/>
  <c r="E40" i="16"/>
  <c r="Y40" i="16" s="1"/>
  <c r="E36" i="16"/>
  <c r="E25" i="16"/>
  <c r="F25" i="16" s="1"/>
  <c r="Z25" i="16" s="1"/>
  <c r="E39" i="16"/>
  <c r="F39" i="16" s="1"/>
  <c r="Z39" i="16" s="1"/>
  <c r="E34" i="16"/>
  <c r="Y34" i="16" s="1"/>
  <c r="AB34" i="16" s="1"/>
  <c r="E37" i="16"/>
  <c r="Y37" i="16" s="1"/>
  <c r="E65" i="17"/>
  <c r="E89" i="17" s="1"/>
  <c r="D89" i="17"/>
  <c r="F36" i="16"/>
  <c r="Z36" i="16" s="1"/>
  <c r="Y36" i="16"/>
  <c r="AB36" i="16" s="1"/>
  <c r="F34" i="16"/>
  <c r="Z34" i="16" s="1"/>
  <c r="Y38" i="16"/>
  <c r="AB38" i="16" s="1"/>
  <c r="F38" i="16"/>
  <c r="Z38" i="16" s="1"/>
  <c r="Y33" i="16"/>
  <c r="F33" i="16"/>
  <c r="Z33" i="16" s="1"/>
  <c r="Y31" i="16"/>
  <c r="F31" i="16"/>
  <c r="Z31" i="16" s="1"/>
  <c r="K6" i="13"/>
  <c r="K24" i="13"/>
  <c r="K18" i="13"/>
  <c r="K25" i="13"/>
  <c r="K16" i="13"/>
  <c r="W40" i="10"/>
  <c r="W39" i="10"/>
  <c r="W37" i="10"/>
  <c r="W36" i="10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4" i="10"/>
  <c r="U23" i="10"/>
  <c r="U22" i="10"/>
  <c r="U2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5" i="10"/>
  <c r="S24" i="10"/>
  <c r="S23" i="10"/>
  <c r="S22" i="10"/>
  <c r="S2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3" i="10"/>
  <c r="Q22" i="10"/>
  <c r="Q21" i="10"/>
  <c r="O40" i="10"/>
  <c r="O39" i="10"/>
  <c r="O38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M21" i="10"/>
  <c r="M40" i="10"/>
  <c r="M39" i="10"/>
  <c r="M38" i="10"/>
  <c r="M37" i="10"/>
  <c r="M36" i="10"/>
  <c r="M35" i="10"/>
  <c r="M34" i="10"/>
  <c r="M33" i="10"/>
  <c r="M32" i="10"/>
  <c r="M30" i="10"/>
  <c r="M29" i="10"/>
  <c r="M28" i="10"/>
  <c r="M27" i="10"/>
  <c r="M26" i="10"/>
  <c r="M25" i="10"/>
  <c r="M24" i="10"/>
  <c r="M23" i="10"/>
  <c r="M22" i="10"/>
  <c r="K40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I40" i="10"/>
  <c r="I39" i="10"/>
  <c r="I38" i="10"/>
  <c r="I36" i="10"/>
  <c r="I35" i="10"/>
  <c r="I34" i="10"/>
  <c r="I33" i="10"/>
  <c r="I32" i="10"/>
  <c r="I31" i="10"/>
  <c r="I30" i="10"/>
  <c r="I29" i="10"/>
  <c r="I28" i="10"/>
  <c r="I27" i="10"/>
  <c r="I26" i="10"/>
  <c r="I24" i="10"/>
  <c r="I23" i="10"/>
  <c r="I22" i="10"/>
  <c r="I21" i="10"/>
  <c r="G38" i="10"/>
  <c r="G37" i="10"/>
  <c r="G36" i="10"/>
  <c r="G34" i="10"/>
  <c r="G32" i="10"/>
  <c r="G30" i="10"/>
  <c r="G29" i="10"/>
  <c r="G28" i="10"/>
  <c r="G27" i="10"/>
  <c r="G26" i="10"/>
  <c r="G25" i="10"/>
  <c r="G24" i="10"/>
  <c r="G23" i="10"/>
  <c r="G22" i="10"/>
  <c r="E32" i="10"/>
  <c r="E30" i="10"/>
  <c r="E29" i="10"/>
  <c r="E28" i="10"/>
  <c r="E27" i="10"/>
  <c r="E26" i="10"/>
  <c r="E24" i="10"/>
  <c r="E23" i="10"/>
  <c r="E22" i="10"/>
  <c r="H7" i="10"/>
  <c r="H6" i="10"/>
  <c r="Y88" i="11"/>
  <c r="X88" i="11"/>
  <c r="V88" i="11"/>
  <c r="S88" i="11"/>
  <c r="O88" i="11"/>
  <c r="N88" i="11"/>
  <c r="J88" i="11"/>
  <c r="I88" i="11"/>
  <c r="Y87" i="11"/>
  <c r="X87" i="11"/>
  <c r="V87" i="11"/>
  <c r="S87" i="11"/>
  <c r="O87" i="11"/>
  <c r="N87" i="11"/>
  <c r="J87" i="11"/>
  <c r="I87" i="11"/>
  <c r="Y86" i="11"/>
  <c r="X86" i="11"/>
  <c r="Z86" i="11" s="1"/>
  <c r="V86" i="11"/>
  <c r="S86" i="11"/>
  <c r="O86" i="11"/>
  <c r="N86" i="11"/>
  <c r="J86" i="11"/>
  <c r="I86" i="11"/>
  <c r="Y85" i="11"/>
  <c r="X85" i="11"/>
  <c r="V85" i="11"/>
  <c r="S85" i="11"/>
  <c r="O85" i="11"/>
  <c r="N85" i="11"/>
  <c r="J85" i="11"/>
  <c r="I85" i="11"/>
  <c r="Y84" i="11"/>
  <c r="Z84" i="11" s="1"/>
  <c r="X84" i="11"/>
  <c r="V84" i="11"/>
  <c r="S84" i="11"/>
  <c r="O84" i="11"/>
  <c r="N84" i="11"/>
  <c r="J84" i="11"/>
  <c r="I84" i="11"/>
  <c r="Y83" i="11"/>
  <c r="X83" i="11"/>
  <c r="V83" i="11"/>
  <c r="S83" i="11"/>
  <c r="O83" i="11"/>
  <c r="N83" i="11"/>
  <c r="J83" i="11"/>
  <c r="I83" i="11"/>
  <c r="Z82" i="11"/>
  <c r="Y82" i="11"/>
  <c r="X82" i="11"/>
  <c r="V82" i="11"/>
  <c r="S82" i="11"/>
  <c r="O82" i="11"/>
  <c r="N82" i="11"/>
  <c r="J82" i="11"/>
  <c r="I82" i="11"/>
  <c r="Y81" i="11"/>
  <c r="X81" i="11"/>
  <c r="V81" i="11"/>
  <c r="S81" i="11"/>
  <c r="O81" i="11"/>
  <c r="N81" i="11"/>
  <c r="J81" i="11"/>
  <c r="I81" i="11"/>
  <c r="Y80" i="11"/>
  <c r="X80" i="11"/>
  <c r="V80" i="11"/>
  <c r="S80" i="11"/>
  <c r="O80" i="11"/>
  <c r="N80" i="11"/>
  <c r="J80" i="11"/>
  <c r="I80" i="11"/>
  <c r="Y79" i="11"/>
  <c r="X79" i="11"/>
  <c r="V79" i="11"/>
  <c r="S79" i="11"/>
  <c r="O79" i="11"/>
  <c r="N79" i="11"/>
  <c r="J79" i="11"/>
  <c r="I79" i="11"/>
  <c r="Y78" i="11"/>
  <c r="X78" i="11"/>
  <c r="V78" i="11"/>
  <c r="S78" i="11"/>
  <c r="O78" i="11"/>
  <c r="N78" i="11"/>
  <c r="J78" i="11"/>
  <c r="I78" i="11"/>
  <c r="Y77" i="11"/>
  <c r="X77" i="11"/>
  <c r="Z77" i="11" s="1"/>
  <c r="V77" i="11"/>
  <c r="S77" i="11"/>
  <c r="O77" i="11"/>
  <c r="N77" i="11"/>
  <c r="J77" i="11"/>
  <c r="I77" i="11"/>
  <c r="Y76" i="11"/>
  <c r="X76" i="11"/>
  <c r="Z76" i="11" s="1"/>
  <c r="V76" i="11"/>
  <c r="S76" i="11"/>
  <c r="O76" i="11"/>
  <c r="N76" i="11"/>
  <c r="J76" i="11"/>
  <c r="I76" i="11"/>
  <c r="F76" i="11"/>
  <c r="Y75" i="11"/>
  <c r="X75" i="11"/>
  <c r="V75" i="11"/>
  <c r="S75" i="11"/>
  <c r="O75" i="11"/>
  <c r="N75" i="11"/>
  <c r="J75" i="11"/>
  <c r="I75" i="11"/>
  <c r="Y74" i="11"/>
  <c r="X74" i="11"/>
  <c r="S74" i="11"/>
  <c r="O74" i="11"/>
  <c r="N74" i="11"/>
  <c r="J74" i="11"/>
  <c r="I74" i="11"/>
  <c r="Y73" i="11"/>
  <c r="X73" i="11"/>
  <c r="V73" i="11"/>
  <c r="S73" i="11"/>
  <c r="O73" i="11"/>
  <c r="N73" i="11"/>
  <c r="J73" i="11"/>
  <c r="I73" i="11"/>
  <c r="Y72" i="11"/>
  <c r="X72" i="11"/>
  <c r="V72" i="11"/>
  <c r="S72" i="11"/>
  <c r="O72" i="11"/>
  <c r="N72" i="11"/>
  <c r="J72" i="11"/>
  <c r="I72" i="11"/>
  <c r="F72" i="11"/>
  <c r="Y71" i="11"/>
  <c r="X71" i="11"/>
  <c r="V71" i="11"/>
  <c r="S71" i="11"/>
  <c r="O71" i="11"/>
  <c r="N71" i="11"/>
  <c r="J71" i="11"/>
  <c r="I71" i="11"/>
  <c r="Y70" i="11"/>
  <c r="X70" i="11"/>
  <c r="Z70" i="11" s="1"/>
  <c r="V70" i="11"/>
  <c r="S70" i="11"/>
  <c r="O70" i="11"/>
  <c r="N70" i="11"/>
  <c r="J70" i="11"/>
  <c r="I70" i="11"/>
  <c r="H70" i="11"/>
  <c r="Y69" i="11"/>
  <c r="X69" i="11"/>
  <c r="V69" i="11"/>
  <c r="S69" i="11"/>
  <c r="O69" i="11"/>
  <c r="N69" i="11"/>
  <c r="J69" i="11"/>
  <c r="I69" i="11"/>
  <c r="Y68" i="11"/>
  <c r="X68" i="11"/>
  <c r="V68" i="11"/>
  <c r="S68" i="11"/>
  <c r="R68" i="11"/>
  <c r="O68" i="11"/>
  <c r="N68" i="11"/>
  <c r="J68" i="11"/>
  <c r="I68" i="11"/>
  <c r="Y67" i="11"/>
  <c r="X67" i="11"/>
  <c r="V67" i="11"/>
  <c r="S67" i="11"/>
  <c r="O67" i="11"/>
  <c r="J67" i="11"/>
  <c r="I67" i="11"/>
  <c r="Y66" i="11"/>
  <c r="X66" i="11"/>
  <c r="Z66" i="11" s="1"/>
  <c r="V66" i="11"/>
  <c r="S66" i="11"/>
  <c r="O66" i="11"/>
  <c r="J66" i="11"/>
  <c r="I66" i="11"/>
  <c r="Z65" i="11"/>
  <c r="G58" i="11"/>
  <c r="F58" i="11"/>
  <c r="E58" i="11"/>
  <c r="D58" i="11"/>
  <c r="C58" i="11"/>
  <c r="B58" i="11"/>
  <c r="K26" i="11"/>
  <c r="J26" i="11"/>
  <c r="H26" i="11"/>
  <c r="G26" i="11"/>
  <c r="F26" i="11"/>
  <c r="E26" i="11"/>
  <c r="D26" i="11"/>
  <c r="B26" i="11"/>
  <c r="K20" i="11"/>
  <c r="J20" i="11"/>
  <c r="I20" i="11"/>
  <c r="H20" i="11"/>
  <c r="G20" i="11"/>
  <c r="F20" i="11"/>
  <c r="E20" i="11"/>
  <c r="D20" i="11"/>
  <c r="B20" i="11"/>
  <c r="K13" i="11"/>
  <c r="J13" i="11"/>
  <c r="I13" i="11"/>
  <c r="H13" i="11"/>
  <c r="G13" i="11"/>
  <c r="R86" i="11" s="1"/>
  <c r="F13" i="11"/>
  <c r="E13" i="11"/>
  <c r="H71" i="11" s="1"/>
  <c r="D13" i="11"/>
  <c r="F71" i="11" s="1"/>
  <c r="B13" i="11"/>
  <c r="B28" i="11" s="1"/>
  <c r="K16" i="1"/>
  <c r="K15" i="1"/>
  <c r="K14" i="1"/>
  <c r="K13" i="1"/>
  <c r="AA31" i="16" l="1"/>
  <c r="L84" i="7" s="1"/>
  <c r="L16" i="13" s="1"/>
  <c r="AA38" i="16"/>
  <c r="L91" i="7" s="1"/>
  <c r="AA36" i="16"/>
  <c r="L89" i="7" s="1"/>
  <c r="L21" i="13" s="1"/>
  <c r="AA39" i="16"/>
  <c r="L92" i="7" s="1"/>
  <c r="AA33" i="16"/>
  <c r="L86" i="7" s="1"/>
  <c r="AA34" i="16"/>
  <c r="L87" i="7" s="1"/>
  <c r="AA25" i="16"/>
  <c r="L78" i="7" s="1"/>
  <c r="F21" i="16"/>
  <c r="F37" i="16"/>
  <c r="Z37" i="16" s="1"/>
  <c r="F35" i="16"/>
  <c r="Z35" i="16" s="1"/>
  <c r="Y25" i="16"/>
  <c r="AB25" i="16" s="1"/>
  <c r="F40" i="16"/>
  <c r="Z40" i="16" s="1"/>
  <c r="E41" i="16"/>
  <c r="Y39" i="16"/>
  <c r="AB39" i="16" s="1"/>
  <c r="AB31" i="16"/>
  <c r="AB33" i="16"/>
  <c r="Z21" i="16"/>
  <c r="AA21" i="16" s="1"/>
  <c r="N89" i="11"/>
  <c r="R70" i="11"/>
  <c r="T70" i="11" s="1"/>
  <c r="R67" i="11"/>
  <c r="F69" i="11"/>
  <c r="Z69" i="11"/>
  <c r="R74" i="11"/>
  <c r="T74" i="11" s="1"/>
  <c r="Z74" i="11"/>
  <c r="R78" i="11"/>
  <c r="T78" i="11" s="1"/>
  <c r="Z78" i="11"/>
  <c r="Z80" i="11"/>
  <c r="Z88" i="11"/>
  <c r="D28" i="11"/>
  <c r="E28" i="11"/>
  <c r="H68" i="11"/>
  <c r="Z68" i="11"/>
  <c r="H69" i="11"/>
  <c r="Z72" i="11"/>
  <c r="Z85" i="11"/>
  <c r="Z81" i="11"/>
  <c r="P71" i="11"/>
  <c r="Z73" i="11"/>
  <c r="Z75" i="11"/>
  <c r="T86" i="11"/>
  <c r="H28" i="11"/>
  <c r="V89" i="11"/>
  <c r="Z71" i="11"/>
  <c r="R87" i="11"/>
  <c r="T87" i="11" s="1"/>
  <c r="R85" i="11"/>
  <c r="T85" i="11" s="1"/>
  <c r="R83" i="11"/>
  <c r="T83" i="11" s="1"/>
  <c r="R81" i="11"/>
  <c r="T81" i="11" s="1"/>
  <c r="R79" i="11"/>
  <c r="T79" i="11" s="1"/>
  <c r="R77" i="11"/>
  <c r="T77" i="11" s="1"/>
  <c r="R75" i="11"/>
  <c r="T75" i="11" s="1"/>
  <c r="R73" i="11"/>
  <c r="T73" i="11" s="1"/>
  <c r="R88" i="11"/>
  <c r="T88" i="11" s="1"/>
  <c r="R84" i="11"/>
  <c r="T84" i="11" s="1"/>
  <c r="R80" i="11"/>
  <c r="T80" i="11" s="1"/>
  <c r="R76" i="11"/>
  <c r="T76" i="11" s="1"/>
  <c r="R72" i="11"/>
  <c r="T72" i="11" s="1"/>
  <c r="G28" i="11"/>
  <c r="R69" i="11"/>
  <c r="T69" i="11" s="1"/>
  <c r="R71" i="11"/>
  <c r="T71" i="11" s="1"/>
  <c r="R82" i="11"/>
  <c r="T82" i="11" s="1"/>
  <c r="K28" i="11"/>
  <c r="J28" i="11"/>
  <c r="X89" i="11"/>
  <c r="Z67" i="11"/>
  <c r="I89" i="11"/>
  <c r="M88" i="11"/>
  <c r="P88" i="11" s="1"/>
  <c r="M86" i="11"/>
  <c r="P86" i="11" s="1"/>
  <c r="M84" i="11"/>
  <c r="P84" i="11" s="1"/>
  <c r="M82" i="11"/>
  <c r="P82" i="11" s="1"/>
  <c r="M80" i="11"/>
  <c r="P80" i="11" s="1"/>
  <c r="M78" i="11"/>
  <c r="P78" i="11" s="1"/>
  <c r="M76" i="11"/>
  <c r="P76" i="11" s="1"/>
  <c r="M74" i="11"/>
  <c r="P74" i="11" s="1"/>
  <c r="M87" i="11"/>
  <c r="P87" i="11" s="1"/>
  <c r="M83" i="11"/>
  <c r="M79" i="11"/>
  <c r="P79" i="11" s="1"/>
  <c r="M75" i="11"/>
  <c r="P75" i="11" s="1"/>
  <c r="M72" i="11"/>
  <c r="P72" i="11" s="1"/>
  <c r="P70" i="11"/>
  <c r="M68" i="11"/>
  <c r="P68" i="11" s="1"/>
  <c r="M66" i="11"/>
  <c r="M81" i="11"/>
  <c r="P81" i="11" s="1"/>
  <c r="F28" i="11"/>
  <c r="M85" i="11"/>
  <c r="P85" i="11" s="1"/>
  <c r="M77" i="11"/>
  <c r="P77" i="11" s="1"/>
  <c r="M73" i="11"/>
  <c r="P73" i="11" s="1"/>
  <c r="M67" i="11"/>
  <c r="P67" i="11" s="1"/>
  <c r="M69" i="11"/>
  <c r="P69" i="11" s="1"/>
  <c r="F87" i="11"/>
  <c r="F85" i="11"/>
  <c r="F83" i="11"/>
  <c r="F81" i="11"/>
  <c r="F79" i="11"/>
  <c r="F77" i="11"/>
  <c r="F75" i="11"/>
  <c r="F73" i="11"/>
  <c r="F88" i="11"/>
  <c r="F84" i="11"/>
  <c r="F80" i="11"/>
  <c r="H88" i="11"/>
  <c r="K88" i="11" s="1"/>
  <c r="H86" i="11"/>
  <c r="K86" i="11" s="1"/>
  <c r="H84" i="11"/>
  <c r="K84" i="11" s="1"/>
  <c r="H82" i="11"/>
  <c r="K82" i="11" s="1"/>
  <c r="H80" i="11"/>
  <c r="K80" i="11" s="1"/>
  <c r="H78" i="11"/>
  <c r="K78" i="11" s="1"/>
  <c r="H76" i="11"/>
  <c r="K76" i="11" s="1"/>
  <c r="H74" i="11"/>
  <c r="H87" i="11"/>
  <c r="K87" i="11" s="1"/>
  <c r="H83" i="11"/>
  <c r="K83" i="11" s="1"/>
  <c r="H79" i="11"/>
  <c r="K79" i="11" s="1"/>
  <c r="H75" i="11"/>
  <c r="K75" i="11" s="1"/>
  <c r="H67" i="11"/>
  <c r="F68" i="11"/>
  <c r="H72" i="11"/>
  <c r="H73" i="11"/>
  <c r="F74" i="11"/>
  <c r="H77" i="11"/>
  <c r="K77" i="11" s="1"/>
  <c r="F78" i="11"/>
  <c r="H81" i="11"/>
  <c r="K81" i="11" s="1"/>
  <c r="F82" i="11"/>
  <c r="J89" i="11"/>
  <c r="F70" i="11"/>
  <c r="H85" i="11"/>
  <c r="K85" i="11" s="1"/>
  <c r="F86" i="11"/>
  <c r="Y89" i="11"/>
  <c r="O89" i="11"/>
  <c r="S89" i="11"/>
  <c r="Z79" i="11"/>
  <c r="Z83" i="11"/>
  <c r="Z87" i="11"/>
  <c r="G51" i="9"/>
  <c r="G47" i="9"/>
  <c r="G45" i="9"/>
  <c r="G41" i="9"/>
  <c r="F42" i="9"/>
  <c r="E57" i="9"/>
  <c r="D6" i="2"/>
  <c r="D5" i="2"/>
  <c r="L10" i="13" l="1"/>
  <c r="M78" i="7"/>
  <c r="M10" i="13" s="1"/>
  <c r="M87" i="7"/>
  <c r="M19" i="13" s="1"/>
  <c r="L19" i="13"/>
  <c r="L18" i="13"/>
  <c r="M86" i="7"/>
  <c r="M18" i="13" s="1"/>
  <c r="L23" i="13"/>
  <c r="M91" i="7"/>
  <c r="M23" i="13" s="1"/>
  <c r="L24" i="13"/>
  <c r="M92" i="7"/>
  <c r="M24" i="13" s="1"/>
  <c r="AA40" i="16"/>
  <c r="L93" i="7" s="1"/>
  <c r="AB21" i="16"/>
  <c r="M89" i="7"/>
  <c r="M21" i="13" s="1"/>
  <c r="AA35" i="16"/>
  <c r="L88" i="7" s="1"/>
  <c r="M84" i="7"/>
  <c r="M16" i="13" s="1"/>
  <c r="AA37" i="16"/>
  <c r="L90" i="7" s="1"/>
  <c r="AB37" i="16"/>
  <c r="F41" i="16"/>
  <c r="AB35" i="16"/>
  <c r="AB40" i="16"/>
  <c r="L74" i="7"/>
  <c r="Z41" i="16"/>
  <c r="Z89" i="11"/>
  <c r="K89" i="11"/>
  <c r="F89" i="11"/>
  <c r="R89" i="11"/>
  <c r="H89" i="11"/>
  <c r="F59" i="9"/>
  <c r="F58" i="9"/>
  <c r="F56" i="9"/>
  <c r="F55" i="9"/>
  <c r="F54" i="9"/>
  <c r="F53" i="9"/>
  <c r="F52" i="9"/>
  <c r="F50" i="9"/>
  <c r="F49" i="9"/>
  <c r="F48" i="9"/>
  <c r="F46" i="9"/>
  <c r="F44" i="9"/>
  <c r="F43" i="9"/>
  <c r="F40" i="9"/>
  <c r="D93" i="8"/>
  <c r="C93" i="8"/>
  <c r="B93" i="8"/>
  <c r="D92" i="8"/>
  <c r="C92" i="8"/>
  <c r="B92" i="8"/>
  <c r="D91" i="8"/>
  <c r="C91" i="8"/>
  <c r="B91" i="8"/>
  <c r="D90" i="8"/>
  <c r="C90" i="8"/>
  <c r="B90" i="8"/>
  <c r="D89" i="8"/>
  <c r="C89" i="8"/>
  <c r="B89" i="8"/>
  <c r="D88" i="8"/>
  <c r="C88" i="8"/>
  <c r="B88" i="8"/>
  <c r="E88" i="8" s="1"/>
  <c r="D87" i="8"/>
  <c r="C87" i="8"/>
  <c r="B87" i="8"/>
  <c r="D86" i="8"/>
  <c r="C86" i="8"/>
  <c r="B86" i="8"/>
  <c r="D85" i="8"/>
  <c r="C85" i="8"/>
  <c r="B85" i="8"/>
  <c r="D84" i="8"/>
  <c r="C84" i="8"/>
  <c r="B84" i="8"/>
  <c r="D83" i="8"/>
  <c r="C83" i="8"/>
  <c r="B83" i="8"/>
  <c r="D82" i="8"/>
  <c r="C82" i="8"/>
  <c r="B82" i="8"/>
  <c r="D81" i="8"/>
  <c r="C81" i="8"/>
  <c r="B81" i="8"/>
  <c r="H75" i="8"/>
  <c r="G75" i="8"/>
  <c r="F75" i="8"/>
  <c r="J75" i="8" s="1"/>
  <c r="D75" i="8"/>
  <c r="C75" i="8"/>
  <c r="B75" i="8"/>
  <c r="H74" i="8"/>
  <c r="G74" i="8"/>
  <c r="F74" i="8"/>
  <c r="D74" i="8"/>
  <c r="C74" i="8"/>
  <c r="B74" i="8"/>
  <c r="H73" i="8"/>
  <c r="G73" i="8"/>
  <c r="K73" i="8" s="1"/>
  <c r="F73" i="8"/>
  <c r="D73" i="8"/>
  <c r="C73" i="8"/>
  <c r="B73" i="8"/>
  <c r="H72" i="8"/>
  <c r="G72" i="8"/>
  <c r="F72" i="8"/>
  <c r="D72" i="8"/>
  <c r="C72" i="8"/>
  <c r="B72" i="8"/>
  <c r="H71" i="8"/>
  <c r="G71" i="8"/>
  <c r="F71" i="8"/>
  <c r="D71" i="8"/>
  <c r="C71" i="8"/>
  <c r="B71" i="8"/>
  <c r="H70" i="8"/>
  <c r="G70" i="8"/>
  <c r="F70" i="8"/>
  <c r="D70" i="8"/>
  <c r="C70" i="8"/>
  <c r="B70" i="8"/>
  <c r="H69" i="8"/>
  <c r="G69" i="8"/>
  <c r="K69" i="8" s="1"/>
  <c r="F69" i="8"/>
  <c r="D69" i="8"/>
  <c r="C69" i="8"/>
  <c r="B69" i="8"/>
  <c r="H68" i="8"/>
  <c r="G68" i="8"/>
  <c r="F68" i="8"/>
  <c r="D68" i="8"/>
  <c r="C68" i="8"/>
  <c r="B68" i="8"/>
  <c r="H67" i="8"/>
  <c r="G67" i="8"/>
  <c r="F67" i="8"/>
  <c r="D67" i="8"/>
  <c r="C67" i="8"/>
  <c r="B67" i="8"/>
  <c r="H66" i="8"/>
  <c r="G66" i="8"/>
  <c r="F66" i="8"/>
  <c r="D66" i="8"/>
  <c r="C66" i="8"/>
  <c r="B66" i="8"/>
  <c r="H65" i="8"/>
  <c r="G65" i="8"/>
  <c r="F65" i="8"/>
  <c r="D65" i="8"/>
  <c r="C65" i="8"/>
  <c r="B65" i="8"/>
  <c r="H64" i="8"/>
  <c r="G64" i="8"/>
  <c r="F64" i="8"/>
  <c r="D64" i="8"/>
  <c r="C64" i="8"/>
  <c r="B64" i="8"/>
  <c r="H63" i="8"/>
  <c r="G63" i="8"/>
  <c r="F63" i="8"/>
  <c r="D63" i="8"/>
  <c r="C63" i="8"/>
  <c r="B63" i="8"/>
  <c r="L58" i="8"/>
  <c r="H67" i="7" s="1"/>
  <c r="K58" i="8"/>
  <c r="G67" i="7" s="1"/>
  <c r="J58" i="8"/>
  <c r="I58" i="8"/>
  <c r="E58" i="8"/>
  <c r="L57" i="8"/>
  <c r="H66" i="7" s="1"/>
  <c r="K57" i="8"/>
  <c r="G66" i="7" s="1"/>
  <c r="J57" i="8"/>
  <c r="F66" i="7" s="1"/>
  <c r="I57" i="8"/>
  <c r="E57" i="8"/>
  <c r="L56" i="8"/>
  <c r="H65" i="7" s="1"/>
  <c r="K56" i="8"/>
  <c r="G65" i="7" s="1"/>
  <c r="J56" i="8"/>
  <c r="F65" i="7" s="1"/>
  <c r="I56" i="8"/>
  <c r="E56" i="8"/>
  <c r="L55" i="8"/>
  <c r="H64" i="7" s="1"/>
  <c r="K55" i="8"/>
  <c r="G64" i="7" s="1"/>
  <c r="J55" i="8"/>
  <c r="F64" i="7" s="1"/>
  <c r="I55" i="8"/>
  <c r="E55" i="8"/>
  <c r="L54" i="8"/>
  <c r="H63" i="7" s="1"/>
  <c r="K54" i="8"/>
  <c r="G63" i="7" s="1"/>
  <c r="J54" i="8"/>
  <c r="F63" i="7" s="1"/>
  <c r="I54" i="8"/>
  <c r="E54" i="8"/>
  <c r="L53" i="8"/>
  <c r="H62" i="7" s="1"/>
  <c r="K53" i="8"/>
  <c r="G62" i="7" s="1"/>
  <c r="J53" i="8"/>
  <c r="F62" i="7" s="1"/>
  <c r="I53" i="8"/>
  <c r="E53" i="8"/>
  <c r="L52" i="8"/>
  <c r="H61" i="7" s="1"/>
  <c r="K52" i="8"/>
  <c r="G61" i="7" s="1"/>
  <c r="J52" i="8"/>
  <c r="F61" i="7" s="1"/>
  <c r="I52" i="8"/>
  <c r="E52" i="8"/>
  <c r="L51" i="8"/>
  <c r="H60" i="7" s="1"/>
  <c r="K51" i="8"/>
  <c r="G60" i="7" s="1"/>
  <c r="J51" i="8"/>
  <c r="F60" i="7" s="1"/>
  <c r="I51" i="8"/>
  <c r="E51" i="8"/>
  <c r="L50" i="8"/>
  <c r="H59" i="7" s="1"/>
  <c r="K50" i="8"/>
  <c r="G59" i="7" s="1"/>
  <c r="J50" i="8"/>
  <c r="F59" i="7" s="1"/>
  <c r="I50" i="8"/>
  <c r="E50" i="8"/>
  <c r="L49" i="8"/>
  <c r="H58" i="7" s="1"/>
  <c r="K49" i="8"/>
  <c r="J49" i="8"/>
  <c r="F58" i="7" s="1"/>
  <c r="I49" i="8"/>
  <c r="E49" i="8"/>
  <c r="L48" i="8"/>
  <c r="H57" i="7" s="1"/>
  <c r="K48" i="8"/>
  <c r="G57" i="7" s="1"/>
  <c r="J48" i="8"/>
  <c r="F57" i="7" s="1"/>
  <c r="I48" i="8"/>
  <c r="E48" i="8"/>
  <c r="L47" i="8"/>
  <c r="H56" i="7" s="1"/>
  <c r="J47" i="8"/>
  <c r="F56" i="7" s="1"/>
  <c r="I47" i="8"/>
  <c r="E47" i="8"/>
  <c r="L46" i="8"/>
  <c r="H55" i="7" s="1"/>
  <c r="J46" i="8"/>
  <c r="I46" i="8"/>
  <c r="E46" i="8"/>
  <c r="Q41" i="8"/>
  <c r="L41" i="8"/>
  <c r="K41" i="8"/>
  <c r="G42" i="7" s="1"/>
  <c r="J41" i="8"/>
  <c r="F42" i="7" s="1"/>
  <c r="I41" i="8"/>
  <c r="E41" i="8"/>
  <c r="Q40" i="8"/>
  <c r="L40" i="8"/>
  <c r="K40" i="8"/>
  <c r="J40" i="8"/>
  <c r="F41" i="7" s="1"/>
  <c r="I40" i="8"/>
  <c r="E40" i="8"/>
  <c r="Q39" i="8"/>
  <c r="L39" i="8"/>
  <c r="K39" i="8"/>
  <c r="G40" i="7" s="1"/>
  <c r="J39" i="8"/>
  <c r="F40" i="7" s="1"/>
  <c r="I39" i="8"/>
  <c r="E39" i="8"/>
  <c r="Q38" i="8"/>
  <c r="L38" i="8"/>
  <c r="H39" i="7" s="1"/>
  <c r="K38" i="8"/>
  <c r="J38" i="8"/>
  <c r="I38" i="8"/>
  <c r="E38" i="8"/>
  <c r="Q37" i="8"/>
  <c r="L37" i="8"/>
  <c r="H38" i="7" s="1"/>
  <c r="K37" i="8"/>
  <c r="J37" i="8"/>
  <c r="F38" i="7" s="1"/>
  <c r="I37" i="8"/>
  <c r="E37" i="8"/>
  <c r="Q36" i="8"/>
  <c r="L36" i="8"/>
  <c r="K36" i="8"/>
  <c r="J36" i="8"/>
  <c r="F37" i="7" s="1"/>
  <c r="I36" i="8"/>
  <c r="E36" i="8"/>
  <c r="Q35" i="8"/>
  <c r="L35" i="8"/>
  <c r="H36" i="7" s="1"/>
  <c r="K35" i="8"/>
  <c r="G36" i="7" s="1"/>
  <c r="J35" i="8"/>
  <c r="F36" i="7" s="1"/>
  <c r="I35" i="8"/>
  <c r="E35" i="8"/>
  <c r="Q34" i="8"/>
  <c r="L34" i="8"/>
  <c r="H35" i="7" s="1"/>
  <c r="K34" i="8"/>
  <c r="G35" i="7" s="1"/>
  <c r="J34" i="8"/>
  <c r="F35" i="7" s="1"/>
  <c r="I34" i="8"/>
  <c r="E34" i="8"/>
  <c r="Q33" i="8"/>
  <c r="L33" i="8"/>
  <c r="H34" i="7" s="1"/>
  <c r="K33" i="8"/>
  <c r="G34" i="7" s="1"/>
  <c r="J33" i="8"/>
  <c r="F34" i="7" s="1"/>
  <c r="I33" i="8"/>
  <c r="E33" i="8"/>
  <c r="Q32" i="8"/>
  <c r="L32" i="8"/>
  <c r="K32" i="8"/>
  <c r="G33" i="7" s="1"/>
  <c r="J32" i="8"/>
  <c r="F33" i="7" s="1"/>
  <c r="I32" i="8"/>
  <c r="E32" i="8"/>
  <c r="Q31" i="8"/>
  <c r="L31" i="8"/>
  <c r="K31" i="8"/>
  <c r="G32" i="7" s="1"/>
  <c r="J31" i="8"/>
  <c r="F32" i="7" s="1"/>
  <c r="I31" i="8"/>
  <c r="E31" i="8"/>
  <c r="Q30" i="8"/>
  <c r="L30" i="8"/>
  <c r="K30" i="8"/>
  <c r="J30" i="8"/>
  <c r="F31" i="7" s="1"/>
  <c r="I30" i="8"/>
  <c r="E30" i="8"/>
  <c r="Q29" i="8"/>
  <c r="L29" i="8"/>
  <c r="K29" i="8"/>
  <c r="G30" i="7" s="1"/>
  <c r="J29" i="8"/>
  <c r="F30" i="7" s="1"/>
  <c r="I29" i="8"/>
  <c r="E29" i="8"/>
  <c r="B17" i="8"/>
  <c r="D17" i="8" s="1"/>
  <c r="B16" i="8"/>
  <c r="D16" i="8" s="1"/>
  <c r="B15" i="8"/>
  <c r="D15" i="8" s="1"/>
  <c r="B14" i="8"/>
  <c r="D14" i="8" s="1"/>
  <c r="E16" i="7" s="1"/>
  <c r="B13" i="8"/>
  <c r="D13" i="8" s="1"/>
  <c r="B12" i="8"/>
  <c r="D12" i="8" s="1"/>
  <c r="E14" i="7" s="1"/>
  <c r="B11" i="8"/>
  <c r="D11" i="8" s="1"/>
  <c r="B10" i="8"/>
  <c r="D10" i="8" s="1"/>
  <c r="E12" i="7" s="1"/>
  <c r="B9" i="8"/>
  <c r="D9" i="8" s="1"/>
  <c r="B8" i="8"/>
  <c r="D8" i="8" s="1"/>
  <c r="B7" i="8"/>
  <c r="D7" i="8" s="1"/>
  <c r="B6" i="8"/>
  <c r="D6" i="8" s="1"/>
  <c r="D5" i="8"/>
  <c r="F20" i="1"/>
  <c r="H20" i="1"/>
  <c r="H17" i="1"/>
  <c r="H19" i="1"/>
  <c r="H16" i="1"/>
  <c r="C100" i="5"/>
  <c r="C96" i="5"/>
  <c r="C95" i="5"/>
  <c r="E90" i="5"/>
  <c r="E89" i="5"/>
  <c r="E88" i="5"/>
  <c r="E87" i="5"/>
  <c r="E86" i="5"/>
  <c r="E69" i="5"/>
  <c r="Z90" i="3"/>
  <c r="Z89" i="3"/>
  <c r="Z88" i="3"/>
  <c r="Z87" i="3"/>
  <c r="Z86" i="3"/>
  <c r="Z85" i="3"/>
  <c r="Z84" i="3"/>
  <c r="Z83" i="3"/>
  <c r="Z82" i="3"/>
  <c r="Z81" i="3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V75" i="3"/>
  <c r="Q64" i="3"/>
  <c r="O66" i="3"/>
  <c r="N66" i="3"/>
  <c r="J75" i="3"/>
  <c r="I66" i="3"/>
  <c r="L64" i="3"/>
  <c r="I39" i="2"/>
  <c r="K21" i="2"/>
  <c r="M21" i="2"/>
  <c r="M33" i="2"/>
  <c r="Q33" i="2"/>
  <c r="W39" i="2"/>
  <c r="W25" i="2"/>
  <c r="X25" i="2"/>
  <c r="W24" i="2"/>
  <c r="X24" i="2"/>
  <c r="W23" i="2"/>
  <c r="W22" i="2"/>
  <c r="W21" i="2"/>
  <c r="G31" i="1"/>
  <c r="G33" i="1"/>
  <c r="H33" i="1"/>
  <c r="G29" i="1"/>
  <c r="G30" i="1"/>
  <c r="H30" i="1"/>
  <c r="E32" i="1"/>
  <c r="E33" i="1"/>
  <c r="E31" i="1"/>
  <c r="E29" i="1"/>
  <c r="E30" i="1"/>
  <c r="F30" i="1"/>
  <c r="E26" i="1"/>
  <c r="E25" i="1"/>
  <c r="E27" i="1"/>
  <c r="F27" i="1"/>
  <c r="D32" i="1"/>
  <c r="D31" i="1"/>
  <c r="D29" i="1"/>
  <c r="D25" i="1"/>
  <c r="E20" i="1"/>
  <c r="E14" i="1"/>
  <c r="F14" i="1"/>
  <c r="F16" i="1"/>
  <c r="E13" i="1"/>
  <c r="G16" i="1"/>
  <c r="G13" i="1"/>
  <c r="H13" i="1"/>
  <c r="D103" i="5"/>
  <c r="E11" i="2"/>
  <c r="D100" i="5"/>
  <c r="E9" i="2"/>
  <c r="D95" i="5"/>
  <c r="D73" i="5"/>
  <c r="E73" i="5"/>
  <c r="C73" i="5"/>
  <c r="B73" i="5"/>
  <c r="B91" i="5"/>
  <c r="E67" i="5"/>
  <c r="E46" i="5"/>
  <c r="E45" i="5"/>
  <c r="E44" i="5"/>
  <c r="E43" i="5"/>
  <c r="E42" i="5"/>
  <c r="D68" i="5"/>
  <c r="D67" i="5"/>
  <c r="D66" i="5"/>
  <c r="D65" i="5"/>
  <c r="D64" i="5"/>
  <c r="C68" i="5"/>
  <c r="C67" i="5"/>
  <c r="C66" i="5"/>
  <c r="C65" i="5"/>
  <c r="C64" i="5"/>
  <c r="B68" i="5"/>
  <c r="E68" i="5"/>
  <c r="B67" i="5"/>
  <c r="B66" i="5"/>
  <c r="B65" i="5"/>
  <c r="B64" i="5"/>
  <c r="D59" i="5"/>
  <c r="B59" i="5"/>
  <c r="B55" i="5"/>
  <c r="B54" i="5"/>
  <c r="B53" i="5"/>
  <c r="B52" i="5"/>
  <c r="B51" i="5"/>
  <c r="E22" i="2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4" i="3"/>
  <c r="V73" i="3"/>
  <c r="V72" i="3"/>
  <c r="V71" i="3"/>
  <c r="V70" i="3"/>
  <c r="V69" i="3"/>
  <c r="V68" i="3"/>
  <c r="V67" i="3"/>
  <c r="W67" i="3"/>
  <c r="V66" i="3"/>
  <c r="W64" i="3"/>
  <c r="W81" i="3"/>
  <c r="W68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4" i="3"/>
  <c r="J73" i="3"/>
  <c r="J72" i="3"/>
  <c r="J71" i="3"/>
  <c r="J70" i="3"/>
  <c r="J69" i="3"/>
  <c r="J68" i="3"/>
  <c r="J67" i="3"/>
  <c r="J66" i="3"/>
  <c r="G58" i="3"/>
  <c r="B26" i="3"/>
  <c r="K20" i="3"/>
  <c r="J20" i="3"/>
  <c r="F20" i="3"/>
  <c r="E20" i="3"/>
  <c r="E13" i="3"/>
  <c r="D13" i="3"/>
  <c r="F66" i="3"/>
  <c r="F90" i="3"/>
  <c r="B13" i="3"/>
  <c r="G49" i="1"/>
  <c r="G45" i="1"/>
  <c r="G43" i="1"/>
  <c r="G39" i="1"/>
  <c r="F57" i="1"/>
  <c r="F56" i="1"/>
  <c r="F55" i="1"/>
  <c r="F54" i="1"/>
  <c r="F53" i="1"/>
  <c r="F52" i="1"/>
  <c r="F51" i="1"/>
  <c r="F50" i="1"/>
  <c r="F48" i="1"/>
  <c r="F47" i="1"/>
  <c r="F46" i="1"/>
  <c r="F44" i="1"/>
  <c r="F42" i="1"/>
  <c r="F41" i="1"/>
  <c r="F40" i="1"/>
  <c r="F38" i="1"/>
  <c r="G32" i="1"/>
  <c r="G26" i="1"/>
  <c r="G27" i="1"/>
  <c r="H27" i="1"/>
  <c r="G25" i="1"/>
  <c r="G20" i="1"/>
  <c r="G19" i="1"/>
  <c r="G18" i="1"/>
  <c r="G17" i="1"/>
  <c r="G15" i="1"/>
  <c r="G14" i="1"/>
  <c r="E19" i="1"/>
  <c r="E18" i="1"/>
  <c r="E17" i="1"/>
  <c r="E16" i="1"/>
  <c r="E15" i="1"/>
  <c r="D51" i="5"/>
  <c r="C51" i="5"/>
  <c r="C90" i="5"/>
  <c r="C89" i="5"/>
  <c r="C88" i="5"/>
  <c r="C87" i="5"/>
  <c r="C86" i="5"/>
  <c r="D85" i="5"/>
  <c r="C85" i="5"/>
  <c r="D84" i="5"/>
  <c r="C84" i="5"/>
  <c r="E84" i="5"/>
  <c r="D83" i="5"/>
  <c r="C83" i="5"/>
  <c r="D82" i="5"/>
  <c r="C82" i="5"/>
  <c r="D81" i="5"/>
  <c r="C81" i="5"/>
  <c r="D80" i="5"/>
  <c r="C80" i="5"/>
  <c r="D79" i="5"/>
  <c r="C79" i="5"/>
  <c r="D78" i="5"/>
  <c r="C78" i="5"/>
  <c r="D77" i="5"/>
  <c r="E77" i="5"/>
  <c r="C77" i="5"/>
  <c r="D76" i="5"/>
  <c r="C76" i="5"/>
  <c r="D75" i="5"/>
  <c r="C75" i="5"/>
  <c r="D74" i="5"/>
  <c r="D91" i="5"/>
  <c r="C74" i="5"/>
  <c r="B90" i="5"/>
  <c r="B89" i="5"/>
  <c r="B88" i="5"/>
  <c r="B87" i="5"/>
  <c r="B86" i="5"/>
  <c r="B85" i="5"/>
  <c r="F85" i="5"/>
  <c r="B84" i="5"/>
  <c r="B83" i="5"/>
  <c r="B82" i="5"/>
  <c r="B81" i="5"/>
  <c r="B80" i="5"/>
  <c r="B79" i="5"/>
  <c r="E79" i="5"/>
  <c r="B78" i="5"/>
  <c r="B77" i="5"/>
  <c r="B76" i="5"/>
  <c r="B75" i="5"/>
  <c r="B74" i="5"/>
  <c r="F74" i="5"/>
  <c r="D26" i="1"/>
  <c r="E41" i="5"/>
  <c r="C14" i="2"/>
  <c r="E34" i="5"/>
  <c r="G20" i="3"/>
  <c r="G13" i="3"/>
  <c r="R70" i="3"/>
  <c r="T70" i="3"/>
  <c r="U70" i="3"/>
  <c r="F13" i="3"/>
  <c r="M77" i="3"/>
  <c r="I20" i="3"/>
  <c r="I13" i="3"/>
  <c r="B63" i="5"/>
  <c r="B62" i="5"/>
  <c r="B61" i="5"/>
  <c r="B60" i="5"/>
  <c r="E60" i="5"/>
  <c r="C32" i="1"/>
  <c r="B58" i="5"/>
  <c r="B57" i="5"/>
  <c r="B56" i="5"/>
  <c r="D63" i="5"/>
  <c r="C63" i="5"/>
  <c r="D62" i="5"/>
  <c r="C62" i="5"/>
  <c r="D61" i="5"/>
  <c r="C61" i="5"/>
  <c r="D60" i="5"/>
  <c r="C60" i="5"/>
  <c r="C59" i="5"/>
  <c r="D58" i="5"/>
  <c r="C58" i="5"/>
  <c r="D57" i="5"/>
  <c r="C57" i="5"/>
  <c r="D56" i="5"/>
  <c r="E56" i="5"/>
  <c r="C26" i="1"/>
  <c r="C56" i="5"/>
  <c r="D55" i="5"/>
  <c r="C55" i="5"/>
  <c r="D54" i="5"/>
  <c r="C54" i="5"/>
  <c r="E54" i="5"/>
  <c r="D53" i="5"/>
  <c r="C53" i="5"/>
  <c r="D52" i="5"/>
  <c r="C52" i="5"/>
  <c r="E40" i="5"/>
  <c r="C13" i="2"/>
  <c r="AA64" i="3"/>
  <c r="AA80" i="3"/>
  <c r="F58" i="3"/>
  <c r="K26" i="3"/>
  <c r="J26" i="3"/>
  <c r="H26" i="3"/>
  <c r="G26" i="3"/>
  <c r="F26" i="3"/>
  <c r="F28" i="3"/>
  <c r="E26" i="3"/>
  <c r="B99" i="3"/>
  <c r="D26" i="3"/>
  <c r="H20" i="3"/>
  <c r="D20" i="3"/>
  <c r="B20" i="3"/>
  <c r="K13" i="3"/>
  <c r="W40" i="2"/>
  <c r="W37" i="2"/>
  <c r="X37" i="2"/>
  <c r="W36" i="2"/>
  <c r="W35" i="2"/>
  <c r="W34" i="2"/>
  <c r="X34" i="2"/>
  <c r="W33" i="2"/>
  <c r="X33" i="2"/>
  <c r="W32" i="2"/>
  <c r="W31" i="2"/>
  <c r="X31" i="2"/>
  <c r="W30" i="2"/>
  <c r="W29" i="2"/>
  <c r="X29" i="2"/>
  <c r="W28" i="2"/>
  <c r="W27" i="2"/>
  <c r="W26" i="2"/>
  <c r="U40" i="2"/>
  <c r="V40" i="2"/>
  <c r="U39" i="2"/>
  <c r="U38" i="2"/>
  <c r="U37" i="2"/>
  <c r="V37" i="2"/>
  <c r="U36" i="2"/>
  <c r="V36" i="2"/>
  <c r="U35" i="2"/>
  <c r="U34" i="2"/>
  <c r="V34" i="2"/>
  <c r="U33" i="2"/>
  <c r="U32" i="2"/>
  <c r="U31" i="2"/>
  <c r="V31" i="2"/>
  <c r="U30" i="2"/>
  <c r="U29" i="2"/>
  <c r="U28" i="2"/>
  <c r="U27" i="2"/>
  <c r="V27" i="2"/>
  <c r="U26" i="2"/>
  <c r="U24" i="2"/>
  <c r="U23" i="2"/>
  <c r="V23" i="2"/>
  <c r="U22" i="2"/>
  <c r="U2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5" i="2"/>
  <c r="S24" i="2"/>
  <c r="S23" i="2"/>
  <c r="S22" i="2"/>
  <c r="S21" i="2"/>
  <c r="X19" i="2"/>
  <c r="V19" i="2"/>
  <c r="T19" i="2"/>
  <c r="E14" i="2"/>
  <c r="E13" i="2"/>
  <c r="E12" i="2"/>
  <c r="C106" i="5"/>
  <c r="D106" i="5"/>
  <c r="C105" i="5"/>
  <c r="D105" i="5"/>
  <c r="C104" i="5"/>
  <c r="D104" i="5"/>
  <c r="D18" i="1"/>
  <c r="D13" i="1"/>
  <c r="C13" i="1"/>
  <c r="I91" i="5"/>
  <c r="I46" i="5"/>
  <c r="I45" i="5"/>
  <c r="I44" i="5"/>
  <c r="I43" i="5"/>
  <c r="I42" i="5"/>
  <c r="I41" i="5"/>
  <c r="I40" i="5"/>
  <c r="I39" i="5"/>
  <c r="I38" i="5"/>
  <c r="I37" i="5"/>
  <c r="E39" i="5"/>
  <c r="C12" i="2"/>
  <c r="E38" i="5"/>
  <c r="B17" i="5"/>
  <c r="B16" i="5"/>
  <c r="C19" i="1"/>
  <c r="B15" i="5"/>
  <c r="E37" i="5"/>
  <c r="E36" i="5"/>
  <c r="C10" i="2"/>
  <c r="E35" i="5"/>
  <c r="E33" i="5"/>
  <c r="E32" i="5"/>
  <c r="E31" i="5"/>
  <c r="C6" i="2"/>
  <c r="E30" i="5"/>
  <c r="D5" i="5"/>
  <c r="F5" i="5"/>
  <c r="H5" i="5"/>
  <c r="H51" i="5"/>
  <c r="I51" i="5"/>
  <c r="D19" i="1"/>
  <c r="AC64" i="3"/>
  <c r="J13" i="3"/>
  <c r="H13" i="3"/>
  <c r="S77" i="3"/>
  <c r="O77" i="3"/>
  <c r="N77" i="3"/>
  <c r="I77" i="3"/>
  <c r="E32" i="2"/>
  <c r="Q32" i="2"/>
  <c r="O32" i="2"/>
  <c r="P32" i="2"/>
  <c r="M32" i="2"/>
  <c r="K32" i="2"/>
  <c r="I32" i="2"/>
  <c r="G32" i="2"/>
  <c r="Y32" i="2"/>
  <c r="AB32" i="2"/>
  <c r="C103" i="5"/>
  <c r="B14" i="5"/>
  <c r="D14" i="5"/>
  <c r="E10" i="2"/>
  <c r="E7" i="2"/>
  <c r="E6" i="2"/>
  <c r="E5" i="2"/>
  <c r="S89" i="3"/>
  <c r="S88" i="3"/>
  <c r="S87" i="3"/>
  <c r="S85" i="3"/>
  <c r="S84" i="3"/>
  <c r="S83" i="3"/>
  <c r="S82" i="3"/>
  <c r="S81" i="3"/>
  <c r="S80" i="3"/>
  <c r="S79" i="3"/>
  <c r="S78" i="3"/>
  <c r="S76" i="3"/>
  <c r="S75" i="3"/>
  <c r="S74" i="3"/>
  <c r="S73" i="3"/>
  <c r="S72" i="3"/>
  <c r="S86" i="3"/>
  <c r="S71" i="3"/>
  <c r="S70" i="3"/>
  <c r="S69" i="3"/>
  <c r="S68" i="3"/>
  <c r="S67" i="3"/>
  <c r="S66" i="3"/>
  <c r="U64" i="3"/>
  <c r="O89" i="3"/>
  <c r="O88" i="3"/>
  <c r="O87" i="3"/>
  <c r="O85" i="3"/>
  <c r="O84" i="3"/>
  <c r="O83" i="3"/>
  <c r="O82" i="3"/>
  <c r="O81" i="3"/>
  <c r="O80" i="3"/>
  <c r="O79" i="3"/>
  <c r="O78" i="3"/>
  <c r="O76" i="3"/>
  <c r="O75" i="3"/>
  <c r="O74" i="3"/>
  <c r="O73" i="3"/>
  <c r="O72" i="3"/>
  <c r="O86" i="3"/>
  <c r="O71" i="3"/>
  <c r="O70" i="3"/>
  <c r="O69" i="3"/>
  <c r="O68" i="3"/>
  <c r="O67" i="3"/>
  <c r="N89" i="3"/>
  <c r="N88" i="3"/>
  <c r="N87" i="3"/>
  <c r="N85" i="3"/>
  <c r="N84" i="3"/>
  <c r="N83" i="3"/>
  <c r="N82" i="3"/>
  <c r="N81" i="3"/>
  <c r="N80" i="3"/>
  <c r="N79" i="3"/>
  <c r="N78" i="3"/>
  <c r="N76" i="3"/>
  <c r="N75" i="3"/>
  <c r="N74" i="3"/>
  <c r="N73" i="3"/>
  <c r="N72" i="3"/>
  <c r="N86" i="3"/>
  <c r="N71" i="3"/>
  <c r="N70" i="3"/>
  <c r="N69" i="3"/>
  <c r="N68" i="3"/>
  <c r="N67" i="3"/>
  <c r="I89" i="3"/>
  <c r="I88" i="3"/>
  <c r="I87" i="3"/>
  <c r="I85" i="3"/>
  <c r="I84" i="3"/>
  <c r="I83" i="3"/>
  <c r="I82" i="3"/>
  <c r="I81" i="3"/>
  <c r="I80" i="3"/>
  <c r="I79" i="3"/>
  <c r="I78" i="3"/>
  <c r="I76" i="3"/>
  <c r="I75" i="3"/>
  <c r="I74" i="3"/>
  <c r="I73" i="3"/>
  <c r="I72" i="3"/>
  <c r="I86" i="3"/>
  <c r="I71" i="3"/>
  <c r="I70" i="3"/>
  <c r="I69" i="3"/>
  <c r="I68" i="3"/>
  <c r="I67" i="3"/>
  <c r="G64" i="3"/>
  <c r="D58" i="3"/>
  <c r="E58" i="3"/>
  <c r="C58" i="3"/>
  <c r="B58" i="3"/>
  <c r="Q40" i="2"/>
  <c r="Q39" i="2"/>
  <c r="Q38" i="2"/>
  <c r="Q37" i="2"/>
  <c r="Q36" i="2"/>
  <c r="Q35" i="2"/>
  <c r="Q34" i="2"/>
  <c r="Q31" i="2"/>
  <c r="Q30" i="2"/>
  <c r="Q29" i="2"/>
  <c r="Q28" i="2"/>
  <c r="Q27" i="2"/>
  <c r="Q26" i="2"/>
  <c r="Q25" i="2"/>
  <c r="Q23" i="2"/>
  <c r="Q22" i="2"/>
  <c r="Q21" i="2"/>
  <c r="B13" i="5"/>
  <c r="D13" i="5"/>
  <c r="I36" i="5"/>
  <c r="I35" i="5"/>
  <c r="I34" i="5"/>
  <c r="I33" i="5"/>
  <c r="I32" i="5"/>
  <c r="I31" i="5"/>
  <c r="I30" i="5"/>
  <c r="I29" i="5"/>
  <c r="D96" i="5"/>
  <c r="C97" i="5"/>
  <c r="D97" i="5"/>
  <c r="C99" i="5"/>
  <c r="D99" i="5"/>
  <c r="E8" i="2"/>
  <c r="C101" i="5"/>
  <c r="D101" i="5"/>
  <c r="I22" i="2"/>
  <c r="I23" i="2"/>
  <c r="I24" i="2"/>
  <c r="I26" i="2"/>
  <c r="J26" i="2"/>
  <c r="I27" i="2"/>
  <c r="I28" i="2"/>
  <c r="I29" i="2"/>
  <c r="J29" i="2"/>
  <c r="I30" i="2"/>
  <c r="J30" i="2"/>
  <c r="I31" i="2"/>
  <c r="I33" i="2"/>
  <c r="I34" i="2"/>
  <c r="J34" i="2"/>
  <c r="I35" i="2"/>
  <c r="I36" i="2"/>
  <c r="I38" i="2"/>
  <c r="I40" i="2"/>
  <c r="J40" i="2"/>
  <c r="I21" i="2"/>
  <c r="J21" i="2"/>
  <c r="G22" i="2"/>
  <c r="H22" i="2"/>
  <c r="Z22" i="2"/>
  <c r="AA22" i="2"/>
  <c r="G23" i="2"/>
  <c r="G24" i="2"/>
  <c r="H24" i="2"/>
  <c r="Z24" i="2"/>
  <c r="G25" i="2"/>
  <c r="H25" i="2"/>
  <c r="Z25" i="2"/>
  <c r="AA25" i="2"/>
  <c r="G26" i="2"/>
  <c r="H26" i="2"/>
  <c r="Z26" i="2"/>
  <c r="AA26" i="2"/>
  <c r="G27" i="2"/>
  <c r="G28" i="2"/>
  <c r="G29" i="2"/>
  <c r="Y29" i="2"/>
  <c r="AB29" i="2"/>
  <c r="G30" i="2"/>
  <c r="Y30" i="2"/>
  <c r="AB30" i="2"/>
  <c r="G34" i="2"/>
  <c r="G36" i="2"/>
  <c r="Y36" i="2"/>
  <c r="AB36" i="2"/>
  <c r="G37" i="2"/>
  <c r="H37" i="2"/>
  <c r="Z37" i="2"/>
  <c r="AA37" i="2"/>
  <c r="G38" i="2"/>
  <c r="Y38" i="2"/>
  <c r="AB38" i="2"/>
  <c r="E23" i="2"/>
  <c r="E24" i="2"/>
  <c r="F24" i="2"/>
  <c r="E26" i="2"/>
  <c r="E27" i="2"/>
  <c r="E28" i="2"/>
  <c r="E29" i="2"/>
  <c r="F29" i="2"/>
  <c r="E30" i="2"/>
  <c r="P19" i="2"/>
  <c r="J19" i="2"/>
  <c r="H19" i="2"/>
  <c r="B12" i="5"/>
  <c r="C17" i="1"/>
  <c r="B11" i="5"/>
  <c r="D11" i="5"/>
  <c r="B10" i="5"/>
  <c r="D10" i="5"/>
  <c r="B9" i="5"/>
  <c r="D9" i="5"/>
  <c r="B8" i="5"/>
  <c r="D8" i="5"/>
  <c r="B7" i="5"/>
  <c r="C15" i="1"/>
  <c r="B6" i="5"/>
  <c r="O28" i="2"/>
  <c r="P28" i="2"/>
  <c r="M29" i="2"/>
  <c r="K29" i="2"/>
  <c r="M28" i="2"/>
  <c r="K28" i="2"/>
  <c r="K27" i="2"/>
  <c r="O29" i="2"/>
  <c r="O36" i="2"/>
  <c r="O35" i="2"/>
  <c r="P35" i="2"/>
  <c r="O34" i="2"/>
  <c r="P34" i="2"/>
  <c r="O33" i="2"/>
  <c r="P33" i="2"/>
  <c r="O31" i="2"/>
  <c r="P31" i="2"/>
  <c r="O30" i="2"/>
  <c r="P30" i="2"/>
  <c r="O27" i="2"/>
  <c r="P27" i="2"/>
  <c r="O26" i="2"/>
  <c r="O25" i="2"/>
  <c r="O24" i="2"/>
  <c r="P24" i="2"/>
  <c r="O23" i="2"/>
  <c r="P23" i="2"/>
  <c r="O22" i="2"/>
  <c r="O21" i="2"/>
  <c r="M22" i="2"/>
  <c r="O40" i="2"/>
  <c r="P40" i="2"/>
  <c r="O39" i="2"/>
  <c r="O38" i="2"/>
  <c r="P38" i="2"/>
  <c r="K40" i="2"/>
  <c r="K38" i="2"/>
  <c r="K37" i="2"/>
  <c r="K36" i="2"/>
  <c r="K35" i="2"/>
  <c r="K34" i="2"/>
  <c r="K33" i="2"/>
  <c r="K31" i="2"/>
  <c r="K30" i="2"/>
  <c r="K26" i="2"/>
  <c r="K25" i="2"/>
  <c r="K24" i="2"/>
  <c r="K23" i="2"/>
  <c r="K22" i="2"/>
  <c r="M40" i="2"/>
  <c r="M39" i="2"/>
  <c r="M38" i="2"/>
  <c r="M37" i="2"/>
  <c r="M36" i="2"/>
  <c r="M35" i="2"/>
  <c r="M34" i="2"/>
  <c r="M30" i="2"/>
  <c r="M27" i="2"/>
  <c r="M26" i="2"/>
  <c r="M25" i="2"/>
  <c r="M24" i="2"/>
  <c r="M23" i="2"/>
  <c r="Y23" i="2"/>
  <c r="AB23" i="2"/>
  <c r="F82" i="3"/>
  <c r="E58" i="1"/>
  <c r="F19" i="2"/>
  <c r="E64" i="3"/>
  <c r="D16" i="1"/>
  <c r="C102" i="5"/>
  <c r="D102" i="5"/>
  <c r="D20" i="1"/>
  <c r="D17" i="1"/>
  <c r="D14" i="1"/>
  <c r="D15" i="1"/>
  <c r="C98" i="5"/>
  <c r="D98" i="5"/>
  <c r="F77" i="3"/>
  <c r="G77" i="3"/>
  <c r="C16" i="1"/>
  <c r="C14" i="1"/>
  <c r="D6" i="5"/>
  <c r="F6" i="5"/>
  <c r="H6" i="5"/>
  <c r="H74" i="5"/>
  <c r="E80" i="5"/>
  <c r="E76" i="5"/>
  <c r="D7" i="5"/>
  <c r="F53" i="5"/>
  <c r="E78" i="5"/>
  <c r="E82" i="5"/>
  <c r="E62" i="5"/>
  <c r="H6" i="2"/>
  <c r="R68" i="3"/>
  <c r="T68" i="3"/>
  <c r="U68" i="3"/>
  <c r="F80" i="3"/>
  <c r="G58" i="1"/>
  <c r="M85" i="3"/>
  <c r="P85" i="3"/>
  <c r="Q85" i="3"/>
  <c r="K28" i="3"/>
  <c r="F85" i="3"/>
  <c r="G85" i="3"/>
  <c r="M67" i="3"/>
  <c r="M80" i="3"/>
  <c r="P80" i="3"/>
  <c r="Q80" i="3"/>
  <c r="F69" i="3"/>
  <c r="R74" i="3"/>
  <c r="T74" i="3"/>
  <c r="U74" i="3"/>
  <c r="M84" i="3"/>
  <c r="P84" i="3"/>
  <c r="Q84" i="3"/>
  <c r="M75" i="3"/>
  <c r="P75" i="3"/>
  <c r="Q75" i="3"/>
  <c r="M68" i="3"/>
  <c r="P68" i="3"/>
  <c r="AA72" i="3"/>
  <c r="W83" i="3"/>
  <c r="M79" i="3"/>
  <c r="P79" i="3"/>
  <c r="Q79" i="3"/>
  <c r="F84" i="3"/>
  <c r="G84" i="3"/>
  <c r="R79" i="3"/>
  <c r="T79" i="3"/>
  <c r="U79" i="3"/>
  <c r="H13" i="2"/>
  <c r="R89" i="3"/>
  <c r="T89" i="3"/>
  <c r="U89" i="3"/>
  <c r="R69" i="3"/>
  <c r="T69" i="3"/>
  <c r="P67" i="3"/>
  <c r="Q67" i="3"/>
  <c r="G82" i="3"/>
  <c r="B101" i="3"/>
  <c r="G66" i="3"/>
  <c r="H10" i="2"/>
  <c r="W66" i="3"/>
  <c r="W72" i="3"/>
  <c r="W78" i="3"/>
  <c r="F71" i="3"/>
  <c r="G71" i="3"/>
  <c r="F88" i="3"/>
  <c r="G88" i="3"/>
  <c r="D28" i="3"/>
  <c r="F68" i="3"/>
  <c r="G68" i="3"/>
  <c r="M86" i="3"/>
  <c r="P86" i="3"/>
  <c r="Q86" i="3"/>
  <c r="M78" i="3"/>
  <c r="P78" i="3"/>
  <c r="Q78" i="3"/>
  <c r="M82" i="3"/>
  <c r="P82" i="3"/>
  <c r="Q82" i="3"/>
  <c r="F87" i="3"/>
  <c r="G87" i="3"/>
  <c r="M73" i="3"/>
  <c r="P77" i="3"/>
  <c r="Q77" i="3"/>
  <c r="F72" i="3"/>
  <c r="G72" i="3"/>
  <c r="W69" i="3"/>
  <c r="W73" i="3"/>
  <c r="W82" i="3"/>
  <c r="W85" i="3"/>
  <c r="W89" i="3"/>
  <c r="R87" i="3"/>
  <c r="T87" i="3"/>
  <c r="U87" i="3"/>
  <c r="F73" i="3"/>
  <c r="G73" i="3"/>
  <c r="R78" i="3"/>
  <c r="T78" i="3"/>
  <c r="U78" i="3"/>
  <c r="R66" i="3"/>
  <c r="F81" i="3"/>
  <c r="G81" i="3"/>
  <c r="F83" i="3"/>
  <c r="G83" i="3"/>
  <c r="R85" i="3"/>
  <c r="M81" i="3"/>
  <c r="P81" i="3"/>
  <c r="Q81" i="3"/>
  <c r="M69" i="3"/>
  <c r="P69" i="3"/>
  <c r="Q69" i="3"/>
  <c r="M87" i="3"/>
  <c r="P87" i="3"/>
  <c r="Q87" i="3"/>
  <c r="M74" i="3"/>
  <c r="P74" i="3"/>
  <c r="F67" i="3"/>
  <c r="G67" i="3"/>
  <c r="F89" i="3"/>
  <c r="G89" i="3"/>
  <c r="F74" i="3"/>
  <c r="G74" i="3"/>
  <c r="F78" i="3"/>
  <c r="G78" i="3"/>
  <c r="M66" i="3"/>
  <c r="P66" i="3"/>
  <c r="Q66" i="3"/>
  <c r="B103" i="3"/>
  <c r="M72" i="3"/>
  <c r="P72" i="3"/>
  <c r="Q72" i="3"/>
  <c r="W71" i="3"/>
  <c r="W74" i="3"/>
  <c r="W77" i="3"/>
  <c r="W87" i="3"/>
  <c r="W75" i="3"/>
  <c r="W88" i="3"/>
  <c r="M76" i="3"/>
  <c r="P76" i="3"/>
  <c r="Q76" i="3"/>
  <c r="J28" i="3"/>
  <c r="F79" i="3"/>
  <c r="G79" i="3"/>
  <c r="F86" i="3"/>
  <c r="G86" i="3"/>
  <c r="M83" i="3"/>
  <c r="P83" i="3"/>
  <c r="Q83" i="3"/>
  <c r="H86" i="3"/>
  <c r="K86" i="3"/>
  <c r="L86" i="3"/>
  <c r="H82" i="3"/>
  <c r="K82" i="3"/>
  <c r="L82" i="3"/>
  <c r="H78" i="3"/>
  <c r="K78" i="3"/>
  <c r="L78" i="3"/>
  <c r="H74" i="3"/>
  <c r="K74" i="3"/>
  <c r="L74" i="3"/>
  <c r="H70" i="3"/>
  <c r="K70" i="3"/>
  <c r="H66" i="3"/>
  <c r="K66" i="3"/>
  <c r="H89" i="3"/>
  <c r="K89" i="3"/>
  <c r="L89" i="3"/>
  <c r="H85" i="3"/>
  <c r="K85" i="3"/>
  <c r="L85" i="3"/>
  <c r="H81" i="3"/>
  <c r="K81" i="3"/>
  <c r="L81" i="3"/>
  <c r="H77" i="3"/>
  <c r="K77" i="3"/>
  <c r="L77" i="3"/>
  <c r="H73" i="3"/>
  <c r="K73" i="3"/>
  <c r="L73" i="3"/>
  <c r="H69" i="3"/>
  <c r="K69" i="3"/>
  <c r="L69" i="3"/>
  <c r="H88" i="3"/>
  <c r="K88" i="3"/>
  <c r="L88" i="3"/>
  <c r="H84" i="3"/>
  <c r="K84" i="3"/>
  <c r="L84" i="3"/>
  <c r="H80" i="3"/>
  <c r="K80" i="3"/>
  <c r="L80" i="3"/>
  <c r="H76" i="3"/>
  <c r="K76" i="3"/>
  <c r="H72" i="3"/>
  <c r="K72" i="3"/>
  <c r="L72" i="3"/>
  <c r="H68" i="3"/>
  <c r="K68" i="3"/>
  <c r="L68" i="3"/>
  <c r="H87" i="3"/>
  <c r="K87" i="3"/>
  <c r="L87" i="3"/>
  <c r="H83" i="3"/>
  <c r="K83" i="3"/>
  <c r="L83" i="3"/>
  <c r="H79" i="3"/>
  <c r="K79" i="3"/>
  <c r="L79" i="3"/>
  <c r="H75" i="3"/>
  <c r="K75" i="3"/>
  <c r="L75" i="3"/>
  <c r="H71" i="3"/>
  <c r="K71" i="3"/>
  <c r="L71" i="3"/>
  <c r="H67" i="3"/>
  <c r="K67" i="3"/>
  <c r="L67" i="3"/>
  <c r="W79" i="3"/>
  <c r="R67" i="3"/>
  <c r="T67" i="3"/>
  <c r="R76" i="3"/>
  <c r="T76" i="3"/>
  <c r="U76" i="3"/>
  <c r="F70" i="3"/>
  <c r="G70" i="3"/>
  <c r="M88" i="3"/>
  <c r="P88" i="3"/>
  <c r="Q88" i="3"/>
  <c r="M89" i="3"/>
  <c r="F76" i="3"/>
  <c r="G76" i="3"/>
  <c r="F75" i="3"/>
  <c r="G75" i="3"/>
  <c r="M71" i="3"/>
  <c r="P71" i="3"/>
  <c r="M70" i="3"/>
  <c r="P70" i="3"/>
  <c r="Q70" i="3"/>
  <c r="S90" i="3"/>
  <c r="C103" i="3"/>
  <c r="H9" i="2"/>
  <c r="H7" i="2"/>
  <c r="J90" i="3"/>
  <c r="W70" i="3"/>
  <c r="W80" i="3"/>
  <c r="W86" i="3"/>
  <c r="B98" i="3"/>
  <c r="T66" i="3"/>
  <c r="U66" i="3"/>
  <c r="C102" i="3"/>
  <c r="C98" i="3"/>
  <c r="T85" i="3"/>
  <c r="U85" i="3"/>
  <c r="P73" i="3"/>
  <c r="B28" i="3"/>
  <c r="G7" i="2"/>
  <c r="H28" i="3"/>
  <c r="W76" i="3"/>
  <c r="W84" i="3"/>
  <c r="G69" i="3"/>
  <c r="G80" i="3"/>
  <c r="AA88" i="3"/>
  <c r="AA81" i="3"/>
  <c r="O90" i="3"/>
  <c r="G10" i="2"/>
  <c r="Y90" i="3"/>
  <c r="N90" i="3"/>
  <c r="I90" i="3"/>
  <c r="C101" i="3"/>
  <c r="R72" i="3"/>
  <c r="T72" i="3"/>
  <c r="U72" i="3"/>
  <c r="R84" i="3"/>
  <c r="T84" i="3"/>
  <c r="U84" i="3"/>
  <c r="R75" i="3"/>
  <c r="T75" i="3"/>
  <c r="U75" i="3"/>
  <c r="R82" i="3"/>
  <c r="T82" i="3"/>
  <c r="U82" i="3"/>
  <c r="R73" i="3"/>
  <c r="T73" i="3"/>
  <c r="U73" i="3"/>
  <c r="R80" i="3"/>
  <c r="T80" i="3"/>
  <c r="U80" i="3"/>
  <c r="R83" i="3"/>
  <c r="T83" i="3"/>
  <c r="U83" i="3"/>
  <c r="R81" i="3"/>
  <c r="T81" i="3"/>
  <c r="U81" i="3"/>
  <c r="R77" i="3"/>
  <c r="T77" i="3"/>
  <c r="U77" i="3"/>
  <c r="R71" i="3"/>
  <c r="T71" i="3"/>
  <c r="U71" i="3"/>
  <c r="G28" i="3"/>
  <c r="R86" i="3"/>
  <c r="T86" i="3"/>
  <c r="U86" i="3"/>
  <c r="R88" i="3"/>
  <c r="T88" i="3"/>
  <c r="U88" i="3"/>
  <c r="C99" i="3"/>
  <c r="E28" i="3"/>
  <c r="V90" i="3"/>
  <c r="AA86" i="3"/>
  <c r="C5" i="2"/>
  <c r="F79" i="5"/>
  <c r="D12" i="5"/>
  <c r="J88" i="5"/>
  <c r="G73" i="5"/>
  <c r="P89" i="3"/>
  <c r="J33" i="2"/>
  <c r="J23" i="2"/>
  <c r="J31" i="2"/>
  <c r="J27" i="2"/>
  <c r="J22" i="2"/>
  <c r="V29" i="2"/>
  <c r="V33" i="2"/>
  <c r="P21" i="2"/>
  <c r="P25" i="2"/>
  <c r="P36" i="2"/>
  <c r="J35" i="2"/>
  <c r="J32" i="2"/>
  <c r="V21" i="2"/>
  <c r="V38" i="2"/>
  <c r="X26" i="2"/>
  <c r="J38" i="2"/>
  <c r="J28" i="2"/>
  <c r="J36" i="2"/>
  <c r="P39" i="2"/>
  <c r="P22" i="2"/>
  <c r="P26" i="2"/>
  <c r="P29" i="2"/>
  <c r="V39" i="2"/>
  <c r="C29" i="1"/>
  <c r="E57" i="5"/>
  <c r="E53" i="5"/>
  <c r="J39" i="2"/>
  <c r="X35" i="2"/>
  <c r="T29" i="2"/>
  <c r="F77" i="5"/>
  <c r="D16" i="5"/>
  <c r="F16" i="5"/>
  <c r="G62" i="5"/>
  <c r="G74" i="5"/>
  <c r="G52" i="5"/>
  <c r="F51" i="5"/>
  <c r="C7" i="2"/>
  <c r="V28" i="2"/>
  <c r="E58" i="5"/>
  <c r="E61" i="5"/>
  <c r="E63" i="5"/>
  <c r="H28" i="2"/>
  <c r="Z28" i="2"/>
  <c r="AA28" i="2"/>
  <c r="F62" i="5"/>
  <c r="F52" i="5"/>
  <c r="E52" i="5"/>
  <c r="B69" i="5"/>
  <c r="E59" i="5"/>
  <c r="C31" i="1"/>
  <c r="F84" i="5"/>
  <c r="J90" i="5"/>
  <c r="E75" i="5"/>
  <c r="E81" i="5"/>
  <c r="D69" i="5"/>
  <c r="F7" i="5"/>
  <c r="G53" i="5"/>
  <c r="F75" i="5"/>
  <c r="C20" i="1"/>
  <c r="D17" i="5"/>
  <c r="F63" i="5"/>
  <c r="E55" i="5"/>
  <c r="C25" i="1"/>
  <c r="C69" i="5"/>
  <c r="E83" i="5"/>
  <c r="C91" i="5"/>
  <c r="E64" i="5"/>
  <c r="X21" i="2"/>
  <c r="X27" i="2"/>
  <c r="X32" i="2"/>
  <c r="X22" i="2"/>
  <c r="X39" i="2"/>
  <c r="X23" i="2"/>
  <c r="X30" i="2"/>
  <c r="X40" i="2"/>
  <c r="E85" i="5"/>
  <c r="E51" i="5"/>
  <c r="X36" i="2"/>
  <c r="E65" i="5"/>
  <c r="G51" i="5"/>
  <c r="E66" i="5"/>
  <c r="B8" i="1"/>
  <c r="F17" i="5"/>
  <c r="G85" i="5"/>
  <c r="G75" i="5"/>
  <c r="H52" i="1"/>
  <c r="I52" i="1"/>
  <c r="J52" i="1"/>
  <c r="H56" i="1"/>
  <c r="I56" i="1"/>
  <c r="J56" i="1"/>
  <c r="H55" i="1"/>
  <c r="I55" i="1"/>
  <c r="J55" i="1"/>
  <c r="H40" i="1"/>
  <c r="I40" i="1"/>
  <c r="J40" i="1"/>
  <c r="H41" i="1"/>
  <c r="I41" i="1"/>
  <c r="J41" i="1"/>
  <c r="H46" i="1"/>
  <c r="I46" i="1"/>
  <c r="J46" i="1"/>
  <c r="H48" i="1"/>
  <c r="I48" i="1"/>
  <c r="J48" i="1"/>
  <c r="H43" i="1"/>
  <c r="I43" i="1"/>
  <c r="J43" i="1"/>
  <c r="H44" i="1"/>
  <c r="I44" i="1"/>
  <c r="J44" i="1"/>
  <c r="H57" i="1"/>
  <c r="I57" i="1"/>
  <c r="J57" i="1"/>
  <c r="H38" i="1"/>
  <c r="I38" i="1"/>
  <c r="J38" i="1"/>
  <c r="H54" i="1"/>
  <c r="I54" i="1"/>
  <c r="J54" i="1"/>
  <c r="H45" i="1"/>
  <c r="I45" i="1"/>
  <c r="J45" i="1"/>
  <c r="H49" i="1"/>
  <c r="I49" i="1"/>
  <c r="J49" i="1"/>
  <c r="H47" i="1"/>
  <c r="I47" i="1"/>
  <c r="J47" i="1"/>
  <c r="H51" i="1"/>
  <c r="I51" i="1"/>
  <c r="J51" i="1"/>
  <c r="H50" i="1"/>
  <c r="I50" i="1"/>
  <c r="J50" i="1"/>
  <c r="H42" i="1"/>
  <c r="I42" i="1"/>
  <c r="J42" i="1"/>
  <c r="B19" i="1"/>
  <c r="H53" i="1"/>
  <c r="I53" i="1"/>
  <c r="J53" i="1"/>
  <c r="H39" i="1"/>
  <c r="I39" i="1"/>
  <c r="J39" i="1"/>
  <c r="B13" i="2"/>
  <c r="D13" i="2"/>
  <c r="F13" i="2"/>
  <c r="I13" i="2"/>
  <c r="U25" i="2"/>
  <c r="B16" i="1"/>
  <c r="B7" i="2"/>
  <c r="D7" i="2"/>
  <c r="F7" i="2"/>
  <c r="I7" i="2"/>
  <c r="B8" i="2"/>
  <c r="D107" i="5"/>
  <c r="H73" i="5"/>
  <c r="J73" i="5"/>
  <c r="E91" i="5"/>
  <c r="F73" i="5"/>
  <c r="E74" i="5"/>
  <c r="I68" i="5"/>
  <c r="J87" i="5"/>
  <c r="J89" i="5"/>
  <c r="I66" i="5"/>
  <c r="J86" i="5"/>
  <c r="I65" i="5"/>
  <c r="I67" i="5"/>
  <c r="I64" i="5"/>
  <c r="B20" i="1"/>
  <c r="B14" i="2"/>
  <c r="D14" i="2"/>
  <c r="F14" i="2"/>
  <c r="I14" i="2"/>
  <c r="W38" i="2"/>
  <c r="B14" i="1"/>
  <c r="B5" i="2"/>
  <c r="F5" i="2"/>
  <c r="B15" i="1"/>
  <c r="B6" i="2"/>
  <c r="F6" i="2"/>
  <c r="I6" i="2"/>
  <c r="J58" i="1"/>
  <c r="B13" i="1"/>
  <c r="C30" i="1"/>
  <c r="C9" i="2"/>
  <c r="D30" i="1"/>
  <c r="N19" i="2"/>
  <c r="N33" i="2"/>
  <c r="F10" i="5"/>
  <c r="H10" i="5"/>
  <c r="F56" i="5"/>
  <c r="F78" i="5"/>
  <c r="H27" i="2"/>
  <c r="Z27" i="2"/>
  <c r="AA27" i="2"/>
  <c r="H29" i="2"/>
  <c r="Z29" i="2"/>
  <c r="AA29" i="2"/>
  <c r="H23" i="2"/>
  <c r="Z23" i="2"/>
  <c r="AA23" i="2"/>
  <c r="H34" i="2"/>
  <c r="H36" i="2"/>
  <c r="Z36" i="2"/>
  <c r="AA36" i="2"/>
  <c r="J24" i="2"/>
  <c r="F60" i="5"/>
  <c r="F14" i="5"/>
  <c r="C18" i="1"/>
  <c r="D15" i="5"/>
  <c r="T30" i="2"/>
  <c r="T37" i="2"/>
  <c r="T38" i="2"/>
  <c r="T25" i="2"/>
  <c r="T34" i="2"/>
  <c r="T33" i="2"/>
  <c r="T21" i="2"/>
  <c r="T28" i="2"/>
  <c r="T23" i="2"/>
  <c r="T32" i="2"/>
  <c r="T24" i="2"/>
  <c r="T22" i="2"/>
  <c r="T27" i="2"/>
  <c r="Y27" i="2"/>
  <c r="AB27" i="2"/>
  <c r="T31" i="2"/>
  <c r="T35" i="2"/>
  <c r="T39" i="2"/>
  <c r="I37" i="2"/>
  <c r="J37" i="2"/>
  <c r="I25" i="2"/>
  <c r="J25" i="2"/>
  <c r="F82" i="5"/>
  <c r="B11" i="2"/>
  <c r="F33" i="1"/>
  <c r="V25" i="2"/>
  <c r="U41" i="2"/>
  <c r="B9" i="2"/>
  <c r="F58" i="5"/>
  <c r="F12" i="5"/>
  <c r="G58" i="5"/>
  <c r="I58" i="5"/>
  <c r="F80" i="5"/>
  <c r="C27" i="1"/>
  <c r="C8" i="2"/>
  <c r="D8" i="2"/>
  <c r="F8" i="2"/>
  <c r="I8" i="2"/>
  <c r="K39" i="2"/>
  <c r="B10" i="2"/>
  <c r="D10" i="2"/>
  <c r="F10" i="2"/>
  <c r="I10" i="2"/>
  <c r="O37" i="2"/>
  <c r="P37" i="2"/>
  <c r="P41" i="2"/>
  <c r="B12" i="2"/>
  <c r="D12" i="2"/>
  <c r="F12" i="2"/>
  <c r="I12" i="2"/>
  <c r="S26" i="2"/>
  <c r="H17" i="5"/>
  <c r="H63" i="5"/>
  <c r="I63" i="5"/>
  <c r="F27" i="2"/>
  <c r="F28" i="2"/>
  <c r="F23" i="2"/>
  <c r="O41" i="2"/>
  <c r="F76" i="5"/>
  <c r="F54" i="5"/>
  <c r="F8" i="5"/>
  <c r="H8" i="5"/>
  <c r="F57" i="5"/>
  <c r="F11" i="5"/>
  <c r="H11" i="5"/>
  <c r="X28" i="2"/>
  <c r="Y28" i="2"/>
  <c r="AB28" i="2"/>
  <c r="Q71" i="3"/>
  <c r="Q73" i="3"/>
  <c r="Q89" i="3"/>
  <c r="B100" i="3"/>
  <c r="Q74" i="3"/>
  <c r="B18" i="1"/>
  <c r="G63" i="5"/>
  <c r="F26" i="2"/>
  <c r="C100" i="3"/>
  <c r="B17" i="1"/>
  <c r="H16" i="5"/>
  <c r="H84" i="5"/>
  <c r="J84" i="5"/>
  <c r="G84" i="5"/>
  <c r="F32" i="2"/>
  <c r="F13" i="5"/>
  <c r="F59" i="5"/>
  <c r="F81" i="5"/>
  <c r="AA85" i="3"/>
  <c r="AA69" i="3"/>
  <c r="AA76" i="3"/>
  <c r="AA82" i="3"/>
  <c r="AA87" i="3"/>
  <c r="AA73" i="3"/>
  <c r="AA83" i="3"/>
  <c r="AA74" i="3"/>
  <c r="AA84" i="3"/>
  <c r="AA89" i="3"/>
  <c r="AA77" i="3"/>
  <c r="C104" i="3"/>
  <c r="B104" i="3"/>
  <c r="AA75" i="3"/>
  <c r="AA66" i="3"/>
  <c r="AA71" i="3"/>
  <c r="AA70" i="3"/>
  <c r="AA79" i="3"/>
  <c r="AA67" i="3"/>
  <c r="AA78" i="3"/>
  <c r="AA68" i="3"/>
  <c r="C33" i="1"/>
  <c r="C11" i="2"/>
  <c r="W90" i="3"/>
  <c r="W41" i="2"/>
  <c r="F55" i="5"/>
  <c r="F9" i="5"/>
  <c r="G55" i="5"/>
  <c r="V26" i="2"/>
  <c r="V24" i="2"/>
  <c r="V30" i="2"/>
  <c r="V22" i="2"/>
  <c r="T36" i="2"/>
  <c r="T40" i="2"/>
  <c r="V32" i="2"/>
  <c r="V35" i="2"/>
  <c r="F30" i="2"/>
  <c r="F22" i="2"/>
  <c r="L70" i="3"/>
  <c r="L76" i="3"/>
  <c r="N25" i="2"/>
  <c r="D9" i="2"/>
  <c r="F9" i="2"/>
  <c r="K41" i="2"/>
  <c r="I25" i="3"/>
  <c r="I23" i="3"/>
  <c r="I24" i="3"/>
  <c r="T26" i="2"/>
  <c r="S41" i="2"/>
  <c r="N34" i="2"/>
  <c r="I41" i="2"/>
  <c r="G78" i="5"/>
  <c r="X38" i="2"/>
  <c r="X41" i="2"/>
  <c r="V41" i="2"/>
  <c r="G77" i="5"/>
  <c r="AA90" i="3"/>
  <c r="G57" i="5"/>
  <c r="D27" i="1"/>
  <c r="G60" i="5"/>
  <c r="G82" i="5"/>
  <c r="H14" i="5"/>
  <c r="H13" i="5"/>
  <c r="G59" i="5"/>
  <c r="G81" i="5"/>
  <c r="D11" i="2"/>
  <c r="F11" i="2"/>
  <c r="I11" i="2"/>
  <c r="Q24" i="2"/>
  <c r="F91" i="5"/>
  <c r="F83" i="5"/>
  <c r="F15" i="5"/>
  <c r="F61" i="5"/>
  <c r="N37" i="2"/>
  <c r="N28" i="2"/>
  <c r="N35" i="2"/>
  <c r="N29" i="2"/>
  <c r="N27" i="2"/>
  <c r="N32" i="2"/>
  <c r="N26" i="2"/>
  <c r="N21" i="2"/>
  <c r="N40" i="2"/>
  <c r="N24" i="2"/>
  <c r="N23" i="2"/>
  <c r="N38" i="2"/>
  <c r="N36" i="2"/>
  <c r="N30" i="2"/>
  <c r="N22" i="2"/>
  <c r="D33" i="1"/>
  <c r="C8" i="3"/>
  <c r="C7" i="3"/>
  <c r="C17" i="3"/>
  <c r="C15" i="3"/>
  <c r="C11" i="3"/>
  <c r="C18" i="3"/>
  <c r="C24" i="3"/>
  <c r="C23" i="3"/>
  <c r="C10" i="3"/>
  <c r="C25" i="3"/>
  <c r="C19" i="3"/>
  <c r="C16" i="3"/>
  <c r="C22" i="3"/>
  <c r="C26" i="3"/>
  <c r="C12" i="3"/>
  <c r="C9" i="3"/>
  <c r="J14" i="1"/>
  <c r="G54" i="5"/>
  <c r="N39" i="2"/>
  <c r="H85" i="5"/>
  <c r="H12" i="5"/>
  <c r="H58" i="5"/>
  <c r="G80" i="5"/>
  <c r="T41" i="2"/>
  <c r="J41" i="2"/>
  <c r="F13" i="1"/>
  <c r="H80" i="5"/>
  <c r="J80" i="5"/>
  <c r="J15" i="1"/>
  <c r="J16" i="1"/>
  <c r="J17" i="1"/>
  <c r="C72" i="3"/>
  <c r="C67" i="3"/>
  <c r="C80" i="3"/>
  <c r="C87" i="3"/>
  <c r="C71" i="3"/>
  <c r="C84" i="3"/>
  <c r="C81" i="3"/>
  <c r="C70" i="3"/>
  <c r="C85" i="3"/>
  <c r="C82" i="3"/>
  <c r="C77" i="3"/>
  <c r="C88" i="3"/>
  <c r="C74" i="3"/>
  <c r="C66" i="3"/>
  <c r="C83" i="3"/>
  <c r="C68" i="3"/>
  <c r="C76" i="3"/>
  <c r="C69" i="3"/>
  <c r="C20" i="3"/>
  <c r="C89" i="3"/>
  <c r="C75" i="3"/>
  <c r="C78" i="3"/>
  <c r="C86" i="3"/>
  <c r="C73" i="3"/>
  <c r="C79" i="3"/>
  <c r="R19" i="2"/>
  <c r="H15" i="5"/>
  <c r="H61" i="5"/>
  <c r="I61" i="5"/>
  <c r="G61" i="5"/>
  <c r="G83" i="5"/>
  <c r="H81" i="5"/>
  <c r="J81" i="5"/>
  <c r="I31" i="1"/>
  <c r="H59" i="5"/>
  <c r="I59" i="5"/>
  <c r="F69" i="5"/>
  <c r="G9" i="2"/>
  <c r="I9" i="2"/>
  <c r="M31" i="2"/>
  <c r="I26" i="3"/>
  <c r="B97" i="3"/>
  <c r="G5" i="2"/>
  <c r="C13" i="3"/>
  <c r="R24" i="2"/>
  <c r="Y24" i="2"/>
  <c r="Q41" i="2"/>
  <c r="H60" i="5"/>
  <c r="I60" i="5"/>
  <c r="H82" i="5"/>
  <c r="J82" i="5"/>
  <c r="I32" i="1"/>
  <c r="L19" i="2"/>
  <c r="I28" i="3"/>
  <c r="B102" i="3"/>
  <c r="B89" i="3"/>
  <c r="D89" i="3"/>
  <c r="E89" i="3"/>
  <c r="B69" i="3"/>
  <c r="D69" i="3"/>
  <c r="E69" i="3"/>
  <c r="B73" i="3"/>
  <c r="D73" i="3"/>
  <c r="E73" i="3"/>
  <c r="B68" i="3"/>
  <c r="D68" i="3"/>
  <c r="E68" i="3"/>
  <c r="B82" i="3"/>
  <c r="D82" i="3"/>
  <c r="E82" i="3"/>
  <c r="B80" i="3"/>
  <c r="D80" i="3"/>
  <c r="E80" i="3"/>
  <c r="B85" i="3"/>
  <c r="D85" i="3"/>
  <c r="E85" i="3"/>
  <c r="B75" i="3"/>
  <c r="D75" i="3"/>
  <c r="E75" i="3"/>
  <c r="B79" i="3"/>
  <c r="D79" i="3"/>
  <c r="E79" i="3"/>
  <c r="H5" i="2"/>
  <c r="B76" i="3"/>
  <c r="D76" i="3"/>
  <c r="E76" i="3"/>
  <c r="B83" i="3"/>
  <c r="D83" i="3"/>
  <c r="E83" i="3"/>
  <c r="B66" i="3"/>
  <c r="B90" i="3"/>
  <c r="B74" i="3"/>
  <c r="D74" i="3"/>
  <c r="E74" i="3"/>
  <c r="B84" i="3"/>
  <c r="D84" i="3"/>
  <c r="E84" i="3"/>
  <c r="B86" i="3"/>
  <c r="D86" i="3"/>
  <c r="E86" i="3"/>
  <c r="B72" i="3"/>
  <c r="D72" i="3"/>
  <c r="E72" i="3"/>
  <c r="B70" i="3"/>
  <c r="D70" i="3"/>
  <c r="E70" i="3"/>
  <c r="B81" i="3"/>
  <c r="D81" i="3"/>
  <c r="E81" i="3"/>
  <c r="C97" i="3"/>
  <c r="C105" i="3"/>
  <c r="B67" i="3"/>
  <c r="D67" i="3"/>
  <c r="E67" i="3"/>
  <c r="B88" i="3"/>
  <c r="D88" i="3"/>
  <c r="E88" i="3"/>
  <c r="B78" i="3"/>
  <c r="D78" i="3"/>
  <c r="E78" i="3"/>
  <c r="C28" i="3"/>
  <c r="B77" i="3"/>
  <c r="D77" i="3"/>
  <c r="E77" i="3"/>
  <c r="B87" i="3"/>
  <c r="D87" i="3"/>
  <c r="E87" i="3"/>
  <c r="B71" i="3"/>
  <c r="D71" i="3"/>
  <c r="E71" i="3"/>
  <c r="L21" i="2"/>
  <c r="L33" i="2"/>
  <c r="L25" i="2"/>
  <c r="L30" i="2"/>
  <c r="L35" i="2"/>
  <c r="L36" i="2"/>
  <c r="L38" i="2"/>
  <c r="L32" i="2"/>
  <c r="L34" i="2"/>
  <c r="L29" i="2"/>
  <c r="L24" i="2"/>
  <c r="L23" i="2"/>
  <c r="L37" i="2"/>
  <c r="L40" i="2"/>
  <c r="L22" i="2"/>
  <c r="L31" i="2"/>
  <c r="L26" i="2"/>
  <c r="L28" i="2"/>
  <c r="L27" i="2"/>
  <c r="L39" i="2"/>
  <c r="I5" i="2"/>
  <c r="R26" i="2"/>
  <c r="R33" i="2"/>
  <c r="R23" i="2"/>
  <c r="R37" i="2"/>
  <c r="R30" i="2"/>
  <c r="R40" i="2"/>
  <c r="R28" i="2"/>
  <c r="R21" i="2"/>
  <c r="R35" i="2"/>
  <c r="R36" i="2"/>
  <c r="R27" i="2"/>
  <c r="R31" i="2"/>
  <c r="R25" i="2"/>
  <c r="R32" i="2"/>
  <c r="R38" i="2"/>
  <c r="R22" i="2"/>
  <c r="R34" i="2"/>
  <c r="R29" i="2"/>
  <c r="R39" i="2"/>
  <c r="B105" i="3"/>
  <c r="N31" i="2"/>
  <c r="N41" i="2"/>
  <c r="M41" i="2"/>
  <c r="C90" i="3"/>
  <c r="J18" i="1"/>
  <c r="E21" i="2"/>
  <c r="E31" i="2"/>
  <c r="E25" i="2"/>
  <c r="E38" i="2"/>
  <c r="E39" i="2"/>
  <c r="E34" i="2"/>
  <c r="E33" i="2"/>
  <c r="E35" i="2"/>
  <c r="E40" i="2"/>
  <c r="E36" i="2"/>
  <c r="E37" i="2"/>
  <c r="L41" i="2"/>
  <c r="D66" i="3"/>
  <c r="E66" i="3"/>
  <c r="E90" i="3"/>
  <c r="R41" i="2"/>
  <c r="J19" i="1"/>
  <c r="F36" i="2"/>
  <c r="Y34" i="2"/>
  <c r="AB34" i="2"/>
  <c r="F34" i="2"/>
  <c r="Z34" i="2"/>
  <c r="AA34" i="2"/>
  <c r="F40" i="2"/>
  <c r="F39" i="2"/>
  <c r="F35" i="2"/>
  <c r="F38" i="2"/>
  <c r="F31" i="2"/>
  <c r="F21" i="2"/>
  <c r="E41" i="2"/>
  <c r="F37" i="2"/>
  <c r="F33" i="2"/>
  <c r="F25" i="2"/>
  <c r="Y25" i="2"/>
  <c r="AB25" i="2"/>
  <c r="J20" i="1"/>
  <c r="F41" i="2"/>
  <c r="H38" i="2"/>
  <c r="Z38" i="2"/>
  <c r="AA38" i="2"/>
  <c r="AB24" i="2"/>
  <c r="AA24" i="2"/>
  <c r="G39" i="2"/>
  <c r="G35" i="2"/>
  <c r="G33" i="2"/>
  <c r="G31" i="2"/>
  <c r="G40" i="2"/>
  <c r="G21" i="2"/>
  <c r="Y37" i="2"/>
  <c r="AB37" i="2"/>
  <c r="Y26" i="2"/>
  <c r="AB26" i="2"/>
  <c r="H32" i="2"/>
  <c r="Z32" i="2"/>
  <c r="AA32" i="2"/>
  <c r="Y22" i="2"/>
  <c r="AB22" i="2"/>
  <c r="H30" i="2"/>
  <c r="Z30" i="2"/>
  <c r="AA30" i="2"/>
  <c r="Q68" i="3"/>
  <c r="M90" i="3"/>
  <c r="U67" i="3"/>
  <c r="R90" i="3"/>
  <c r="Y31" i="2"/>
  <c r="H31" i="2"/>
  <c r="Z31" i="2"/>
  <c r="AA31" i="2"/>
  <c r="H33" i="2"/>
  <c r="Z33" i="2"/>
  <c r="AA33" i="2"/>
  <c r="Y33" i="2"/>
  <c r="AB33" i="2"/>
  <c r="G41" i="2"/>
  <c r="H21" i="2"/>
  <c r="Y21" i="2"/>
  <c r="Y35" i="2"/>
  <c r="H35" i="2"/>
  <c r="Z35" i="2"/>
  <c r="AA35" i="2"/>
  <c r="Y40" i="2"/>
  <c r="H40" i="2"/>
  <c r="Z40" i="2"/>
  <c r="AA40" i="2"/>
  <c r="H39" i="2"/>
  <c r="Z39" i="2"/>
  <c r="AA39" i="2"/>
  <c r="Y39" i="2"/>
  <c r="AB39" i="2"/>
  <c r="AB31" i="2"/>
  <c r="AB35" i="2"/>
  <c r="AB40" i="2"/>
  <c r="H41" i="2"/>
  <c r="Z21" i="2"/>
  <c r="Z41" i="2"/>
  <c r="AA21" i="2"/>
  <c r="AB21" i="2"/>
  <c r="G90" i="3"/>
  <c r="K90" i="3"/>
  <c r="L66" i="3"/>
  <c r="L90" i="3"/>
  <c r="U90" i="3"/>
  <c r="T90" i="3"/>
  <c r="U69" i="3"/>
  <c r="Q90" i="3"/>
  <c r="H90" i="3"/>
  <c r="D90" i="3"/>
  <c r="P90" i="3"/>
  <c r="F15" i="1"/>
  <c r="F18" i="1"/>
  <c r="L13" i="1"/>
  <c r="H14" i="1"/>
  <c r="H18" i="1"/>
  <c r="J85" i="5"/>
  <c r="I33" i="1"/>
  <c r="J33" i="1"/>
  <c r="F17" i="1"/>
  <c r="F19" i="1"/>
  <c r="H79" i="5"/>
  <c r="H57" i="5"/>
  <c r="I57" i="5"/>
  <c r="H54" i="5"/>
  <c r="I54" i="5"/>
  <c r="H76" i="5"/>
  <c r="H56" i="5"/>
  <c r="H78" i="5"/>
  <c r="J78" i="5"/>
  <c r="I26" i="1"/>
  <c r="J74" i="5"/>
  <c r="H83" i="5"/>
  <c r="J83" i="5"/>
  <c r="K18" i="1"/>
  <c r="L18" i="1"/>
  <c r="K43" i="1"/>
  <c r="G76" i="5"/>
  <c r="G79" i="5"/>
  <c r="J79" i="5"/>
  <c r="I29" i="1"/>
  <c r="I30" i="1"/>
  <c r="J30" i="1"/>
  <c r="H62" i="5"/>
  <c r="I62" i="5"/>
  <c r="H9" i="5"/>
  <c r="H52" i="5"/>
  <c r="H7" i="5"/>
  <c r="G56" i="5"/>
  <c r="I56" i="5"/>
  <c r="K40" i="1"/>
  <c r="K49" i="1"/>
  <c r="K47" i="1"/>
  <c r="K39" i="1"/>
  <c r="B33" i="1"/>
  <c r="K41" i="1" s="1"/>
  <c r="K46" i="1"/>
  <c r="K44" i="1"/>
  <c r="K45" i="1"/>
  <c r="H15" i="1"/>
  <c r="G91" i="5"/>
  <c r="I52" i="5"/>
  <c r="H55" i="5"/>
  <c r="I55" i="5"/>
  <c r="H77" i="5"/>
  <c r="J77" i="5"/>
  <c r="I25" i="1"/>
  <c r="I27" i="1"/>
  <c r="J27" i="1"/>
  <c r="H53" i="5"/>
  <c r="I53" i="5"/>
  <c r="H75" i="5"/>
  <c r="J76" i="5"/>
  <c r="G69" i="5"/>
  <c r="J75" i="5"/>
  <c r="J91" i="5"/>
  <c r="H91" i="5"/>
  <c r="L16" i="1"/>
  <c r="K20" i="1"/>
  <c r="K55" i="1" s="1"/>
  <c r="L14" i="1"/>
  <c r="K53" i="1" s="1"/>
  <c r="H69" i="5"/>
  <c r="I69" i="5"/>
  <c r="L15" i="1"/>
  <c r="K19" i="1"/>
  <c r="L19" i="1" s="1"/>
  <c r="K42" i="1" s="1"/>
  <c r="K51" i="1"/>
  <c r="M90" i="7" l="1"/>
  <c r="M22" i="13" s="1"/>
  <c r="L22" i="13"/>
  <c r="L25" i="13"/>
  <c r="M93" i="7"/>
  <c r="M25" i="13" s="1"/>
  <c r="M88" i="7"/>
  <c r="M20" i="13" s="1"/>
  <c r="L20" i="13"/>
  <c r="L6" i="13"/>
  <c r="M74" i="7"/>
  <c r="M6" i="13" s="1"/>
  <c r="L69" i="8"/>
  <c r="G30" i="9" s="1"/>
  <c r="G31" i="9" s="1"/>
  <c r="G16" i="9"/>
  <c r="H33" i="7"/>
  <c r="M46" i="8"/>
  <c r="I55" i="7" s="1"/>
  <c r="F55" i="7"/>
  <c r="M49" i="8"/>
  <c r="I58" i="7" s="1"/>
  <c r="G58" i="7"/>
  <c r="M58" i="8"/>
  <c r="I67" i="7" s="1"/>
  <c r="F67" i="7"/>
  <c r="G20" i="9"/>
  <c r="H42" i="7"/>
  <c r="E20" i="9"/>
  <c r="L75" i="8"/>
  <c r="G18" i="9"/>
  <c r="H40" i="7"/>
  <c r="J73" i="8"/>
  <c r="G19" i="9"/>
  <c r="H41" i="7"/>
  <c r="J71" i="8"/>
  <c r="G17" i="9"/>
  <c r="H37" i="7"/>
  <c r="K67" i="8"/>
  <c r="E14" i="9"/>
  <c r="G31" i="7"/>
  <c r="G15" i="9"/>
  <c r="H32" i="7"/>
  <c r="G14" i="9"/>
  <c r="H31" i="7"/>
  <c r="G13" i="9"/>
  <c r="H30" i="7"/>
  <c r="F7" i="8"/>
  <c r="S65" i="8" s="1"/>
  <c r="E9" i="7"/>
  <c r="E87" i="8"/>
  <c r="E13" i="7"/>
  <c r="F15" i="8"/>
  <c r="F17" i="7" s="1"/>
  <c r="E17" i="7"/>
  <c r="N66" i="8"/>
  <c r="E10" i="7"/>
  <c r="E92" i="8"/>
  <c r="E18" i="7"/>
  <c r="F5" i="8"/>
  <c r="F7" i="7" s="1"/>
  <c r="E7" i="7"/>
  <c r="F9" i="8"/>
  <c r="F11" i="7" s="1"/>
  <c r="E11" i="7"/>
  <c r="F13" i="8"/>
  <c r="F15" i="7" s="1"/>
  <c r="E15" i="7"/>
  <c r="F17" i="8"/>
  <c r="F19" i="7" s="1"/>
  <c r="E19" i="7"/>
  <c r="E82" i="8"/>
  <c r="E8" i="7"/>
  <c r="E81" i="8"/>
  <c r="M47" i="8"/>
  <c r="I56" i="7" s="1"/>
  <c r="M54" i="8"/>
  <c r="I63" i="7" s="1"/>
  <c r="M55" i="8"/>
  <c r="I64" i="7" s="1"/>
  <c r="M56" i="8"/>
  <c r="I65" i="7" s="1"/>
  <c r="M52" i="8"/>
  <c r="I61" i="7" s="1"/>
  <c r="M57" i="8"/>
  <c r="I66" i="7" s="1"/>
  <c r="M53" i="8"/>
  <c r="I62" i="7" s="1"/>
  <c r="M48" i="8"/>
  <c r="I57" i="7" s="1"/>
  <c r="M50" i="8"/>
  <c r="I59" i="7" s="1"/>
  <c r="K75" i="8"/>
  <c r="E18" i="9"/>
  <c r="L73" i="8"/>
  <c r="L71" i="8"/>
  <c r="G32" i="9" s="1"/>
  <c r="K71" i="8"/>
  <c r="E17" i="9"/>
  <c r="J69" i="8"/>
  <c r="M69" i="8" s="1"/>
  <c r="C30" i="9" s="1"/>
  <c r="L67" i="8"/>
  <c r="G26" i="9" s="1"/>
  <c r="J67" i="8"/>
  <c r="I65" i="8"/>
  <c r="G76" i="8"/>
  <c r="J65" i="8"/>
  <c r="M30" i="8"/>
  <c r="I64" i="8"/>
  <c r="J63" i="8"/>
  <c r="M41" i="8"/>
  <c r="M40" i="8"/>
  <c r="E19" i="9"/>
  <c r="M38" i="8"/>
  <c r="I39" i="7" s="1"/>
  <c r="M37" i="8"/>
  <c r="N70" i="8"/>
  <c r="E31" i="9"/>
  <c r="M35" i="8"/>
  <c r="M34" i="8"/>
  <c r="I35" i="7" s="1"/>
  <c r="M33" i="8"/>
  <c r="E16" i="9"/>
  <c r="M32" i="8"/>
  <c r="E15" i="9"/>
  <c r="D76" i="8"/>
  <c r="M29" i="8"/>
  <c r="E13" i="9"/>
  <c r="F11" i="8"/>
  <c r="H11" i="8" s="1"/>
  <c r="G13" i="7" s="1"/>
  <c r="H5" i="8"/>
  <c r="S63" i="8"/>
  <c r="T89" i="11"/>
  <c r="K17" i="1"/>
  <c r="L17" i="1" s="1"/>
  <c r="K54" i="1" s="1"/>
  <c r="B30" i="1"/>
  <c r="K48" i="1" s="1"/>
  <c r="B27" i="1"/>
  <c r="K56" i="1" s="1"/>
  <c r="K38" i="1"/>
  <c r="K57" i="1"/>
  <c r="K50" i="1"/>
  <c r="K52" i="1"/>
  <c r="G60" i="9"/>
  <c r="I28" i="9"/>
  <c r="E91" i="8"/>
  <c r="E83" i="8"/>
  <c r="O65" i="8"/>
  <c r="Y23" i="10"/>
  <c r="AB23" i="10" s="1"/>
  <c r="Y27" i="10"/>
  <c r="AB27" i="10" s="1"/>
  <c r="Y22" i="10"/>
  <c r="AB22" i="10" s="1"/>
  <c r="Y28" i="10"/>
  <c r="AB28" i="10" s="1"/>
  <c r="Y30" i="10"/>
  <c r="AB30" i="10" s="1"/>
  <c r="Y29" i="10"/>
  <c r="AB29" i="10" s="1"/>
  <c r="Y32" i="10"/>
  <c r="AB32" i="10" s="1"/>
  <c r="F57" i="9"/>
  <c r="E60" i="9"/>
  <c r="K66" i="8"/>
  <c r="H76" i="8"/>
  <c r="L66" i="8"/>
  <c r="K68" i="8"/>
  <c r="L68" i="8"/>
  <c r="G27" i="9" s="1"/>
  <c r="K70" i="8"/>
  <c r="L70" i="8"/>
  <c r="K72" i="8"/>
  <c r="L72" i="8"/>
  <c r="G33" i="9" s="1"/>
  <c r="K74" i="8"/>
  <c r="L74" i="8"/>
  <c r="H9" i="8"/>
  <c r="F91" i="8"/>
  <c r="O75" i="8"/>
  <c r="H17" i="8"/>
  <c r="G19" i="7" s="1"/>
  <c r="N64" i="8"/>
  <c r="E64" i="8"/>
  <c r="R64" i="8"/>
  <c r="V64" i="8" s="1"/>
  <c r="H7" i="8"/>
  <c r="P65" i="8" s="1"/>
  <c r="E86" i="8"/>
  <c r="N68" i="8"/>
  <c r="R68" i="8"/>
  <c r="N72" i="8"/>
  <c r="E90" i="8"/>
  <c r="R72" i="8"/>
  <c r="F76" i="8"/>
  <c r="I63" i="8"/>
  <c r="R65" i="8"/>
  <c r="V65" i="8" s="1"/>
  <c r="F6" i="8"/>
  <c r="F10" i="8"/>
  <c r="F12" i="7" s="1"/>
  <c r="F14" i="8"/>
  <c r="M36" i="8"/>
  <c r="N63" i="8"/>
  <c r="B76" i="8"/>
  <c r="E63" i="8"/>
  <c r="R63" i="8"/>
  <c r="J64" i="8"/>
  <c r="N65" i="8"/>
  <c r="E65" i="8"/>
  <c r="C76" i="8"/>
  <c r="F8" i="8"/>
  <c r="F10" i="7" s="1"/>
  <c r="F12" i="8"/>
  <c r="F14" i="7" s="1"/>
  <c r="F16" i="8"/>
  <c r="F18" i="7" s="1"/>
  <c r="M31" i="8"/>
  <c r="M39" i="8"/>
  <c r="M51" i="8"/>
  <c r="I60" i="7" s="1"/>
  <c r="E66" i="8"/>
  <c r="J66" i="8"/>
  <c r="R66" i="8"/>
  <c r="N67" i="8"/>
  <c r="E68" i="8"/>
  <c r="J68" i="8"/>
  <c r="N69" i="8"/>
  <c r="E70" i="8"/>
  <c r="J70" i="8"/>
  <c r="R70" i="8"/>
  <c r="N71" i="8"/>
  <c r="E72" i="8"/>
  <c r="J72" i="8"/>
  <c r="N73" i="8"/>
  <c r="S73" i="8"/>
  <c r="E74" i="8"/>
  <c r="J74" i="8"/>
  <c r="R74" i="8"/>
  <c r="N75" i="8"/>
  <c r="S75" i="8"/>
  <c r="D94" i="8"/>
  <c r="G81" i="8"/>
  <c r="F93" i="8"/>
  <c r="P63" i="8"/>
  <c r="I67" i="8"/>
  <c r="R67" i="8"/>
  <c r="I69" i="8"/>
  <c r="R69" i="8"/>
  <c r="I71" i="8"/>
  <c r="R71" i="8"/>
  <c r="I73" i="8"/>
  <c r="R73" i="8"/>
  <c r="N74" i="8"/>
  <c r="I75" i="8"/>
  <c r="R75" i="8"/>
  <c r="E84" i="8"/>
  <c r="E93" i="8"/>
  <c r="L63" i="8"/>
  <c r="L64" i="8"/>
  <c r="L65" i="8"/>
  <c r="I66" i="8"/>
  <c r="I68" i="8"/>
  <c r="I70" i="8"/>
  <c r="I72" i="8"/>
  <c r="I74" i="8"/>
  <c r="C94" i="8"/>
  <c r="K63" i="8"/>
  <c r="K64" i="8"/>
  <c r="K65" i="8"/>
  <c r="E67" i="8"/>
  <c r="E69" i="8"/>
  <c r="E71" i="8"/>
  <c r="E73" i="8"/>
  <c r="E75" i="8"/>
  <c r="E85" i="8"/>
  <c r="E89" i="8"/>
  <c r="B94" i="8"/>
  <c r="F89" i="8" l="1"/>
  <c r="H13" i="8"/>
  <c r="G15" i="7" s="1"/>
  <c r="S71" i="8"/>
  <c r="O71" i="8"/>
  <c r="W71" i="8" s="1"/>
  <c r="S67" i="8"/>
  <c r="O67" i="8"/>
  <c r="W67" i="8" s="1"/>
  <c r="O63" i="8"/>
  <c r="Q63" i="8" s="1"/>
  <c r="F81" i="8"/>
  <c r="H81" i="8" s="1"/>
  <c r="M73" i="8"/>
  <c r="V63" i="8"/>
  <c r="M75" i="8"/>
  <c r="C14" i="10"/>
  <c r="I42" i="7"/>
  <c r="C13" i="10"/>
  <c r="I41" i="7"/>
  <c r="C10" i="10"/>
  <c r="I37" i="7"/>
  <c r="C7" i="10"/>
  <c r="I33" i="7"/>
  <c r="C12" i="10"/>
  <c r="I40" i="7"/>
  <c r="D32" i="9"/>
  <c r="D33" i="9" s="1"/>
  <c r="I38" i="7"/>
  <c r="D30" i="9"/>
  <c r="AC63" i="11" s="1"/>
  <c r="C101" i="11" s="1"/>
  <c r="I36" i="7"/>
  <c r="G28" i="9"/>
  <c r="D26" i="9"/>
  <c r="Q63" i="11" s="1"/>
  <c r="I34" i="7"/>
  <c r="C6" i="10"/>
  <c r="I32" i="7"/>
  <c r="C5" i="10"/>
  <c r="I31" i="7"/>
  <c r="C13" i="9"/>
  <c r="C18" i="9" s="1"/>
  <c r="I30" i="7"/>
  <c r="S69" i="8"/>
  <c r="F87" i="8"/>
  <c r="F85" i="8"/>
  <c r="H15" i="8"/>
  <c r="T73" i="8" s="1"/>
  <c r="U73" i="8" s="1"/>
  <c r="O73" i="8"/>
  <c r="W73" i="8" s="1"/>
  <c r="T65" i="8"/>
  <c r="U65" i="8" s="1"/>
  <c r="G9" i="7"/>
  <c r="G89" i="8"/>
  <c r="H89" i="8" s="1"/>
  <c r="O72" i="8"/>
  <c r="F16" i="7"/>
  <c r="T63" i="8"/>
  <c r="U63" i="8" s="1"/>
  <c r="G7" i="7"/>
  <c r="O69" i="8"/>
  <c r="W69" i="8" s="1"/>
  <c r="F13" i="7"/>
  <c r="H6" i="8"/>
  <c r="P64" i="8" s="1"/>
  <c r="F8" i="7"/>
  <c r="G85" i="8"/>
  <c r="H85" i="8" s="1"/>
  <c r="G11" i="7"/>
  <c r="F83" i="8"/>
  <c r="F9" i="7"/>
  <c r="G34" i="9"/>
  <c r="M71" i="8"/>
  <c r="C32" i="9" s="1"/>
  <c r="E32" i="9"/>
  <c r="M67" i="8"/>
  <c r="C26" i="9" s="1"/>
  <c r="E26" i="9"/>
  <c r="E33" i="9"/>
  <c r="V70" i="8"/>
  <c r="C31" i="9"/>
  <c r="C9" i="10" s="1"/>
  <c r="E27" i="9"/>
  <c r="M66" i="8"/>
  <c r="M65" i="8"/>
  <c r="M64" i="8"/>
  <c r="L76" i="8"/>
  <c r="K76" i="8"/>
  <c r="B13" i="9"/>
  <c r="J13" i="9" s="1"/>
  <c r="D13" i="9"/>
  <c r="C16" i="9"/>
  <c r="F82" i="8"/>
  <c r="W65" i="8"/>
  <c r="W75" i="8"/>
  <c r="G83" i="8"/>
  <c r="H83" i="8" s="1"/>
  <c r="V74" i="8"/>
  <c r="V75" i="8"/>
  <c r="I76" i="8"/>
  <c r="V68" i="8"/>
  <c r="V73" i="8"/>
  <c r="V71" i="8"/>
  <c r="S74" i="8"/>
  <c r="H16" i="8"/>
  <c r="G18" i="7" s="1"/>
  <c r="R76" i="8"/>
  <c r="N76" i="8"/>
  <c r="V72" i="8"/>
  <c r="E94" i="8"/>
  <c r="M74" i="8"/>
  <c r="M72" i="8"/>
  <c r="C33" i="9" s="1"/>
  <c r="V69" i="8"/>
  <c r="V67" i="8"/>
  <c r="S70" i="8"/>
  <c r="H12" i="8"/>
  <c r="G14" i="7" s="1"/>
  <c r="F92" i="8"/>
  <c r="H10" i="8"/>
  <c r="G12" i="7" s="1"/>
  <c r="S68" i="8"/>
  <c r="O64" i="8"/>
  <c r="T69" i="8"/>
  <c r="P69" i="8"/>
  <c r="J76" i="8"/>
  <c r="F88" i="8"/>
  <c r="O74" i="8"/>
  <c r="O70" i="8"/>
  <c r="O68" i="8"/>
  <c r="G87" i="8"/>
  <c r="T64" i="8"/>
  <c r="M70" i="8"/>
  <c r="M68" i="8"/>
  <c r="C27" i="9" s="1"/>
  <c r="F84" i="8"/>
  <c r="S66" i="8"/>
  <c r="H8" i="8"/>
  <c r="G10" i="7" s="1"/>
  <c r="Q65" i="8"/>
  <c r="E76" i="8"/>
  <c r="F90" i="8"/>
  <c r="H14" i="8"/>
  <c r="G16" i="7" s="1"/>
  <c r="S72" i="8"/>
  <c r="V66" i="8"/>
  <c r="F86" i="8"/>
  <c r="M63" i="8"/>
  <c r="S64" i="8"/>
  <c r="G93" i="8"/>
  <c r="H93" i="8" s="1"/>
  <c r="T75" i="8"/>
  <c r="U75" i="8" s="1"/>
  <c r="P75" i="8"/>
  <c r="Q75" i="8" s="1"/>
  <c r="P71" i="8"/>
  <c r="Q71" i="8" s="1"/>
  <c r="T67" i="8"/>
  <c r="U67" i="8" s="1"/>
  <c r="P67" i="8"/>
  <c r="O66" i="8"/>
  <c r="T71" i="8" l="1"/>
  <c r="U71" i="8" s="1"/>
  <c r="X65" i="8"/>
  <c r="W63" i="8"/>
  <c r="D31" i="9"/>
  <c r="N19" i="10" s="1"/>
  <c r="N24" i="10" s="1"/>
  <c r="C19" i="9"/>
  <c r="X63" i="8"/>
  <c r="D27" i="9"/>
  <c r="U63" i="11" s="1"/>
  <c r="C100" i="11" s="1"/>
  <c r="H13" i="9"/>
  <c r="C15" i="9"/>
  <c r="C20" i="9"/>
  <c r="C14" i="9"/>
  <c r="B8" i="9"/>
  <c r="H55" i="9" s="1"/>
  <c r="I55" i="9" s="1"/>
  <c r="J55" i="9" s="1"/>
  <c r="F89" i="7" s="1"/>
  <c r="F21" i="13" s="1"/>
  <c r="C17" i="9"/>
  <c r="F13" i="9"/>
  <c r="D18" i="9"/>
  <c r="T19" i="10" s="1"/>
  <c r="T33" i="10" s="1"/>
  <c r="H87" i="8"/>
  <c r="U69" i="8"/>
  <c r="W72" i="8"/>
  <c r="W74" i="8"/>
  <c r="G17" i="7"/>
  <c r="P73" i="8"/>
  <c r="G91" i="8"/>
  <c r="H91" i="8" s="1"/>
  <c r="Y65" i="8"/>
  <c r="G82" i="8"/>
  <c r="H82" i="8" s="1"/>
  <c r="J82" i="8" s="1"/>
  <c r="G8" i="7"/>
  <c r="X73" i="8"/>
  <c r="Y73" i="8" s="1"/>
  <c r="C34" i="9"/>
  <c r="C11" i="10" s="1"/>
  <c r="E34" i="9"/>
  <c r="E28" i="9"/>
  <c r="C28" i="9"/>
  <c r="C8" i="10" s="1"/>
  <c r="D34" i="9"/>
  <c r="N21" i="10"/>
  <c r="N25" i="10"/>
  <c r="N37" i="10"/>
  <c r="N39" i="10"/>
  <c r="N34" i="10"/>
  <c r="N36" i="10"/>
  <c r="N22" i="10"/>
  <c r="N35" i="10"/>
  <c r="N28" i="10"/>
  <c r="N26" i="10"/>
  <c r="N38" i="10"/>
  <c r="N29" i="10"/>
  <c r="N40" i="10"/>
  <c r="N30" i="10"/>
  <c r="N23" i="10"/>
  <c r="N27" i="10"/>
  <c r="N33" i="10"/>
  <c r="N32" i="10"/>
  <c r="B99" i="11"/>
  <c r="C99" i="11"/>
  <c r="Q67" i="11"/>
  <c r="Q86" i="11"/>
  <c r="Q87" i="11"/>
  <c r="Q74" i="11"/>
  <c r="Q69" i="11"/>
  <c r="Q76" i="11"/>
  <c r="Q83" i="11"/>
  <c r="Q88" i="11"/>
  <c r="Q66" i="11"/>
  <c r="Q68" i="11"/>
  <c r="Q78" i="11"/>
  <c r="Q75" i="11"/>
  <c r="Q71" i="11"/>
  <c r="Q79" i="11"/>
  <c r="Q70" i="11"/>
  <c r="Q73" i="11"/>
  <c r="Q80" i="11"/>
  <c r="Q77" i="11"/>
  <c r="Q82" i="11"/>
  <c r="Q85" i="11"/>
  <c r="Q84" i="11"/>
  <c r="Q81" i="11"/>
  <c r="Q72" i="11"/>
  <c r="Q65" i="11"/>
  <c r="D14" i="9"/>
  <c r="H42" i="9"/>
  <c r="I42" i="9" s="1"/>
  <c r="J42" i="9" s="1"/>
  <c r="F76" i="7" s="1"/>
  <c r="F8" i="13" s="1"/>
  <c r="X71" i="8"/>
  <c r="Y71" i="8" s="1"/>
  <c r="X64" i="8"/>
  <c r="W68" i="8"/>
  <c r="X69" i="8"/>
  <c r="F94" i="8"/>
  <c r="I89" i="8"/>
  <c r="J89" i="8"/>
  <c r="W64" i="8"/>
  <c r="O76" i="8"/>
  <c r="G88" i="8"/>
  <c r="H88" i="8" s="1"/>
  <c r="T70" i="8"/>
  <c r="U70" i="8" s="1"/>
  <c r="P70" i="8"/>
  <c r="Y69" i="8"/>
  <c r="I93" i="8"/>
  <c r="I20" i="9" s="1"/>
  <c r="J93" i="8"/>
  <c r="M76" i="8"/>
  <c r="G90" i="8"/>
  <c r="H90" i="8" s="1"/>
  <c r="P72" i="8"/>
  <c r="T72" i="8"/>
  <c r="U72" i="8" s="1"/>
  <c r="Q69" i="8"/>
  <c r="T74" i="8"/>
  <c r="U74" i="8" s="1"/>
  <c r="G92" i="8"/>
  <c r="H92" i="8" s="1"/>
  <c r="P74" i="8"/>
  <c r="W66" i="8"/>
  <c r="S76" i="8"/>
  <c r="G84" i="8"/>
  <c r="T66" i="8"/>
  <c r="U66" i="8" s="1"/>
  <c r="P66" i="8"/>
  <c r="W70" i="8"/>
  <c r="G86" i="8"/>
  <c r="H86" i="8" s="1"/>
  <c r="P68" i="8"/>
  <c r="Q68" i="8" s="1"/>
  <c r="T68" i="8"/>
  <c r="U68" i="8" s="1"/>
  <c r="Q64" i="8"/>
  <c r="V76" i="8"/>
  <c r="Q73" i="8"/>
  <c r="X67" i="8"/>
  <c r="Y67" i="8" s="1"/>
  <c r="X75" i="8"/>
  <c r="Y75" i="8" s="1"/>
  <c r="U64" i="8"/>
  <c r="Q67" i="8"/>
  <c r="Q74" i="8"/>
  <c r="Y63" i="8" l="1"/>
  <c r="U72" i="11"/>
  <c r="U80" i="11"/>
  <c r="U74" i="11"/>
  <c r="U81" i="11"/>
  <c r="U71" i="11"/>
  <c r="U69" i="11"/>
  <c r="H56" i="9"/>
  <c r="I56" i="9" s="1"/>
  <c r="J56" i="9" s="1"/>
  <c r="F90" i="7" s="1"/>
  <c r="F22" i="13" s="1"/>
  <c r="H46" i="9"/>
  <c r="I46" i="9" s="1"/>
  <c r="J46" i="9" s="1"/>
  <c r="F80" i="7" s="1"/>
  <c r="F12" i="13" s="1"/>
  <c r="H57" i="9"/>
  <c r="I57" i="9" s="1"/>
  <c r="J57" i="9" s="1"/>
  <c r="F91" i="7" s="1"/>
  <c r="F23" i="13" s="1"/>
  <c r="H47" i="9"/>
  <c r="I47" i="9" s="1"/>
  <c r="J47" i="9" s="1"/>
  <c r="F81" i="7" s="1"/>
  <c r="F13" i="13" s="1"/>
  <c r="H58" i="9"/>
  <c r="I58" i="9" s="1"/>
  <c r="J58" i="9" s="1"/>
  <c r="F92" i="7" s="1"/>
  <c r="F24" i="13" s="1"/>
  <c r="H40" i="9"/>
  <c r="I40" i="9" s="1"/>
  <c r="J40" i="9" s="1"/>
  <c r="F74" i="7" s="1"/>
  <c r="F6" i="13" s="1"/>
  <c r="H41" i="9"/>
  <c r="I41" i="9" s="1"/>
  <c r="J41" i="9" s="1"/>
  <c r="F75" i="7" s="1"/>
  <c r="F7" i="13" s="1"/>
  <c r="H53" i="9"/>
  <c r="I53" i="9" s="1"/>
  <c r="J53" i="9" s="1"/>
  <c r="F87" i="7" s="1"/>
  <c r="F19" i="13" s="1"/>
  <c r="H49" i="9"/>
  <c r="I49" i="9" s="1"/>
  <c r="J49" i="9" s="1"/>
  <c r="F83" i="7" s="1"/>
  <c r="F15" i="13" s="1"/>
  <c r="U87" i="11"/>
  <c r="U67" i="11"/>
  <c r="U75" i="11"/>
  <c r="U77" i="11"/>
  <c r="U66" i="11"/>
  <c r="U83" i="11"/>
  <c r="U70" i="11"/>
  <c r="U76" i="11"/>
  <c r="U73" i="11"/>
  <c r="U82" i="11"/>
  <c r="U79" i="11"/>
  <c r="U68" i="11"/>
  <c r="U65" i="11"/>
  <c r="U88" i="11"/>
  <c r="U85" i="11"/>
  <c r="U86" i="11"/>
  <c r="U84" i="11"/>
  <c r="U78" i="11"/>
  <c r="B100" i="11"/>
  <c r="Y64" i="8"/>
  <c r="H48" i="9"/>
  <c r="I48" i="9" s="1"/>
  <c r="J48" i="9" s="1"/>
  <c r="F82" i="7" s="1"/>
  <c r="F14" i="13" s="1"/>
  <c r="H45" i="9"/>
  <c r="I45" i="9" s="1"/>
  <c r="J45" i="9" s="1"/>
  <c r="F79" i="7" s="1"/>
  <c r="F11" i="13" s="1"/>
  <c r="T25" i="10"/>
  <c r="H50" i="9"/>
  <c r="I50" i="9" s="1"/>
  <c r="J50" i="9" s="1"/>
  <c r="F31" i="9" s="1"/>
  <c r="H51" i="9"/>
  <c r="I51" i="9" s="1"/>
  <c r="J51" i="9" s="1"/>
  <c r="F85" i="7" s="1"/>
  <c r="F17" i="13" s="1"/>
  <c r="K13" i="9"/>
  <c r="K48" i="9" s="1"/>
  <c r="G82" i="7" s="1"/>
  <c r="G14" i="13" s="1"/>
  <c r="H59" i="9"/>
  <c r="I59" i="9" s="1"/>
  <c r="J59" i="9" s="1"/>
  <c r="F93" i="7" s="1"/>
  <c r="F25" i="13" s="1"/>
  <c r="H54" i="9"/>
  <c r="I54" i="9" s="1"/>
  <c r="J54" i="9" s="1"/>
  <c r="F88" i="7" s="1"/>
  <c r="F20" i="13" s="1"/>
  <c r="H44" i="9"/>
  <c r="I44" i="9" s="1"/>
  <c r="J44" i="9" s="1"/>
  <c r="F78" i="7" s="1"/>
  <c r="F10" i="13" s="1"/>
  <c r="H43" i="9"/>
  <c r="I43" i="9" s="1"/>
  <c r="J43" i="9" s="1"/>
  <c r="H34" i="9" s="1"/>
  <c r="H52" i="9"/>
  <c r="I52" i="9" s="1"/>
  <c r="J52" i="9" s="1"/>
  <c r="F86" i="7" s="1"/>
  <c r="F18" i="13" s="1"/>
  <c r="T35" i="10"/>
  <c r="T39" i="10"/>
  <c r="B34" i="9"/>
  <c r="T22" i="10"/>
  <c r="T34" i="10"/>
  <c r="T23" i="10"/>
  <c r="T36" i="10"/>
  <c r="T24" i="10"/>
  <c r="T29" i="10"/>
  <c r="T30" i="10"/>
  <c r="D28" i="9"/>
  <c r="T40" i="10"/>
  <c r="T32" i="10"/>
  <c r="T28" i="10"/>
  <c r="T38" i="10"/>
  <c r="T37" i="10"/>
  <c r="T21" i="10"/>
  <c r="T31" i="10"/>
  <c r="T27" i="10"/>
  <c r="I91" i="8"/>
  <c r="I18" i="9" s="1"/>
  <c r="J91" i="8"/>
  <c r="I32" i="9"/>
  <c r="X70" i="8"/>
  <c r="Y70" i="8" s="1"/>
  <c r="R19" i="10"/>
  <c r="L19" i="10"/>
  <c r="L23" i="10" s="1"/>
  <c r="Q89" i="11"/>
  <c r="D16" i="9"/>
  <c r="D19" i="9" s="1"/>
  <c r="V19" i="10" s="1"/>
  <c r="F19" i="10"/>
  <c r="F32" i="10" s="1"/>
  <c r="D20" i="9"/>
  <c r="D15" i="9"/>
  <c r="Q70" i="8"/>
  <c r="T76" i="8"/>
  <c r="G94" i="8"/>
  <c r="U76" i="8"/>
  <c r="I90" i="8"/>
  <c r="I94" i="8" s="1"/>
  <c r="J90" i="8"/>
  <c r="X68" i="8"/>
  <c r="Y68" i="8" s="1"/>
  <c r="X66" i="8"/>
  <c r="Y66" i="8" s="1"/>
  <c r="P76" i="8"/>
  <c r="Q66" i="8"/>
  <c r="X74" i="8"/>
  <c r="Y74" i="8" s="1"/>
  <c r="H84" i="8"/>
  <c r="H94" i="8" s="1"/>
  <c r="W76" i="8"/>
  <c r="J92" i="8"/>
  <c r="I92" i="8"/>
  <c r="I19" i="9" s="1"/>
  <c r="X72" i="8"/>
  <c r="Y72" i="8" s="1"/>
  <c r="Q72" i="8"/>
  <c r="U89" i="11" l="1"/>
  <c r="B17" i="9"/>
  <c r="B10" i="10" s="1"/>
  <c r="D10" i="10" s="1"/>
  <c r="F10" i="10" s="1"/>
  <c r="I10" i="10" s="1"/>
  <c r="O37" i="10" s="1"/>
  <c r="O41" i="10" s="1"/>
  <c r="F28" i="9"/>
  <c r="B8" i="10"/>
  <c r="F8" i="10" s="1"/>
  <c r="I8" i="10" s="1"/>
  <c r="K39" i="10" s="1"/>
  <c r="K41" i="10" s="1"/>
  <c r="H28" i="9"/>
  <c r="J28" i="9"/>
  <c r="B20" i="9"/>
  <c r="H20" i="9" s="1"/>
  <c r="K49" i="9"/>
  <c r="G83" i="7" s="1"/>
  <c r="G15" i="13" s="1"/>
  <c r="B11" i="10"/>
  <c r="F11" i="10" s="1"/>
  <c r="I11" i="10" s="1"/>
  <c r="Q24" i="10" s="1"/>
  <c r="Y24" i="10" s="1"/>
  <c r="B14" i="9"/>
  <c r="H14" i="9" s="1"/>
  <c r="K42" i="9"/>
  <c r="G76" i="7" s="1"/>
  <c r="G8" i="13" s="1"/>
  <c r="B18" i="9"/>
  <c r="H18" i="9" s="1"/>
  <c r="K46" i="9"/>
  <c r="B19" i="9"/>
  <c r="B13" i="10" s="1"/>
  <c r="D13" i="10" s="1"/>
  <c r="F13" i="10" s="1"/>
  <c r="I13" i="10" s="1"/>
  <c r="U25" i="10" s="1"/>
  <c r="U41" i="10" s="1"/>
  <c r="B9" i="10"/>
  <c r="F9" i="10" s="1"/>
  <c r="I23" i="11" s="1"/>
  <c r="B16" i="9"/>
  <c r="B7" i="10" s="1"/>
  <c r="D7" i="10" s="1"/>
  <c r="F7" i="10" s="1"/>
  <c r="I7" i="10" s="1"/>
  <c r="I25" i="10" s="1"/>
  <c r="H31" i="9"/>
  <c r="J60" i="9"/>
  <c r="J31" i="9"/>
  <c r="F84" i="7"/>
  <c r="F16" i="13" s="1"/>
  <c r="K47" i="9"/>
  <c r="B15" i="9"/>
  <c r="B6" i="10" s="1"/>
  <c r="F34" i="9"/>
  <c r="K51" i="9"/>
  <c r="G85" i="7" s="1"/>
  <c r="G17" i="13" s="1"/>
  <c r="K41" i="9"/>
  <c r="F77" i="7"/>
  <c r="F9" i="13" s="1"/>
  <c r="Q41" i="10"/>
  <c r="I24" i="11"/>
  <c r="H19" i="10"/>
  <c r="H27" i="10" s="1"/>
  <c r="Y76" i="8"/>
  <c r="L29" i="10"/>
  <c r="L35" i="10"/>
  <c r="L25" i="10"/>
  <c r="L38" i="10"/>
  <c r="L37" i="10"/>
  <c r="L26" i="10"/>
  <c r="L21" i="10"/>
  <c r="L22" i="10"/>
  <c r="L30" i="10"/>
  <c r="L24" i="10"/>
  <c r="L40" i="10"/>
  <c r="L27" i="10"/>
  <c r="F24" i="10"/>
  <c r="F28" i="10"/>
  <c r="F26" i="10"/>
  <c r="R40" i="10"/>
  <c r="R39" i="10"/>
  <c r="R30" i="10"/>
  <c r="R37" i="10"/>
  <c r="R36" i="10"/>
  <c r="R28" i="10"/>
  <c r="R21" i="10"/>
  <c r="R32" i="10"/>
  <c r="R22" i="10"/>
  <c r="R38" i="10"/>
  <c r="R31" i="10"/>
  <c r="R27" i="10"/>
  <c r="R35" i="10"/>
  <c r="R34" i="10"/>
  <c r="R25" i="10"/>
  <c r="R33" i="10"/>
  <c r="R29" i="10"/>
  <c r="R26" i="10"/>
  <c r="R23" i="10"/>
  <c r="L33" i="10"/>
  <c r="L28" i="10"/>
  <c r="L34" i="10"/>
  <c r="L36" i="10"/>
  <c r="L31" i="10"/>
  <c r="L32" i="10"/>
  <c r="D17" i="9"/>
  <c r="P19" i="10" s="1"/>
  <c r="P33" i="10" s="1"/>
  <c r="J19" i="10"/>
  <c r="J31" i="10" s="1"/>
  <c r="E63" i="11"/>
  <c r="X19" i="10"/>
  <c r="X24" i="10" s="1"/>
  <c r="F22" i="10"/>
  <c r="F29" i="10"/>
  <c r="F30" i="10"/>
  <c r="F23" i="10"/>
  <c r="F27" i="10"/>
  <c r="AA63" i="11"/>
  <c r="V27" i="10"/>
  <c r="V32" i="10"/>
  <c r="V22" i="10"/>
  <c r="V31" i="10"/>
  <c r="V30" i="10"/>
  <c r="V21" i="10"/>
  <c r="V34" i="10"/>
  <c r="V33" i="10"/>
  <c r="V35" i="10"/>
  <c r="V36" i="10"/>
  <c r="V23" i="10"/>
  <c r="V37" i="10"/>
  <c r="V39" i="10"/>
  <c r="V28" i="10"/>
  <c r="V24" i="10"/>
  <c r="V40" i="10"/>
  <c r="V26" i="10"/>
  <c r="V38" i="10"/>
  <c r="V29" i="10"/>
  <c r="Q76" i="8"/>
  <c r="J94" i="8"/>
  <c r="I33" i="9"/>
  <c r="I34" i="9" s="1"/>
  <c r="J34" i="9" s="1"/>
  <c r="I37" i="10"/>
  <c r="X76" i="8"/>
  <c r="R24" i="10" l="1"/>
  <c r="B14" i="10"/>
  <c r="D14" i="10" s="1"/>
  <c r="F14" i="10" s="1"/>
  <c r="I14" i="10" s="1"/>
  <c r="W38" i="10" s="1"/>
  <c r="X38" i="10" s="1"/>
  <c r="F6" i="10"/>
  <c r="I6" i="10" s="1"/>
  <c r="G39" i="10" s="1"/>
  <c r="H39" i="10" s="1"/>
  <c r="V25" i="10"/>
  <c r="V41" i="10" s="1"/>
  <c r="F14" i="9"/>
  <c r="F20" i="9" s="1"/>
  <c r="L39" i="10"/>
  <c r="L41" i="10" s="1"/>
  <c r="J14" i="9"/>
  <c r="B5" i="10"/>
  <c r="F5" i="10" s="1"/>
  <c r="C25" i="11" s="1"/>
  <c r="J18" i="9"/>
  <c r="B12" i="10"/>
  <c r="D12" i="10" s="1"/>
  <c r="F12" i="10" s="1"/>
  <c r="I12" i="10" s="1"/>
  <c r="S26" i="10" s="1"/>
  <c r="S41" i="10" s="1"/>
  <c r="F18" i="9"/>
  <c r="F26" i="13"/>
  <c r="G80" i="7"/>
  <c r="G12" i="13" s="1"/>
  <c r="H16" i="9"/>
  <c r="H17" i="9" s="1"/>
  <c r="F94" i="7"/>
  <c r="G81" i="7"/>
  <c r="G13" i="13" s="1"/>
  <c r="K34" i="9"/>
  <c r="K43" i="9" s="1"/>
  <c r="G77" i="7" s="1"/>
  <c r="G9" i="13" s="1"/>
  <c r="G75" i="7"/>
  <c r="G7" i="13" s="1"/>
  <c r="H32" i="10"/>
  <c r="H38" i="10"/>
  <c r="H30" i="10"/>
  <c r="H22" i="10"/>
  <c r="G63" i="11"/>
  <c r="C97" i="11" s="1"/>
  <c r="H28" i="10"/>
  <c r="H34" i="10"/>
  <c r="H37" i="10"/>
  <c r="H26" i="10"/>
  <c r="H23" i="10"/>
  <c r="H36" i="10"/>
  <c r="H29" i="10"/>
  <c r="H24" i="10"/>
  <c r="H25" i="10"/>
  <c r="I26" i="11"/>
  <c r="X23" i="10"/>
  <c r="X30" i="10"/>
  <c r="J39" i="10"/>
  <c r="J21" i="10"/>
  <c r="X29" i="10"/>
  <c r="X35" i="10"/>
  <c r="X33" i="10"/>
  <c r="X25" i="10"/>
  <c r="X22" i="10"/>
  <c r="P22" i="10"/>
  <c r="P34" i="10"/>
  <c r="J32" i="10"/>
  <c r="J36" i="10"/>
  <c r="J33" i="10"/>
  <c r="X26" i="10"/>
  <c r="X27" i="10"/>
  <c r="P38" i="10"/>
  <c r="R41" i="10"/>
  <c r="P37" i="10"/>
  <c r="P39" i="10"/>
  <c r="P31" i="10"/>
  <c r="P30" i="10"/>
  <c r="P27" i="10"/>
  <c r="P36" i="10"/>
  <c r="P26" i="10"/>
  <c r="W63" i="11"/>
  <c r="B102" i="11" s="1"/>
  <c r="P21" i="10"/>
  <c r="P23" i="10"/>
  <c r="J23" i="10"/>
  <c r="J34" i="10"/>
  <c r="J35" i="10"/>
  <c r="J30" i="10"/>
  <c r="P35" i="10"/>
  <c r="P32" i="10"/>
  <c r="P28" i="10"/>
  <c r="J27" i="10"/>
  <c r="J22" i="10"/>
  <c r="J26" i="10"/>
  <c r="J29" i="10"/>
  <c r="J24" i="10"/>
  <c r="J37" i="10"/>
  <c r="J40" i="10"/>
  <c r="J28" i="10"/>
  <c r="J38" i="10"/>
  <c r="L63" i="11"/>
  <c r="L67" i="11" s="1"/>
  <c r="P25" i="10"/>
  <c r="P29" i="10"/>
  <c r="P24" i="10"/>
  <c r="P40" i="10"/>
  <c r="X40" i="10"/>
  <c r="X34" i="10"/>
  <c r="X32" i="10"/>
  <c r="X31" i="10"/>
  <c r="X36" i="10"/>
  <c r="X28" i="10"/>
  <c r="X21" i="10"/>
  <c r="X39" i="10"/>
  <c r="X37" i="10"/>
  <c r="B103" i="11"/>
  <c r="C103" i="11"/>
  <c r="AA74" i="11"/>
  <c r="AA69" i="11"/>
  <c r="AA65" i="11"/>
  <c r="AA67" i="11"/>
  <c r="AA82" i="11"/>
  <c r="AA88" i="11"/>
  <c r="AA83" i="11"/>
  <c r="AA85" i="11"/>
  <c r="AA73" i="11"/>
  <c r="AA71" i="11"/>
  <c r="AA81" i="11"/>
  <c r="AA72" i="11"/>
  <c r="AA78" i="11"/>
  <c r="AA80" i="11"/>
  <c r="AA68" i="11"/>
  <c r="AA87" i="11"/>
  <c r="AA66" i="11"/>
  <c r="AA75" i="11"/>
  <c r="AA70" i="11"/>
  <c r="AA77" i="11"/>
  <c r="AA76" i="11"/>
  <c r="AA84" i="11"/>
  <c r="AA79" i="11"/>
  <c r="AA86" i="11"/>
  <c r="G21" i="10"/>
  <c r="J25" i="10"/>
  <c r="I41" i="10"/>
  <c r="J16" i="9"/>
  <c r="J15" i="9"/>
  <c r="J20" i="9"/>
  <c r="H15" i="9"/>
  <c r="G35" i="10" l="1"/>
  <c r="H35" i="10" s="1"/>
  <c r="F16" i="9"/>
  <c r="F17" i="9" s="1"/>
  <c r="F15" i="9"/>
  <c r="K18" i="9"/>
  <c r="K45" i="9" s="1"/>
  <c r="C8" i="11"/>
  <c r="Y26" i="10"/>
  <c r="G31" i="10"/>
  <c r="H31" i="10" s="1"/>
  <c r="G33" i="10"/>
  <c r="H33" i="10" s="1"/>
  <c r="C23" i="11"/>
  <c r="C11" i="11"/>
  <c r="C12" i="11"/>
  <c r="C18" i="11"/>
  <c r="G40" i="10"/>
  <c r="H40" i="10" s="1"/>
  <c r="W41" i="10"/>
  <c r="C15" i="11"/>
  <c r="C65" i="11" s="1"/>
  <c r="K20" i="9"/>
  <c r="K57" i="9" s="1"/>
  <c r="G91" i="7" s="1"/>
  <c r="G23" i="13" s="1"/>
  <c r="H19" i="9"/>
  <c r="K14" i="9"/>
  <c r="K53" i="9" s="1"/>
  <c r="G87" i="7" s="1"/>
  <c r="G19" i="13" s="1"/>
  <c r="C7" i="11"/>
  <c r="C9" i="11"/>
  <c r="C22" i="11"/>
  <c r="C10" i="11"/>
  <c r="C16" i="11"/>
  <c r="C24" i="11"/>
  <c r="C17" i="11"/>
  <c r="C19" i="11"/>
  <c r="T26" i="10"/>
  <c r="Z26" i="10" s="1"/>
  <c r="AA26" i="10" s="1"/>
  <c r="H79" i="7" s="1"/>
  <c r="G66" i="11"/>
  <c r="G69" i="11"/>
  <c r="G72" i="11"/>
  <c r="G75" i="11"/>
  <c r="G78" i="11"/>
  <c r="G82" i="11"/>
  <c r="G71" i="11"/>
  <c r="B97" i="11"/>
  <c r="G79" i="11"/>
  <c r="G84" i="11"/>
  <c r="G87" i="11"/>
  <c r="G85" i="11"/>
  <c r="G76" i="11"/>
  <c r="Z28" i="10"/>
  <c r="AA28" i="10" s="1"/>
  <c r="H81" i="7" s="1"/>
  <c r="H13" i="13" s="1"/>
  <c r="G73" i="11"/>
  <c r="G65" i="11"/>
  <c r="G77" i="11"/>
  <c r="G81" i="11"/>
  <c r="G74" i="11"/>
  <c r="G88" i="11"/>
  <c r="G86" i="11"/>
  <c r="G83" i="11"/>
  <c r="G67" i="11"/>
  <c r="G68" i="11"/>
  <c r="G80" i="11"/>
  <c r="G70" i="11"/>
  <c r="B101" i="11"/>
  <c r="I28" i="11"/>
  <c r="G9" i="10"/>
  <c r="I9" i="10" s="1"/>
  <c r="M31" i="10" s="1"/>
  <c r="B98" i="11"/>
  <c r="G79" i="7"/>
  <c r="G11" i="13" s="1"/>
  <c r="W75" i="11"/>
  <c r="L65" i="11"/>
  <c r="L75" i="11"/>
  <c r="L82" i="11"/>
  <c r="L69" i="11"/>
  <c r="L68" i="11"/>
  <c r="L85" i="11"/>
  <c r="Z22" i="10"/>
  <c r="AA22" i="10" s="1"/>
  <c r="H75" i="7" s="1"/>
  <c r="Z30" i="10"/>
  <c r="AA30" i="10" s="1"/>
  <c r="H83" i="7" s="1"/>
  <c r="W86" i="11"/>
  <c r="W70" i="11"/>
  <c r="W88" i="11"/>
  <c r="L72" i="11"/>
  <c r="L70" i="11"/>
  <c r="L84" i="11"/>
  <c r="W73" i="11"/>
  <c r="W87" i="11"/>
  <c r="Z23" i="10"/>
  <c r="AA23" i="10" s="1"/>
  <c r="H76" i="7" s="1"/>
  <c r="W72" i="11"/>
  <c r="W79" i="11"/>
  <c r="W83" i="11"/>
  <c r="W74" i="11"/>
  <c r="W65" i="11"/>
  <c r="W81" i="11"/>
  <c r="W77" i="11"/>
  <c r="W67" i="11"/>
  <c r="W69" i="11"/>
  <c r="W84" i="11"/>
  <c r="W76" i="11"/>
  <c r="W80" i="11"/>
  <c r="C102" i="11"/>
  <c r="Z27" i="10"/>
  <c r="AA27" i="10" s="1"/>
  <c r="H80" i="7" s="1"/>
  <c r="W78" i="11"/>
  <c r="W82" i="11"/>
  <c r="W68" i="11"/>
  <c r="W85" i="11"/>
  <c r="W66" i="11"/>
  <c r="W71" i="11"/>
  <c r="Z29" i="10"/>
  <c r="AA29" i="10" s="1"/>
  <c r="H82" i="7" s="1"/>
  <c r="P41" i="10"/>
  <c r="J41" i="10"/>
  <c r="L80" i="11"/>
  <c r="L88" i="11"/>
  <c r="L66" i="11"/>
  <c r="Z32" i="10"/>
  <c r="AA32" i="10" s="1"/>
  <c r="H85" i="7" s="1"/>
  <c r="Z24" i="10"/>
  <c r="AA24" i="10" s="1"/>
  <c r="H77" i="7" s="1"/>
  <c r="L74" i="11"/>
  <c r="L83" i="11"/>
  <c r="L79" i="11"/>
  <c r="L87" i="11"/>
  <c r="L78" i="11"/>
  <c r="L86" i="11"/>
  <c r="L81" i="11"/>
  <c r="L77" i="11"/>
  <c r="L71" i="11"/>
  <c r="L73" i="11"/>
  <c r="L76" i="11"/>
  <c r="X41" i="10"/>
  <c r="H21" i="10"/>
  <c r="AA89" i="11"/>
  <c r="K16" i="9"/>
  <c r="K15" i="9"/>
  <c r="K40" i="9" s="1"/>
  <c r="G74" i="7" s="1"/>
  <c r="G6" i="13" s="1"/>
  <c r="F19" i="9"/>
  <c r="C84" i="11"/>
  <c r="C88" i="11"/>
  <c r="C86" i="11"/>
  <c r="C76" i="11"/>
  <c r="J19" i="9"/>
  <c r="J17" i="9"/>
  <c r="K17" i="9" s="1"/>
  <c r="K56" i="9" s="1"/>
  <c r="G90" i="7" s="1"/>
  <c r="G22" i="13" s="1"/>
  <c r="T41" i="10"/>
  <c r="K55" i="9"/>
  <c r="G89" i="7" s="1"/>
  <c r="G21" i="13" s="1"/>
  <c r="C83" i="11" l="1"/>
  <c r="C85" i="11"/>
  <c r="C13" i="11"/>
  <c r="B83" i="11" s="1"/>
  <c r="D83" i="11" s="1"/>
  <c r="E83" i="11" s="1"/>
  <c r="C68" i="11"/>
  <c r="C82" i="11"/>
  <c r="C66" i="11"/>
  <c r="G41" i="10"/>
  <c r="C72" i="11"/>
  <c r="C73" i="11"/>
  <c r="C67" i="11"/>
  <c r="H41" i="10"/>
  <c r="C79" i="11"/>
  <c r="C77" i="11"/>
  <c r="C74" i="11"/>
  <c r="C71" i="11"/>
  <c r="C69" i="11"/>
  <c r="C20" i="11"/>
  <c r="C87" i="11"/>
  <c r="C75" i="11"/>
  <c r="C70" i="11"/>
  <c r="C78" i="11"/>
  <c r="C81" i="11"/>
  <c r="C80" i="11"/>
  <c r="C26" i="11"/>
  <c r="B96" i="11" s="1"/>
  <c r="B104" i="11" s="1"/>
  <c r="I81" i="7"/>
  <c r="I13" i="13" s="1"/>
  <c r="G89" i="11"/>
  <c r="N31" i="10"/>
  <c r="N41" i="10" s="1"/>
  <c r="M41" i="10"/>
  <c r="AB24" i="10"/>
  <c r="H8" i="13"/>
  <c r="I76" i="7"/>
  <c r="I8" i="13" s="1"/>
  <c r="H12" i="13"/>
  <c r="I80" i="7"/>
  <c r="I12" i="13" s="1"/>
  <c r="H15" i="13"/>
  <c r="I83" i="7"/>
  <c r="I15" i="13" s="1"/>
  <c r="H14" i="13"/>
  <c r="I82" i="7"/>
  <c r="I14" i="13" s="1"/>
  <c r="H7" i="13"/>
  <c r="I75" i="7"/>
  <c r="I7" i="13" s="1"/>
  <c r="H11" i="13"/>
  <c r="I79" i="7"/>
  <c r="I11" i="13" s="1"/>
  <c r="H17" i="13"/>
  <c r="I85" i="7"/>
  <c r="I17" i="13" s="1"/>
  <c r="H9" i="13"/>
  <c r="I77" i="7"/>
  <c r="I9" i="13" s="1"/>
  <c r="W89" i="11"/>
  <c r="L89" i="11"/>
  <c r="B81" i="11"/>
  <c r="B85" i="11"/>
  <c r="D85" i="11" s="1"/>
  <c r="E85" i="11" s="1"/>
  <c r="B87" i="11"/>
  <c r="D87" i="11" s="1"/>
  <c r="E87" i="11" s="1"/>
  <c r="B76" i="11"/>
  <c r="D76" i="11" s="1"/>
  <c r="E76" i="11" s="1"/>
  <c r="B82" i="11"/>
  <c r="B80" i="11"/>
  <c r="D80" i="11" s="1"/>
  <c r="E80" i="11" s="1"/>
  <c r="K19" i="9"/>
  <c r="K44" i="9" s="1"/>
  <c r="G78" i="7" s="1"/>
  <c r="G10" i="13" s="1"/>
  <c r="B86" i="11"/>
  <c r="D86" i="11" s="1"/>
  <c r="E86" i="11" s="1"/>
  <c r="B68" i="11"/>
  <c r="B75" i="11"/>
  <c r="B71" i="11"/>
  <c r="B78" i="11"/>
  <c r="B72" i="11"/>
  <c r="AB26" i="10"/>
  <c r="B69" i="11"/>
  <c r="D69" i="11" s="1"/>
  <c r="E69" i="11" s="1"/>
  <c r="B73" i="11"/>
  <c r="D73" i="11" s="1"/>
  <c r="E73" i="11" s="1"/>
  <c r="B74" i="11"/>
  <c r="D74" i="11" s="1"/>
  <c r="E74" i="11" s="1"/>
  <c r="B79" i="11"/>
  <c r="B77" i="11"/>
  <c r="B31" i="9"/>
  <c r="K31" i="9" s="1"/>
  <c r="K50" i="9" s="1"/>
  <c r="G84" i="7" s="1"/>
  <c r="G16" i="13" s="1"/>
  <c r="B28" i="9"/>
  <c r="K28" i="9" s="1"/>
  <c r="K58" i="9" s="1"/>
  <c r="G92" i="7" s="1"/>
  <c r="G24" i="13" s="1"/>
  <c r="K52" i="9"/>
  <c r="G86" i="7" s="1"/>
  <c r="G18" i="13" s="1"/>
  <c r="K54" i="9"/>
  <c r="G88" i="7" s="1"/>
  <c r="G20" i="13" s="1"/>
  <c r="K59" i="9"/>
  <c r="G93" i="7" s="1"/>
  <c r="G25" i="13" s="1"/>
  <c r="D79" i="11" l="1"/>
  <c r="E79" i="11" s="1"/>
  <c r="D77" i="11"/>
  <c r="E77" i="11" s="1"/>
  <c r="D68" i="11"/>
  <c r="E68" i="11" s="1"/>
  <c r="B67" i="11"/>
  <c r="D67" i="11" s="1"/>
  <c r="E67" i="11" s="1"/>
  <c r="B84" i="11"/>
  <c r="D84" i="11" s="1"/>
  <c r="E84" i="11" s="1"/>
  <c r="B88" i="11"/>
  <c r="D88" i="11" s="1"/>
  <c r="E88" i="11" s="1"/>
  <c r="B70" i="11"/>
  <c r="D70" i="11" s="1"/>
  <c r="E70" i="11" s="1"/>
  <c r="B66" i="11"/>
  <c r="D66" i="11" s="1"/>
  <c r="E66" i="11" s="1"/>
  <c r="B65" i="11"/>
  <c r="D65" i="11" s="1"/>
  <c r="E65" i="11" s="1"/>
  <c r="C96" i="11"/>
  <c r="C104" i="11" s="1"/>
  <c r="D72" i="11"/>
  <c r="E72" i="11" s="1"/>
  <c r="D81" i="11"/>
  <c r="E81" i="11" s="1"/>
  <c r="D78" i="11"/>
  <c r="E78" i="11" s="1"/>
  <c r="D82" i="11"/>
  <c r="E82" i="11" s="1"/>
  <c r="D71" i="11"/>
  <c r="E71" i="11" s="1"/>
  <c r="H5" i="10"/>
  <c r="D75" i="11"/>
  <c r="E75" i="11" s="1"/>
  <c r="C89" i="11"/>
  <c r="C28" i="11"/>
  <c r="G5" i="10"/>
  <c r="I5" i="10" s="1"/>
  <c r="B89" i="11" l="1"/>
  <c r="E89" i="11"/>
  <c r="D89" i="11"/>
  <c r="E35" i="10"/>
  <c r="F35" i="10" s="1"/>
  <c r="Z35" i="10" s="1"/>
  <c r="AA35" i="10" s="1"/>
  <c r="H88" i="7" s="1"/>
  <c r="E38" i="10"/>
  <c r="E39" i="10"/>
  <c r="F39" i="10" s="1"/>
  <c r="Z39" i="10" s="1"/>
  <c r="AA39" i="10" s="1"/>
  <c r="H92" i="7" s="1"/>
  <c r="E40" i="10"/>
  <c r="F40" i="10" s="1"/>
  <c r="Z40" i="10" s="1"/>
  <c r="AA40" i="10" s="1"/>
  <c r="H93" i="7" s="1"/>
  <c r="E36" i="10"/>
  <c r="Y36" i="10" s="1"/>
  <c r="AB36" i="10" s="1"/>
  <c r="E31" i="10"/>
  <c r="F31" i="10" s="1"/>
  <c r="Z31" i="10" s="1"/>
  <c r="AA31" i="10" s="1"/>
  <c r="H84" i="7" s="1"/>
  <c r="E34" i="10"/>
  <c r="Y34" i="10" s="1"/>
  <c r="AB34" i="10" s="1"/>
  <c r="E37" i="10"/>
  <c r="F37" i="10" s="1"/>
  <c r="Z37" i="10" s="1"/>
  <c r="AA37" i="10" s="1"/>
  <c r="H90" i="7" s="1"/>
  <c r="E33" i="10"/>
  <c r="Y33" i="10" s="1"/>
  <c r="E21" i="10"/>
  <c r="F21" i="10" s="1"/>
  <c r="E25" i="10"/>
  <c r="Y25" i="10" s="1"/>
  <c r="Y38" i="10"/>
  <c r="AB38" i="10" s="1"/>
  <c r="F38" i="10"/>
  <c r="Z38" i="10" s="1"/>
  <c r="AA38" i="10" s="1"/>
  <c r="H91" i="7" s="1"/>
  <c r="Y39" i="10" l="1"/>
  <c r="AB39" i="10" s="1"/>
  <c r="F25" i="10"/>
  <c r="Z25" i="10" s="1"/>
  <c r="AA25" i="10" s="1"/>
  <c r="H78" i="7" s="1"/>
  <c r="I78" i="7" s="1"/>
  <c r="I10" i="13" s="1"/>
  <c r="Y35" i="10"/>
  <c r="AB35" i="10" s="1"/>
  <c r="Y40" i="10"/>
  <c r="AB40" i="10" s="1"/>
  <c r="F33" i="10"/>
  <c r="Z33" i="10" s="1"/>
  <c r="AA33" i="10" s="1"/>
  <c r="H86" i="7" s="1"/>
  <c r="H18" i="13" s="1"/>
  <c r="Y21" i="10"/>
  <c r="F36" i="10"/>
  <c r="Z36" i="10" s="1"/>
  <c r="AA36" i="10" s="1"/>
  <c r="H89" i="7" s="1"/>
  <c r="H21" i="13" s="1"/>
  <c r="E41" i="10"/>
  <c r="Y31" i="10"/>
  <c r="AB31" i="10" s="1"/>
  <c r="Y37" i="10"/>
  <c r="AB37" i="10" s="1"/>
  <c r="F34" i="10"/>
  <c r="Z34" i="10" s="1"/>
  <c r="AA34" i="10" s="1"/>
  <c r="H87" i="7" s="1"/>
  <c r="H19" i="13" s="1"/>
  <c r="H25" i="13"/>
  <c r="I93" i="7"/>
  <c r="I25" i="13" s="1"/>
  <c r="H16" i="13"/>
  <c r="I84" i="7"/>
  <c r="I16" i="13" s="1"/>
  <c r="H20" i="13"/>
  <c r="I88" i="7"/>
  <c r="I20" i="13" s="1"/>
  <c r="H22" i="13"/>
  <c r="I90" i="7"/>
  <c r="I22" i="13" s="1"/>
  <c r="H24" i="13"/>
  <c r="I92" i="7"/>
  <c r="I24" i="13" s="1"/>
  <c r="H23" i="13"/>
  <c r="I91" i="7"/>
  <c r="I23" i="13" s="1"/>
  <c r="Z21" i="10"/>
  <c r="AB25" i="10" l="1"/>
  <c r="H10" i="13"/>
  <c r="F41" i="10"/>
  <c r="I86" i="7"/>
  <c r="I18" i="13" s="1"/>
  <c r="AB33" i="10"/>
  <c r="I89" i="7"/>
  <c r="I21" i="13" s="1"/>
  <c r="AB21" i="10"/>
  <c r="I87" i="7"/>
  <c r="I19" i="13" s="1"/>
  <c r="AA21" i="10"/>
  <c r="H74" i="7" s="1"/>
  <c r="Z41" i="10"/>
  <c r="H6" i="13" l="1"/>
  <c r="I74" i="7"/>
  <c r="I6" i="13" s="1"/>
</calcChain>
</file>

<file path=xl/sharedStrings.xml><?xml version="1.0" encoding="utf-8"?>
<sst xmlns="http://schemas.openxmlformats.org/spreadsheetml/2006/main" count="2545" uniqueCount="357">
  <si>
    <t>RPM Parameters</t>
  </si>
  <si>
    <t>IRM</t>
  </si>
  <si>
    <t>Pool Average EFORd</t>
  </si>
  <si>
    <t>LDA</t>
  </si>
  <si>
    <t>FPR</t>
  </si>
  <si>
    <t>SWMAAC</t>
  </si>
  <si>
    <t>RTO</t>
  </si>
  <si>
    <t>Zone</t>
  </si>
  <si>
    <t>PS</t>
  </si>
  <si>
    <t>PECO</t>
  </si>
  <si>
    <t>PL</t>
  </si>
  <si>
    <t>BGE</t>
  </si>
  <si>
    <t>JCPL</t>
  </si>
  <si>
    <t>METED</t>
  </si>
  <si>
    <t>PENLC</t>
  </si>
  <si>
    <t>PEPCO</t>
  </si>
  <si>
    <t>AE</t>
  </si>
  <si>
    <t>DPL</t>
  </si>
  <si>
    <t>RECO</t>
  </si>
  <si>
    <t>APS</t>
  </si>
  <si>
    <t>COMED</t>
  </si>
  <si>
    <t>DAYTON</t>
  </si>
  <si>
    <t>Zonal Forecast Peak Load Scaling Factor</t>
  </si>
  <si>
    <t>Obligation Peak Load Scaling Factor</t>
  </si>
  <si>
    <t xml:space="preserve"> </t>
  </si>
  <si>
    <t>Base Zonal RPM Scaling Factor</t>
  </si>
  <si>
    <t>Base Zonal UCAP Obligation    [MW]</t>
  </si>
  <si>
    <t>LDA2</t>
  </si>
  <si>
    <t>LDA1</t>
  </si>
  <si>
    <t>MAAC</t>
  </si>
  <si>
    <t>AEP</t>
  </si>
  <si>
    <t>DOM</t>
  </si>
  <si>
    <t xml:space="preserve">  </t>
  </si>
  <si>
    <t>LDA3</t>
  </si>
  <si>
    <t>Preliminary Zonal Capacity Price           [$/MW-day]</t>
  </si>
  <si>
    <t>RTO Reliability Requirement [MW]</t>
  </si>
  <si>
    <t>EMAAC</t>
  </si>
  <si>
    <t>PSNORTH</t>
  </si>
  <si>
    <t>DPLSOUTH</t>
  </si>
  <si>
    <t>Rest of DPL</t>
  </si>
  <si>
    <t>Rest of PS</t>
  </si>
  <si>
    <t>DPL Equivalent</t>
  </si>
  <si>
    <t>Preliminary Zonal Results</t>
  </si>
  <si>
    <t>PS Equivalent</t>
  </si>
  <si>
    <t>Locational Price Adder</t>
  </si>
  <si>
    <t>DLCO</t>
  </si>
  <si>
    <t>ATSI</t>
  </si>
  <si>
    <t>Rest of RTO</t>
  </si>
  <si>
    <t>Rest of SWMAAC</t>
  </si>
  <si>
    <t>Rest of EMAAC</t>
  </si>
  <si>
    <t>Rest of MAAC</t>
  </si>
  <si>
    <t>Total</t>
  </si>
  <si>
    <t>AEP **</t>
  </si>
  <si>
    <t>Base Zonal CTR Credit Rate [$/MW UCAP Obligation per Day]</t>
  </si>
  <si>
    <t>Total Resources Cleared        [MW]</t>
  </si>
  <si>
    <t>DEOK **</t>
  </si>
  <si>
    <t>DEOK</t>
  </si>
  <si>
    <t>Total Resource Credits [$/day]</t>
  </si>
  <si>
    <t>Resource Credits</t>
  </si>
  <si>
    <t>Resource Clearing Prices</t>
  </si>
  <si>
    <t>Cleared &amp; Make-Whole MWs</t>
  </si>
  <si>
    <t>Sub-Zone/Zone</t>
  </si>
  <si>
    <t>LDA Base UCAP Obligation [MW]</t>
  </si>
  <si>
    <t>Zone/Responsible Customer</t>
  </si>
  <si>
    <t>Total ICTRs [MW]</t>
  </si>
  <si>
    <t>Incremental Capacity Transfer Rights (ICTRs)</t>
  </si>
  <si>
    <t>ICTR Credits</t>
  </si>
  <si>
    <t>Sink LDA</t>
  </si>
  <si>
    <t>QTU Credits [$/day]</t>
  </si>
  <si>
    <t>LDA CTRs</t>
  </si>
  <si>
    <t>Base UCAP Obligation [MW]</t>
  </si>
  <si>
    <t>Internal  Resources Cleared in LDA</t>
  </si>
  <si>
    <t>QTU Equivalents [MW]</t>
  </si>
  <si>
    <t>Totals</t>
  </si>
  <si>
    <t>Notes:</t>
  </si>
  <si>
    <t>Locational Price Adder is respect to immediate higher level LDA.</t>
  </si>
  <si>
    <t>Economic Value of CTRs = CTRs Allocated * Locational Price Adder</t>
  </si>
  <si>
    <t>CTRs Allocated, Economic Value of CTRs, CTR Credit Rates, and CTR Settlement Rates are not final and may change to due Incremental Auction results.</t>
  </si>
  <si>
    <t>Economic Value of ICTRs [$/day]</t>
  </si>
  <si>
    <t>Economic Value of ICTRs = Total ICTRs * Locational Price Adder.</t>
  </si>
  <si>
    <t>Customer-Funded Upgrades ICTRs [MW]</t>
  </si>
  <si>
    <t>Customer-Funded Upgrades</t>
  </si>
  <si>
    <t>ICTRs allocated and  Economic Value of CTRs are not final and are subject to change due to Incremental Auction results.</t>
  </si>
  <si>
    <t>Customer-Funded ICTR Credits [$/day]</t>
  </si>
  <si>
    <t>Cleared Capacity     [MW]</t>
  </si>
  <si>
    <t>CTRs Allocated to LSEs                 [MW]</t>
  </si>
  <si>
    <t>Total Make-whole [MW]</t>
  </si>
  <si>
    <t>Preliminary CTRs Allocated = Max of the LDA CTRs Allocated to LSEs [MW]</t>
  </si>
  <si>
    <t>ICTRs for Customer-Funded Upgrades [MW]</t>
  </si>
  <si>
    <t>Total ICTRs into Sink LDA [MW]</t>
  </si>
  <si>
    <t>Allocation of LSE CTRs, Economic Value of LSE CTRs, Zonal CTR Credit Rates, &amp; Zonal CTR Settlement Rates</t>
  </si>
  <si>
    <t>LDA Capacity Price [$/MW-day]</t>
  </si>
  <si>
    <t>*Locational Price Adder with respect to RTO</t>
  </si>
  <si>
    <t>QTU Clearing Price **      [$/MW-Day]</t>
  </si>
  <si>
    <t>** Locational Price Adder with respect to the immediate higher level LDA.</t>
  </si>
  <si>
    <t>Total CTRs * [MW]</t>
  </si>
  <si>
    <t>* CTRs are reduced to allow for certain grandfathered congestion credits.</t>
  </si>
  <si>
    <t>b0457: Dooms-Lexington circuit wave traps (effective 2012/2013)</t>
  </si>
  <si>
    <t>b0559: Capacitor at Meadow Brook substation (effective 2012/2013</t>
  </si>
  <si>
    <t>b1398: Build two new parallel underground circuits from Gloucester to Camden (effective 2015/2016)</t>
  </si>
  <si>
    <t>M05:  Replace Wave Traps at Bedington and Black Oak 500 KV (effective 2009/2010)</t>
  </si>
  <si>
    <t>b1507: Rebuild Mt Storm - Doubs 500 kV (effective 2015/2016)</t>
  </si>
  <si>
    <t>b0487, b0489: Build new 500 kV transmission facilities from Susquehanna to Roseland (effective 2015/2016)</t>
  </si>
  <si>
    <t>East Coast Power (ECP)</t>
  </si>
  <si>
    <t>Hudson Transmission Partners (HTP)</t>
  </si>
  <si>
    <t>Incremental Rights-Eligible Required Transmission Enhancements</t>
  </si>
  <si>
    <t>ICTRs [MW] for Lower Voltage Facilities</t>
  </si>
  <si>
    <t>Cost Allocation Percentages for Incremental Rights-Eligible Required Transmission Enhancements</t>
  </si>
  <si>
    <t>Lower Voltage Facility: b0497</t>
  </si>
  <si>
    <t>Lower Voltage Facility: b1304.1 - b1304.4</t>
  </si>
  <si>
    <t>Lower Voltage Facility: b1398</t>
  </si>
  <si>
    <t>ICTRs for Regional Facilities and Necessary Lower Voltage Facilities [MW]</t>
  </si>
  <si>
    <t>ICTRs for Lower Voltage Facility: b0497 [MW]</t>
  </si>
  <si>
    <t>ICTRs for Lower Voltage Facility: b1304.1-b1304.4  [MW]</t>
  </si>
  <si>
    <t>ICTRs for Lower Voltage Facility: b1398 [MW]</t>
  </si>
  <si>
    <t>Incremental Rights-Eligible Required Transmission Enhancements ICTR Credits [$/day]</t>
  </si>
  <si>
    <t>Certified ICTR * [MW]</t>
  </si>
  <si>
    <t>Remaining CTRs for Incremental Rights-Eligible Required Transmission Enhancements, Customer-Funded Upgrades, &amp; LSEs [MW]</t>
  </si>
  <si>
    <t>Incremental Rights-Eligible Required Transmission Enhancements ICTRs [MW]</t>
  </si>
  <si>
    <t>* Certified ICTRs are adjusted if the Remaining CTRs for Incremental Rights-Eligible Required Transmission Enhancements, Customer Funded-Upgrades, and LSEs into LDA are less than the Total Certified ICTRs into the LDA.</t>
  </si>
  <si>
    <t>ConEd</t>
  </si>
  <si>
    <t>Neptune</t>
  </si>
  <si>
    <t>Remaining CTRs for LSEs [MW]</t>
  </si>
  <si>
    <t>Base Residual Auction</t>
  </si>
  <si>
    <t>Zonal UCAP Obligations, Zonal Capacity Prices, &amp; Zonal CTR Credit Rates</t>
  </si>
  <si>
    <t>Base Zonal CTR Credit Rate ($/MW-UCAP Obligation-day)</t>
  </si>
  <si>
    <t>** Obligation affected by FRR quantities.</t>
  </si>
  <si>
    <t>Preliminary Zonal Capacity Price          ($/MW-day)</t>
  </si>
  <si>
    <t>b1304.1, b1304.2, b1304.3, b1304.4: Various upgrades in PS (effective 2015/2016)</t>
  </si>
  <si>
    <t>ATSI-CLEVELAND</t>
  </si>
  <si>
    <t>Rest of ATSI</t>
  </si>
  <si>
    <t>ATSI Equivalent</t>
  </si>
  <si>
    <t>EKPC **</t>
  </si>
  <si>
    <t>EKPC</t>
  </si>
  <si>
    <t>b1694: Rebuild Loudoun - Brambleton 500 kV (effective 2016/2017)</t>
  </si>
  <si>
    <t>Calculation of Zonal Capacity Prices for PS, DPL, and ATSI</t>
  </si>
  <si>
    <t>Additional Locational Price Adder with respect to Reference LDA [$/MW-day]</t>
  </si>
  <si>
    <t>AEP ***</t>
  </si>
  <si>
    <t>DEOK ***</t>
  </si>
  <si>
    <t>EKPC ***</t>
  </si>
  <si>
    <t>*** Obligation affected by FRR quantities</t>
  </si>
  <si>
    <t>ADJUSTED</t>
  </si>
  <si>
    <t>Adjusted ICTR * [MW]</t>
  </si>
  <si>
    <t>No ICTRs for Regional Facilities/ Necessary Lower Voltage Facilities and no ICTRs for Lower Voltage Facilities.</t>
  </si>
  <si>
    <t>NORTH</t>
  </si>
  <si>
    <t>WEST 1</t>
  </si>
  <si>
    <t>WEST 2</t>
  </si>
  <si>
    <t>SOUTH 1</t>
  </si>
  <si>
    <t>SOUTH 2</t>
  </si>
  <si>
    <t>NA</t>
  </si>
  <si>
    <t>COMED **</t>
  </si>
  <si>
    <t>Certified ICTR [MW]</t>
  </si>
  <si>
    <t>Lower Voltage Facility: b1251, b1251.1</t>
  </si>
  <si>
    <t>ICTRs for Lower Voltage Facility: b1251, b1251.1 [MW]</t>
  </si>
  <si>
    <t>COMED ***</t>
  </si>
  <si>
    <t>LDA/External Source Zone</t>
  </si>
  <si>
    <t>Make-Whole MW &amp; Credits</t>
  </si>
  <si>
    <t>Qualifying Transmission Upgrade (QTU) MWs &amp; Credits</t>
  </si>
  <si>
    <t>QTU Import Capability Cleared into Sink LDA  [MW]</t>
  </si>
  <si>
    <t>System Marginal Price*
 [$/MW-day]</t>
  </si>
  <si>
    <t>** Locational Price Adder (positive number) is with respect to the immediate higher level LDA.  Locational Price Decrement (negative number) is with respect to the unconstrained area of RTO.</t>
  </si>
  <si>
    <t>Locational Price Adder (Decrement)**
  [$/MW-day]</t>
  </si>
  <si>
    <t>Additional Make-whole Adjustments due to NEPA [$/day)</t>
  </si>
  <si>
    <t>Total Make-Whole Credits [$/day]</t>
  </si>
  <si>
    <t>Preliminary Zonal Capacity Price
[$/MW-day]</t>
  </si>
  <si>
    <t>Adjustment due to Price Decrements for External Resources [$/day]</t>
  </si>
  <si>
    <t>Adjustment due to Price Decrements for External Resources [$/MW-day]</t>
  </si>
  <si>
    <t>LDA Capacity Price</t>
  </si>
  <si>
    <t>**Reference LDA is EMAAC LDA for PS and DPL zones and RTO for ATSI zone.</t>
  </si>
  <si>
    <t>A Weighted Locational Price Adder is used in the case of PS, DPL, or ATSI Equivalent.</t>
  </si>
  <si>
    <t>RTO ***</t>
  </si>
  <si>
    <t>*** RTO resources do not include resources modeled in External Source Zones.</t>
  </si>
  <si>
    <t>Additional Adjustment due to Make-whole with respect to Reference LDA
 [$/MW-day]</t>
  </si>
  <si>
    <t>Allocation of Required Transmission Enhancement ICTRs to Zone/Responsible Customer</t>
  </si>
  <si>
    <t>Lower Voltage Facilities</t>
  </si>
  <si>
    <t>2018/2019 BRA Resource Clearing Results</t>
  </si>
  <si>
    <t>Capacity Performance Resource Clearing Price [$/MW-day]</t>
  </si>
  <si>
    <t>Capacity Performance Resources Cleared [MW]</t>
  </si>
  <si>
    <t>Base Capacity Generation Resources Cleared [MW]</t>
  </si>
  <si>
    <t>Capacity Performance Resources Make-whole [MW]</t>
  </si>
  <si>
    <t>Base Capacity  Resource Price Decrement in LDA
 [$/MW-day]</t>
  </si>
  <si>
    <t>Base Capacity Resource Clearing Price
 [$/MW-day]</t>
  </si>
  <si>
    <t>Base Capacity Demand Resource Price Decrement in LDA [$/MW-day]</t>
  </si>
  <si>
    <t>Resource Credits for Capacity Performance  Resources [$/day]</t>
  </si>
  <si>
    <t>Base Capacity Generation  Resources Make-whole [MW]</t>
  </si>
  <si>
    <t>Resource Credits for Base Capacity Generation Resources [$/day]</t>
  </si>
  <si>
    <t>Make-whole Credits for Capacity Performance  Resources [$/day]</t>
  </si>
  <si>
    <t>Make-whole Credits for Base Capacity Generation Resources [$/day]</t>
  </si>
  <si>
    <t>2018/2019 BRA Load Pricing Results</t>
  </si>
  <si>
    <t>Adjustment due to Base Capacity Resource Price Decrement [$/MW-day]</t>
  </si>
  <si>
    <t>System Marginal Price               [$/MW-day]</t>
  </si>
  <si>
    <t>Locational Price Adder*            [$/MW-day]</t>
  </si>
  <si>
    <t>Adjustment due to Base Capacity Resource Price Decrement             [$/day]</t>
  </si>
  <si>
    <t>Adjustment due to Make-Whole         [$/MW-day]</t>
  </si>
  <si>
    <t>Reference LDA** Capacity Price           [MW]</t>
  </si>
  <si>
    <t>Additional Adjustment due to Base Capacity Resource Price Decrement with respect to Reference LDA [$/day]</t>
  </si>
  <si>
    <t>Additional Adjustment due to Base Capacity  Resource Price Decrement with respect to Reference LDA [$/MW-day]</t>
  </si>
  <si>
    <t>Additional Make-Whole Costs with respect to  Reference LDA [$/day]</t>
  </si>
  <si>
    <t>2014 W/N Coincident Peak Load               [MW]</t>
  </si>
  <si>
    <t>2018/2019 Prelim. Zonal Peak Load Forecast                     [MW]</t>
  </si>
  <si>
    <t xml:space="preserve">2018/2019 BRA ICTRs </t>
  </si>
  <si>
    <t>Regional Facilities (500 kV and above)</t>
  </si>
  <si>
    <t xml:space="preserve">ICTRs [MW] for Regional Facilities </t>
  </si>
  <si>
    <t>b2373: Build 2nd Loudoun - Brambleton 500 kV line (effective 2018/2019)</t>
  </si>
  <si>
    <t>b1251.1, b1251: Re-build the existing and build a second Raphael-Bagley 230 kV (2017/2018)</t>
  </si>
  <si>
    <t>b2443: Construct new underground 230 kV line fromGlebe to Station C (2018/2019).</t>
  </si>
  <si>
    <t>Y1-082:  Uprate bus equipment at Wye Mills 69 kV substation (2016/2017)</t>
  </si>
  <si>
    <t>Y3-082:  Upgrade Easton-Trappe Tap 69 kV circuit to 136/174 MVA SN/SE (2017/2018).</t>
  </si>
  <si>
    <t>Z2-017: Bristers Ox 500 kV (2018/2019).</t>
  </si>
  <si>
    <t>Lower Voltage Facility: b2443</t>
  </si>
  <si>
    <t>Regional Facilities</t>
  </si>
  <si>
    <t>ICTRs for Lower Voltage Facility: b2443 [MW]</t>
  </si>
  <si>
    <t>2018/2019 DY BRA CTRs</t>
  </si>
  <si>
    <t>*System Marginal Price is the clearing price for Capacity Performance Resources in unconstrained area of RTO.</t>
  </si>
  <si>
    <t>CTRs Allocated to LSEs                   [MW]</t>
  </si>
  <si>
    <t>Economic Value of LSE CTRs        [$/day]</t>
  </si>
  <si>
    <t>CTRs Allocated to LSEs                           [MW]</t>
  </si>
  <si>
    <t>Economic Value of LSE CTRs         [$/day]</t>
  </si>
  <si>
    <t>Total Preliminary Economic Value of LSE CTRs         [$/day]</t>
  </si>
  <si>
    <t>Preliminary Zonal CTR Settlement Rate                [$/MW CTR per day]</t>
  </si>
  <si>
    <t>NORTH ***</t>
  </si>
  <si>
    <t>WEST 1 ***</t>
  </si>
  <si>
    <t>WEST 2 ***</t>
  </si>
  <si>
    <t>SOUTH 1 ***</t>
  </si>
  <si>
    <t>SOUTH 2 ***</t>
  </si>
  <si>
    <t>Base Capacity DR/EE Resource Clearing Price [$/MW-day]</t>
  </si>
  <si>
    <t>Base Capacity DR/EE Resources Cleared [MW]</t>
  </si>
  <si>
    <t>Base Capacity DR/EE Resources Make-whole [MW]</t>
  </si>
  <si>
    <t>Resource Credits for Base Capacity DR/EE Resources [$/day]</t>
  </si>
  <si>
    <t>Make-whole Credits for Base Capacity DR/EE Resources [$/day]</t>
  </si>
  <si>
    <t>Adjustment due to Base Capacity DR/EE Resource Price Decrement             [$/day]</t>
  </si>
  <si>
    <t>Adjustment due to Base Capacity DR/EE Resource Price Decrement         [$/MW-day]</t>
  </si>
  <si>
    <t>Additional Adjustment due to Base Capacity DR/EE Resource Price Decrement with respect to Reference LDA [$/day]</t>
  </si>
  <si>
    <t>Additional Adjustment due to Base Capacity DR/EE Resource Price Decrement with respect to Reference LDA [$/MW-day]</t>
  </si>
  <si>
    <t>b0497: Install Second Conastone-Graceton 230 kV circuit; Replace Conastone 230 kV breaker 2323/2302 (effective 2017/2018)</t>
  </si>
  <si>
    <t>***  No external capacity modeled in the External Source Zones was offered in 2018/2019 BRA.</t>
  </si>
  <si>
    <t xml:space="preserve">Note:  Cost Allocation Percentages are based on July 2015 Transmission Enhancement Worksheet available at http://www.pjm.com/~/media/committees-groups/subcommittees/mss/postings/transmission-enhancement-worksheet-july-2015.ashx or 2015 cost responsibility assignments from the OATT (from 1-1-15 update).  The cost allocation percentages may change during actual Delivery Year. </t>
  </si>
  <si>
    <t>Participant Buy Bids/Sell Offers Cleared &amp; Make-Whole MWs</t>
  </si>
  <si>
    <t>Participant Buy Bids Cleared [MW]</t>
  </si>
  <si>
    <t>Participant Sell Offers Cleared [MW]</t>
  </si>
  <si>
    <t>Net Participant Buy Bid/Sell Offers Cleared [MW]</t>
  </si>
  <si>
    <t>Make-Whole [MW]</t>
  </si>
  <si>
    <t>Total Resources</t>
  </si>
  <si>
    <t>PJM Buy Bids/Sell Offers Cleared</t>
  </si>
  <si>
    <t>PJM Buy Bids Cleared [MW]</t>
  </si>
  <si>
    <t>PJM Sell Offers Cleared [MW]</t>
  </si>
  <si>
    <t>Net PJM Buy Bid/Sell Offers Cleared [MW]</t>
  </si>
  <si>
    <t>Auction Credits/Charges</t>
  </si>
  <si>
    <t>Auction Charge for Participant Buy Bids [$/MW-Day]</t>
  </si>
  <si>
    <t>Auction Credit for Participant Sell Offer [$/MW-Day]</t>
  </si>
  <si>
    <t>Net Auction Charge/Credit for Participant Buy Bid/Sell Offer [$/MW-Day]</t>
  </si>
  <si>
    <t>Make-Whole Credits</t>
  </si>
  <si>
    <t>Make-Whole Credits [$/Day]</t>
  </si>
  <si>
    <t>Make-whole Costs assessed to LSEs through Zonal Capacity Price [$/day]</t>
  </si>
  <si>
    <t>Make-whole Costs to Participant Buy Bids [$/day]</t>
  </si>
  <si>
    <t>2018/2019 DY 1st IA Resource Clearing Results</t>
  </si>
  <si>
    <t>LDA Capacity Price Components</t>
  </si>
  <si>
    <t>Updated LDA UCAP Obligation [MW]</t>
  </si>
  <si>
    <t>Weighted System Marginal Price [$/MW-day]</t>
  </si>
  <si>
    <t>Weighted Locational Price Adder* Applicable to LDA             [$/MW-day]</t>
  </si>
  <si>
    <t>Adjusted LDA Capacity Price [$/MW-day]</t>
  </si>
  <si>
    <t>Reference LDA* Capacity Price [$/MW-day]</t>
  </si>
  <si>
    <t>BRA &amp; 1st IA Net Participant Buy Bid/Sell Offers Cleared</t>
  </si>
  <si>
    <t>Additional Weighted Locational Price Adder with respect to Reference LDA  [$/MW-day]</t>
  </si>
  <si>
    <t>Adjusted Zonal Capacity Price [$/MW-day]</t>
  </si>
  <si>
    <t>*Reference LDA is EMAAC for PS and DPL, and RTO for ATSI.</t>
  </si>
  <si>
    <t>Updated Zonal Results</t>
  </si>
  <si>
    <t>Updated Zonal RPM Scaling Factor</t>
  </si>
  <si>
    <t>Updated Zonal UCAP Obligation    [MW]</t>
  </si>
  <si>
    <t>Adjusted Zonal Capacity Price           [$/MW-day]</t>
  </si>
  <si>
    <t>AEP #</t>
  </si>
  <si>
    <t>COMED #</t>
  </si>
  <si>
    <t>DEOK #</t>
  </si>
  <si>
    <t>EKPC#</t>
  </si>
  <si>
    <t># Obligation affected by FRR quantities</t>
  </si>
  <si>
    <t>2018/2019 DY 1st IA Load Pricing Results</t>
  </si>
  <si>
    <t>Net Participant Buy Bid/Sell Offers Cleared</t>
  </si>
  <si>
    <t>Total Updated CTRs [MW] *</t>
  </si>
  <si>
    <t>Remaining CTRs for Required Transmission Enhancements, Customer-Funded Upgrades, &amp; LSEs [MW]</t>
  </si>
  <si>
    <t xml:space="preserve"> Required Transmission Enhancements ICTRs  [MW]</t>
  </si>
  <si>
    <t>Remaining CTRs for LSEs        [MW]</t>
  </si>
  <si>
    <t>* CTR MWs are adjusted slightly to accommodate certain grandfathered arrangements.</t>
  </si>
  <si>
    <t>Weighted Locational Price Adder</t>
  </si>
  <si>
    <t>Economic Value of LSE CTRs [$/day]</t>
  </si>
  <si>
    <t>Updated CTRs Allocated = Max of the LDA CTRs Allocated to LSEs [MW]</t>
  </si>
  <si>
    <t>Total Updated Economic Value of LSE CTRs [$/day]</t>
  </si>
  <si>
    <t>Updated Zonal CTR Credit Rate [$/MW UCAP Obligation per Day]</t>
  </si>
  <si>
    <t>Updated Zonal CTR Settlement Rate [$/MW CTR per day]</t>
  </si>
  <si>
    <t>Weighted Locational Price Adder is with respect to immediate higher level LDA.</t>
  </si>
  <si>
    <t>CTRs Allocated, Economic Value of CTRs, CTR Credit Rates, and CTR Settlement Rates are not final and may change due to future Incremental Auction results.</t>
  </si>
  <si>
    <t>2018/2019 1st IA CTRs</t>
  </si>
  <si>
    <t xml:space="preserve">2018/2019 1st IA ICTRs </t>
  </si>
  <si>
    <t>Base Capacity Resource Price Decrement in LDA
 [$/MW-day]</t>
  </si>
  <si>
    <t>Capacity Performance Resources</t>
  </si>
  <si>
    <t>Base Capacity DR/EE Resources</t>
  </si>
  <si>
    <t>2015 W/N Coincident Peak Load                    [MW]</t>
  </si>
  <si>
    <t>1st IA 2018/2019 Zonal Peak Load Forecast            [MW]</t>
  </si>
  <si>
    <t xml:space="preserve">Note:  Cost Allocation Percentages are based on 2016 cost responsibility assignments from the OATT.  The cost allocation percentages may change during actual Delivery Year. </t>
  </si>
  <si>
    <t>1st Incremental Auction</t>
  </si>
  <si>
    <t>Resource Clearing Prices [$/MW-day]</t>
  </si>
  <si>
    <t>Participant Buy Bids/Sell Offers Cleared</t>
  </si>
  <si>
    <t>Net Participant Buy Bids/Sell Offers Cleared * [MW]</t>
  </si>
  <si>
    <t>* A positive net particpant buy bid/sell offer cleared represents a net purchase of capacity by participants.</t>
  </si>
  <si>
    <t>* A negative net participant buy bid/sell offer cleared represents a net sale of capacity by participants.</t>
  </si>
  <si>
    <t xml:space="preserve"> Defined PJM Buy Bids/Sell Offers only apply in Incremental Auctions.  Variable Resource Requirement Curve (VRR) used in the clearing of the Base Residual Auction. </t>
  </si>
  <si>
    <t>Net PJM Buy Bids/Sell Offers Cleared ** [MW]</t>
  </si>
  <si>
    <t>**A positive net PJM buy bid/sell offer cleared represents a net purchase of capacity by PJM.</t>
  </si>
  <si>
    <t>** A negative net PJM buy bid/sell offer cleared represents a net release of committed capacity by PJM.</t>
  </si>
  <si>
    <t>Adjusted Zonal Net Load Price         ($/MW-day)</t>
  </si>
  <si>
    <t>Adjusted Zonal UCAP Obligation      (MW)</t>
  </si>
  <si>
    <t>Adjusted Zonal Capacity Price          ($/MW-day)</t>
  </si>
  <si>
    <t>Updated Zonal CTR Credit Rate ($/MW-UCAP Obligation-day)</t>
  </si>
  <si>
    <t>*** Obligation affected by FRR quantities.</t>
  </si>
  <si>
    <t>Base Zonal UCAP Obligation (MW)</t>
  </si>
  <si>
    <t>Preliminary Zonal Capacity Price ($/MW-day)</t>
  </si>
  <si>
    <t>Adjusted Zonal Net Load Price       ($/MW-day)</t>
  </si>
  <si>
    <t>Capacity Performance Resoources</t>
  </si>
  <si>
    <t>Base Capacity Generation Resources</t>
  </si>
  <si>
    <t xml:space="preserve">1st Incremental Auction Adjusted Zonal Capacity Prices &amp; Adjusted Zonal CTR Credit Rates are determined based on the results of the Base Residual Auction and 1st Incremental Auctions for the DY. </t>
  </si>
  <si>
    <t>Base Zonal UCAP Obligation         (MW)</t>
  </si>
  <si>
    <t>PSEG</t>
  </si>
  <si>
    <t>PPL</t>
  </si>
  <si>
    <t>NORTH  ***</t>
  </si>
  <si>
    <t xml:space="preserve">WEST 2 *** </t>
  </si>
  <si>
    <t>***  No external capacity modeled in the External Source Zones was offered in 2018/2019 1st IA.</t>
  </si>
  <si>
    <t>Adjustment due to Make Whole                      ($/day)</t>
  </si>
  <si>
    <t xml:space="preserve">2018/2019 2nd IA ICTRs </t>
  </si>
  <si>
    <t>2018/2019 2nd IA CTRs</t>
  </si>
  <si>
    <t>2018/2019 DY 2nd IA Load Pricing Results</t>
  </si>
  <si>
    <t>2018/2019 DY 2nd IA Resource Clearing Results</t>
  </si>
  <si>
    <t>***  No external capacity modeled in the External Source Zones was offered in 2018/2019 2nd IA.</t>
  </si>
  <si>
    <t>2016 W/N Coincident Peak Load                    [MW]</t>
  </si>
  <si>
    <t>2nd IA 2018/2019 Zonal Peak Load Forecast            [MW]</t>
  </si>
  <si>
    <t>ComEd</t>
  </si>
  <si>
    <t>Dayton</t>
  </si>
  <si>
    <t>Duke Energy OH/KY</t>
  </si>
  <si>
    <t>Duquesne</t>
  </si>
  <si>
    <t>Delmarva</t>
  </si>
  <si>
    <t>Dominion</t>
  </si>
  <si>
    <t>HTP</t>
  </si>
  <si>
    <t>MetEd</t>
  </si>
  <si>
    <t>Penelec</t>
  </si>
  <si>
    <t>Rockland</t>
  </si>
  <si>
    <t>East Coast Power</t>
  </si>
  <si>
    <t>#53376523</t>
  </si>
  <si>
    <t>2nd Incremental Auction</t>
  </si>
  <si>
    <t>BRA, 1st, 2nd IA Net Participant Buy Bid/Sell Offers Cleared</t>
  </si>
  <si>
    <t xml:space="preserve">Note:  Cost Allocation Percentages are based on 2017 cost responsibility assignments from the OATT.  The cost allocation percentages may change during actual Delivery Year. </t>
  </si>
  <si>
    <t>2018/2019 DY RPM Auctions:  Zonal UCAP Obligations, Zonal Capacity Prices, Zonal CTR Credit Rate, and Zonal Net Load Prices</t>
  </si>
  <si>
    <t>2018/2019 DY RPM Auction Results Summary</t>
  </si>
  <si>
    <t xml:space="preserve">2nd Incremental Auction Adjusted Zonal Capacity Prices &amp; Adjusted Zonal CTR Credit Rates are determined based on the results of the Base Residual Auction and 1st and 2nd Incremental Auctions for the DY. </t>
  </si>
  <si>
    <t>Remaining CTRs for LSEs                     [MW]</t>
  </si>
  <si>
    <t>CTRs Allocated to LSEs                     [MW]</t>
  </si>
  <si>
    <t>Economic Value of LSE CTRs           [$/day]</t>
  </si>
  <si>
    <t>Total Updated Economic Value of LSE CTRs           [$/day]</t>
  </si>
  <si>
    <t>Economic Value of LSE CTRs            [$/day]</t>
  </si>
  <si>
    <t>CTRs Allocated to LSEs                      [MW]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</si>
</sst>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0.0%"/>
    <numFmt numFmtId="167" formatCode="&quot;$&quot;#,##0.0"/>
    <numFmt numFmtId="168" formatCode="0.00000"/>
    <numFmt numFmtId="169" formatCode="0.0000"/>
    <numFmt numFmtId="170" formatCode="#,##0.0"/>
    <numFmt numFmtId="171" formatCode="0.000000"/>
    <numFmt numFmtId="172" formatCode="_(* #,##0.0_);_(* \(#,##0.0\);_(* &quot;-&quot;??_);_(@_)"/>
    <numFmt numFmtId="173" formatCode="_(* #,##0.00000_);_(* \(#,##0.00000\);_(* &quot;-&quot;?????_);_(@_)"/>
    <numFmt numFmtId="174" formatCode="_(* #,##0.0_);_(* \(#,##0.0\);_(* &quot;-&quot;?_);_(@_)"/>
    <numFmt numFmtId="175" formatCode="_(* #,##0.000000_);_(* \(#,##0.000000\);_(* &quot;-&quot;??_);_(@_)"/>
    <numFmt numFmtId="176" formatCode="_(* #,##0.000000000_);_(* \(#,##0.000000000\);_(* &quot;-&quot;??_);_(@_)"/>
    <numFmt numFmtId="177" formatCode="&quot;$&quot;#,##0.000"/>
    <numFmt numFmtId="178" formatCode="#,##0.00000000"/>
    <numFmt numFmtId="179" formatCode="0.0000000"/>
    <numFmt numFmtId="180" formatCode="&quot;$&quot;#,##0.0000"/>
  </numFmts>
  <fonts count="36" x14ac:knownFonts="1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sz val="11"/>
      <color indexed="56"/>
      <name val="Calibri"/>
      <family val="2"/>
    </font>
    <font>
      <b/>
      <i/>
      <sz val="14"/>
      <color indexed="10"/>
      <name val="Arial"/>
      <family val="2"/>
    </font>
    <font>
      <sz val="11"/>
      <name val="Arial"/>
      <family val="2"/>
    </font>
    <font>
      <sz val="10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0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Border="1"/>
    <xf numFmtId="168" fontId="4" fillId="0" borderId="0" xfId="0" applyNumberFormat="1" applyFont="1"/>
    <xf numFmtId="0" fontId="4" fillId="0" borderId="0" xfId="0" applyFont="1" applyFill="1" applyBorder="1"/>
    <xf numFmtId="0" fontId="5" fillId="0" borderId="0" xfId="0" applyNumberFormat="1" applyFont="1" applyFill="1" applyBorder="1" applyAlignment="1">
      <alignment horizontal="center" wrapText="1"/>
    </xf>
    <xf numFmtId="0" fontId="9" fillId="0" borderId="0" xfId="0" applyFont="1"/>
    <xf numFmtId="170" fontId="4" fillId="0" borderId="0" xfId="0" applyNumberFormat="1" applyFont="1"/>
    <xf numFmtId="44" fontId="5" fillId="0" borderId="0" xfId="3" applyFont="1" applyBorder="1" applyAlignment="1">
      <alignment horizontal="center"/>
    </xf>
    <xf numFmtId="43" fontId="4" fillId="0" borderId="0" xfId="0" applyNumberFormat="1" applyFont="1"/>
    <xf numFmtId="0" fontId="0" fillId="0" borderId="0" xfId="0" applyBorder="1"/>
    <xf numFmtId="0" fontId="4" fillId="0" borderId="0" xfId="0" applyFont="1" applyFill="1"/>
    <xf numFmtId="0" fontId="10" fillId="0" borderId="0" xfId="0" applyFont="1" applyFill="1" applyBorder="1" applyAlignment="1">
      <alignment horizontal="left"/>
    </xf>
    <xf numFmtId="0" fontId="8" fillId="0" borderId="0" xfId="0" applyFont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5" fontId="8" fillId="0" borderId="0" xfId="0" applyNumberFormat="1" applyFont="1" applyFill="1"/>
    <xf numFmtId="0" fontId="8" fillId="0" borderId="0" xfId="0" applyFont="1" applyFill="1"/>
    <xf numFmtId="0" fontId="12" fillId="0" borderId="0" xfId="0" applyFont="1"/>
    <xf numFmtId="0" fontId="12" fillId="0" borderId="1" xfId="0" applyFont="1" applyFill="1" applyBorder="1"/>
    <xf numFmtId="0" fontId="12" fillId="0" borderId="0" xfId="0" applyFont="1" applyFill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1" xfId="0" applyFont="1" applyBorder="1"/>
    <xf numFmtId="165" fontId="12" fillId="0" borderId="1" xfId="0" applyNumberFormat="1" applyFont="1" applyBorder="1" applyAlignment="1">
      <alignment horizontal="right"/>
    </xf>
    <xf numFmtId="0" fontId="12" fillId="0" borderId="0" xfId="0" applyFont="1" applyBorder="1"/>
    <xf numFmtId="165" fontId="12" fillId="0" borderId="0" xfId="0" applyNumberFormat="1" applyFont="1" applyFill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2" fillId="0" borderId="0" xfId="0" applyNumberFormat="1" applyFont="1" applyBorder="1"/>
    <xf numFmtId="165" fontId="15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 wrapText="1"/>
    </xf>
    <xf numFmtId="172" fontId="12" fillId="0" borderId="1" xfId="1" applyNumberFormat="1" applyFont="1" applyBorder="1"/>
    <xf numFmtId="170" fontId="12" fillId="0" borderId="1" xfId="0" applyNumberFormat="1" applyFont="1" applyFill="1" applyBorder="1" applyAlignment="1">
      <alignment horizontal="right"/>
    </xf>
    <xf numFmtId="172" fontId="12" fillId="0" borderId="1" xfId="1" applyNumberFormat="1" applyFont="1" applyFill="1" applyBorder="1" applyAlignment="1">
      <alignment horizontal="right"/>
    </xf>
    <xf numFmtId="1" fontId="12" fillId="0" borderId="1" xfId="1" applyNumberFormat="1" applyFont="1" applyBorder="1"/>
    <xf numFmtId="1" fontId="12" fillId="0" borderId="1" xfId="1" applyNumberFormat="1" applyFont="1" applyFill="1" applyBorder="1" applyAlignment="1">
      <alignment horizontal="right"/>
    </xf>
    <xf numFmtId="172" fontId="12" fillId="0" borderId="0" xfId="0" applyNumberFormat="1" applyFont="1" applyBorder="1"/>
    <xf numFmtId="0" fontId="12" fillId="0" borderId="2" xfId="0" applyFont="1" applyBorder="1"/>
    <xf numFmtId="170" fontId="12" fillId="0" borderId="1" xfId="0" applyNumberFormat="1" applyFont="1" applyBorder="1" applyAlignment="1">
      <alignment horizontal="right"/>
    </xf>
    <xf numFmtId="170" fontId="12" fillId="0" borderId="1" xfId="0" applyNumberFormat="1" applyFont="1" applyBorder="1"/>
    <xf numFmtId="165" fontId="12" fillId="0" borderId="1" xfId="0" applyNumberFormat="1" applyFont="1" applyBorder="1"/>
    <xf numFmtId="165" fontId="12" fillId="0" borderId="3" xfId="0" applyNumberFormat="1" applyFont="1" applyBorder="1"/>
    <xf numFmtId="165" fontId="12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left"/>
    </xf>
    <xf numFmtId="170" fontId="12" fillId="0" borderId="0" xfId="0" applyNumberFormat="1" applyFont="1" applyBorder="1"/>
    <xf numFmtId="165" fontId="11" fillId="0" borderId="4" xfId="0" applyNumberFormat="1" applyFont="1" applyBorder="1"/>
    <xf numFmtId="0" fontId="13" fillId="0" borderId="0" xfId="0" applyFont="1" applyFill="1" applyBorder="1"/>
    <xf numFmtId="0" fontId="11" fillId="0" borderId="0" xfId="0" applyFont="1"/>
    <xf numFmtId="0" fontId="14" fillId="0" borderId="0" xfId="0" applyFont="1"/>
    <xf numFmtId="165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 vertical="center"/>
    </xf>
    <xf numFmtId="165" fontId="12" fillId="0" borderId="0" xfId="0" applyNumberFormat="1" applyFont="1" applyBorder="1" applyAlignment="1">
      <alignment horizontal="center"/>
    </xf>
    <xf numFmtId="0" fontId="11" fillId="0" borderId="1" xfId="0" applyFont="1" applyBorder="1"/>
    <xf numFmtId="170" fontId="11" fillId="0" borderId="1" xfId="0" applyNumberFormat="1" applyFont="1" applyBorder="1"/>
    <xf numFmtId="165" fontId="11" fillId="0" borderId="1" xfId="0" applyNumberFormat="1" applyFont="1" applyBorder="1"/>
    <xf numFmtId="170" fontId="12" fillId="0" borderId="0" xfId="0" applyNumberFormat="1" applyFont="1" applyBorder="1" applyAlignment="1">
      <alignment horizontal="center"/>
    </xf>
    <xf numFmtId="0" fontId="11" fillId="0" borderId="0" xfId="0" applyFont="1" applyBorder="1"/>
    <xf numFmtId="165" fontId="12" fillId="0" borderId="0" xfId="0" applyNumberFormat="1" applyFont="1" applyBorder="1" applyAlignment="1">
      <alignment horizontal="center" wrapText="1"/>
    </xf>
    <xf numFmtId="164" fontId="17" fillId="0" borderId="0" xfId="0" applyNumberFormat="1" applyFont="1" applyBorder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172" fontId="12" fillId="0" borderId="0" xfId="1" applyNumberFormat="1" applyFont="1" applyBorder="1" applyAlignment="1">
      <alignment horizontal="center"/>
    </xf>
    <xf numFmtId="172" fontId="15" fillId="0" borderId="0" xfId="1" applyNumberFormat="1" applyFont="1" applyBorder="1" applyAlignment="1">
      <alignment horizontal="left"/>
    </xf>
    <xf numFmtId="164" fontId="12" fillId="0" borderId="0" xfId="0" applyNumberFormat="1" applyFont="1" applyBorder="1" applyAlignment="1">
      <alignment horizontal="center"/>
    </xf>
    <xf numFmtId="165" fontId="12" fillId="0" borderId="0" xfId="3" applyNumberFormat="1" applyFont="1" applyBorder="1" applyAlignment="1">
      <alignment horizontal="center"/>
    </xf>
    <xf numFmtId="164" fontId="12" fillId="0" borderId="0" xfId="0" applyNumberFormat="1" applyFont="1" applyBorder="1"/>
    <xf numFmtId="164" fontId="12" fillId="0" borderId="0" xfId="0" applyNumberFormat="1" applyFont="1"/>
    <xf numFmtId="170" fontId="12" fillId="0" borderId="0" xfId="0" applyNumberFormat="1" applyFont="1"/>
    <xf numFmtId="4" fontId="12" fillId="0" borderId="0" xfId="0" applyNumberFormat="1" applyFont="1" applyBorder="1" applyAlignment="1">
      <alignment horizontal="right"/>
    </xf>
    <xf numFmtId="173" fontId="12" fillId="0" borderId="0" xfId="0" applyNumberFormat="1" applyFont="1"/>
    <xf numFmtId="165" fontId="12" fillId="0" borderId="1" xfId="1" applyNumberFormat="1" applyFont="1" applyBorder="1" applyAlignment="1">
      <alignment horizontal="right"/>
    </xf>
    <xf numFmtId="0" fontId="17" fillId="0" borderId="1" xfId="0" applyFont="1" applyBorder="1"/>
    <xf numFmtId="165" fontId="12" fillId="0" borderId="1" xfId="0" applyNumberFormat="1" applyFont="1" applyBorder="1" applyAlignment="1">
      <alignment horizontal="right" wrapText="1"/>
    </xf>
    <xf numFmtId="0" fontId="12" fillId="0" borderId="0" xfId="0" applyFont="1" applyFill="1" applyBorder="1" applyAlignment="1">
      <alignment horizontal="left" wrapText="1"/>
    </xf>
    <xf numFmtId="171" fontId="18" fillId="0" borderId="0" xfId="0" applyNumberFormat="1" applyFont="1" applyBorder="1"/>
    <xf numFmtId="165" fontId="19" fillId="0" borderId="0" xfId="0" applyNumberFormat="1" applyFont="1" applyBorder="1"/>
    <xf numFmtId="0" fontId="17" fillId="0" borderId="0" xfId="0" applyNumberFormat="1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168" fontId="12" fillId="0" borderId="1" xfId="0" applyNumberFormat="1" applyFont="1" applyBorder="1"/>
    <xf numFmtId="172" fontId="12" fillId="0" borderId="1" xfId="1" applyNumberFormat="1" applyFont="1" applyFill="1" applyBorder="1"/>
    <xf numFmtId="0" fontId="18" fillId="0" borderId="0" xfId="0" applyFont="1" applyFill="1" applyBorder="1"/>
    <xf numFmtId="0" fontId="20" fillId="0" borderId="0" xfId="0" applyFont="1"/>
    <xf numFmtId="0" fontId="20" fillId="0" borderId="0" xfId="0" applyFont="1" applyFill="1" applyBorder="1"/>
    <xf numFmtId="0" fontId="12" fillId="0" borderId="0" xfId="0" applyFont="1" applyBorder="1" applyAlignment="1"/>
    <xf numFmtId="0" fontId="14" fillId="0" borderId="0" xfId="0" applyFont="1" applyFill="1" applyBorder="1"/>
    <xf numFmtId="7" fontId="12" fillId="0" borderId="1" xfId="0" applyNumberFormat="1" applyFont="1" applyFill="1" applyBorder="1" applyAlignment="1">
      <alignment horizontal="right"/>
    </xf>
    <xf numFmtId="172" fontId="4" fillId="0" borderId="0" xfId="0" applyNumberFormat="1" applyFont="1"/>
    <xf numFmtId="7" fontId="12" fillId="0" borderId="0" xfId="0" applyNumberFormat="1" applyFont="1" applyBorder="1"/>
    <xf numFmtId="7" fontId="12" fillId="0" borderId="0" xfId="0" applyNumberFormat="1" applyFont="1" applyFill="1" applyBorder="1" applyAlignment="1">
      <alignment horizontal="left" wrapText="1"/>
    </xf>
    <xf numFmtId="43" fontId="12" fillId="0" borderId="0" xfId="0" applyNumberFormat="1" applyFont="1" applyBorder="1"/>
    <xf numFmtId="0" fontId="12" fillId="0" borderId="0" xfId="0" applyFont="1" applyFill="1" applyBorder="1" applyAlignment="1"/>
    <xf numFmtId="172" fontId="12" fillId="0" borderId="1" xfId="1" applyNumberFormat="1" applyFont="1" applyBorder="1" applyAlignment="1">
      <alignment horizontal="right"/>
    </xf>
    <xf numFmtId="0" fontId="14" fillId="0" borderId="0" xfId="0" applyFont="1" applyFill="1"/>
    <xf numFmtId="0" fontId="15" fillId="0" borderId="0" xfId="0" applyFont="1"/>
    <xf numFmtId="0" fontId="15" fillId="0" borderId="0" xfId="0" applyFont="1" applyAlignment="1">
      <alignment horizontal="right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right"/>
    </xf>
    <xf numFmtId="0" fontId="12" fillId="0" borderId="1" xfId="0" applyNumberFormat="1" applyFont="1" applyBorder="1" applyAlignment="1">
      <alignment horizontal="right"/>
    </xf>
    <xf numFmtId="164" fontId="12" fillId="0" borderId="1" xfId="1" applyNumberFormat="1" applyFont="1" applyBorder="1"/>
    <xf numFmtId="0" fontId="12" fillId="0" borderId="0" xfId="0" applyFont="1" applyFill="1" applyBorder="1" applyAlignment="1">
      <alignment horizontal="left"/>
    </xf>
    <xf numFmtId="165" fontId="11" fillId="0" borderId="0" xfId="0" applyNumberFormat="1" applyFont="1" applyBorder="1"/>
    <xf numFmtId="0" fontId="17" fillId="0" borderId="0" xfId="0" applyFont="1" applyBorder="1"/>
    <xf numFmtId="164" fontId="12" fillId="0" borderId="0" xfId="0" applyNumberFormat="1" applyFont="1" applyAlignment="1">
      <alignment horizontal="left"/>
    </xf>
    <xf numFmtId="164" fontId="12" fillId="0" borderId="2" xfId="0" applyNumberFormat="1" applyFont="1" applyBorder="1" applyAlignment="1">
      <alignment horizontal="right"/>
    </xf>
    <xf numFmtId="165" fontId="12" fillId="0" borderId="3" xfId="0" applyNumberFormat="1" applyFont="1" applyBorder="1" applyAlignment="1">
      <alignment horizontal="right"/>
    </xf>
    <xf numFmtId="0" fontId="12" fillId="0" borderId="9" xfId="0" applyFont="1" applyFill="1" applyBorder="1"/>
    <xf numFmtId="0" fontId="11" fillId="0" borderId="15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10" fontId="12" fillId="0" borderId="1" xfId="6" applyNumberFormat="1" applyFont="1" applyFill="1" applyBorder="1" applyAlignment="1">
      <alignment horizontal="right"/>
    </xf>
    <xf numFmtId="10" fontId="11" fillId="0" borderId="0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 wrapText="1"/>
    </xf>
    <xf numFmtId="0" fontId="11" fillId="0" borderId="17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/>
    </xf>
    <xf numFmtId="164" fontId="11" fillId="0" borderId="9" xfId="0" applyNumberFormat="1" applyFont="1" applyBorder="1" applyAlignment="1">
      <alignment horizontal="right"/>
    </xf>
    <xf numFmtId="164" fontId="11" fillId="0" borderId="8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2" fillId="0" borderId="10" xfId="0" applyFont="1" applyBorder="1"/>
    <xf numFmtId="165" fontId="12" fillId="0" borderId="19" xfId="0" applyNumberFormat="1" applyFont="1" applyBorder="1"/>
    <xf numFmtId="165" fontId="12" fillId="0" borderId="11" xfId="0" applyNumberFormat="1" applyFont="1" applyBorder="1"/>
    <xf numFmtId="165" fontId="11" fillId="0" borderId="8" xfId="0" applyNumberFormat="1" applyFont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 wrapText="1"/>
    </xf>
    <xf numFmtId="165" fontId="12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right"/>
    </xf>
    <xf numFmtId="165" fontId="12" fillId="4" borderId="1" xfId="0" applyNumberFormat="1" applyFont="1" applyFill="1" applyBorder="1"/>
    <xf numFmtId="165" fontId="12" fillId="4" borderId="1" xfId="0" applyNumberFormat="1" applyFont="1" applyFill="1" applyBorder="1" applyAlignment="1">
      <alignment horizontal="right"/>
    </xf>
    <xf numFmtId="7" fontId="12" fillId="4" borderId="1" xfId="0" applyNumberFormat="1" applyFont="1" applyFill="1" applyBorder="1" applyAlignment="1">
      <alignment horizontal="right"/>
    </xf>
    <xf numFmtId="165" fontId="11" fillId="4" borderId="1" xfId="0" applyNumberFormat="1" applyFont="1" applyFill="1" applyBorder="1" applyAlignment="1">
      <alignment horizontal="right"/>
    </xf>
    <xf numFmtId="165" fontId="12" fillId="4" borderId="1" xfId="3" applyNumberFormat="1" applyFont="1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right"/>
    </xf>
    <xf numFmtId="165" fontId="11" fillId="4" borderId="1" xfId="3" applyNumberFormat="1" applyFont="1" applyFill="1" applyBorder="1"/>
    <xf numFmtId="0" fontId="16" fillId="6" borderId="15" xfId="0" applyFont="1" applyFill="1" applyBorder="1" applyAlignment="1">
      <alignment horizontal="center"/>
    </xf>
    <xf numFmtId="0" fontId="16" fillId="7" borderId="19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wrapText="1"/>
    </xf>
    <xf numFmtId="0" fontId="23" fillId="0" borderId="0" xfId="0" applyFont="1"/>
    <xf numFmtId="0" fontId="11" fillId="0" borderId="1" xfId="0" applyFont="1" applyBorder="1" applyAlignment="1">
      <alignment horizontal="center" vertical="center" wrapText="1"/>
    </xf>
    <xf numFmtId="2" fontId="12" fillId="0" borderId="0" xfId="0" applyNumberFormat="1" applyFont="1" applyBorder="1" applyAlignment="1"/>
    <xf numFmtId="167" fontId="12" fillId="0" borderId="1" xfId="0" applyNumberFormat="1" applyFont="1" applyBorder="1" applyAlignment="1">
      <alignment horizontal="right"/>
    </xf>
    <xf numFmtId="170" fontId="0" fillId="0" borderId="0" xfId="0" applyNumberFormat="1"/>
    <xf numFmtId="165" fontId="0" fillId="0" borderId="0" xfId="0" applyNumberFormat="1"/>
    <xf numFmtId="0" fontId="12" fillId="0" borderId="1" xfId="0" applyFont="1" applyBorder="1"/>
    <xf numFmtId="0" fontId="11" fillId="0" borderId="1" xfId="0" applyFont="1" applyFill="1" applyBorder="1" applyAlignment="1">
      <alignment horizontal="right"/>
    </xf>
    <xf numFmtId="0" fontId="16" fillId="8" borderId="1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166" fontId="12" fillId="0" borderId="1" xfId="6" applyNumberFormat="1" applyFont="1" applyFill="1" applyBorder="1" applyAlignment="1">
      <alignment horizontal="right"/>
    </xf>
    <xf numFmtId="169" fontId="12" fillId="0" borderId="1" xfId="6" applyNumberFormat="1" applyFont="1" applyFill="1" applyBorder="1" applyAlignment="1">
      <alignment horizontal="right"/>
    </xf>
    <xf numFmtId="168" fontId="12" fillId="0" borderId="1" xfId="6" applyNumberFormat="1" applyFont="1" applyBorder="1" applyAlignment="1">
      <alignment horizontal="right"/>
    </xf>
    <xf numFmtId="0" fontId="16" fillId="7" borderId="19" xfId="0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11" fillId="9" borderId="1" xfId="0" applyNumberFormat="1" applyFont="1" applyFill="1" applyBorder="1" applyAlignment="1">
      <alignment horizontal="center" wrapText="1"/>
    </xf>
    <xf numFmtId="172" fontId="12" fillId="0" borderId="1" xfId="1" applyNumberFormat="1" applyFont="1" applyFill="1" applyBorder="1" applyAlignment="1"/>
    <xf numFmtId="165" fontId="12" fillId="9" borderId="1" xfId="0" applyNumberFormat="1" applyFont="1" applyFill="1" applyBorder="1" applyAlignment="1">
      <alignment horizontal="right"/>
    </xf>
    <xf numFmtId="172" fontId="11" fillId="0" borderId="1" xfId="1" applyNumberFormat="1" applyFont="1" applyFill="1" applyBorder="1" applyAlignment="1"/>
    <xf numFmtId="0" fontId="11" fillId="0" borderId="1" xfId="0" applyFont="1" applyFill="1" applyBorder="1"/>
    <xf numFmtId="172" fontId="11" fillId="0" borderId="1" xfId="1" applyNumberFormat="1" applyFont="1" applyFill="1" applyBorder="1"/>
    <xf numFmtId="172" fontId="11" fillId="0" borderId="1" xfId="1" applyNumberFormat="1" applyFont="1" applyBorder="1" applyAlignment="1">
      <alignment horizontal="left" indent="2"/>
    </xf>
    <xf numFmtId="164" fontId="11" fillId="0" borderId="1" xfId="0" applyNumberFormat="1" applyFont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2" fillId="0" borderId="1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4" fontId="11" fillId="0" borderId="1" xfId="3" applyFont="1" applyBorder="1" applyAlignment="1">
      <alignment horizontal="center" vertical="center" wrapText="1"/>
    </xf>
    <xf numFmtId="44" fontId="11" fillId="0" borderId="1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164" fontId="12" fillId="0" borderId="2" xfId="0" applyNumberFormat="1" applyFont="1" applyFill="1" applyBorder="1" applyAlignment="1">
      <alignment horizontal="right" vertical="center"/>
    </xf>
    <xf numFmtId="164" fontId="12" fillId="0" borderId="24" xfId="0" applyNumberFormat="1" applyFont="1" applyFill="1" applyBorder="1" applyAlignment="1">
      <alignment horizontal="right" vertical="center"/>
    </xf>
    <xf numFmtId="164" fontId="11" fillId="5" borderId="2" xfId="0" applyNumberFormat="1" applyFont="1" applyFill="1" applyBorder="1" applyAlignment="1">
      <alignment horizontal="right" vertical="center"/>
    </xf>
    <xf numFmtId="164" fontId="11" fillId="5" borderId="24" xfId="0" applyNumberFormat="1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vertical="center"/>
    </xf>
    <xf numFmtId="164" fontId="12" fillId="0" borderId="18" xfId="0" applyNumberFormat="1" applyFont="1" applyFill="1" applyBorder="1" applyAlignment="1">
      <alignment horizontal="right" vertical="center"/>
    </xf>
    <xf numFmtId="164" fontId="11" fillId="5" borderId="24" xfId="0" applyNumberFormat="1" applyFont="1" applyFill="1" applyBorder="1" applyAlignment="1">
      <alignment horizontal="right" vertical="center"/>
    </xf>
    <xf numFmtId="164" fontId="11" fillId="5" borderId="25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center" vertical="center"/>
    </xf>
    <xf numFmtId="10" fontId="5" fillId="0" borderId="0" xfId="5" applyNumberFormat="1" applyFont="1" applyBorder="1" applyAlignment="1">
      <alignment horizontal="right"/>
    </xf>
    <xf numFmtId="0" fontId="5" fillId="0" borderId="0" xfId="5" applyFont="1" applyFill="1" applyBorder="1" applyAlignment="1">
      <alignment horizontal="center" vertical="center" wrapText="1"/>
    </xf>
    <xf numFmtId="164" fontId="5" fillId="0" borderId="0" xfId="5" applyNumberFormat="1" applyFont="1" applyBorder="1" applyAlignment="1">
      <alignment horizontal="center" vertical="center" wrapText="1"/>
    </xf>
    <xf numFmtId="10" fontId="4" fillId="0" borderId="0" xfId="7" applyNumberFormat="1" applyFont="1" applyFill="1" applyBorder="1" applyAlignment="1">
      <alignment horizontal="right"/>
    </xf>
    <xf numFmtId="0" fontId="16" fillId="7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0" fontId="11" fillId="0" borderId="1" xfId="0" applyNumberFormat="1" applyFont="1" applyBorder="1" applyAlignment="1">
      <alignment horizontal="right"/>
    </xf>
    <xf numFmtId="164" fontId="11" fillId="0" borderId="26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center" vertical="center"/>
    </xf>
    <xf numFmtId="165" fontId="12" fillId="0" borderId="23" xfId="0" applyNumberFormat="1" applyFont="1" applyBorder="1"/>
    <xf numFmtId="165" fontId="11" fillId="0" borderId="28" xfId="0" applyNumberFormat="1" applyFont="1" applyBorder="1" applyAlignment="1">
      <alignment horizontal="right"/>
    </xf>
    <xf numFmtId="164" fontId="12" fillId="0" borderId="29" xfId="0" applyNumberFormat="1" applyFont="1" applyBorder="1" applyAlignment="1">
      <alignment horizontal="right"/>
    </xf>
    <xf numFmtId="164" fontId="11" fillId="0" borderId="30" xfId="0" applyNumberFormat="1" applyFont="1" applyBorder="1" applyAlignment="1">
      <alignment horizontal="right"/>
    </xf>
    <xf numFmtId="164" fontId="11" fillId="0" borderId="5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1" fontId="12" fillId="0" borderId="1" xfId="1" applyNumberFormat="1" applyFont="1" applyBorder="1" applyAlignment="1">
      <alignment horizontal="right"/>
    </xf>
    <xf numFmtId="164" fontId="12" fillId="0" borderId="1" xfId="1" applyNumberFormat="1" applyFont="1" applyFill="1" applyBorder="1"/>
    <xf numFmtId="43" fontId="15" fillId="0" borderId="0" xfId="0" applyNumberFormat="1" applyFont="1"/>
    <xf numFmtId="0" fontId="11" fillId="2" borderId="1" xfId="0" applyNumberFormat="1" applyFont="1" applyFill="1" applyBorder="1" applyAlignment="1">
      <alignment horizontal="center" wrapText="1"/>
    </xf>
    <xf numFmtId="172" fontId="12" fillId="2" borderId="1" xfId="1" applyNumberFormat="1" applyFont="1" applyFill="1" applyBorder="1"/>
    <xf numFmtId="0" fontId="11" fillId="0" borderId="31" xfId="0" applyFont="1" applyBorder="1" applyAlignment="1">
      <alignment horizontal="center" vertical="center" wrapText="1"/>
    </xf>
    <xf numFmtId="165" fontId="12" fillId="0" borderId="32" xfId="0" applyNumberFormat="1" applyFont="1" applyBorder="1" applyAlignment="1">
      <alignment horizontal="right"/>
    </xf>
    <xf numFmtId="165" fontId="11" fillId="0" borderId="33" xfId="0" applyNumberFormat="1" applyFont="1" applyBorder="1" applyAlignment="1">
      <alignment horizontal="right"/>
    </xf>
    <xf numFmtId="0" fontId="11" fillId="0" borderId="34" xfId="0" applyFont="1" applyFill="1" applyBorder="1" applyAlignment="1">
      <alignment horizontal="center" vertical="center" wrapText="1"/>
    </xf>
    <xf numFmtId="164" fontId="12" fillId="0" borderId="35" xfId="0" applyNumberFormat="1" applyFont="1" applyBorder="1" applyAlignment="1">
      <alignment horizontal="right"/>
    </xf>
    <xf numFmtId="164" fontId="12" fillId="0" borderId="23" xfId="0" applyNumberFormat="1" applyFont="1" applyBorder="1" applyAlignment="1">
      <alignment horizontal="right"/>
    </xf>
    <xf numFmtId="164" fontId="11" fillId="0" borderId="28" xfId="0" applyNumberFormat="1" applyFont="1" applyBorder="1" applyAlignment="1">
      <alignment horizontal="right"/>
    </xf>
    <xf numFmtId="165" fontId="11" fillId="0" borderId="36" xfId="0" applyNumberFormat="1" applyFont="1" applyBorder="1" applyAlignment="1">
      <alignment horizontal="center" vertical="center"/>
    </xf>
    <xf numFmtId="165" fontId="11" fillId="0" borderId="26" xfId="0" applyNumberFormat="1" applyFont="1" applyBorder="1" applyAlignment="1">
      <alignment horizontal="center" vertical="center" wrapText="1"/>
    </xf>
    <xf numFmtId="165" fontId="11" fillId="0" borderId="23" xfId="0" applyNumberFormat="1" applyFont="1" applyBorder="1" applyAlignment="1">
      <alignment horizontal="center" vertical="center"/>
    </xf>
    <xf numFmtId="165" fontId="11" fillId="0" borderId="37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right" vertical="center" wrapText="1"/>
    </xf>
    <xf numFmtId="165" fontId="11" fillId="0" borderId="39" xfId="0" applyNumberFormat="1" applyFont="1" applyBorder="1" applyAlignment="1">
      <alignment horizontal="center" vertical="center"/>
    </xf>
    <xf numFmtId="164" fontId="11" fillId="0" borderId="40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0" fontId="12" fillId="0" borderId="0" xfId="0" applyFont="1" applyFill="1"/>
    <xf numFmtId="0" fontId="11" fillId="0" borderId="4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42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5" borderId="43" xfId="0" applyFont="1" applyFill="1" applyBorder="1" applyAlignment="1">
      <alignment horizontal="right" vertical="center" wrapText="1"/>
    </xf>
    <xf numFmtId="164" fontId="11" fillId="5" borderId="9" xfId="0" applyNumberFormat="1" applyFont="1" applyFill="1" applyBorder="1" applyAlignment="1">
      <alignment horizontal="right" vertical="center"/>
    </xf>
    <xf numFmtId="7" fontId="12" fillId="0" borderId="1" xfId="0" applyNumberFormat="1" applyFont="1" applyBorder="1" applyAlignment="1">
      <alignment horizontal="right"/>
    </xf>
    <xf numFmtId="0" fontId="14" fillId="0" borderId="0" xfId="0" applyFont="1"/>
    <xf numFmtId="0" fontId="18" fillId="0" borderId="0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right" vertical="center" wrapText="1"/>
    </xf>
    <xf numFmtId="0" fontId="6" fillId="0" borderId="0" xfId="0" applyFont="1" applyFill="1"/>
    <xf numFmtId="165" fontId="6" fillId="0" borderId="0" xfId="0" applyNumberFormat="1" applyFont="1" applyFill="1"/>
    <xf numFmtId="0" fontId="2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wrapText="1"/>
    </xf>
    <xf numFmtId="165" fontId="4" fillId="0" borderId="0" xfId="0" applyNumberFormat="1" applyFont="1" applyBorder="1"/>
    <xf numFmtId="165" fontId="5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72" fontId="4" fillId="0" borderId="0" xfId="2" applyNumberFormat="1" applyFont="1" applyFill="1" applyBorder="1" applyAlignment="1">
      <alignment horizontal="right"/>
    </xf>
    <xf numFmtId="172" fontId="4" fillId="0" borderId="0" xfId="2" applyNumberFormat="1" applyFont="1" applyBorder="1"/>
    <xf numFmtId="170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Fill="1" applyBorder="1"/>
    <xf numFmtId="165" fontId="4" fillId="0" borderId="0" xfId="0" applyNumberFormat="1" applyFont="1" applyFill="1" applyBorder="1"/>
    <xf numFmtId="4" fontId="0" fillId="0" borderId="0" xfId="2" applyNumberFormat="1" applyFont="1"/>
    <xf numFmtId="44" fontId="4" fillId="0" borderId="0" xfId="4" applyFont="1" applyFill="1" applyBorder="1"/>
    <xf numFmtId="165" fontId="4" fillId="0" borderId="0" xfId="4" applyNumberFormat="1" applyFont="1" applyFill="1" applyBorder="1"/>
    <xf numFmtId="44" fontId="5" fillId="0" borderId="0" xfId="4" applyFont="1" applyFill="1" applyBorder="1"/>
    <xf numFmtId="170" fontId="5" fillId="0" borderId="0" xfId="0" applyNumberFormat="1" applyFont="1" applyBorder="1" applyAlignment="1">
      <alignment horizontal="right"/>
    </xf>
    <xf numFmtId="170" fontId="5" fillId="0" borderId="0" xfId="0" applyNumberFormat="1" applyFont="1" applyBorder="1"/>
    <xf numFmtId="165" fontId="5" fillId="0" borderId="0" xfId="0" applyNumberFormat="1" applyFont="1" applyBorder="1"/>
    <xf numFmtId="170" fontId="4" fillId="0" borderId="0" xfId="0" applyNumberFormat="1" applyFont="1" applyBorder="1" applyAlignment="1">
      <alignment horizontal="right"/>
    </xf>
    <xf numFmtId="170" fontId="4" fillId="0" borderId="0" xfId="0" applyNumberFormat="1" applyFont="1" applyBorder="1"/>
    <xf numFmtId="0" fontId="5" fillId="0" borderId="21" xfId="0" applyFont="1" applyBorder="1" applyAlignment="1">
      <alignment horizontal="center"/>
    </xf>
    <xf numFmtId="0" fontId="5" fillId="0" borderId="0" xfId="0" applyFont="1" applyBorder="1"/>
    <xf numFmtId="43" fontId="4" fillId="0" borderId="0" xfId="0" applyNumberFormat="1" applyFont="1" applyBorder="1"/>
    <xf numFmtId="170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 wrapText="1"/>
    </xf>
    <xf numFmtId="172" fontId="4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172" fontId="4" fillId="0" borderId="0" xfId="2" applyNumberFormat="1" applyFont="1" applyBorder="1" applyAlignment="1">
      <alignment horizontal="center"/>
    </xf>
    <xf numFmtId="172" fontId="7" fillId="0" borderId="0" xfId="2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165" fontId="4" fillId="0" borderId="0" xfId="4" applyNumberFormat="1" applyFont="1" applyBorder="1" applyAlignment="1">
      <alignment horizontal="center"/>
    </xf>
    <xf numFmtId="176" fontId="4" fillId="0" borderId="0" xfId="0" applyNumberFormat="1" applyFont="1" applyBorder="1"/>
    <xf numFmtId="175" fontId="4" fillId="0" borderId="0" xfId="0" applyNumberFormat="1" applyFont="1" applyBorder="1"/>
    <xf numFmtId="0" fontId="5" fillId="0" borderId="0" xfId="0" applyFont="1"/>
    <xf numFmtId="172" fontId="4" fillId="0" borderId="0" xfId="2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173" fontId="4" fillId="0" borderId="0" xfId="0" applyNumberFormat="1" applyFont="1"/>
    <xf numFmtId="165" fontId="4" fillId="0" borderId="0" xfId="0" applyNumberFormat="1" applyFont="1"/>
    <xf numFmtId="171" fontId="27" fillId="0" borderId="0" xfId="0" applyNumberFormat="1" applyFont="1" applyBorder="1"/>
    <xf numFmtId="164" fontId="4" fillId="0" borderId="0" xfId="0" applyNumberFormat="1" applyFont="1" applyBorder="1"/>
    <xf numFmtId="165" fontId="7" fillId="0" borderId="0" xfId="0" applyNumberFormat="1" applyFont="1" applyBorder="1"/>
    <xf numFmtId="0" fontId="6" fillId="0" borderId="0" xfId="0" applyNumberFormat="1" applyFont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0" fontId="3" fillId="0" borderId="0" xfId="0" applyFont="1" applyBorder="1" applyAlignment="1"/>
    <xf numFmtId="0" fontId="29" fillId="0" borderId="0" xfId="0" applyFont="1"/>
    <xf numFmtId="172" fontId="6" fillId="0" borderId="0" xfId="0" applyNumberFormat="1" applyFont="1" applyAlignment="1">
      <alignment horizontal="left"/>
    </xf>
    <xf numFmtId="0" fontId="30" fillId="0" borderId="0" xfId="0" applyFont="1"/>
    <xf numFmtId="167" fontId="4" fillId="0" borderId="0" xfId="0" applyNumberFormat="1" applyFont="1" applyBorder="1" applyAlignment="1"/>
    <xf numFmtId="170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3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7" fontId="12" fillId="0" borderId="0" xfId="0" applyNumberFormat="1" applyFont="1" applyFill="1" applyBorder="1" applyAlignment="1">
      <alignment horizontal="right"/>
    </xf>
    <xf numFmtId="165" fontId="9" fillId="0" borderId="0" xfId="0" applyNumberFormat="1" applyFont="1" applyBorder="1" applyAlignment="1">
      <alignment horizontal="left"/>
    </xf>
    <xf numFmtId="10" fontId="12" fillId="0" borderId="1" xfId="7" applyNumberFormat="1" applyFont="1" applyFill="1" applyBorder="1" applyAlignment="1">
      <alignment horizontal="right"/>
    </xf>
    <xf numFmtId="10" fontId="12" fillId="0" borderId="1" xfId="6" applyNumberFormat="1" applyFont="1" applyBorder="1" applyAlignment="1">
      <alignment horizontal="right" wrapText="1"/>
    </xf>
    <xf numFmtId="10" fontId="12" fillId="0" borderId="1" xfId="6" applyNumberFormat="1" applyFont="1" applyBorder="1"/>
    <xf numFmtId="0" fontId="11" fillId="0" borderId="1" xfId="0" applyFont="1" applyFill="1" applyBorder="1" applyAlignment="1">
      <alignment horizontal="center" vertical="center" wrapText="1"/>
    </xf>
    <xf numFmtId="170" fontId="12" fillId="0" borderId="1" xfId="2" applyNumberFormat="1" applyFont="1" applyFill="1" applyBorder="1" applyAlignment="1">
      <alignment horizontal="right"/>
    </xf>
    <xf numFmtId="170" fontId="12" fillId="0" borderId="1" xfId="2" applyNumberFormat="1" applyFont="1" applyBorder="1" applyAlignment="1">
      <alignment horizontal="right"/>
    </xf>
    <xf numFmtId="170" fontId="11" fillId="0" borderId="1" xfId="0" applyNumberFormat="1" applyFont="1" applyFill="1" applyBorder="1" applyAlignment="1">
      <alignment horizontal="right"/>
    </xf>
    <xf numFmtId="170" fontId="12" fillId="0" borderId="1" xfId="0" applyNumberFormat="1" applyFont="1" applyFill="1" applyBorder="1"/>
    <xf numFmtId="164" fontId="12" fillId="0" borderId="1" xfId="2" applyNumberFormat="1" applyFont="1" applyBorder="1" applyAlignment="1">
      <alignment horizontal="right"/>
    </xf>
    <xf numFmtId="44" fontId="11" fillId="0" borderId="1" xfId="4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/>
    </xf>
    <xf numFmtId="0" fontId="12" fillId="0" borderId="5" xfId="0" applyFont="1" applyBorder="1"/>
    <xf numFmtId="166" fontId="12" fillId="0" borderId="7" xfId="7" applyNumberFormat="1" applyFont="1" applyFill="1" applyBorder="1" applyAlignment="1">
      <alignment horizontal="right"/>
    </xf>
    <xf numFmtId="0" fontId="12" fillId="0" borderId="2" xfId="0" applyFont="1" applyBorder="1" applyAlignment="1">
      <alignment wrapText="1"/>
    </xf>
    <xf numFmtId="10" fontId="12" fillId="0" borderId="3" xfId="7" applyNumberFormat="1" applyFont="1" applyFill="1" applyBorder="1" applyAlignment="1">
      <alignment horizontal="right"/>
    </xf>
    <xf numFmtId="169" fontId="12" fillId="0" borderId="3" xfId="7" applyNumberFormat="1" applyFont="1" applyFill="1" applyBorder="1" applyAlignment="1">
      <alignment horizontal="right"/>
    </xf>
    <xf numFmtId="172" fontId="12" fillId="0" borderId="3" xfId="2" applyNumberFormat="1" applyFont="1" applyFill="1" applyBorder="1" applyAlignment="1">
      <alignment horizontal="right"/>
    </xf>
    <xf numFmtId="0" fontId="12" fillId="0" borderId="9" xfId="0" applyFont="1" applyBorder="1"/>
    <xf numFmtId="168" fontId="12" fillId="0" borderId="4" xfId="7" applyNumberFormat="1" applyFont="1" applyBorder="1" applyAlignment="1">
      <alignment horizontal="right"/>
    </xf>
    <xf numFmtId="172" fontId="12" fillId="0" borderId="1" xfId="2" applyNumberFormat="1" applyFont="1" applyFill="1" applyBorder="1" applyAlignment="1">
      <alignment horizontal="right"/>
    </xf>
    <xf numFmtId="170" fontId="32" fillId="0" borderId="0" xfId="0" applyNumberFormat="1" applyFont="1" applyBorder="1" applyAlignment="1">
      <alignment horizontal="right"/>
    </xf>
    <xf numFmtId="165" fontId="12" fillId="0" borderId="0" xfId="0" applyNumberFormat="1" applyFont="1" applyFill="1" applyBorder="1"/>
    <xf numFmtId="170" fontId="12" fillId="0" borderId="0" xfId="0" applyNumberFormat="1" applyFont="1" applyFill="1" applyBorder="1" applyAlignment="1">
      <alignment horizontal="right"/>
    </xf>
    <xf numFmtId="165" fontId="12" fillId="0" borderId="1" xfId="4" applyNumberFormat="1" applyFont="1" applyFill="1" applyBorder="1" applyAlignment="1">
      <alignment horizontal="right"/>
    </xf>
    <xf numFmtId="165" fontId="12" fillId="0" borderId="1" xfId="2" applyNumberFormat="1" applyFont="1" applyBorder="1" applyAlignment="1">
      <alignment horizontal="right"/>
    </xf>
    <xf numFmtId="165" fontId="12" fillId="0" borderId="0" xfId="4" applyNumberFormat="1" applyFont="1" applyFill="1" applyBorder="1" applyAlignment="1">
      <alignment horizontal="right"/>
    </xf>
    <xf numFmtId="165" fontId="32" fillId="0" borderId="0" xfId="4" applyNumberFormat="1" applyFont="1" applyFill="1" applyBorder="1" applyAlignment="1">
      <alignment horizontal="right"/>
    </xf>
    <xf numFmtId="165" fontId="12" fillId="0" borderId="0" xfId="2" applyNumberFormat="1" applyFont="1" applyFill="1" applyBorder="1" applyAlignment="1">
      <alignment horizontal="right"/>
    </xf>
    <xf numFmtId="165" fontId="11" fillId="0" borderId="0" xfId="4" applyNumberFormat="1" applyFont="1" applyFill="1" applyBorder="1"/>
    <xf numFmtId="0" fontId="11" fillId="0" borderId="1" xfId="0" applyNumberFormat="1" applyFont="1" applyBorder="1" applyAlignment="1">
      <alignment horizontal="center" vertical="center" wrapText="1"/>
    </xf>
    <xf numFmtId="170" fontId="12" fillId="0" borderId="1" xfId="6" applyNumberFormat="1" applyFont="1" applyBorder="1" applyAlignment="1">
      <alignment horizontal="right" vertical="center"/>
    </xf>
    <xf numFmtId="168" fontId="12" fillId="0" borderId="1" xfId="0" applyNumberFormat="1" applyFont="1" applyFill="1" applyBorder="1"/>
    <xf numFmtId="170" fontId="12" fillId="0" borderId="1" xfId="7" applyNumberFormat="1" applyFont="1" applyBorder="1" applyAlignment="1">
      <alignment horizontal="right" vertical="center"/>
    </xf>
    <xf numFmtId="172" fontId="12" fillId="0" borderId="1" xfId="2" applyNumberFormat="1" applyFont="1" applyFill="1" applyBorder="1"/>
    <xf numFmtId="170" fontId="12" fillId="0" borderId="1" xfId="6" applyNumberFormat="1" applyFont="1" applyFill="1" applyBorder="1" applyAlignment="1">
      <alignment horizontal="right" vertical="center"/>
    </xf>
    <xf numFmtId="170" fontId="12" fillId="0" borderId="1" xfId="7" applyNumberFormat="1" applyFont="1" applyFill="1" applyBorder="1" applyAlignment="1">
      <alignment horizontal="right" vertical="center"/>
    </xf>
    <xf numFmtId="172" fontId="11" fillId="0" borderId="1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72" fontId="11" fillId="0" borderId="1" xfId="2" applyNumberFormat="1" applyFont="1" applyBorder="1" applyAlignment="1">
      <alignment horizontal="center" vertical="center"/>
    </xf>
    <xf numFmtId="0" fontId="18" fillId="0" borderId="38" xfId="0" applyFont="1" applyFill="1" applyBorder="1"/>
    <xf numFmtId="172" fontId="11" fillId="0" borderId="0" xfId="2" applyNumberFormat="1" applyFont="1" applyFill="1" applyBorder="1" applyAlignment="1"/>
    <xf numFmtId="0" fontId="11" fillId="0" borderId="0" xfId="0" applyFont="1" applyFill="1"/>
    <xf numFmtId="172" fontId="11" fillId="0" borderId="0" xfId="2" applyNumberFormat="1" applyFont="1" applyFill="1" applyBorder="1"/>
    <xf numFmtId="172" fontId="11" fillId="0" borderId="0" xfId="2" applyNumberFormat="1" applyFont="1" applyBorder="1" applyAlignment="1">
      <alignment horizontal="left" indent="2"/>
    </xf>
    <xf numFmtId="164" fontId="12" fillId="0" borderId="0" xfId="0" applyNumberFormat="1" applyFont="1" applyBorder="1" applyAlignment="1">
      <alignment horizontal="left" vertical="top" wrapText="1"/>
    </xf>
    <xf numFmtId="174" fontId="12" fillId="0" borderId="0" xfId="0" applyNumberFormat="1" applyFont="1"/>
    <xf numFmtId="0" fontId="12" fillId="0" borderId="1" xfId="0" applyFont="1" applyBorder="1" applyAlignment="1">
      <alignment horizontal="left"/>
    </xf>
    <xf numFmtId="172" fontId="12" fillId="0" borderId="1" xfId="2" applyNumberFormat="1" applyFont="1" applyBorder="1"/>
    <xf numFmtId="172" fontId="12" fillId="0" borderId="1" xfId="2" applyNumberFormat="1" applyFont="1" applyBorder="1" applyAlignment="1">
      <alignment horizontal="right"/>
    </xf>
    <xf numFmtId="164" fontId="12" fillId="0" borderId="1" xfId="2" applyNumberFormat="1" applyFont="1" applyBorder="1"/>
    <xf numFmtId="164" fontId="12" fillId="0" borderId="1" xfId="2" applyNumberFormat="1" applyFont="1" applyFill="1" applyBorder="1"/>
    <xf numFmtId="172" fontId="12" fillId="0" borderId="0" xfId="2" applyNumberFormat="1" applyFont="1" applyBorder="1" applyAlignment="1">
      <alignment horizontal="center"/>
    </xf>
    <xf numFmtId="0" fontId="21" fillId="0" borderId="0" xfId="0" applyFont="1"/>
    <xf numFmtId="165" fontId="21" fillId="0" borderId="19" xfId="0" applyNumberFormat="1" applyFont="1" applyBorder="1" applyAlignment="1">
      <alignment horizontal="center" vertical="center" wrapText="1"/>
    </xf>
    <xf numFmtId="165" fontId="21" fillId="0" borderId="19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165" fontId="12" fillId="0" borderId="1" xfId="4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5" fontId="11" fillId="0" borderId="1" xfId="4" applyNumberFormat="1" applyFont="1" applyBorder="1" applyAlignment="1">
      <alignment horizontal="right"/>
    </xf>
    <xf numFmtId="44" fontId="11" fillId="0" borderId="1" xfId="4" applyFont="1" applyBorder="1" applyAlignment="1">
      <alignment horizontal="right"/>
    </xf>
    <xf numFmtId="0" fontId="18" fillId="0" borderId="0" xfId="0" applyFont="1" applyBorder="1" applyAlignment="1">
      <alignment vertical="top" wrapText="1"/>
    </xf>
    <xf numFmtId="0" fontId="34" fillId="0" borderId="0" xfId="0" applyFont="1"/>
    <xf numFmtId="0" fontId="1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70" fontId="12" fillId="0" borderId="0" xfId="2" applyNumberFormat="1" applyFont="1" applyFill="1" applyBorder="1"/>
    <xf numFmtId="172" fontId="12" fillId="0" borderId="0" xfId="2" applyNumberFormat="1" applyFont="1" applyFill="1" applyBorder="1"/>
    <xf numFmtId="165" fontId="12" fillId="0" borderId="0" xfId="2" applyNumberFormat="1" applyFont="1" applyFill="1" applyBorder="1"/>
    <xf numFmtId="0" fontId="27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ill="1" applyBorder="1"/>
    <xf numFmtId="43" fontId="12" fillId="0" borderId="0" xfId="0" applyNumberFormat="1" applyFont="1" applyFill="1" applyBorder="1"/>
    <xf numFmtId="165" fontId="12" fillId="0" borderId="0" xfId="0" applyNumberFormat="1" applyFont="1" applyFill="1" applyBorder="1" applyAlignment="1">
      <alignment vertical="center"/>
    </xf>
    <xf numFmtId="172" fontId="11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/>
    </xf>
    <xf numFmtId="0" fontId="0" fillId="0" borderId="0" xfId="0" applyFill="1" applyBorder="1" applyAlignment="1"/>
    <xf numFmtId="0" fontId="11" fillId="12" borderId="1" xfId="0" applyFont="1" applyFill="1" applyBorder="1" applyAlignment="1">
      <alignment horizontal="center" vertical="center" wrapText="1"/>
    </xf>
    <xf numFmtId="165" fontId="12" fillId="12" borderId="1" xfId="2" applyNumberFormat="1" applyFont="1" applyFill="1" applyBorder="1"/>
    <xf numFmtId="165" fontId="12" fillId="12" borderId="1" xfId="2" applyNumberFormat="1" applyFont="1" applyFill="1" applyBorder="1" applyAlignment="1">
      <alignment horizontal="right"/>
    </xf>
    <xf numFmtId="170" fontId="12" fillId="12" borderId="1" xfId="2" applyNumberFormat="1" applyFont="1" applyFill="1" applyBorder="1"/>
    <xf numFmtId="170" fontId="12" fillId="12" borderId="1" xfId="2" applyNumberFormat="1" applyFont="1" applyFill="1" applyBorder="1" applyAlignment="1">
      <alignment horizontal="right"/>
    </xf>
    <xf numFmtId="172" fontId="12" fillId="12" borderId="1" xfId="2" applyNumberFormat="1" applyFont="1" applyFill="1" applyBorder="1" applyAlignment="1">
      <alignment vertical="center"/>
    </xf>
    <xf numFmtId="165" fontId="12" fillId="12" borderId="1" xfId="2" applyNumberFormat="1" applyFont="1" applyFill="1" applyBorder="1" applyAlignment="1">
      <alignment vertical="center"/>
    </xf>
    <xf numFmtId="165" fontId="12" fillId="12" borderId="1" xfId="4" applyNumberFormat="1" applyFont="1" applyFill="1" applyBorder="1" applyAlignment="1">
      <alignment vertical="center"/>
    </xf>
    <xf numFmtId="165" fontId="12" fillId="12" borderId="1" xfId="0" applyNumberFormat="1" applyFont="1" applyFill="1" applyBorder="1" applyAlignment="1">
      <alignment vertical="center"/>
    </xf>
    <xf numFmtId="0" fontId="11" fillId="13" borderId="1" xfId="0" applyFont="1" applyFill="1" applyBorder="1" applyAlignment="1">
      <alignment horizontal="center" vertical="center" wrapText="1"/>
    </xf>
    <xf numFmtId="165" fontId="12" fillId="13" borderId="1" xfId="2" applyNumberFormat="1" applyFont="1" applyFill="1" applyBorder="1"/>
    <xf numFmtId="165" fontId="12" fillId="13" borderId="1" xfId="2" applyNumberFormat="1" applyFont="1" applyFill="1" applyBorder="1" applyAlignment="1">
      <alignment horizontal="right"/>
    </xf>
    <xf numFmtId="170" fontId="12" fillId="13" borderId="1" xfId="2" applyNumberFormat="1" applyFont="1" applyFill="1" applyBorder="1"/>
    <xf numFmtId="0" fontId="11" fillId="13" borderId="23" xfId="0" applyFont="1" applyFill="1" applyBorder="1" applyAlignment="1">
      <alignment horizontal="center" vertical="center" wrapText="1"/>
    </xf>
    <xf numFmtId="172" fontId="12" fillId="13" borderId="1" xfId="2" applyNumberFormat="1" applyFont="1" applyFill="1" applyBorder="1" applyAlignment="1">
      <alignment vertical="center"/>
    </xf>
    <xf numFmtId="165" fontId="12" fillId="13" borderId="1" xfId="2" applyNumberFormat="1" applyFont="1" applyFill="1" applyBorder="1" applyAlignment="1">
      <alignment vertical="center"/>
    </xf>
    <xf numFmtId="165" fontId="12" fillId="13" borderId="1" xfId="4" applyNumberFormat="1" applyFont="1" applyFill="1" applyBorder="1" applyAlignment="1">
      <alignment vertical="center"/>
    </xf>
    <xf numFmtId="165" fontId="12" fillId="13" borderId="23" xfId="0" applyNumberFormat="1" applyFont="1" applyFill="1" applyBorder="1" applyAlignment="1">
      <alignment vertical="center"/>
    </xf>
    <xf numFmtId="0" fontId="14" fillId="0" borderId="0" xfId="0" applyFont="1" applyBorder="1"/>
    <xf numFmtId="172" fontId="11" fillId="13" borderId="26" xfId="0" applyNumberFormat="1" applyFont="1" applyFill="1" applyBorder="1" applyAlignment="1">
      <alignment vertical="center"/>
    </xf>
    <xf numFmtId="172" fontId="11" fillId="12" borderId="26" xfId="0" applyNumberFormat="1" applyFont="1" applyFill="1" applyBorder="1" applyAlignment="1">
      <alignment vertical="center"/>
    </xf>
    <xf numFmtId="172" fontId="11" fillId="13" borderId="1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28" fillId="0" borderId="0" xfId="0" applyFont="1" applyFill="1" applyBorder="1" applyAlignment="1">
      <alignment horizontal="left" vertical="center" wrapText="1"/>
    </xf>
    <xf numFmtId="7" fontId="12" fillId="0" borderId="1" xfId="0" applyNumberFormat="1" applyFont="1" applyBorder="1"/>
    <xf numFmtId="7" fontId="11" fillId="0" borderId="1" xfId="0" applyNumberFormat="1" applyFont="1" applyBorder="1"/>
    <xf numFmtId="177" fontId="12" fillId="0" borderId="0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/>
    </xf>
    <xf numFmtId="0" fontId="16" fillId="8" borderId="15" xfId="0" applyFont="1" applyFill="1" applyBorder="1"/>
    <xf numFmtId="0" fontId="16" fillId="7" borderId="19" xfId="0" applyFont="1" applyFill="1" applyBorder="1"/>
    <xf numFmtId="0" fontId="16" fillId="7" borderId="19" xfId="0" applyFont="1" applyFill="1" applyBorder="1" applyAlignment="1">
      <alignment wrapText="1"/>
    </xf>
    <xf numFmtId="165" fontId="12" fillId="4" borderId="1" xfId="4" applyNumberFormat="1" applyFont="1" applyFill="1" applyBorder="1" applyAlignment="1">
      <alignment horizontal="right"/>
    </xf>
    <xf numFmtId="165" fontId="12" fillId="4" borderId="1" xfId="2" applyNumberFormat="1" applyFont="1" applyFill="1" applyBorder="1" applyAlignment="1">
      <alignment horizontal="right"/>
    </xf>
    <xf numFmtId="165" fontId="11" fillId="4" borderId="1" xfId="4" applyNumberFormat="1" applyFont="1" applyFill="1" applyBorder="1"/>
    <xf numFmtId="0" fontId="16" fillId="10" borderId="1" xfId="0" applyFont="1" applyFill="1" applyBorder="1"/>
    <xf numFmtId="0" fontId="11" fillId="9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172" fontId="12" fillId="2" borderId="1" xfId="2" applyNumberFormat="1" applyFont="1" applyFill="1" applyBorder="1"/>
    <xf numFmtId="0" fontId="16" fillId="8" borderId="19" xfId="0" applyFont="1" applyFill="1" applyBorder="1"/>
    <xf numFmtId="0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wrapText="1"/>
    </xf>
    <xf numFmtId="0" fontId="16" fillId="8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1" fontId="12" fillId="5" borderId="1" xfId="1" applyNumberFormat="1" applyFont="1" applyFill="1" applyBorder="1" applyAlignment="1">
      <alignment horizontal="right"/>
    </xf>
    <xf numFmtId="172" fontId="12" fillId="5" borderId="1" xfId="1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1" fontId="12" fillId="5" borderId="1" xfId="1" applyNumberFormat="1" applyFont="1" applyFill="1" applyBorder="1" applyAlignment="1"/>
    <xf numFmtId="165" fontId="12" fillId="0" borderId="19" xfId="0" applyNumberFormat="1" applyFont="1" applyBorder="1" applyAlignment="1">
      <alignment horizontal="center" wrapText="1"/>
    </xf>
    <xf numFmtId="165" fontId="12" fillId="0" borderId="19" xfId="3" applyNumberFormat="1" applyFont="1" applyBorder="1" applyAlignment="1">
      <alignment horizontal="center" vertical="center"/>
    </xf>
    <xf numFmtId="165" fontId="12" fillId="0" borderId="1" xfId="3" applyNumberFormat="1" applyFont="1" applyBorder="1" applyAlignment="1">
      <alignment horizontal="right"/>
    </xf>
    <xf numFmtId="165" fontId="11" fillId="0" borderId="1" xfId="3" applyNumberFormat="1" applyFont="1" applyBorder="1" applyAlignment="1">
      <alignment horizontal="right"/>
    </xf>
    <xf numFmtId="44" fontId="11" fillId="0" borderId="1" xfId="3" applyFont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70" fontId="12" fillId="5" borderId="1" xfId="0" applyNumberFormat="1" applyFont="1" applyFill="1" applyBorder="1" applyAlignment="1">
      <alignment horizontal="right"/>
    </xf>
    <xf numFmtId="172" fontId="12" fillId="5" borderId="1" xfId="2" applyNumberFormat="1" applyFont="1" applyFill="1" applyBorder="1" applyAlignment="1">
      <alignment horizontal="right"/>
    </xf>
    <xf numFmtId="164" fontId="12" fillId="5" borderId="1" xfId="2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78" fontId="4" fillId="0" borderId="0" xfId="0" applyNumberFormat="1" applyFont="1" applyBorder="1" applyAlignment="1">
      <alignment horizontal="right"/>
    </xf>
    <xf numFmtId="179" fontId="4" fillId="0" borderId="0" xfId="0" applyNumberFormat="1" applyFont="1" applyBorder="1" applyAlignment="1">
      <alignment horizontal="right"/>
    </xf>
    <xf numFmtId="168" fontId="6" fillId="0" borderId="0" xfId="0" applyNumberFormat="1" applyFont="1" applyBorder="1" applyAlignment="1">
      <alignment horizontal="right"/>
    </xf>
    <xf numFmtId="180" fontId="12" fillId="0" borderId="0" xfId="1" applyNumberFormat="1" applyFont="1" applyBorder="1" applyAlignment="1">
      <alignment horizontal="center"/>
    </xf>
    <xf numFmtId="180" fontId="12" fillId="0" borderId="0" xfId="0" applyNumberFormat="1" applyFont="1"/>
    <xf numFmtId="0" fontId="11" fillId="0" borderId="1" xfId="0" applyFont="1" applyFill="1" applyBorder="1" applyAlignment="1">
      <alignment horizontal="center" vertical="center" wrapText="1"/>
    </xf>
    <xf numFmtId="172" fontId="12" fillId="0" borderId="1" xfId="2" applyNumberFormat="1" applyFont="1" applyFill="1" applyBorder="1" applyAlignment="1"/>
    <xf numFmtId="10" fontId="12" fillId="0" borderId="1" xfId="10" applyNumberFormat="1" applyFont="1" applyFill="1" applyBorder="1" applyAlignment="1">
      <alignment horizontal="right"/>
    </xf>
    <xf numFmtId="0" fontId="12" fillId="0" borderId="1" xfId="5" applyFont="1" applyFill="1" applyBorder="1" applyAlignment="1">
      <alignment horizontal="left"/>
    </xf>
    <xf numFmtId="10" fontId="35" fillId="0" borderId="1" xfId="0" applyNumberFormat="1" applyFont="1" applyFill="1" applyBorder="1" applyAlignment="1">
      <alignment horizontal="right" vertical="center"/>
    </xf>
    <xf numFmtId="10" fontId="35" fillId="0" borderId="1" xfId="7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left"/>
    </xf>
    <xf numFmtId="10" fontId="35" fillId="0" borderId="0" xfId="0" applyNumberFormat="1" applyFont="1" applyFill="1" applyBorder="1" applyAlignment="1">
      <alignment horizontal="right" vertical="center"/>
    </xf>
    <xf numFmtId="10" fontId="12" fillId="0" borderId="0" xfId="10" applyNumberFormat="1" applyFont="1" applyFill="1" applyBorder="1" applyAlignment="1">
      <alignment horizontal="right"/>
    </xf>
    <xf numFmtId="10" fontId="12" fillId="0" borderId="0" xfId="7" applyNumberFormat="1" applyFont="1" applyFill="1" applyBorder="1" applyAlignment="1">
      <alignment horizontal="right"/>
    </xf>
    <xf numFmtId="10" fontId="35" fillId="0" borderId="0" xfId="7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1" fillId="12" borderId="29" xfId="0" applyFont="1" applyFill="1" applyBorder="1" applyAlignment="1">
      <alignment horizontal="center" vertical="center" wrapText="1"/>
    </xf>
    <xf numFmtId="165" fontId="12" fillId="12" borderId="29" xfId="2" applyNumberFormat="1" applyFont="1" applyFill="1" applyBorder="1"/>
    <xf numFmtId="165" fontId="12" fillId="12" borderId="29" xfId="2" applyNumberFormat="1" applyFont="1" applyFill="1" applyBorder="1" applyAlignment="1">
      <alignment horizontal="right"/>
    </xf>
    <xf numFmtId="170" fontId="12" fillId="12" borderId="29" xfId="2" applyNumberFormat="1" applyFont="1" applyFill="1" applyBorder="1"/>
    <xf numFmtId="172" fontId="12" fillId="12" borderId="29" xfId="2" applyNumberFormat="1" applyFont="1" applyFill="1" applyBorder="1" applyAlignment="1">
      <alignment vertical="center"/>
    </xf>
    <xf numFmtId="172" fontId="11" fillId="12" borderId="29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14" borderId="1" xfId="0" applyFont="1" applyFill="1" applyBorder="1" applyAlignment="1">
      <alignment horizontal="center" vertical="center" wrapText="1"/>
    </xf>
    <xf numFmtId="165" fontId="12" fillId="14" borderId="1" xfId="2" applyNumberFormat="1" applyFont="1" applyFill="1" applyBorder="1"/>
    <xf numFmtId="165" fontId="12" fillId="14" borderId="1" xfId="2" applyNumberFormat="1" applyFont="1" applyFill="1" applyBorder="1" applyAlignment="1">
      <alignment horizontal="right"/>
    </xf>
    <xf numFmtId="170" fontId="12" fillId="14" borderId="1" xfId="2" applyNumberFormat="1" applyFont="1" applyFill="1" applyBorder="1"/>
    <xf numFmtId="0" fontId="11" fillId="14" borderId="23" xfId="0" applyFont="1" applyFill="1" applyBorder="1" applyAlignment="1">
      <alignment horizontal="center" vertical="center" wrapText="1"/>
    </xf>
    <xf numFmtId="172" fontId="12" fillId="14" borderId="1" xfId="2" applyNumberFormat="1" applyFont="1" applyFill="1" applyBorder="1" applyAlignment="1">
      <alignment vertical="center"/>
    </xf>
    <xf numFmtId="165" fontId="12" fillId="14" borderId="1" xfId="2" applyNumberFormat="1" applyFont="1" applyFill="1" applyBorder="1" applyAlignment="1">
      <alignment vertical="center"/>
    </xf>
    <xf numFmtId="165" fontId="12" fillId="14" borderId="1" xfId="4" applyNumberFormat="1" applyFont="1" applyFill="1" applyBorder="1" applyAlignment="1">
      <alignment vertical="center"/>
    </xf>
    <xf numFmtId="165" fontId="12" fillId="14" borderId="23" xfId="0" applyNumberFormat="1" applyFont="1" applyFill="1" applyBorder="1" applyAlignment="1">
      <alignment vertical="center"/>
    </xf>
    <xf numFmtId="172" fontId="11" fillId="14" borderId="1" xfId="0" applyNumberFormat="1" applyFont="1" applyFill="1" applyBorder="1" applyAlignment="1">
      <alignment vertical="center"/>
    </xf>
    <xf numFmtId="172" fontId="11" fillId="14" borderId="26" xfId="0" applyNumberFormat="1" applyFont="1" applyFill="1" applyBorder="1" applyAlignment="1">
      <alignment vertical="center"/>
    </xf>
    <xf numFmtId="0" fontId="1" fillId="0" borderId="0" xfId="0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1" fillId="0" borderId="0" xfId="4" applyNumberFormat="1" applyFont="1" applyBorder="1" applyAlignment="1">
      <alignment horizontal="center"/>
    </xf>
    <xf numFmtId="0" fontId="11" fillId="13" borderId="23" xfId="0" applyFont="1" applyFill="1" applyBorder="1" applyAlignment="1">
      <alignment horizontal="center" vertical="center"/>
    </xf>
    <xf numFmtId="0" fontId="11" fillId="13" borderId="35" xfId="0" applyFont="1" applyFill="1" applyBorder="1" applyAlignment="1">
      <alignment horizontal="center" vertical="center"/>
    </xf>
    <xf numFmtId="0" fontId="11" fillId="13" borderId="29" xfId="0" applyFont="1" applyFill="1" applyBorder="1" applyAlignment="1">
      <alignment horizontal="center" vertical="center"/>
    </xf>
    <xf numFmtId="0" fontId="11" fillId="12" borderId="23" xfId="0" applyFont="1" applyFill="1" applyBorder="1" applyAlignment="1">
      <alignment horizontal="center" vertical="center"/>
    </xf>
    <xf numFmtId="0" fontId="11" fillId="12" borderId="35" xfId="0" applyFont="1" applyFill="1" applyBorder="1" applyAlignment="1">
      <alignment horizontal="center" vertical="center"/>
    </xf>
    <xf numFmtId="0" fontId="11" fillId="12" borderId="29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14" borderId="23" xfId="0" applyFont="1" applyFill="1" applyBorder="1" applyAlignment="1">
      <alignment horizontal="center" vertical="center"/>
    </xf>
    <xf numFmtId="0" fontId="11" fillId="14" borderId="35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72" fontId="11" fillId="14" borderId="1" xfId="2" applyNumberFormat="1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172" fontId="11" fillId="14" borderId="1" xfId="2" applyNumberFormat="1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vertical="center"/>
    </xf>
    <xf numFmtId="172" fontId="11" fillId="12" borderId="29" xfId="2" applyNumberFormat="1" applyFont="1" applyFill="1" applyBorder="1" applyAlignment="1">
      <alignment horizontal="center" vertical="center"/>
    </xf>
    <xf numFmtId="172" fontId="11" fillId="12" borderId="1" xfId="2" applyNumberFormat="1" applyFont="1" applyFill="1" applyBorder="1" applyAlignment="1">
      <alignment horizontal="center" vertical="center"/>
    </xf>
    <xf numFmtId="172" fontId="11" fillId="13" borderId="1" xfId="2" applyNumberFormat="1" applyFont="1" applyFill="1" applyBorder="1" applyAlignment="1">
      <alignment horizontal="center" vertical="center"/>
    </xf>
    <xf numFmtId="172" fontId="11" fillId="12" borderId="29" xfId="2" applyNumberFormat="1" applyFont="1" applyFill="1" applyBorder="1" applyAlignment="1">
      <alignment horizontal="center" vertical="center" wrapText="1"/>
    </xf>
    <xf numFmtId="172" fontId="11" fillId="12" borderId="1" xfId="2" applyNumberFormat="1" applyFont="1" applyFill="1" applyBorder="1" applyAlignment="1">
      <alignment horizontal="center" vertical="center" wrapText="1"/>
    </xf>
    <xf numFmtId="172" fontId="11" fillId="13" borderId="1" xfId="2" applyNumberFormat="1" applyFont="1" applyFill="1" applyBorder="1" applyAlignment="1">
      <alignment horizontal="center"/>
    </xf>
    <xf numFmtId="172" fontId="11" fillId="12" borderId="29" xfId="2" applyNumberFormat="1" applyFont="1" applyFill="1" applyBorder="1" applyAlignment="1">
      <alignment horizontal="center"/>
    </xf>
    <xf numFmtId="172" fontId="11" fillId="12" borderId="1" xfId="2" applyNumberFormat="1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 vertical="center" wrapText="1"/>
    </xf>
    <xf numFmtId="0" fontId="16" fillId="8" borderId="19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6" fillId="10" borderId="29" xfId="0" applyFont="1" applyFill="1" applyBorder="1" applyAlignment="1">
      <alignment horizontal="center"/>
    </xf>
    <xf numFmtId="0" fontId="16" fillId="6" borderId="23" xfId="0" applyFont="1" applyFill="1" applyBorder="1" applyAlignment="1">
      <alignment horizontal="center"/>
    </xf>
    <xf numFmtId="0" fontId="16" fillId="6" borderId="2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/>
    </xf>
    <xf numFmtId="0" fontId="16" fillId="8" borderId="20" xfId="0" applyFont="1" applyFill="1" applyBorder="1" applyAlignment="1">
      <alignment horizontal="center" vertical="center" wrapText="1"/>
    </xf>
    <xf numFmtId="0" fontId="25" fillId="8" borderId="52" xfId="0" applyFont="1" applyFill="1" applyBorder="1"/>
    <xf numFmtId="165" fontId="11" fillId="0" borderId="16" xfId="0" applyNumberFormat="1" applyFont="1" applyBorder="1" applyAlignment="1">
      <alignment horizontal="center" vertical="center" wrapText="1"/>
    </xf>
    <xf numFmtId="165" fontId="11" fillId="0" borderId="49" xfId="0" applyNumberFormat="1" applyFont="1" applyBorder="1" applyAlignment="1">
      <alignment horizontal="center" vertical="center" wrapText="1"/>
    </xf>
    <xf numFmtId="165" fontId="11" fillId="0" borderId="37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/>
    </xf>
    <xf numFmtId="0" fontId="12" fillId="0" borderId="49" xfId="0" applyFont="1" applyBorder="1" applyAlignment="1">
      <alignment horizontal="right" vertical="center"/>
    </xf>
    <xf numFmtId="0" fontId="12" fillId="0" borderId="53" xfId="0" applyFont="1" applyBorder="1" applyAlignment="1">
      <alignment horizontal="right" vertical="center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38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165" fontId="11" fillId="0" borderId="16" xfId="0" applyNumberFormat="1" applyFont="1" applyBorder="1" applyAlignment="1">
      <alignment horizontal="center" vertical="top" wrapText="1"/>
    </xf>
    <xf numFmtId="165" fontId="11" fillId="0" borderId="37" xfId="0" applyNumberFormat="1" applyFont="1" applyBorder="1" applyAlignment="1">
      <alignment horizontal="center" vertical="top" wrapText="1"/>
    </xf>
    <xf numFmtId="0" fontId="12" fillId="0" borderId="47" xfId="0" applyFont="1" applyBorder="1" applyAlignment="1">
      <alignment horizontal="right" vertical="center"/>
    </xf>
    <xf numFmtId="0" fontId="12" fillId="0" borderId="48" xfId="0" applyFont="1" applyBorder="1" applyAlignment="1">
      <alignment horizontal="right" vertical="center"/>
    </xf>
    <xf numFmtId="0" fontId="12" fillId="0" borderId="50" xfId="0" applyFont="1" applyBorder="1" applyAlignment="1">
      <alignment horizontal="right" vertical="center"/>
    </xf>
    <xf numFmtId="165" fontId="11" fillId="0" borderId="44" xfId="0" applyNumberFormat="1" applyFont="1" applyBorder="1" applyAlignment="1">
      <alignment horizontal="center" vertical="center" wrapText="1"/>
    </xf>
    <xf numFmtId="165" fontId="11" fillId="0" borderId="45" xfId="0" applyNumberFormat="1" applyFont="1" applyBorder="1" applyAlignment="1">
      <alignment horizontal="center" vertical="center" wrapText="1"/>
    </xf>
    <xf numFmtId="165" fontId="11" fillId="0" borderId="46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8" fillId="0" borderId="5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49" xfId="0" applyFont="1" applyBorder="1" applyAlignment="1">
      <alignment horizontal="right" vertical="center" wrapText="1"/>
    </xf>
    <xf numFmtId="0" fontId="12" fillId="0" borderId="53" xfId="0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center"/>
    </xf>
    <xf numFmtId="0" fontId="16" fillId="6" borderId="19" xfId="0" applyFont="1" applyFill="1" applyBorder="1"/>
    <xf numFmtId="0" fontId="11" fillId="0" borderId="19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left"/>
    </xf>
    <xf numFmtId="0" fontId="16" fillId="8" borderId="1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wrapText="1"/>
    </xf>
    <xf numFmtId="0" fontId="16" fillId="7" borderId="19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33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vertical="center" wrapText="1"/>
    </xf>
    <xf numFmtId="0" fontId="16" fillId="7" borderId="19" xfId="0" applyFont="1" applyFill="1" applyBorder="1" applyAlignment="1">
      <alignment vertical="center" wrapText="1"/>
    </xf>
  </cellXfs>
  <cellStyles count="11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  <cellStyle name="Normal 3" xfId="8"/>
    <cellStyle name="Percent" xfId="6" builtinId="5"/>
    <cellStyle name="Percent 2" xfId="7"/>
    <cellStyle name="Percent 2 2" xfId="10"/>
    <cellStyle name="Percent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workbookViewId="0"/>
  </sheetViews>
  <sheetFormatPr defaultRowHeight="12.75" x14ac:dyDescent="0.2"/>
  <cols>
    <col min="1" max="15" width="15.7109375" customWidth="1"/>
  </cols>
  <sheetData>
    <row r="1" spans="1:15" ht="18.75" x14ac:dyDescent="0.2">
      <c r="A1" s="404" t="s">
        <v>348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</row>
    <row r="2" spans="1:15" ht="15.75" x14ac:dyDescent="0.2">
      <c r="A2" s="405" t="s">
        <v>344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</row>
    <row r="3" spans="1:15" ht="12.75" customHeight="1" x14ac:dyDescent="0.2">
      <c r="A3" s="64" t="s">
        <v>24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</row>
    <row r="4" spans="1:15" ht="12.75" customHeight="1" x14ac:dyDescent="0.2">
      <c r="A4" s="526" t="s">
        <v>7</v>
      </c>
      <c r="B4" s="523" t="s">
        <v>123</v>
      </c>
      <c r="C4" s="524"/>
      <c r="D4" s="524"/>
      <c r="E4" s="525"/>
      <c r="F4" s="520" t="s">
        <v>298</v>
      </c>
      <c r="G4" s="521"/>
      <c r="H4" s="521"/>
      <c r="I4" s="522"/>
      <c r="J4" s="527" t="s">
        <v>345</v>
      </c>
      <c r="K4" s="528"/>
      <c r="L4" s="528"/>
      <c r="M4" s="529"/>
      <c r="N4" s="526" t="s">
        <v>7</v>
      </c>
    </row>
    <row r="5" spans="1:15" ht="24.95" customHeight="1" x14ac:dyDescent="0.2">
      <c r="A5" s="526"/>
      <c r="B5" s="414" t="s">
        <v>313</v>
      </c>
      <c r="C5" s="414" t="s">
        <v>314</v>
      </c>
      <c r="D5" s="414" t="s">
        <v>125</v>
      </c>
      <c r="E5" s="414" t="s">
        <v>315</v>
      </c>
      <c r="F5" s="423" t="s">
        <v>309</v>
      </c>
      <c r="G5" s="423" t="s">
        <v>310</v>
      </c>
      <c r="H5" s="423" t="s">
        <v>311</v>
      </c>
      <c r="I5" s="423" t="s">
        <v>308</v>
      </c>
      <c r="J5" s="504" t="s">
        <v>309</v>
      </c>
      <c r="K5" s="504" t="s">
        <v>310</v>
      </c>
      <c r="L5" s="504" t="s">
        <v>311</v>
      </c>
      <c r="M5" s="504" t="s">
        <v>308</v>
      </c>
      <c r="N5" s="526"/>
    </row>
    <row r="6" spans="1:15" ht="12.75" customHeight="1" x14ac:dyDescent="0.2">
      <c r="A6" s="468" t="s">
        <v>16</v>
      </c>
      <c r="B6" s="419">
        <f>Summary!B74</f>
        <v>2964.6337927281334</v>
      </c>
      <c r="C6" s="420">
        <f>Summary!C74</f>
        <v>223.09414861460505</v>
      </c>
      <c r="D6" s="420">
        <f>Summary!D74</f>
        <v>7.1253778810451811</v>
      </c>
      <c r="E6" s="420">
        <f>Summary!E74</f>
        <v>215.96877073355986</v>
      </c>
      <c r="F6" s="428">
        <f>Summary!F74</f>
        <v>2856.7272892730484</v>
      </c>
      <c r="G6" s="429">
        <f>Summary!G74</f>
        <v>222.94225648665926</v>
      </c>
      <c r="H6" s="429">
        <f>Summary!H74</f>
        <v>6.8299611455629003</v>
      </c>
      <c r="I6" s="429">
        <f>Summary!I74</f>
        <v>216.11229534109637</v>
      </c>
      <c r="J6" s="509">
        <f>Summary!J74</f>
        <v>2796.2643363441885</v>
      </c>
      <c r="K6" s="510">
        <f>Summary!K74</f>
        <v>225.76451854713611</v>
      </c>
      <c r="L6" s="510">
        <f>Summary!L74</f>
        <v>6.8074837665967678</v>
      </c>
      <c r="M6" s="510">
        <f>Summary!M74</f>
        <v>218.95703478053935</v>
      </c>
      <c r="N6" s="468" t="s">
        <v>16</v>
      </c>
    </row>
    <row r="7" spans="1:15" ht="12.75" customHeight="1" x14ac:dyDescent="0.2">
      <c r="A7" s="468" t="s">
        <v>52</v>
      </c>
      <c r="B7" s="419">
        <f>Summary!B75</f>
        <v>12694.509813759363</v>
      </c>
      <c r="C7" s="420">
        <f>Summary!C75</f>
        <v>162.44414861460504</v>
      </c>
      <c r="D7" s="420">
        <f>Summary!D75</f>
        <v>0</v>
      </c>
      <c r="E7" s="420">
        <f>Summary!E75</f>
        <v>162.44414861460504</v>
      </c>
      <c r="F7" s="428">
        <f>Summary!F75</f>
        <v>12659.220516820315</v>
      </c>
      <c r="G7" s="429">
        <f>Summary!G75</f>
        <v>162.29855024416767</v>
      </c>
      <c r="H7" s="429">
        <f>Summary!H75</f>
        <v>0</v>
      </c>
      <c r="I7" s="429">
        <f>Summary!I75</f>
        <v>162.29855024416767</v>
      </c>
      <c r="J7" s="509">
        <f>Summary!J75</f>
        <v>12412.284161252092</v>
      </c>
      <c r="K7" s="510">
        <f>Summary!K75</f>
        <v>164.68371134565828</v>
      </c>
      <c r="L7" s="510">
        <f>Summary!L75</f>
        <v>0</v>
      </c>
      <c r="M7" s="510">
        <f>Summary!M75</f>
        <v>164.68371134565828</v>
      </c>
      <c r="N7" s="468" t="s">
        <v>52</v>
      </c>
    </row>
    <row r="8" spans="1:15" ht="12.75" customHeight="1" x14ac:dyDescent="0.2">
      <c r="A8" s="468" t="s">
        <v>19</v>
      </c>
      <c r="B8" s="419">
        <f>Summary!B76</f>
        <v>9806.7024434473151</v>
      </c>
      <c r="C8" s="420">
        <f>Summary!C76</f>
        <v>162.44414861460504</v>
      </c>
      <c r="D8" s="420">
        <f>Summary!D76</f>
        <v>0</v>
      </c>
      <c r="E8" s="420">
        <f>Summary!E76</f>
        <v>162.44414861460504</v>
      </c>
      <c r="F8" s="428">
        <f>Summary!F76</f>
        <v>10287.487075224397</v>
      </c>
      <c r="G8" s="429">
        <f>Summary!G76</f>
        <v>162.29855024416767</v>
      </c>
      <c r="H8" s="429">
        <f>Summary!H76</f>
        <v>0</v>
      </c>
      <c r="I8" s="429">
        <f>Summary!I76</f>
        <v>162.29855024416767</v>
      </c>
      <c r="J8" s="509">
        <f>Summary!J76</f>
        <v>9963.8744607701556</v>
      </c>
      <c r="K8" s="510">
        <f>Summary!K76</f>
        <v>164.68371134565828</v>
      </c>
      <c r="L8" s="510">
        <f>Summary!L76</f>
        <v>0</v>
      </c>
      <c r="M8" s="510">
        <f>Summary!M76</f>
        <v>164.68371134565828</v>
      </c>
      <c r="N8" s="468" t="s">
        <v>19</v>
      </c>
    </row>
    <row r="9" spans="1:15" ht="12.75" customHeight="1" x14ac:dyDescent="0.2">
      <c r="A9" s="468" t="s">
        <v>46</v>
      </c>
      <c r="B9" s="419">
        <f>Summary!B77</f>
        <v>14546.289725595445</v>
      </c>
      <c r="C9" s="420">
        <f>Summary!C77</f>
        <v>162.44414861460504</v>
      </c>
      <c r="D9" s="420">
        <f>Summary!D77</f>
        <v>0</v>
      </c>
      <c r="E9" s="420">
        <f>Summary!E77</f>
        <v>162.44414861460504</v>
      </c>
      <c r="F9" s="428">
        <f>Summary!F77</f>
        <v>14645.543050237184</v>
      </c>
      <c r="G9" s="429">
        <f>Summary!G77</f>
        <v>162.29855024416767</v>
      </c>
      <c r="H9" s="429">
        <f>Summary!H77</f>
        <v>0</v>
      </c>
      <c r="I9" s="429">
        <f>Summary!I77</f>
        <v>162.29855024416767</v>
      </c>
      <c r="J9" s="509">
        <f>Summary!J77</f>
        <v>14597.1517541298</v>
      </c>
      <c r="K9" s="510">
        <f>Summary!K77</f>
        <v>164.68371134565828</v>
      </c>
      <c r="L9" s="510">
        <f>Summary!L77</f>
        <v>0</v>
      </c>
      <c r="M9" s="510">
        <f>Summary!M77</f>
        <v>164.68371134565828</v>
      </c>
      <c r="N9" s="468" t="s">
        <v>46</v>
      </c>
    </row>
    <row r="10" spans="1:15" ht="12.75" customHeight="1" x14ac:dyDescent="0.2">
      <c r="A10" s="468" t="s">
        <v>11</v>
      </c>
      <c r="B10" s="419">
        <f>Summary!B78</f>
        <v>7948.4600775421704</v>
      </c>
      <c r="C10" s="420">
        <f>Summary!C78</f>
        <v>156.03061235019317</v>
      </c>
      <c r="D10" s="420">
        <f>Summary!D78</f>
        <v>0</v>
      </c>
      <c r="E10" s="420">
        <f>Summary!E78</f>
        <v>156.03061235019317</v>
      </c>
      <c r="F10" s="428">
        <f>Summary!F78</f>
        <v>7897.7360490119208</v>
      </c>
      <c r="G10" s="429">
        <f>Summary!G78</f>
        <v>155.90600017733433</v>
      </c>
      <c r="H10" s="429">
        <f>Summary!H78</f>
        <v>0</v>
      </c>
      <c r="I10" s="429">
        <f>Summary!I78</f>
        <v>155.90600017733433</v>
      </c>
      <c r="J10" s="509">
        <f>Summary!J78</f>
        <v>7735.7104558730771</v>
      </c>
      <c r="K10" s="510">
        <f>Summary!K78</f>
        <v>158.21285653497341</v>
      </c>
      <c r="L10" s="510">
        <f>Summary!L78</f>
        <v>0</v>
      </c>
      <c r="M10" s="510">
        <f>Summary!M78</f>
        <v>158.21285653497341</v>
      </c>
      <c r="N10" s="468" t="s">
        <v>11</v>
      </c>
    </row>
    <row r="11" spans="1:15" ht="12.75" customHeight="1" x14ac:dyDescent="0.2">
      <c r="A11" s="468" t="s">
        <v>150</v>
      </c>
      <c r="B11" s="419">
        <f>Summary!B79</f>
        <v>25454.557643339445</v>
      </c>
      <c r="C11" s="420">
        <f>Summary!C79</f>
        <v>212.67414861460503</v>
      </c>
      <c r="D11" s="420">
        <f>Summary!D79</f>
        <v>4.2113769929523945</v>
      </c>
      <c r="E11" s="420">
        <f>Summary!E79</f>
        <v>208.46277162165265</v>
      </c>
      <c r="F11" s="428">
        <f>Summary!F79</f>
        <v>24909.664610645556</v>
      </c>
      <c r="G11" s="429">
        <f>Summary!G79</f>
        <v>212.53891416828617</v>
      </c>
      <c r="H11" s="429">
        <f>Summary!H79</f>
        <v>3.2156779113089855</v>
      </c>
      <c r="I11" s="429">
        <f>Summary!I79</f>
        <v>209.3232362569772</v>
      </c>
      <c r="J11" s="509">
        <f>Summary!J79</f>
        <v>24800.002079293095</v>
      </c>
      <c r="K11" s="510">
        <f>Summary!K79</f>
        <v>216.22684066890037</v>
      </c>
      <c r="L11" s="510">
        <f>Summary!L79</f>
        <v>4.3105059849544967</v>
      </c>
      <c r="M11" s="510">
        <f>Summary!M79</f>
        <v>211.91633468394588</v>
      </c>
      <c r="N11" s="468" t="s">
        <v>150</v>
      </c>
    </row>
    <row r="12" spans="1:15" ht="12.75" customHeight="1" x14ac:dyDescent="0.2">
      <c r="A12" s="468" t="s">
        <v>21</v>
      </c>
      <c r="B12" s="419">
        <f>Summary!B80</f>
        <v>3946.0919048234</v>
      </c>
      <c r="C12" s="420">
        <f>Summary!C80</f>
        <v>162.44414861460504</v>
      </c>
      <c r="D12" s="420">
        <f>Summary!D80</f>
        <v>0</v>
      </c>
      <c r="E12" s="420">
        <f>Summary!E80</f>
        <v>162.44414861460504</v>
      </c>
      <c r="F12" s="428">
        <f>Summary!F80</f>
        <v>3872.4006614297914</v>
      </c>
      <c r="G12" s="429">
        <f>Summary!G80</f>
        <v>162.29855024416767</v>
      </c>
      <c r="H12" s="429">
        <f>Summary!H80</f>
        <v>0</v>
      </c>
      <c r="I12" s="429">
        <f>Summary!I80</f>
        <v>162.29855024416767</v>
      </c>
      <c r="J12" s="509">
        <f>Summary!J80</f>
        <v>3862.6165978309823</v>
      </c>
      <c r="K12" s="510">
        <f>Summary!K80</f>
        <v>164.68371134565828</v>
      </c>
      <c r="L12" s="510">
        <f>Summary!L80</f>
        <v>0</v>
      </c>
      <c r="M12" s="510">
        <f>Summary!M80</f>
        <v>164.68371134565828</v>
      </c>
      <c r="N12" s="468" t="s">
        <v>21</v>
      </c>
    </row>
    <row r="13" spans="1:15" ht="12.75" customHeight="1" x14ac:dyDescent="0.2">
      <c r="A13" s="468" t="s">
        <v>55</v>
      </c>
      <c r="B13" s="419">
        <f>Summary!B81</f>
        <v>5117.7500247876451</v>
      </c>
      <c r="C13" s="420">
        <f>Summary!C81</f>
        <v>162.44414861460504</v>
      </c>
      <c r="D13" s="420">
        <f>Summary!D81</f>
        <v>0</v>
      </c>
      <c r="E13" s="420">
        <f>Summary!E81</f>
        <v>162.44414861460504</v>
      </c>
      <c r="F13" s="428">
        <f>Summary!F81</f>
        <v>5238.9885631765765</v>
      </c>
      <c r="G13" s="429">
        <f>Summary!G81</f>
        <v>162.29855024416767</v>
      </c>
      <c r="H13" s="429">
        <f>Summary!H81</f>
        <v>0</v>
      </c>
      <c r="I13" s="429">
        <f>Summary!I81</f>
        <v>162.29855024416767</v>
      </c>
      <c r="J13" s="509">
        <f>Summary!J81</f>
        <v>5184.2152325358402</v>
      </c>
      <c r="K13" s="510">
        <f>Summary!K81</f>
        <v>164.68371134565828</v>
      </c>
      <c r="L13" s="510">
        <f>Summary!L81</f>
        <v>0</v>
      </c>
      <c r="M13" s="510">
        <f>Summary!M81</f>
        <v>164.68371134565828</v>
      </c>
      <c r="N13" s="468" t="s">
        <v>55</v>
      </c>
    </row>
    <row r="14" spans="1:15" ht="12.75" customHeight="1" x14ac:dyDescent="0.2">
      <c r="A14" s="468" t="s">
        <v>45</v>
      </c>
      <c r="B14" s="419">
        <f>Summary!B82</f>
        <v>3273.027740794766</v>
      </c>
      <c r="C14" s="420">
        <f>Summary!C82</f>
        <v>162.44414861460504</v>
      </c>
      <c r="D14" s="420">
        <f>Summary!D82</f>
        <v>0</v>
      </c>
      <c r="E14" s="420">
        <f>Summary!E82</f>
        <v>162.44414861460504</v>
      </c>
      <c r="F14" s="428">
        <f>Summary!F82</f>
        <v>3289.8477732617289</v>
      </c>
      <c r="G14" s="429">
        <f>Summary!G82</f>
        <v>162.29855024416767</v>
      </c>
      <c r="H14" s="429">
        <f>Summary!H82</f>
        <v>0</v>
      </c>
      <c r="I14" s="429">
        <f>Summary!I82</f>
        <v>162.29855024416767</v>
      </c>
      <c r="J14" s="509">
        <f>Summary!J82</f>
        <v>3232.8168451406377</v>
      </c>
      <c r="K14" s="510">
        <f>Summary!K82</f>
        <v>164.68371134565828</v>
      </c>
      <c r="L14" s="510">
        <f>Summary!L82</f>
        <v>0</v>
      </c>
      <c r="M14" s="510">
        <f>Summary!M82</f>
        <v>164.68371134565828</v>
      </c>
      <c r="N14" s="468" t="s">
        <v>45</v>
      </c>
    </row>
    <row r="15" spans="1:15" ht="12.75" customHeight="1" x14ac:dyDescent="0.2">
      <c r="A15" s="468" t="s">
        <v>31</v>
      </c>
      <c r="B15" s="419">
        <f>Summary!B83</f>
        <v>23137.424782502749</v>
      </c>
      <c r="C15" s="420">
        <f>Summary!C83</f>
        <v>162.44414861460504</v>
      </c>
      <c r="D15" s="420">
        <f>Summary!D83</f>
        <v>0</v>
      </c>
      <c r="E15" s="420">
        <f>Summary!E83</f>
        <v>162.44414861460504</v>
      </c>
      <c r="F15" s="428">
        <f>Summary!F83</f>
        <v>23130.501750047773</v>
      </c>
      <c r="G15" s="429">
        <f>Summary!G83</f>
        <v>162.29855024416767</v>
      </c>
      <c r="H15" s="429">
        <f>Summary!H83</f>
        <v>0</v>
      </c>
      <c r="I15" s="429">
        <f>Summary!I83</f>
        <v>162.29855024416767</v>
      </c>
      <c r="J15" s="509">
        <f>Summary!J83</f>
        <v>22485.364553075771</v>
      </c>
      <c r="K15" s="510">
        <f>Summary!K83</f>
        <v>164.68371134565828</v>
      </c>
      <c r="L15" s="510">
        <f>Summary!L83</f>
        <v>0</v>
      </c>
      <c r="M15" s="510">
        <f>Summary!M83</f>
        <v>164.68371134565828</v>
      </c>
      <c r="N15" s="468" t="s">
        <v>31</v>
      </c>
    </row>
    <row r="16" spans="1:15" ht="12.75" customHeight="1" x14ac:dyDescent="0.2">
      <c r="A16" s="468" t="s">
        <v>17</v>
      </c>
      <c r="B16" s="419">
        <f>Summary!B84</f>
        <v>4686.6875903264799</v>
      </c>
      <c r="C16" s="420">
        <f>Summary!C84</f>
        <v>223.09414861460505</v>
      </c>
      <c r="D16" s="420">
        <f>Summary!D84</f>
        <v>7.1253778810451811</v>
      </c>
      <c r="E16" s="420">
        <f>Summary!E84</f>
        <v>215.96877073355986</v>
      </c>
      <c r="F16" s="428">
        <f>Summary!F84</f>
        <v>4561.1906494441355</v>
      </c>
      <c r="G16" s="429">
        <f>Summary!G84</f>
        <v>222.98213116280817</v>
      </c>
      <c r="H16" s="429">
        <f>Summary!H84</f>
        <v>6.8299611455629012</v>
      </c>
      <c r="I16" s="429">
        <f>Summary!I84</f>
        <v>216.15217001724528</v>
      </c>
      <c r="J16" s="509">
        <f>Summary!J84</f>
        <v>4525.0122711781269</v>
      </c>
      <c r="K16" s="510">
        <f>Summary!K84</f>
        <v>225.80471202929712</v>
      </c>
      <c r="L16" s="510">
        <f>Summary!L84</f>
        <v>6.8074837665967678</v>
      </c>
      <c r="M16" s="510">
        <f>Summary!M84</f>
        <v>218.99722826270036</v>
      </c>
      <c r="N16" s="468" t="s">
        <v>17</v>
      </c>
    </row>
    <row r="17" spans="1:14" ht="12.75" customHeight="1" x14ac:dyDescent="0.2">
      <c r="A17" s="468" t="s">
        <v>132</v>
      </c>
      <c r="B17" s="419">
        <f>Summary!B85</f>
        <v>2518.7047498130783</v>
      </c>
      <c r="C17" s="420">
        <f>Summary!C85</f>
        <v>162.44414861460504</v>
      </c>
      <c r="D17" s="420">
        <f>Summary!D85</f>
        <v>0</v>
      </c>
      <c r="E17" s="420">
        <f>Summary!E85</f>
        <v>162.44414861460504</v>
      </c>
      <c r="F17" s="428">
        <f>Summary!F85</f>
        <v>2459.6424448629227</v>
      </c>
      <c r="G17" s="429">
        <f>Summary!G85</f>
        <v>162.29855024416767</v>
      </c>
      <c r="H17" s="429">
        <f>Summary!H85</f>
        <v>0</v>
      </c>
      <c r="I17" s="429">
        <f>Summary!I85</f>
        <v>162.29855024416767</v>
      </c>
      <c r="J17" s="509">
        <f>Summary!J85</f>
        <v>2447.6455157536284</v>
      </c>
      <c r="K17" s="510">
        <f>Summary!K85</f>
        <v>164.68371134565828</v>
      </c>
      <c r="L17" s="510">
        <f>Summary!L85</f>
        <v>0</v>
      </c>
      <c r="M17" s="510">
        <f>Summary!M85</f>
        <v>164.68371134565828</v>
      </c>
      <c r="N17" s="468" t="s">
        <v>132</v>
      </c>
    </row>
    <row r="18" spans="1:14" ht="12.75" customHeight="1" x14ac:dyDescent="0.2">
      <c r="A18" s="468" t="s">
        <v>12</v>
      </c>
      <c r="B18" s="419">
        <f>Summary!B86</f>
        <v>7018.7761319106467</v>
      </c>
      <c r="C18" s="420">
        <f>Summary!C86</f>
        <v>223.09414861460505</v>
      </c>
      <c r="D18" s="420">
        <f>Summary!D86</f>
        <v>7.1253778810451802</v>
      </c>
      <c r="E18" s="420">
        <f>Summary!E86</f>
        <v>215.96877073355986</v>
      </c>
      <c r="F18" s="428">
        <f>Summary!F86</f>
        <v>6868.0533889633598</v>
      </c>
      <c r="G18" s="429">
        <f>Summary!G86</f>
        <v>222.94225648665926</v>
      </c>
      <c r="H18" s="429">
        <f>Summary!H86</f>
        <v>6.8299611455629012</v>
      </c>
      <c r="I18" s="429">
        <f>Summary!I86</f>
        <v>216.11229534109637</v>
      </c>
      <c r="J18" s="509">
        <f>Summary!J86</f>
        <v>6827.6812375764648</v>
      </c>
      <c r="K18" s="510">
        <f>Summary!K86</f>
        <v>225.76451854713611</v>
      </c>
      <c r="L18" s="510">
        <f>Summary!L86</f>
        <v>6.8074837665967678</v>
      </c>
      <c r="M18" s="510">
        <f>Summary!M86</f>
        <v>218.95703478053935</v>
      </c>
      <c r="N18" s="468" t="s">
        <v>12</v>
      </c>
    </row>
    <row r="19" spans="1:14" ht="12.75" customHeight="1" x14ac:dyDescent="0.2">
      <c r="A19" s="468" t="s">
        <v>13</v>
      </c>
      <c r="B19" s="419">
        <f>Summary!B87</f>
        <v>3329.304008690136</v>
      </c>
      <c r="C19" s="420">
        <f>Summary!C87</f>
        <v>162.44414861460504</v>
      </c>
      <c r="D19" s="420">
        <f>Summary!D87</f>
        <v>0</v>
      </c>
      <c r="E19" s="420">
        <f>Summary!E87</f>
        <v>162.44414861460504</v>
      </c>
      <c r="F19" s="428">
        <f>Summary!F87</f>
        <v>3393.7499917927062</v>
      </c>
      <c r="G19" s="429">
        <f>Summary!G87</f>
        <v>162.29855024416767</v>
      </c>
      <c r="H19" s="429">
        <f>Summary!H87</f>
        <v>0</v>
      </c>
      <c r="I19" s="429">
        <f>Summary!I87</f>
        <v>162.29855024416767</v>
      </c>
      <c r="J19" s="509">
        <f>Summary!J87</f>
        <v>3331.7687471344993</v>
      </c>
      <c r="K19" s="510">
        <f>Summary!K87</f>
        <v>164.68371134565828</v>
      </c>
      <c r="L19" s="510">
        <f>Summary!L87</f>
        <v>0</v>
      </c>
      <c r="M19" s="510">
        <f>Summary!M87</f>
        <v>164.68371134565828</v>
      </c>
      <c r="N19" s="468" t="s">
        <v>13</v>
      </c>
    </row>
    <row r="20" spans="1:14" ht="12.75" customHeight="1" x14ac:dyDescent="0.2">
      <c r="A20" s="468" t="s">
        <v>9</v>
      </c>
      <c r="B20" s="419">
        <f>Summary!B88</f>
        <v>9704.2796358777396</v>
      </c>
      <c r="C20" s="420">
        <f>Summary!C88</f>
        <v>223.09414861460505</v>
      </c>
      <c r="D20" s="420">
        <f>Summary!D88</f>
        <v>7.1253778810451802</v>
      </c>
      <c r="E20" s="420">
        <f>Summary!E88</f>
        <v>215.96877073355986</v>
      </c>
      <c r="F20" s="428">
        <f>Summary!F88</f>
        <v>9869.5433197851871</v>
      </c>
      <c r="G20" s="429">
        <f>Summary!G88</f>
        <v>222.94225648665926</v>
      </c>
      <c r="H20" s="429">
        <f>Summary!H88</f>
        <v>6.8299611455629012</v>
      </c>
      <c r="I20" s="429">
        <f>Summary!I88</f>
        <v>216.11229534109637</v>
      </c>
      <c r="J20" s="509">
        <f>Summary!J88</f>
        <v>9696.1222553749976</v>
      </c>
      <c r="K20" s="510">
        <f>Summary!K88</f>
        <v>225.76451854713611</v>
      </c>
      <c r="L20" s="510">
        <f>Summary!L88</f>
        <v>6.8074837665967687</v>
      </c>
      <c r="M20" s="510">
        <f>Summary!M88</f>
        <v>218.95703478053935</v>
      </c>
      <c r="N20" s="468" t="s">
        <v>9</v>
      </c>
    </row>
    <row r="21" spans="1:14" ht="12.75" customHeight="1" x14ac:dyDescent="0.2">
      <c r="A21" s="468" t="s">
        <v>14</v>
      </c>
      <c r="B21" s="419">
        <f>Summary!B89</f>
        <v>3289.9106211633766</v>
      </c>
      <c r="C21" s="420">
        <f>Summary!C89</f>
        <v>162.44414861460504</v>
      </c>
      <c r="D21" s="420">
        <f>Summary!D89</f>
        <v>0</v>
      </c>
      <c r="E21" s="420">
        <f>Summary!E89</f>
        <v>162.44414861460504</v>
      </c>
      <c r="F21" s="428">
        <f>Summary!F89</f>
        <v>3240.8152656403686</v>
      </c>
      <c r="G21" s="429">
        <f>Summary!G89</f>
        <v>162.29855024416767</v>
      </c>
      <c r="H21" s="429">
        <f>Summary!H89</f>
        <v>0</v>
      </c>
      <c r="I21" s="429">
        <f>Summary!I89</f>
        <v>162.29855024416767</v>
      </c>
      <c r="J21" s="509">
        <f>Summary!J89</f>
        <v>3226.9961450233518</v>
      </c>
      <c r="K21" s="510">
        <f>Summary!K89</f>
        <v>164.68371134565828</v>
      </c>
      <c r="L21" s="510">
        <f>Summary!L89</f>
        <v>0</v>
      </c>
      <c r="M21" s="510">
        <f>Summary!M89</f>
        <v>164.68371134565828</v>
      </c>
      <c r="N21" s="468" t="s">
        <v>14</v>
      </c>
    </row>
    <row r="22" spans="1:14" ht="12.75" customHeight="1" x14ac:dyDescent="0.2">
      <c r="A22" s="468" t="s">
        <v>15</v>
      </c>
      <c r="B22" s="419">
        <f>Summary!B90</f>
        <v>7315.9148263982033</v>
      </c>
      <c r="C22" s="420">
        <f>Summary!C90</f>
        <v>154.74164163036284</v>
      </c>
      <c r="D22" s="420">
        <f>Summary!D90</f>
        <v>0</v>
      </c>
      <c r="E22" s="420">
        <f>Summary!E90</f>
        <v>154.74164163036284</v>
      </c>
      <c r="F22" s="428">
        <f>Summary!F90</f>
        <v>7416.7504980595322</v>
      </c>
      <c r="G22" s="429">
        <f>Summary!G90</f>
        <v>154.63455387447337</v>
      </c>
      <c r="H22" s="429">
        <f>Summary!H90</f>
        <v>0</v>
      </c>
      <c r="I22" s="429">
        <f>Summary!I90</f>
        <v>154.63455387447337</v>
      </c>
      <c r="J22" s="509">
        <f>Summary!J90</f>
        <v>7393.4532889766624</v>
      </c>
      <c r="K22" s="510">
        <f>Summary!K90</f>
        <v>156.9374038295293</v>
      </c>
      <c r="L22" s="510">
        <f>Summary!L90</f>
        <v>0</v>
      </c>
      <c r="M22" s="510">
        <f>Summary!M90</f>
        <v>156.9374038295293</v>
      </c>
      <c r="N22" s="468" t="s">
        <v>15</v>
      </c>
    </row>
    <row r="23" spans="1:14" ht="12.75" customHeight="1" x14ac:dyDescent="0.2">
      <c r="A23" s="468" t="s">
        <v>10</v>
      </c>
      <c r="B23" s="419">
        <f>Summary!B91</f>
        <v>8201.7032830713415</v>
      </c>
      <c r="C23" s="420">
        <f>Summary!C91</f>
        <v>152.73830517543715</v>
      </c>
      <c r="D23" s="420">
        <f>Summary!D91</f>
        <v>0</v>
      </c>
      <c r="E23" s="420">
        <f>Summary!E91</f>
        <v>152.73830517543715</v>
      </c>
      <c r="F23" s="428">
        <f>Summary!F91</f>
        <v>8445.2657174504402</v>
      </c>
      <c r="G23" s="429">
        <f>Summary!G91</f>
        <v>152.87262444582203</v>
      </c>
      <c r="H23" s="429">
        <f>Summary!H91</f>
        <v>0</v>
      </c>
      <c r="I23" s="429">
        <f>Summary!I91</f>
        <v>152.87262444582203</v>
      </c>
      <c r="J23" s="509">
        <f>Summary!J91</f>
        <v>8244.4396461238739</v>
      </c>
      <c r="K23" s="510">
        <f>Summary!K91</f>
        <v>155.02817968833989</v>
      </c>
      <c r="L23" s="510">
        <f>Summary!L91</f>
        <v>0</v>
      </c>
      <c r="M23" s="510">
        <f>Summary!M91</f>
        <v>155.02817968833989</v>
      </c>
      <c r="N23" s="468" t="s">
        <v>10</v>
      </c>
    </row>
    <row r="24" spans="1:14" ht="12.75" customHeight="1" x14ac:dyDescent="0.2">
      <c r="A24" s="468" t="s">
        <v>8</v>
      </c>
      <c r="B24" s="419">
        <f>Summary!B92</f>
        <v>11419.580281328645</v>
      </c>
      <c r="C24" s="420">
        <f>Summary!C92</f>
        <v>223.09414861460505</v>
      </c>
      <c r="D24" s="420">
        <f>Summary!D92</f>
        <v>7.1253778810451811</v>
      </c>
      <c r="E24" s="420">
        <f>Summary!E92</f>
        <v>215.96877073355986</v>
      </c>
      <c r="F24" s="428">
        <f>Summary!F92</f>
        <v>11514.46720641605</v>
      </c>
      <c r="G24" s="429">
        <f>Summary!G92</f>
        <v>222.94225648665926</v>
      </c>
      <c r="H24" s="429">
        <f>Summary!H92</f>
        <v>6.8299611455629012</v>
      </c>
      <c r="I24" s="429">
        <f>Summary!I92</f>
        <v>216.11229534109637</v>
      </c>
      <c r="J24" s="509">
        <f>Summary!J92</f>
        <v>11293.322367558272</v>
      </c>
      <c r="K24" s="510">
        <f>Summary!K92</f>
        <v>225.76451854713611</v>
      </c>
      <c r="L24" s="510">
        <f>Summary!L92</f>
        <v>6.8074837665967678</v>
      </c>
      <c r="M24" s="510">
        <f>Summary!M92</f>
        <v>218.95703478053935</v>
      </c>
      <c r="N24" s="468" t="s">
        <v>8</v>
      </c>
    </row>
    <row r="25" spans="1:14" ht="12.75" customHeight="1" x14ac:dyDescent="0.2">
      <c r="A25" s="468" t="s">
        <v>18</v>
      </c>
      <c r="B25" s="419">
        <f>Summary!B93</f>
        <v>462.59092209994793</v>
      </c>
      <c r="C25" s="420">
        <f>Summary!C93</f>
        <v>223.09414861460505</v>
      </c>
      <c r="D25" s="420">
        <f>Summary!D93</f>
        <v>7.1253778810451802</v>
      </c>
      <c r="E25" s="420">
        <f>Summary!E93</f>
        <v>215.96877073355986</v>
      </c>
      <c r="F25" s="428">
        <f>Summary!F93</f>
        <v>458.80417845701186</v>
      </c>
      <c r="G25" s="429">
        <f>Summary!G93</f>
        <v>222.94225648665926</v>
      </c>
      <c r="H25" s="429">
        <f>Summary!H93</f>
        <v>6.8299611455629003</v>
      </c>
      <c r="I25" s="429">
        <f>Summary!I93</f>
        <v>216.11229534109637</v>
      </c>
      <c r="J25" s="509">
        <f>Summary!J93</f>
        <v>449.35804905447827</v>
      </c>
      <c r="K25" s="510">
        <f>Summary!K93</f>
        <v>225.76451854713611</v>
      </c>
      <c r="L25" s="510">
        <f>Summary!L93</f>
        <v>6.8074837665967678</v>
      </c>
      <c r="M25" s="510">
        <f>Summary!M93</f>
        <v>218.95703478053935</v>
      </c>
      <c r="N25" s="468" t="s">
        <v>18</v>
      </c>
    </row>
    <row r="26" spans="1:14" ht="12.75" customHeight="1" x14ac:dyDescent="0.2">
      <c r="A26" s="26"/>
      <c r="B26" s="434">
        <f>SUM(B6:B25)</f>
        <v>166836.90000000002</v>
      </c>
      <c r="C26" s="406"/>
      <c r="D26" s="406"/>
      <c r="E26" s="406"/>
      <c r="F26" s="433">
        <f>SUM(F6:F25)</f>
        <v>167016.4</v>
      </c>
      <c r="G26" s="406"/>
      <c r="H26" s="406"/>
      <c r="I26" s="406"/>
      <c r="J26" s="514">
        <f>SUM(J6:J25)</f>
        <v>164506.1</v>
      </c>
      <c r="K26" s="406"/>
      <c r="L26" s="406"/>
      <c r="M26" s="406"/>
    </row>
    <row r="27" spans="1:14" ht="12.75" customHeight="1" x14ac:dyDescent="0.2">
      <c r="A27" s="27" t="s">
        <v>126</v>
      </c>
      <c r="B27" s="23"/>
      <c r="C27" s="23"/>
      <c r="D27" s="23"/>
      <c r="E27" s="23"/>
      <c r="F27" s="23"/>
      <c r="G27" s="23"/>
      <c r="H27" s="23"/>
      <c r="I27" s="23"/>
    </row>
    <row r="28" spans="1:14" ht="12.75" customHeight="1" x14ac:dyDescent="0.2"/>
    <row r="29" spans="1:14" ht="12.75" customHeight="1" x14ac:dyDescent="0.2"/>
  </sheetData>
  <mergeCells count="5">
    <mergeCell ref="F4:I4"/>
    <mergeCell ref="B4:E4"/>
    <mergeCell ref="A4:A5"/>
    <mergeCell ref="N4:N5"/>
    <mergeCell ref="J4:M4"/>
  </mergeCells>
  <pageMargins left="0.5" right="0.5" top="0.5" bottom="0.5" header="0" footer="0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5"/>
  <sheetViews>
    <sheetView workbookViewId="0"/>
  </sheetViews>
  <sheetFormatPr defaultRowHeight="12.75" x14ac:dyDescent="0.2"/>
  <cols>
    <col min="1" max="1" width="55.7109375" customWidth="1"/>
    <col min="2" max="27" width="15.7109375" customWidth="1"/>
    <col min="28" max="28" width="19" customWidth="1"/>
    <col min="29" max="29" width="15.7109375" customWidth="1"/>
  </cols>
  <sheetData>
    <row r="1" spans="1:22" ht="18.75" x14ac:dyDescent="0.3">
      <c r="A1" s="104" t="s">
        <v>291</v>
      </c>
      <c r="B1" s="11" t="s">
        <v>24</v>
      </c>
    </row>
    <row r="2" spans="1:22" ht="19.5" thickBot="1" x14ac:dyDescent="0.35">
      <c r="A2" s="3"/>
      <c r="C2" s="18"/>
    </row>
    <row r="3" spans="1:22" ht="12.75" customHeight="1" thickBot="1" x14ac:dyDescent="0.25">
      <c r="A3" s="559" t="s">
        <v>65</v>
      </c>
      <c r="B3" s="23"/>
      <c r="C3" s="127" t="s">
        <v>141</v>
      </c>
      <c r="D3" s="23"/>
      <c r="E3" s="23"/>
      <c r="F3" s="23"/>
      <c r="G3" s="23"/>
      <c r="H3" s="23"/>
      <c r="I3" s="127" t="s">
        <v>141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2.75" customHeight="1" thickBot="1" x14ac:dyDescent="0.25">
      <c r="A4" s="560"/>
      <c r="B4" s="249" t="s">
        <v>29</v>
      </c>
      <c r="C4" s="249" t="s">
        <v>29</v>
      </c>
      <c r="D4" s="250" t="s">
        <v>36</v>
      </c>
      <c r="E4" s="250" t="s">
        <v>5</v>
      </c>
      <c r="F4" s="250" t="s">
        <v>8</v>
      </c>
      <c r="G4" s="250" t="s">
        <v>37</v>
      </c>
      <c r="H4" s="250" t="s">
        <v>38</v>
      </c>
      <c r="I4" s="250" t="s">
        <v>38</v>
      </c>
      <c r="J4" s="250" t="s">
        <v>15</v>
      </c>
      <c r="K4" s="250" t="s">
        <v>11</v>
      </c>
      <c r="L4" s="147"/>
      <c r="M4" s="147"/>
      <c r="N4" s="147"/>
      <c r="O4" s="147"/>
      <c r="P4" s="147"/>
      <c r="Q4" s="23"/>
      <c r="R4" s="23"/>
      <c r="S4" s="23"/>
      <c r="T4" s="23"/>
      <c r="U4" s="23"/>
      <c r="V4" s="23"/>
    </row>
    <row r="5" spans="1:22" ht="25.5" x14ac:dyDescent="0.2">
      <c r="A5" s="251" t="s">
        <v>105</v>
      </c>
      <c r="B5" s="252" t="s">
        <v>116</v>
      </c>
      <c r="C5" s="252" t="s">
        <v>142</v>
      </c>
      <c r="D5" s="253" t="s">
        <v>151</v>
      </c>
      <c r="E5" s="253" t="s">
        <v>151</v>
      </c>
      <c r="F5" s="253" t="s">
        <v>151</v>
      </c>
      <c r="G5" s="253" t="s">
        <v>151</v>
      </c>
      <c r="H5" s="253" t="s">
        <v>116</v>
      </c>
      <c r="I5" s="253" t="s">
        <v>142</v>
      </c>
      <c r="J5" s="253" t="s">
        <v>151</v>
      </c>
      <c r="K5" s="253" t="s">
        <v>151</v>
      </c>
      <c r="L5" s="147"/>
      <c r="M5" s="147"/>
      <c r="N5" s="147"/>
      <c r="O5" s="147"/>
      <c r="P5" s="147"/>
      <c r="Q5" s="34"/>
      <c r="R5" s="23"/>
      <c r="S5" s="23"/>
      <c r="T5" s="23"/>
      <c r="U5" s="23"/>
      <c r="V5" s="23"/>
    </row>
    <row r="6" spans="1:22" x14ac:dyDescent="0.2">
      <c r="A6" s="134" t="s">
        <v>201</v>
      </c>
      <c r="B6" s="195"/>
      <c r="C6" s="195"/>
      <c r="D6" s="196"/>
      <c r="E6" s="196"/>
      <c r="F6" s="196"/>
      <c r="G6" s="196"/>
      <c r="H6" s="196"/>
      <c r="I6" s="196"/>
      <c r="J6" s="196"/>
      <c r="K6" s="196"/>
      <c r="L6" s="147"/>
      <c r="M6" s="147"/>
      <c r="N6" s="147"/>
      <c r="O6" s="147"/>
      <c r="P6" s="147"/>
      <c r="Q6" s="34"/>
      <c r="R6" s="23"/>
      <c r="S6" s="23"/>
      <c r="T6" s="23"/>
      <c r="U6" s="23"/>
      <c r="V6" s="23"/>
    </row>
    <row r="7" spans="1:22" x14ac:dyDescent="0.2">
      <c r="A7" s="254" t="s">
        <v>97</v>
      </c>
      <c r="B7" s="197">
        <v>160</v>
      </c>
      <c r="C7" s="198">
        <f>B7*'1st IA CTRs'!$F$5/$B$28</f>
        <v>0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40"/>
      <c r="M7" s="40"/>
      <c r="N7" s="40"/>
      <c r="O7" s="40"/>
      <c r="P7" s="40"/>
      <c r="Q7" s="34"/>
      <c r="R7" s="23"/>
      <c r="S7" s="23"/>
      <c r="T7" s="23"/>
      <c r="U7" s="23"/>
      <c r="V7" s="23"/>
    </row>
    <row r="8" spans="1:22" ht="25.5" x14ac:dyDescent="0.2">
      <c r="A8" s="254" t="s">
        <v>98</v>
      </c>
      <c r="B8" s="197">
        <v>106</v>
      </c>
      <c r="C8" s="198">
        <f>B8*'1st IA CTRs'!$F$5/$B$28</f>
        <v>0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40"/>
      <c r="M8" s="40"/>
      <c r="N8" s="40"/>
      <c r="O8" s="40"/>
      <c r="P8" s="40"/>
      <c r="Q8" s="34"/>
      <c r="R8" s="23"/>
      <c r="S8" s="23"/>
      <c r="T8" s="23"/>
      <c r="U8" s="23"/>
      <c r="V8" s="23"/>
    </row>
    <row r="9" spans="1:22" x14ac:dyDescent="0.2">
      <c r="A9" s="254" t="s">
        <v>101</v>
      </c>
      <c r="B9" s="197">
        <v>117</v>
      </c>
      <c r="C9" s="198">
        <f>B9*'1st IA CTRs'!$F$5/$B$28</f>
        <v>0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40"/>
      <c r="M9" s="40"/>
      <c r="N9" s="40"/>
      <c r="O9" s="40"/>
      <c r="P9" s="40"/>
      <c r="Q9" s="34"/>
      <c r="R9" s="23"/>
      <c r="S9" s="23"/>
      <c r="T9" s="23"/>
      <c r="U9" s="23"/>
      <c r="V9" s="23"/>
    </row>
    <row r="10" spans="1:22" ht="25.5" x14ac:dyDescent="0.2">
      <c r="A10" s="254" t="s">
        <v>102</v>
      </c>
      <c r="B10" s="197">
        <v>0</v>
      </c>
      <c r="C10" s="198">
        <f>B10*'1st IA CTRs'!$F$5/$B$28</f>
        <v>0</v>
      </c>
      <c r="D10" s="198">
        <v>898</v>
      </c>
      <c r="E10" s="198">
        <v>0</v>
      </c>
      <c r="F10" s="198">
        <v>68.900000000000006</v>
      </c>
      <c r="G10" s="198">
        <v>105.5</v>
      </c>
      <c r="H10" s="198">
        <v>0</v>
      </c>
      <c r="I10" s="198">
        <v>0</v>
      </c>
      <c r="J10" s="198">
        <v>0</v>
      </c>
      <c r="K10" s="198">
        <v>0</v>
      </c>
      <c r="L10" s="40"/>
      <c r="M10" s="40"/>
      <c r="N10" s="40"/>
      <c r="O10" s="40"/>
      <c r="P10" s="40"/>
      <c r="Q10" s="34"/>
      <c r="R10" s="23"/>
      <c r="S10" s="23"/>
      <c r="T10" s="23"/>
      <c r="U10" s="23"/>
      <c r="V10" s="23"/>
    </row>
    <row r="11" spans="1:22" x14ac:dyDescent="0.2">
      <c r="A11" s="254" t="s">
        <v>134</v>
      </c>
      <c r="B11" s="197">
        <v>339</v>
      </c>
      <c r="C11" s="198">
        <f>B11*'1st IA CTRs'!$F$5/$B$28</f>
        <v>0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40"/>
      <c r="M11" s="40"/>
      <c r="N11" s="40"/>
      <c r="O11" s="40"/>
      <c r="P11" s="40"/>
      <c r="Q11" s="34"/>
      <c r="R11" s="23"/>
      <c r="S11" s="23"/>
      <c r="T11" s="23"/>
      <c r="U11" s="23"/>
      <c r="V11" s="23"/>
    </row>
    <row r="12" spans="1:22" ht="25.5" x14ac:dyDescent="0.2">
      <c r="A12" s="254" t="s">
        <v>203</v>
      </c>
      <c r="B12" s="197">
        <v>0</v>
      </c>
      <c r="C12" s="198">
        <f>B12*'1st IA CTRs'!$F$5/$B$28</f>
        <v>0</v>
      </c>
      <c r="D12" s="198">
        <v>0</v>
      </c>
      <c r="E12" s="198">
        <v>256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40"/>
      <c r="M12" s="40"/>
      <c r="N12" s="40"/>
      <c r="O12" s="40"/>
      <c r="P12" s="40"/>
      <c r="Q12" s="34"/>
      <c r="R12" s="23"/>
      <c r="S12" s="23"/>
      <c r="T12" s="23"/>
      <c r="U12" s="23"/>
      <c r="V12" s="23"/>
    </row>
    <row r="13" spans="1:22" x14ac:dyDescent="0.2">
      <c r="A13" s="255" t="s">
        <v>202</v>
      </c>
      <c r="B13" s="199">
        <f t="shared" ref="B13:H13" si="0">SUM(B7:B12)</f>
        <v>722</v>
      </c>
      <c r="C13" s="199">
        <f>SUM(C7:C12)</f>
        <v>0</v>
      </c>
      <c r="D13" s="200">
        <f t="shared" si="0"/>
        <v>898</v>
      </c>
      <c r="E13" s="200">
        <f t="shared" si="0"/>
        <v>256</v>
      </c>
      <c r="F13" s="200">
        <f t="shared" si="0"/>
        <v>68.900000000000006</v>
      </c>
      <c r="G13" s="200">
        <f t="shared" si="0"/>
        <v>105.5</v>
      </c>
      <c r="H13" s="200">
        <f t="shared" si="0"/>
        <v>0</v>
      </c>
      <c r="I13" s="200">
        <f>SUM(I7:I12)</f>
        <v>0</v>
      </c>
      <c r="J13" s="200">
        <f>SUM(J7:J12)</f>
        <v>0</v>
      </c>
      <c r="K13" s="200">
        <f>SUM(K7:K12)</f>
        <v>0</v>
      </c>
      <c r="L13" s="40"/>
      <c r="M13" s="40"/>
      <c r="N13" s="40"/>
      <c r="O13" s="40"/>
      <c r="P13" s="40"/>
      <c r="Q13" s="34"/>
      <c r="R13" s="23"/>
      <c r="S13" s="23"/>
      <c r="T13" s="23"/>
      <c r="U13" s="23"/>
      <c r="V13" s="23"/>
    </row>
    <row r="14" spans="1:22" x14ac:dyDescent="0.2">
      <c r="A14" s="134" t="s">
        <v>174</v>
      </c>
      <c r="B14" s="197" t="s">
        <v>24</v>
      </c>
      <c r="C14" s="197" t="s">
        <v>24</v>
      </c>
      <c r="D14" s="198"/>
      <c r="E14" s="198"/>
      <c r="F14" s="198"/>
      <c r="G14" s="198"/>
      <c r="H14" s="198"/>
      <c r="I14" s="198"/>
      <c r="J14" s="198"/>
      <c r="K14" s="198"/>
      <c r="L14" s="148"/>
      <c r="M14" s="68"/>
      <c r="N14" s="68"/>
      <c r="O14" s="68"/>
      <c r="P14" s="148"/>
      <c r="Q14" s="34"/>
      <c r="R14" s="23"/>
      <c r="S14" s="23"/>
      <c r="T14" s="23"/>
      <c r="U14" s="23"/>
      <c r="V14" s="23"/>
    </row>
    <row r="15" spans="1:22" ht="25.5" x14ac:dyDescent="0.2">
      <c r="A15" s="254" t="s">
        <v>234</v>
      </c>
      <c r="B15" s="197">
        <v>16</v>
      </c>
      <c r="C15" s="198">
        <f>B15*'1st IA CTRs'!$F$5/$B$28</f>
        <v>0</v>
      </c>
      <c r="D15" s="198">
        <v>0</v>
      </c>
      <c r="E15" s="198">
        <v>237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124</v>
      </c>
      <c r="L15" s="206" t="s">
        <v>24</v>
      </c>
      <c r="M15" s="68"/>
      <c r="N15" s="68"/>
      <c r="O15" s="68"/>
      <c r="P15" s="148"/>
      <c r="Q15" s="34"/>
      <c r="R15" s="23"/>
      <c r="S15" s="23"/>
      <c r="T15" s="23"/>
      <c r="U15" s="23"/>
      <c r="V15" s="23"/>
    </row>
    <row r="16" spans="1:22" ht="25.5" x14ac:dyDescent="0.2">
      <c r="A16" s="254" t="s">
        <v>128</v>
      </c>
      <c r="B16" s="197">
        <v>0</v>
      </c>
      <c r="C16" s="198">
        <f>B16*'1st IA CTRs'!$F$5/$B$28</f>
        <v>0</v>
      </c>
      <c r="D16" s="198">
        <v>0</v>
      </c>
      <c r="E16" s="198">
        <v>0</v>
      </c>
      <c r="F16" s="198">
        <v>340.2</v>
      </c>
      <c r="G16" s="198">
        <v>494.5</v>
      </c>
      <c r="H16" s="198">
        <v>0</v>
      </c>
      <c r="I16" s="198">
        <v>0</v>
      </c>
      <c r="J16" s="198">
        <v>0</v>
      </c>
      <c r="K16" s="198">
        <v>0</v>
      </c>
      <c r="L16" s="148"/>
      <c r="M16" s="68"/>
      <c r="N16" s="68"/>
      <c r="O16" s="68"/>
      <c r="P16" s="148"/>
      <c r="Q16" s="34"/>
      <c r="R16" s="23"/>
      <c r="S16" s="23"/>
      <c r="T16" s="23"/>
      <c r="U16" s="23"/>
      <c r="V16" s="23"/>
    </row>
    <row r="17" spans="1:29" ht="25.5" x14ac:dyDescent="0.2">
      <c r="A17" s="254" t="s">
        <v>99</v>
      </c>
      <c r="B17" s="197">
        <v>0</v>
      </c>
      <c r="C17" s="198">
        <f>B17*'1st IA CTRs'!$F$5/$B$28</f>
        <v>0</v>
      </c>
      <c r="D17" s="198">
        <v>0</v>
      </c>
      <c r="E17" s="198">
        <v>0</v>
      </c>
      <c r="F17" s="198">
        <v>90.3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48"/>
      <c r="M17" s="68"/>
      <c r="N17" s="68"/>
      <c r="O17" s="68"/>
      <c r="P17" s="148"/>
      <c r="Q17" s="34"/>
      <c r="R17" s="23"/>
      <c r="S17" s="23"/>
      <c r="T17" s="23"/>
      <c r="U17" s="23"/>
      <c r="V17" s="23"/>
    </row>
    <row r="18" spans="1:29" ht="25.5" x14ac:dyDescent="0.2">
      <c r="A18" s="254" t="s">
        <v>204</v>
      </c>
      <c r="B18" s="197">
        <v>0</v>
      </c>
      <c r="C18" s="198">
        <f>B18*'1st IA CTRs'!$F$5/$B$28</f>
        <v>0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182</v>
      </c>
      <c r="L18" s="148"/>
      <c r="M18" s="68"/>
      <c r="N18" s="68"/>
      <c r="O18" s="68"/>
      <c r="P18" s="148"/>
      <c r="Q18" s="34"/>
      <c r="R18" s="23"/>
      <c r="S18" s="23"/>
      <c r="T18" s="23"/>
      <c r="U18" s="23"/>
      <c r="V18" s="23"/>
    </row>
    <row r="19" spans="1:29" ht="25.5" x14ac:dyDescent="0.2">
      <c r="A19" s="254" t="s">
        <v>205</v>
      </c>
      <c r="B19" s="197">
        <v>0</v>
      </c>
      <c r="C19" s="198">
        <f>B19*'1st IA CTRs'!$F$5/$B$28</f>
        <v>0</v>
      </c>
      <c r="D19" s="198">
        <v>0</v>
      </c>
      <c r="E19" s="198">
        <v>551</v>
      </c>
      <c r="F19" s="198">
        <v>0</v>
      </c>
      <c r="G19" s="198">
        <v>0</v>
      </c>
      <c r="H19" s="198">
        <v>0</v>
      </c>
      <c r="I19" s="198">
        <v>0</v>
      </c>
      <c r="J19" s="198">
        <v>315</v>
      </c>
      <c r="K19" s="198">
        <v>0</v>
      </c>
      <c r="L19" s="148"/>
      <c r="M19" s="68"/>
      <c r="N19" s="68"/>
      <c r="O19" s="68"/>
      <c r="P19" s="148"/>
      <c r="Q19" s="34"/>
      <c r="R19" s="23"/>
      <c r="S19" s="23"/>
      <c r="T19" s="23"/>
      <c r="U19" s="23"/>
      <c r="V19" s="23"/>
    </row>
    <row r="20" spans="1:29" x14ac:dyDescent="0.2">
      <c r="A20" s="255" t="s">
        <v>106</v>
      </c>
      <c r="B20" s="199">
        <f t="shared" ref="B20:H20" si="1">SUM(B15:B19)</f>
        <v>16</v>
      </c>
      <c r="C20" s="199">
        <f>SUM(C15:C19)</f>
        <v>0</v>
      </c>
      <c r="D20" s="200">
        <f t="shared" si="1"/>
        <v>0</v>
      </c>
      <c r="E20" s="200">
        <f>SUM(E15:E19)</f>
        <v>788</v>
      </c>
      <c r="F20" s="200">
        <f>SUM(F15:F19)</f>
        <v>430.5</v>
      </c>
      <c r="G20" s="200">
        <f>SUM(G15:G19)</f>
        <v>494.5</v>
      </c>
      <c r="H20" s="200">
        <f t="shared" si="1"/>
        <v>0</v>
      </c>
      <c r="I20" s="200">
        <f>SUM(I15:I19)</f>
        <v>0</v>
      </c>
      <c r="J20" s="200">
        <f>SUM(J15:J19)</f>
        <v>315</v>
      </c>
      <c r="K20" s="200">
        <f>SUM(K15:K19)</f>
        <v>306</v>
      </c>
      <c r="L20" s="148"/>
      <c r="M20" s="68"/>
      <c r="N20" s="68"/>
      <c r="O20" s="68"/>
      <c r="P20" s="148"/>
      <c r="Q20" s="34"/>
      <c r="R20" s="23"/>
      <c r="S20" s="23"/>
      <c r="T20" s="23"/>
      <c r="U20" s="23"/>
      <c r="V20" s="23"/>
    </row>
    <row r="21" spans="1:29" x14ac:dyDescent="0.2">
      <c r="A21" s="134" t="s">
        <v>81</v>
      </c>
      <c r="B21" s="201"/>
      <c r="C21" s="201"/>
      <c r="D21" s="202"/>
      <c r="E21" s="202"/>
      <c r="F21" s="202"/>
      <c r="G21" s="202"/>
      <c r="H21" s="202"/>
      <c r="I21" s="202"/>
      <c r="J21" s="202"/>
      <c r="K21" s="202"/>
      <c r="L21" s="148"/>
      <c r="M21" s="68"/>
      <c r="N21" s="68"/>
      <c r="O21" s="68"/>
      <c r="P21" s="148"/>
      <c r="Q21" s="34"/>
      <c r="R21" s="23"/>
      <c r="S21" s="23"/>
      <c r="T21" s="23"/>
      <c r="U21" s="23"/>
      <c r="V21" s="23"/>
    </row>
    <row r="22" spans="1:29" ht="25.5" x14ac:dyDescent="0.2">
      <c r="A22" s="254" t="s">
        <v>100</v>
      </c>
      <c r="B22" s="197">
        <v>159</v>
      </c>
      <c r="C22" s="198">
        <f>B22*'1st IA CTRs'!$F$5/$B$28</f>
        <v>0</v>
      </c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48"/>
      <c r="M22" s="68"/>
      <c r="N22" s="68"/>
      <c r="O22" s="68"/>
      <c r="P22" s="148"/>
      <c r="Q22" s="34"/>
      <c r="R22" s="23"/>
      <c r="S22" s="23"/>
      <c r="T22" s="23"/>
      <c r="U22" s="23"/>
      <c r="V22" s="23"/>
    </row>
    <row r="23" spans="1:29" ht="25.5" x14ac:dyDescent="0.2">
      <c r="A23" s="254" t="s">
        <v>206</v>
      </c>
      <c r="B23" s="197">
        <v>0</v>
      </c>
      <c r="C23" s="198">
        <f>B23*'1st IA CTRs'!$F$5/$B$28</f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37</v>
      </c>
      <c r="I23" s="198">
        <f>H23*'1st IA CTRs'!$F$9/$H$28</f>
        <v>0</v>
      </c>
      <c r="J23" s="198">
        <v>0</v>
      </c>
      <c r="K23" s="198">
        <v>0</v>
      </c>
      <c r="L23" s="148"/>
      <c r="M23" s="68"/>
      <c r="N23" s="68"/>
      <c r="O23" s="68"/>
      <c r="P23" s="148"/>
      <c r="Q23" s="34"/>
      <c r="R23" s="23"/>
      <c r="S23" s="23"/>
      <c r="T23" s="23"/>
      <c r="U23" s="23"/>
      <c r="V23" s="23"/>
    </row>
    <row r="24" spans="1:29" ht="25.5" x14ac:dyDescent="0.2">
      <c r="A24" s="254" t="s">
        <v>207</v>
      </c>
      <c r="B24" s="197">
        <v>0</v>
      </c>
      <c r="C24" s="198">
        <f>B24*'1st IA CTRs'!$F$5/$B$28</f>
        <v>0</v>
      </c>
      <c r="D24" s="198">
        <v>0</v>
      </c>
      <c r="E24" s="203">
        <v>0</v>
      </c>
      <c r="F24" s="203">
        <v>0</v>
      </c>
      <c r="G24" s="203">
        <v>0</v>
      </c>
      <c r="H24" s="203">
        <v>35</v>
      </c>
      <c r="I24" s="198">
        <f>H24*'1st IA CTRs'!$F$9/$H$28</f>
        <v>0</v>
      </c>
      <c r="J24" s="203">
        <v>0</v>
      </c>
      <c r="K24" s="198">
        <v>0</v>
      </c>
      <c r="L24" s="148"/>
      <c r="M24" s="68"/>
      <c r="N24" s="68"/>
      <c r="O24" s="68"/>
      <c r="P24" s="148"/>
      <c r="Q24" s="34"/>
      <c r="R24" s="23"/>
      <c r="S24" s="23"/>
      <c r="T24" s="23"/>
      <c r="U24" s="23"/>
      <c r="V24" s="23"/>
    </row>
    <row r="25" spans="1:29" x14ac:dyDescent="0.2">
      <c r="A25" s="254" t="s">
        <v>208</v>
      </c>
      <c r="B25" s="197">
        <v>733</v>
      </c>
      <c r="C25" s="198">
        <f>B25*'1st IA CTRs'!$F$5/$B$28</f>
        <v>0</v>
      </c>
      <c r="D25" s="198">
        <v>0</v>
      </c>
      <c r="E25" s="203">
        <v>0</v>
      </c>
      <c r="F25" s="203">
        <v>0</v>
      </c>
      <c r="G25" s="203">
        <v>0</v>
      </c>
      <c r="H25" s="203">
        <v>0</v>
      </c>
      <c r="I25" s="198">
        <v>0</v>
      </c>
      <c r="J25" s="203">
        <v>0</v>
      </c>
      <c r="K25" s="198">
        <v>0</v>
      </c>
      <c r="L25" s="148"/>
      <c r="M25" s="68"/>
      <c r="N25" s="68"/>
      <c r="O25" s="68"/>
      <c r="P25" s="148"/>
      <c r="Q25" s="34"/>
      <c r="R25" s="23"/>
      <c r="S25" s="23"/>
      <c r="T25" s="23"/>
      <c r="U25" s="23"/>
      <c r="V25" s="23"/>
    </row>
    <row r="26" spans="1:29" ht="12.75" customHeight="1" x14ac:dyDescent="0.2">
      <c r="A26" s="255" t="s">
        <v>88</v>
      </c>
      <c r="B26" s="199">
        <f>SUM(B22:B25)</f>
        <v>892</v>
      </c>
      <c r="C26" s="199">
        <f>SUM(C22:C25)</f>
        <v>0</v>
      </c>
      <c r="D26" s="204">
        <f t="shared" ref="D26:K26" si="2">SUM(D22:D25)</f>
        <v>0</v>
      </c>
      <c r="E26" s="199">
        <f t="shared" si="2"/>
        <v>0</v>
      </c>
      <c r="F26" s="199">
        <f t="shared" si="2"/>
        <v>0</v>
      </c>
      <c r="G26" s="199">
        <f t="shared" si="2"/>
        <v>0</v>
      </c>
      <c r="H26" s="199">
        <f t="shared" si="2"/>
        <v>72</v>
      </c>
      <c r="I26" s="199">
        <f t="shared" si="2"/>
        <v>0</v>
      </c>
      <c r="J26" s="199">
        <f t="shared" si="2"/>
        <v>0</v>
      </c>
      <c r="K26" s="204">
        <f t="shared" si="2"/>
        <v>0</v>
      </c>
      <c r="L26" s="148"/>
      <c r="M26" s="68"/>
      <c r="N26" s="68"/>
      <c r="O26" s="68"/>
      <c r="P26" s="148"/>
      <c r="Q26" s="34"/>
      <c r="R26" s="23"/>
      <c r="S26" s="23"/>
      <c r="T26" s="23"/>
      <c r="U26" s="23"/>
      <c r="V26" s="23"/>
    </row>
    <row r="27" spans="1:29" x14ac:dyDescent="0.2">
      <c r="A27" s="256"/>
      <c r="B27" s="197"/>
      <c r="C27" s="197"/>
      <c r="D27" s="196"/>
      <c r="E27" s="196"/>
      <c r="F27" s="196"/>
      <c r="G27" s="196"/>
      <c r="H27" s="196"/>
      <c r="I27" s="196"/>
      <c r="J27" s="196"/>
      <c r="K27" s="196"/>
      <c r="L27" s="148"/>
      <c r="M27" s="68"/>
      <c r="N27" s="68"/>
      <c r="O27" s="68"/>
      <c r="P27" s="148"/>
      <c r="Q27" s="34"/>
      <c r="R27" s="23"/>
      <c r="S27" s="23"/>
      <c r="T27" s="23"/>
      <c r="U27" s="23"/>
      <c r="V27" s="23"/>
    </row>
    <row r="28" spans="1:29" ht="13.5" thickBot="1" x14ac:dyDescent="0.25">
      <c r="A28" s="257" t="s">
        <v>89</v>
      </c>
      <c r="B28" s="258">
        <f>B13+B20+B26</f>
        <v>1630</v>
      </c>
      <c r="C28" s="258">
        <f>C13+C20+C26</f>
        <v>0</v>
      </c>
      <c r="D28" s="205">
        <f t="shared" ref="D28:J28" si="3">D13+D20+D26</f>
        <v>898</v>
      </c>
      <c r="E28" s="205">
        <f t="shared" si="3"/>
        <v>1044</v>
      </c>
      <c r="F28" s="205">
        <f t="shared" si="3"/>
        <v>499.4</v>
      </c>
      <c r="G28" s="205">
        <f t="shared" si="3"/>
        <v>600</v>
      </c>
      <c r="H28" s="205">
        <f t="shared" si="3"/>
        <v>72</v>
      </c>
      <c r="I28" s="205">
        <f t="shared" si="3"/>
        <v>0</v>
      </c>
      <c r="J28" s="205">
        <f t="shared" si="3"/>
        <v>315</v>
      </c>
      <c r="K28" s="205">
        <f>K13+K20+K26</f>
        <v>306</v>
      </c>
      <c r="L28" s="40"/>
      <c r="M28" s="149"/>
      <c r="N28" s="149"/>
      <c r="O28" s="149"/>
      <c r="P28" s="40"/>
      <c r="Q28" s="34"/>
      <c r="R28" s="23"/>
      <c r="S28" s="23"/>
      <c r="T28" s="23"/>
      <c r="U28" s="23"/>
      <c r="V28" s="23"/>
    </row>
    <row r="29" spans="1:29" x14ac:dyDescent="0.2">
      <c r="A29" s="584" t="s">
        <v>119</v>
      </c>
      <c r="B29" s="585"/>
      <c r="C29" s="585"/>
      <c r="D29" s="585"/>
      <c r="E29" s="585"/>
      <c r="F29" s="585"/>
      <c r="G29" s="585"/>
      <c r="H29" s="585"/>
      <c r="I29" s="585"/>
      <c r="J29" s="585"/>
      <c r="K29" s="585"/>
      <c r="L29" s="261"/>
      <c r="M29" s="150"/>
      <c r="N29" s="36"/>
      <c r="O29" s="34"/>
      <c r="P29" s="34"/>
      <c r="Q29" s="34"/>
      <c r="R29" s="34"/>
      <c r="S29" s="34"/>
      <c r="T29" s="34"/>
      <c r="U29" s="34"/>
      <c r="V29" s="34"/>
      <c r="W29" s="34"/>
      <c r="X29" s="15"/>
      <c r="Y29" s="15"/>
      <c r="Z29" s="15"/>
      <c r="AA29" s="15"/>
      <c r="AB29" s="15"/>
      <c r="AC29" s="15"/>
    </row>
    <row r="30" spans="1:29" x14ac:dyDescent="0.2">
      <c r="A30" s="25"/>
      <c r="B30" s="151"/>
      <c r="C30" s="151"/>
      <c r="D30" s="42"/>
      <c r="E30" s="150"/>
      <c r="F30" s="150"/>
      <c r="G30" s="150"/>
      <c r="H30" s="150"/>
      <c r="I30" s="150"/>
      <c r="J30" s="36"/>
      <c r="K30" s="150"/>
      <c r="L30" s="150"/>
      <c r="M30" s="150"/>
      <c r="N30" s="36"/>
      <c r="O30" s="34"/>
      <c r="P30" s="34"/>
      <c r="Q30" s="34"/>
      <c r="R30" s="34"/>
      <c r="S30" s="34"/>
      <c r="T30" s="34"/>
      <c r="U30" s="34"/>
      <c r="V30" s="34"/>
      <c r="W30" s="34"/>
      <c r="X30" s="15"/>
      <c r="Y30" s="15"/>
      <c r="Z30" s="15"/>
      <c r="AA30" s="15"/>
      <c r="AB30" s="15"/>
      <c r="AC30" s="15"/>
    </row>
    <row r="31" spans="1:29" x14ac:dyDescent="0.2">
      <c r="A31" s="152"/>
      <c r="B31" s="151"/>
      <c r="C31" s="151"/>
      <c r="D31" s="42"/>
      <c r="E31" s="150"/>
      <c r="F31" s="150"/>
      <c r="G31" s="150"/>
      <c r="H31" s="150"/>
      <c r="I31" s="150"/>
      <c r="J31" s="36"/>
      <c r="K31" s="150"/>
      <c r="L31" s="150"/>
      <c r="M31" s="150"/>
      <c r="N31" s="36"/>
      <c r="O31" s="34"/>
      <c r="P31" s="34"/>
      <c r="Q31" s="34"/>
      <c r="R31" s="34"/>
      <c r="S31" s="34"/>
      <c r="T31" s="34"/>
      <c r="U31" s="34"/>
      <c r="V31" s="34"/>
      <c r="W31" s="34"/>
      <c r="X31" s="15"/>
      <c r="Y31" s="15"/>
      <c r="Z31" s="15"/>
      <c r="AA31" s="15"/>
      <c r="AB31" s="15"/>
      <c r="AC31" s="15"/>
    </row>
    <row r="32" spans="1:29" ht="31.5" x14ac:dyDescent="0.25">
      <c r="A32" s="211" t="s">
        <v>107</v>
      </c>
      <c r="B32" s="153" t="s">
        <v>24</v>
      </c>
      <c r="C32" s="153" t="s">
        <v>24</v>
      </c>
      <c r="D32" s="72"/>
      <c r="E32" s="150"/>
      <c r="F32" s="150"/>
      <c r="G32" s="150"/>
      <c r="H32" s="150"/>
      <c r="I32" s="150"/>
      <c r="J32" s="36"/>
      <c r="K32" s="150"/>
      <c r="L32" s="150"/>
      <c r="M32" s="150"/>
      <c r="N32" s="36"/>
      <c r="O32" s="23"/>
      <c r="P32" s="23"/>
      <c r="Q32" s="23"/>
      <c r="R32" s="23"/>
      <c r="S32" s="23"/>
      <c r="T32" s="23"/>
      <c r="U32" s="23"/>
      <c r="V32" s="23"/>
      <c r="W32" s="23"/>
    </row>
    <row r="33" spans="1:29" ht="38.25" x14ac:dyDescent="0.2">
      <c r="A33" s="212" t="s">
        <v>63</v>
      </c>
      <c r="B33" s="190" t="s">
        <v>210</v>
      </c>
      <c r="C33" s="128" t="s">
        <v>108</v>
      </c>
      <c r="D33" s="128" t="s">
        <v>109</v>
      </c>
      <c r="E33" s="128" t="s">
        <v>110</v>
      </c>
      <c r="F33" s="128" t="s">
        <v>152</v>
      </c>
      <c r="G33" s="128" t="s">
        <v>209</v>
      </c>
      <c r="H33" s="150"/>
      <c r="I33" s="150"/>
      <c r="J33" s="150"/>
      <c r="K33" s="150"/>
      <c r="L33" s="150"/>
      <c r="M33" s="150"/>
      <c r="N33" s="36"/>
      <c r="O33" s="23"/>
      <c r="P33" s="23"/>
      <c r="Q33" s="23"/>
      <c r="R33" s="23"/>
      <c r="S33" s="23"/>
      <c r="T33" s="23"/>
      <c r="U33" s="23"/>
      <c r="V33" s="23"/>
      <c r="W33" s="23"/>
    </row>
    <row r="34" spans="1:29" x14ac:dyDescent="0.2">
      <c r="A34" s="189" t="s">
        <v>16</v>
      </c>
      <c r="B34" s="334">
        <v>1.5699999999999999E-2</v>
      </c>
      <c r="C34" s="334">
        <v>8.9599999999999999E-2</v>
      </c>
      <c r="D34" s="334">
        <v>2.0999999999999999E-3</v>
      </c>
      <c r="E34" s="334">
        <v>0</v>
      </c>
      <c r="F34" s="334">
        <v>0</v>
      </c>
      <c r="G34" s="335">
        <v>0</v>
      </c>
      <c r="H34" s="150"/>
      <c r="I34" s="150"/>
      <c r="J34" s="150"/>
      <c r="K34" s="150"/>
      <c r="L34" s="150"/>
      <c r="M34" s="150"/>
      <c r="N34" s="36"/>
      <c r="O34" s="23"/>
      <c r="P34" s="23"/>
      <c r="Q34" s="23"/>
      <c r="R34" s="23"/>
      <c r="S34" s="23"/>
      <c r="T34" s="23"/>
      <c r="U34" s="23"/>
      <c r="V34" s="23"/>
      <c r="W34" s="23"/>
    </row>
    <row r="35" spans="1:29" x14ac:dyDescent="0.2">
      <c r="A35" s="189" t="s">
        <v>30</v>
      </c>
      <c r="B35" s="334">
        <v>0.15179999999999999</v>
      </c>
      <c r="C35" s="334">
        <v>0</v>
      </c>
      <c r="D35" s="334">
        <v>0</v>
      </c>
      <c r="E35" s="334">
        <v>0</v>
      </c>
      <c r="F35" s="334">
        <v>0</v>
      </c>
      <c r="G35" s="335">
        <v>0</v>
      </c>
      <c r="H35" s="150"/>
      <c r="I35" s="150"/>
      <c r="J35" s="150"/>
      <c r="K35" s="150"/>
      <c r="L35" s="150"/>
      <c r="M35" s="150"/>
      <c r="N35" s="36"/>
      <c r="O35" s="23"/>
      <c r="P35" s="23"/>
      <c r="Q35" s="23"/>
      <c r="R35" s="23"/>
      <c r="S35" s="23"/>
      <c r="T35" s="23"/>
      <c r="U35" s="23"/>
      <c r="V35" s="23"/>
      <c r="W35" s="23"/>
    </row>
    <row r="36" spans="1:29" x14ac:dyDescent="0.2">
      <c r="A36" s="189" t="s">
        <v>19</v>
      </c>
      <c r="B36" s="334">
        <v>5.8900000000000001E-2</v>
      </c>
      <c r="C36" s="334">
        <v>0</v>
      </c>
      <c r="D36" s="334">
        <v>0</v>
      </c>
      <c r="E36" s="334">
        <v>0</v>
      </c>
      <c r="F36" s="334">
        <v>4.4200000000000003E-2</v>
      </c>
      <c r="G36" s="335">
        <v>0</v>
      </c>
      <c r="H36" s="150"/>
      <c r="I36" s="150"/>
      <c r="J36" s="150"/>
      <c r="K36" s="150"/>
      <c r="L36" s="150"/>
      <c r="M36" s="150"/>
      <c r="N36" s="36"/>
      <c r="O36" s="23"/>
      <c r="P36" s="23"/>
      <c r="Q36" s="23"/>
      <c r="R36" s="23"/>
      <c r="S36" s="23"/>
      <c r="T36" s="23"/>
      <c r="U36" s="23"/>
      <c r="V36" s="23"/>
      <c r="W36" s="23"/>
    </row>
    <row r="37" spans="1:29" x14ac:dyDescent="0.2">
      <c r="A37" s="189" t="s">
        <v>46</v>
      </c>
      <c r="B37" s="334">
        <v>7.5899999999999995E-2</v>
      </c>
      <c r="C37" s="334">
        <v>0</v>
      </c>
      <c r="D37" s="334">
        <v>0</v>
      </c>
      <c r="E37" s="334">
        <v>0</v>
      </c>
      <c r="F37" s="334">
        <v>0</v>
      </c>
      <c r="G37" s="336">
        <v>0</v>
      </c>
      <c r="H37" s="150"/>
      <c r="I37" s="150"/>
      <c r="J37" s="150"/>
      <c r="K37" s="150"/>
      <c r="L37" s="150"/>
      <c r="M37" s="150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15"/>
      <c r="Y37" s="15"/>
      <c r="Z37" s="15"/>
      <c r="AA37" s="15"/>
      <c r="AB37" s="15"/>
      <c r="AC37" s="15"/>
    </row>
    <row r="38" spans="1:29" x14ac:dyDescent="0.2">
      <c r="A38" s="189" t="s">
        <v>11</v>
      </c>
      <c r="B38" s="334">
        <v>4.1200000000000001E-2</v>
      </c>
      <c r="C38" s="334">
        <v>0</v>
      </c>
      <c r="D38" s="334">
        <v>8.8000000000000005E-3</v>
      </c>
      <c r="E38" s="334">
        <v>0</v>
      </c>
      <c r="F38" s="334">
        <v>0.66949999999999998</v>
      </c>
      <c r="G38" s="336">
        <v>0</v>
      </c>
      <c r="H38" s="150"/>
      <c r="I38" s="150"/>
      <c r="J38" s="150"/>
      <c r="K38" s="150"/>
      <c r="L38" s="150"/>
      <c r="M38" s="150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15"/>
      <c r="Y38" s="15"/>
      <c r="Z38" s="15"/>
      <c r="AA38" s="15"/>
      <c r="AB38" s="15"/>
      <c r="AC38" s="15"/>
    </row>
    <row r="39" spans="1:29" x14ac:dyDescent="0.2">
      <c r="A39" s="189" t="s">
        <v>20</v>
      </c>
      <c r="B39" s="334">
        <v>0.12379999999999999</v>
      </c>
      <c r="C39" s="334">
        <v>0</v>
      </c>
      <c r="D39" s="334">
        <v>2.1100000000000001E-2</v>
      </c>
      <c r="E39" s="334">
        <v>0</v>
      </c>
      <c r="F39" s="334">
        <v>4.1200000000000001E-2</v>
      </c>
      <c r="G39" s="336">
        <v>0</v>
      </c>
      <c r="H39" s="150"/>
      <c r="I39" s="150"/>
      <c r="J39" s="150"/>
      <c r="K39" s="150"/>
      <c r="L39" s="150"/>
      <c r="M39" s="150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15"/>
      <c r="Y39" s="15"/>
      <c r="Z39" s="15"/>
      <c r="AA39" s="15"/>
      <c r="AB39" s="15"/>
      <c r="AC39" s="15"/>
    </row>
    <row r="40" spans="1:29" x14ac:dyDescent="0.2">
      <c r="A40" s="189" t="s">
        <v>21</v>
      </c>
      <c r="B40" s="334">
        <v>2.0199999999999999E-2</v>
      </c>
      <c r="C40" s="334">
        <v>0</v>
      </c>
      <c r="D40" s="334">
        <v>1.1999999999999999E-3</v>
      </c>
      <c r="E40" s="334">
        <v>0</v>
      </c>
      <c r="F40" s="334">
        <v>4.8999999999999998E-3</v>
      </c>
      <c r="G40" s="336">
        <v>0</v>
      </c>
      <c r="H40" s="150"/>
      <c r="I40" s="150"/>
      <c r="J40" s="150"/>
      <c r="K40" s="150"/>
      <c r="L40" s="150"/>
      <c r="M40" s="150"/>
      <c r="N40" s="34"/>
      <c r="O40" s="23"/>
      <c r="P40" s="23"/>
      <c r="Q40" s="23"/>
      <c r="R40" s="23"/>
      <c r="S40" s="23"/>
      <c r="T40" s="23"/>
      <c r="U40" s="23"/>
      <c r="V40" s="23"/>
      <c r="W40" s="23"/>
    </row>
    <row r="41" spans="1:29" x14ac:dyDescent="0.2">
      <c r="A41" s="189" t="s">
        <v>56</v>
      </c>
      <c r="B41" s="334">
        <v>3.15E-2</v>
      </c>
      <c r="C41" s="334">
        <v>0</v>
      </c>
      <c r="D41" s="334">
        <v>0</v>
      </c>
      <c r="E41" s="334">
        <v>0</v>
      </c>
      <c r="F41" s="334">
        <v>0</v>
      </c>
      <c r="G41" s="336">
        <v>0</v>
      </c>
      <c r="H41" s="150"/>
      <c r="I41" s="150"/>
      <c r="J41" s="150"/>
      <c r="K41" s="150"/>
      <c r="L41" s="150"/>
      <c r="M41" s="150"/>
      <c r="N41" s="34"/>
      <c r="O41" s="23"/>
      <c r="P41" s="23"/>
      <c r="Q41" s="23"/>
      <c r="R41" s="23"/>
      <c r="S41" s="23"/>
      <c r="T41" s="23"/>
      <c r="U41" s="23"/>
      <c r="V41" s="23"/>
      <c r="W41" s="23"/>
    </row>
    <row r="42" spans="1:29" x14ac:dyDescent="0.2">
      <c r="A42" s="189" t="s">
        <v>45</v>
      </c>
      <c r="B42" s="334">
        <v>1.72E-2</v>
      </c>
      <c r="C42" s="334">
        <v>0</v>
      </c>
      <c r="D42" s="334">
        <v>0</v>
      </c>
      <c r="E42" s="334">
        <v>0</v>
      </c>
      <c r="F42" s="334">
        <v>0</v>
      </c>
      <c r="G42" s="336">
        <v>0</v>
      </c>
      <c r="H42" s="150"/>
      <c r="I42" s="150"/>
      <c r="J42" s="150"/>
      <c r="K42" s="150"/>
      <c r="L42" s="150"/>
      <c r="M42" s="150"/>
      <c r="N42" s="34"/>
      <c r="O42" s="23"/>
      <c r="P42" s="23"/>
      <c r="Q42" s="23"/>
      <c r="R42" s="23"/>
      <c r="S42" s="23"/>
      <c r="T42" s="23"/>
      <c r="U42" s="23"/>
      <c r="V42" s="23"/>
      <c r="W42" s="23"/>
    </row>
    <row r="43" spans="1:29" x14ac:dyDescent="0.2">
      <c r="A43" s="189" t="s">
        <v>31</v>
      </c>
      <c r="B43" s="334">
        <v>0.13300000000000001</v>
      </c>
      <c r="C43" s="334">
        <v>0</v>
      </c>
      <c r="D43" s="334">
        <v>0</v>
      </c>
      <c r="E43" s="334">
        <v>0</v>
      </c>
      <c r="F43" s="334">
        <v>0.18759999999999999</v>
      </c>
      <c r="G43" s="336">
        <v>0.97109999999999996</v>
      </c>
      <c r="H43" s="150"/>
      <c r="I43" s="150"/>
      <c r="J43" s="150"/>
      <c r="K43" s="150"/>
      <c r="L43" s="150"/>
      <c r="M43" s="150"/>
      <c r="N43" s="34"/>
      <c r="O43" s="23"/>
      <c r="P43" s="23"/>
      <c r="Q43" s="23"/>
      <c r="R43" s="23"/>
      <c r="S43" s="23"/>
      <c r="T43" s="23"/>
      <c r="U43" s="23"/>
      <c r="V43" s="23"/>
      <c r="W43" s="23"/>
    </row>
    <row r="44" spans="1:29" x14ac:dyDescent="0.2">
      <c r="A44" s="189" t="s">
        <v>17</v>
      </c>
      <c r="B44" s="334">
        <v>2.53E-2</v>
      </c>
      <c r="C44" s="334">
        <v>0.16769999999999999</v>
      </c>
      <c r="D44" s="334">
        <v>0</v>
      </c>
      <c r="E44" s="334">
        <v>0</v>
      </c>
      <c r="F44" s="334">
        <v>0</v>
      </c>
      <c r="G44" s="336">
        <v>0</v>
      </c>
      <c r="H44" s="150"/>
      <c r="I44" s="150"/>
      <c r="J44" s="150"/>
      <c r="K44" s="150"/>
      <c r="L44" s="150"/>
      <c r="M44" s="150"/>
      <c r="N44" s="34"/>
      <c r="O44" s="23"/>
      <c r="P44" s="23"/>
      <c r="Q44" s="23"/>
      <c r="R44" s="23"/>
      <c r="S44" s="23"/>
      <c r="T44" s="23"/>
      <c r="U44" s="23"/>
      <c r="V44" s="23"/>
      <c r="W44" s="23"/>
    </row>
    <row r="45" spans="1:29" x14ac:dyDescent="0.2">
      <c r="A45" s="189" t="s">
        <v>133</v>
      </c>
      <c r="B45" s="334">
        <v>2.1399999999999999E-2</v>
      </c>
      <c r="C45" s="334">
        <v>0</v>
      </c>
      <c r="D45" s="334">
        <v>0</v>
      </c>
      <c r="E45" s="334">
        <v>0</v>
      </c>
      <c r="F45" s="334">
        <v>0</v>
      </c>
      <c r="G45" s="336">
        <v>0</v>
      </c>
      <c r="H45" s="150"/>
      <c r="I45" s="150"/>
      <c r="J45" s="150"/>
      <c r="K45" s="150"/>
      <c r="L45" s="150"/>
      <c r="M45" s="150"/>
      <c r="N45" s="34"/>
      <c r="O45" s="23"/>
      <c r="P45" s="23"/>
      <c r="Q45" s="23"/>
      <c r="R45" s="23"/>
      <c r="S45" s="23"/>
      <c r="T45" s="23"/>
      <c r="U45" s="23"/>
      <c r="V45" s="23"/>
      <c r="W45" s="23"/>
    </row>
    <row r="46" spans="1:29" x14ac:dyDescent="0.2">
      <c r="A46" s="189" t="s">
        <v>12</v>
      </c>
      <c r="B46" s="334">
        <v>3.5700000000000003E-2</v>
      </c>
      <c r="C46" s="334">
        <v>9.5899999999999999E-2</v>
      </c>
      <c r="D46" s="334">
        <v>1.06E-2</v>
      </c>
      <c r="E46" s="334">
        <v>0.12820000000000001</v>
      </c>
      <c r="F46" s="334">
        <v>0</v>
      </c>
      <c r="G46" s="336">
        <v>0</v>
      </c>
      <c r="H46" s="150"/>
      <c r="I46" s="150"/>
      <c r="J46" s="150"/>
      <c r="K46" s="150"/>
      <c r="L46" s="150"/>
      <c r="M46" s="150"/>
      <c r="N46" s="34"/>
      <c r="O46" s="23"/>
      <c r="P46" s="23"/>
      <c r="Q46" s="23"/>
      <c r="R46" s="23"/>
      <c r="S46" s="23"/>
      <c r="T46" s="23"/>
      <c r="U46" s="23"/>
      <c r="V46" s="23"/>
      <c r="W46" s="23"/>
    </row>
    <row r="47" spans="1:29" x14ac:dyDescent="0.2">
      <c r="A47" s="189" t="s">
        <v>13</v>
      </c>
      <c r="B47" s="334">
        <v>1.72E-2</v>
      </c>
      <c r="C47" s="334">
        <v>1.47E-2</v>
      </c>
      <c r="D47" s="334">
        <v>0</v>
      </c>
      <c r="E47" s="334">
        <v>0</v>
      </c>
      <c r="F47" s="334">
        <v>0</v>
      </c>
      <c r="G47" s="336">
        <v>1.8E-3</v>
      </c>
      <c r="H47" s="150"/>
      <c r="I47" s="150"/>
      <c r="J47" s="150"/>
      <c r="K47" s="150"/>
      <c r="L47" s="150"/>
      <c r="M47" s="150"/>
      <c r="N47" s="34"/>
      <c r="O47" s="23"/>
      <c r="P47" s="23"/>
      <c r="Q47" s="23"/>
      <c r="R47" s="23"/>
      <c r="S47" s="23"/>
      <c r="T47" s="23"/>
      <c r="U47" s="23"/>
      <c r="V47" s="23"/>
      <c r="W47" s="23"/>
    </row>
    <row r="48" spans="1:29" x14ac:dyDescent="0.2">
      <c r="A48" s="189" t="s">
        <v>9</v>
      </c>
      <c r="B48" s="334">
        <v>4.9700000000000001E-2</v>
      </c>
      <c r="C48" s="334">
        <v>0.30640000000000001</v>
      </c>
      <c r="D48" s="334">
        <v>0</v>
      </c>
      <c r="E48" s="334">
        <v>0.51080000000000003</v>
      </c>
      <c r="F48" s="334">
        <v>0</v>
      </c>
      <c r="G48" s="336">
        <v>0</v>
      </c>
      <c r="H48" s="150"/>
      <c r="I48" s="150"/>
      <c r="J48" s="150"/>
      <c r="K48" s="150"/>
      <c r="L48" s="150"/>
      <c r="M48" s="150"/>
      <c r="N48" s="34"/>
      <c r="O48" s="23"/>
      <c r="P48" s="23"/>
      <c r="Q48" s="23"/>
      <c r="R48" s="23"/>
      <c r="S48" s="23"/>
      <c r="T48" s="23"/>
      <c r="U48" s="23"/>
      <c r="V48" s="23"/>
      <c r="W48" s="23"/>
    </row>
    <row r="49" spans="1:29" x14ac:dyDescent="0.2">
      <c r="A49" s="189" t="s">
        <v>14</v>
      </c>
      <c r="B49" s="334">
        <v>1.8599999999999998E-2</v>
      </c>
      <c r="C49" s="334">
        <v>0</v>
      </c>
      <c r="D49" s="334">
        <v>2.7E-2</v>
      </c>
      <c r="E49" s="334">
        <v>0</v>
      </c>
      <c r="F49" s="334">
        <v>5.0000000000000001E-4</v>
      </c>
      <c r="G49" s="336">
        <v>0</v>
      </c>
      <c r="H49" s="150"/>
      <c r="I49" s="150"/>
      <c r="J49" s="150"/>
      <c r="K49" s="150"/>
      <c r="L49" s="150"/>
      <c r="M49" s="150"/>
      <c r="N49" s="34"/>
      <c r="O49" s="23"/>
      <c r="P49" s="23"/>
      <c r="Q49" s="23"/>
      <c r="R49" s="23"/>
      <c r="S49" s="23"/>
      <c r="T49" s="23"/>
      <c r="U49" s="23"/>
      <c r="V49" s="23"/>
      <c r="W49" s="23"/>
    </row>
    <row r="50" spans="1:29" x14ac:dyDescent="0.2">
      <c r="A50" s="189" t="s">
        <v>15</v>
      </c>
      <c r="B50" s="334">
        <v>3.85E-2</v>
      </c>
      <c r="C50" s="334">
        <v>0</v>
      </c>
      <c r="D50" s="334">
        <v>9.4999999999999998E-3</v>
      </c>
      <c r="E50" s="334">
        <v>5.7000000000000002E-3</v>
      </c>
      <c r="F50" s="334">
        <v>5.21E-2</v>
      </c>
      <c r="G50" s="336">
        <v>2.7099999999999999E-2</v>
      </c>
      <c r="H50" s="150"/>
      <c r="I50" s="150"/>
      <c r="J50" s="150"/>
      <c r="K50" s="150"/>
      <c r="L50" s="150"/>
      <c r="M50" s="150"/>
      <c r="N50" s="34"/>
      <c r="O50" s="23"/>
      <c r="P50" s="23"/>
      <c r="Q50" s="23"/>
      <c r="R50" s="23"/>
      <c r="S50" s="23"/>
      <c r="T50" s="23"/>
      <c r="U50" s="23"/>
      <c r="V50" s="23"/>
      <c r="W50" s="23"/>
    </row>
    <row r="51" spans="1:29" x14ac:dyDescent="0.2">
      <c r="A51" s="189" t="s">
        <v>10</v>
      </c>
      <c r="B51" s="334">
        <v>4.9500000000000002E-2</v>
      </c>
      <c r="C51" s="334">
        <v>0.1633</v>
      </c>
      <c r="D51" s="334">
        <v>0</v>
      </c>
      <c r="E51" s="334">
        <v>0</v>
      </c>
      <c r="F51" s="334">
        <v>0</v>
      </c>
      <c r="G51" s="336">
        <v>0</v>
      </c>
      <c r="H51" s="150"/>
      <c r="I51" s="150"/>
      <c r="J51" s="150"/>
      <c r="K51" s="150"/>
      <c r="L51" s="150"/>
      <c r="M51" s="150"/>
      <c r="N51" s="34"/>
      <c r="O51" s="23"/>
      <c r="P51" s="23"/>
      <c r="Q51" s="23"/>
      <c r="R51" s="23"/>
      <c r="S51" s="23"/>
      <c r="T51" s="23"/>
      <c r="U51" s="23"/>
      <c r="V51" s="23"/>
      <c r="W51" s="23"/>
    </row>
    <row r="52" spans="1:29" x14ac:dyDescent="0.2">
      <c r="A52" s="189" t="s">
        <v>8</v>
      </c>
      <c r="B52" s="334">
        <v>5.8900000000000001E-2</v>
      </c>
      <c r="C52" s="334">
        <v>0.14000000000000001</v>
      </c>
      <c r="D52" s="334">
        <v>0.6381</v>
      </c>
      <c r="E52" s="334">
        <v>0.31459999999999999</v>
      </c>
      <c r="F52" s="334">
        <v>0</v>
      </c>
      <c r="G52" s="336">
        <v>0</v>
      </c>
      <c r="H52" s="150"/>
      <c r="I52" s="150"/>
      <c r="J52" s="150"/>
      <c r="K52" s="150"/>
      <c r="L52" s="150"/>
      <c r="M52" s="150"/>
      <c r="N52" s="34"/>
      <c r="O52" s="23"/>
      <c r="P52" s="23"/>
      <c r="Q52" s="23"/>
      <c r="R52" s="23"/>
      <c r="S52" s="23"/>
      <c r="T52" s="23"/>
      <c r="U52" s="23"/>
      <c r="V52" s="23"/>
      <c r="W52" s="23"/>
    </row>
    <row r="53" spans="1:29" x14ac:dyDescent="0.2">
      <c r="A53" s="189" t="s">
        <v>18</v>
      </c>
      <c r="B53" s="334">
        <v>2.3999999999999998E-3</v>
      </c>
      <c r="C53" s="334">
        <v>5.1999999999999998E-3</v>
      </c>
      <c r="D53" s="334">
        <v>2.53E-2</v>
      </c>
      <c r="E53" s="334">
        <v>1.2500000000000001E-2</v>
      </c>
      <c r="F53" s="334">
        <v>0</v>
      </c>
      <c r="G53" s="336">
        <v>0</v>
      </c>
      <c r="H53" s="150"/>
      <c r="I53" s="150"/>
      <c r="J53" s="150"/>
      <c r="K53" s="150"/>
      <c r="L53" s="150"/>
      <c r="M53" s="150"/>
      <c r="N53" s="34"/>
      <c r="O53" s="23"/>
      <c r="P53" s="23"/>
      <c r="Q53" s="23"/>
      <c r="R53" s="23"/>
      <c r="S53" s="23"/>
      <c r="T53" s="23"/>
      <c r="U53" s="23"/>
      <c r="V53" s="23"/>
      <c r="W53" s="23"/>
    </row>
    <row r="54" spans="1:29" x14ac:dyDescent="0.2">
      <c r="A54" s="189" t="s">
        <v>120</v>
      </c>
      <c r="B54" s="334">
        <v>5.4999999999999997E-3</v>
      </c>
      <c r="C54" s="334">
        <v>4.8999999999999998E-3</v>
      </c>
      <c r="D54" s="334">
        <v>9.0499999999999997E-2</v>
      </c>
      <c r="E54" s="334">
        <v>0</v>
      </c>
      <c r="F54" s="334">
        <v>0</v>
      </c>
      <c r="G54" s="336">
        <v>0</v>
      </c>
      <c r="H54" s="150"/>
      <c r="I54" s="150"/>
      <c r="J54" s="150"/>
      <c r="K54" s="150"/>
      <c r="L54" s="150"/>
      <c r="M54" s="150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15"/>
      <c r="Y54" s="15"/>
      <c r="Z54" s="15"/>
      <c r="AA54" s="15"/>
      <c r="AB54" s="15"/>
      <c r="AC54" s="15"/>
    </row>
    <row r="55" spans="1:29" x14ac:dyDescent="0.2">
      <c r="A55" s="189" t="s">
        <v>121</v>
      </c>
      <c r="B55" s="334">
        <v>4.1000000000000003E-3</v>
      </c>
      <c r="C55" s="334">
        <v>9.4000000000000004E-3</v>
      </c>
      <c r="D55" s="334">
        <v>5.9999999999999995E-4</v>
      </c>
      <c r="E55" s="334">
        <v>1.18E-2</v>
      </c>
      <c r="F55" s="334">
        <v>0</v>
      </c>
      <c r="G55" s="336">
        <v>0</v>
      </c>
      <c r="H55" s="150"/>
      <c r="I55" s="150"/>
      <c r="J55" s="150"/>
      <c r="K55" s="150"/>
      <c r="L55" s="150"/>
      <c r="M55" s="150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9" ht="12.75" customHeight="1" x14ac:dyDescent="0.2">
      <c r="A56" s="189" t="s">
        <v>103</v>
      </c>
      <c r="B56" s="334">
        <v>2E-3</v>
      </c>
      <c r="C56" s="334">
        <v>2.8999999999999998E-3</v>
      </c>
      <c r="D56" s="334">
        <v>1.9199999999999998E-2</v>
      </c>
      <c r="E56" s="334">
        <v>8.5000000000000006E-3</v>
      </c>
      <c r="F56" s="334">
        <v>0</v>
      </c>
      <c r="G56" s="336">
        <v>0</v>
      </c>
      <c r="H56" s="150"/>
      <c r="I56" s="150"/>
      <c r="J56" s="150"/>
      <c r="K56" s="150"/>
      <c r="L56" s="150"/>
      <c r="M56" s="150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9" x14ac:dyDescent="0.2">
      <c r="A57" s="189" t="s">
        <v>104</v>
      </c>
      <c r="B57" s="334">
        <v>2E-3</v>
      </c>
      <c r="C57" s="334">
        <v>0</v>
      </c>
      <c r="D57" s="334">
        <v>0.14599999999999999</v>
      </c>
      <c r="E57" s="334">
        <v>7.9000000000000008E-3</v>
      </c>
      <c r="F57" s="334">
        <v>0</v>
      </c>
      <c r="G57" s="336">
        <v>0</v>
      </c>
      <c r="H57" s="150"/>
      <c r="I57" s="150"/>
      <c r="J57" s="150"/>
      <c r="K57" s="150"/>
      <c r="L57" s="150"/>
      <c r="M57" s="150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9" ht="13.5" customHeight="1" x14ac:dyDescent="0.2">
      <c r="A58" s="213"/>
      <c r="B58" s="214">
        <f t="shared" ref="B58:G58" si="4">SUM(B34:B57)</f>
        <v>0.99999999999999967</v>
      </c>
      <c r="C58" s="214">
        <f t="shared" si="4"/>
        <v>0.99999999999999989</v>
      </c>
      <c r="D58" s="214">
        <f t="shared" si="4"/>
        <v>1</v>
      </c>
      <c r="E58" s="214">
        <f t="shared" si="4"/>
        <v>1</v>
      </c>
      <c r="F58" s="214">
        <f t="shared" si="4"/>
        <v>1</v>
      </c>
      <c r="G58" s="214">
        <f t="shared" si="4"/>
        <v>1</v>
      </c>
      <c r="H58" s="150"/>
      <c r="I58" s="150"/>
      <c r="J58" s="150"/>
      <c r="K58" s="150"/>
      <c r="L58" s="150"/>
      <c r="M58" s="150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9" ht="13.5" customHeight="1" x14ac:dyDescent="0.2">
      <c r="A59" s="570" t="s">
        <v>297</v>
      </c>
      <c r="B59" s="571"/>
      <c r="C59" s="571"/>
      <c r="D59" s="571"/>
      <c r="E59" s="571"/>
      <c r="F59" s="571"/>
      <c r="G59" s="571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9" ht="13.5" thickBot="1" x14ac:dyDescent="0.25">
      <c r="A60" s="25"/>
      <c r="B60" s="130"/>
      <c r="C60" s="130"/>
      <c r="D60" s="13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9" ht="13.5" thickBot="1" x14ac:dyDescent="0.25">
      <c r="A61" s="567" t="s">
        <v>173</v>
      </c>
      <c r="B61" s="151"/>
      <c r="C61" s="151"/>
      <c r="D61" s="42"/>
      <c r="E61" s="23"/>
      <c r="F61" s="113" t="s">
        <v>24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9" ht="13.5" thickBot="1" x14ac:dyDescent="0.25">
      <c r="A62" s="568"/>
      <c r="B62" s="561" t="s">
        <v>29</v>
      </c>
      <c r="C62" s="562"/>
      <c r="D62" s="562"/>
      <c r="E62" s="563"/>
      <c r="F62" s="572" t="s">
        <v>36</v>
      </c>
      <c r="G62" s="573"/>
      <c r="H62" s="577" t="s">
        <v>5</v>
      </c>
      <c r="I62" s="578"/>
      <c r="J62" s="578"/>
      <c r="K62" s="578"/>
      <c r="L62" s="579"/>
      <c r="M62" s="561" t="s">
        <v>8</v>
      </c>
      <c r="N62" s="562"/>
      <c r="O62" s="562"/>
      <c r="P62" s="562"/>
      <c r="Q62" s="563"/>
      <c r="R62" s="577" t="s">
        <v>37</v>
      </c>
      <c r="S62" s="578"/>
      <c r="T62" s="578"/>
      <c r="U62" s="579"/>
      <c r="V62" s="561" t="s">
        <v>15</v>
      </c>
      <c r="W62" s="563"/>
      <c r="X62" s="561" t="s">
        <v>11</v>
      </c>
      <c r="Y62" s="562"/>
      <c r="Z62" s="562"/>
      <c r="AA62" s="563"/>
      <c r="AB62" s="561" t="s">
        <v>38</v>
      </c>
      <c r="AC62" s="563"/>
    </row>
    <row r="63" spans="1:29" ht="26.25" thickBot="1" x14ac:dyDescent="0.25">
      <c r="A63" s="569"/>
      <c r="B63" s="564" t="s">
        <v>44</v>
      </c>
      <c r="C63" s="565"/>
      <c r="D63" s="566"/>
      <c r="E63" s="131">
        <f>'1st IA CTRs'!F19</f>
        <v>0</v>
      </c>
      <c r="F63" s="262" t="s">
        <v>44</v>
      </c>
      <c r="G63" s="238">
        <f>'1st IA CTRs'!H19</f>
        <v>60.643706242491596</v>
      </c>
      <c r="H63" s="580" t="s">
        <v>44</v>
      </c>
      <c r="I63" s="581"/>
      <c r="J63" s="581"/>
      <c r="K63" s="581"/>
      <c r="L63" s="239">
        <f>'1st IA CTRs'!J19</f>
        <v>0</v>
      </c>
      <c r="M63" s="574" t="s">
        <v>44</v>
      </c>
      <c r="N63" s="575"/>
      <c r="O63" s="575"/>
      <c r="P63" s="576"/>
      <c r="Q63" s="236">
        <f>'1st IA Load Pricing Results'!D26</f>
        <v>0</v>
      </c>
      <c r="R63" s="582" t="s">
        <v>44</v>
      </c>
      <c r="S63" s="583"/>
      <c r="T63" s="583"/>
      <c r="U63" s="239">
        <f>'1st IA Load Pricing Results'!D27-'1st IA Load Pricing Results'!D26</f>
        <v>0</v>
      </c>
      <c r="V63" s="241" t="s">
        <v>44</v>
      </c>
      <c r="W63" s="242">
        <f>'1st IA CTRs'!P19</f>
        <v>0</v>
      </c>
      <c r="X63" s="588" t="s">
        <v>44</v>
      </c>
      <c r="Y63" s="589"/>
      <c r="Z63" s="590"/>
      <c r="AA63" s="217">
        <f>'1st IA CTRs'!V19</f>
        <v>0</v>
      </c>
      <c r="AB63" s="244" t="s">
        <v>44</v>
      </c>
      <c r="AC63" s="242">
        <f>'1st IA Load Pricing Results'!D30</f>
        <v>0</v>
      </c>
    </row>
    <row r="64" spans="1:29" ht="64.5" thickBot="1" x14ac:dyDescent="0.25">
      <c r="A64" s="133" t="s">
        <v>63</v>
      </c>
      <c r="B64" s="134" t="s">
        <v>111</v>
      </c>
      <c r="C64" s="128" t="s">
        <v>112</v>
      </c>
      <c r="D64" s="135" t="s">
        <v>64</v>
      </c>
      <c r="E64" s="136" t="s">
        <v>78</v>
      </c>
      <c r="F64" s="134" t="s">
        <v>111</v>
      </c>
      <c r="G64" s="136" t="s">
        <v>78</v>
      </c>
      <c r="H64" s="232" t="s">
        <v>111</v>
      </c>
      <c r="I64" s="215" t="s">
        <v>112</v>
      </c>
      <c r="J64" s="215" t="s">
        <v>211</v>
      </c>
      <c r="K64" s="237" t="s">
        <v>64</v>
      </c>
      <c r="L64" s="229" t="s">
        <v>78</v>
      </c>
      <c r="M64" s="134" t="s">
        <v>111</v>
      </c>
      <c r="N64" s="128" t="s">
        <v>113</v>
      </c>
      <c r="O64" s="128" t="s">
        <v>114</v>
      </c>
      <c r="P64" s="135" t="s">
        <v>64</v>
      </c>
      <c r="Q64" s="136" t="s">
        <v>78</v>
      </c>
      <c r="R64" s="232" t="s">
        <v>111</v>
      </c>
      <c r="S64" s="215" t="s">
        <v>113</v>
      </c>
      <c r="T64" s="237" t="s">
        <v>64</v>
      </c>
      <c r="U64" s="240" t="s">
        <v>78</v>
      </c>
      <c r="V64" s="222" t="s">
        <v>211</v>
      </c>
      <c r="W64" s="136" t="s">
        <v>78</v>
      </c>
      <c r="X64" s="215" t="s">
        <v>112</v>
      </c>
      <c r="Y64" s="243" t="s">
        <v>153</v>
      </c>
      <c r="Z64" s="237" t="s">
        <v>64</v>
      </c>
      <c r="AA64" s="216" t="s">
        <v>78</v>
      </c>
      <c r="AB64" s="586" t="s">
        <v>143</v>
      </c>
      <c r="AC64" s="587"/>
    </row>
    <row r="65" spans="1:29" x14ac:dyDescent="0.2">
      <c r="A65" s="52" t="s">
        <v>16</v>
      </c>
      <c r="B65" s="124">
        <f>B34*$C$13</f>
        <v>0</v>
      </c>
      <c r="C65" s="137">
        <f>C34*$C$15</f>
        <v>0</v>
      </c>
      <c r="D65" s="137">
        <f>B65+C65</f>
        <v>0</v>
      </c>
      <c r="E65" s="56">
        <f>D65*$E$63</f>
        <v>0</v>
      </c>
      <c r="F65" s="124">
        <f>B34*$D$13</f>
        <v>14.098599999999999</v>
      </c>
      <c r="G65" s="125">
        <f>F65*$G$63</f>
        <v>854.99135683039196</v>
      </c>
      <c r="H65" s="124">
        <f>B34*$E$13</f>
        <v>4.0191999999999997</v>
      </c>
      <c r="I65" s="137">
        <f>C34*$E$15</f>
        <v>21.235199999999999</v>
      </c>
      <c r="J65" s="234">
        <f>G34*$E$19</f>
        <v>0</v>
      </c>
      <c r="K65" s="137">
        <f t="shared" ref="K65:K74" si="5">H65+I65+J65</f>
        <v>25.254399999999997</v>
      </c>
      <c r="L65" s="230">
        <f>K65*$L$63</f>
        <v>0</v>
      </c>
      <c r="M65" s="124">
        <f>B34*$F$13</f>
        <v>1.0817300000000001</v>
      </c>
      <c r="N65" s="137">
        <f>D34*$F$16</f>
        <v>0.71441999999999994</v>
      </c>
      <c r="O65" s="137">
        <f>E34*$F$17</f>
        <v>0</v>
      </c>
      <c r="P65" s="137">
        <f>M65+N65+O65</f>
        <v>1.7961499999999999</v>
      </c>
      <c r="Q65" s="56">
        <f t="shared" ref="Q65:Q88" si="6">P65*$Q$63</f>
        <v>0</v>
      </c>
      <c r="R65" s="124">
        <f>B34*$G$13</f>
        <v>1.6563499999999998</v>
      </c>
      <c r="S65" s="137">
        <f>D34*$G$16</f>
        <v>1.0384499999999999</v>
      </c>
      <c r="T65" s="137">
        <f>R65+S65</f>
        <v>2.6947999999999999</v>
      </c>
      <c r="U65" s="218">
        <f t="shared" ref="U65:U88" si="7">T65*$U$63</f>
        <v>0</v>
      </c>
      <c r="V65" s="124">
        <f>G34*$J$19</f>
        <v>0</v>
      </c>
      <c r="W65" s="125">
        <f t="shared" ref="W65:W88" si="8">V65*$W$63</f>
        <v>0</v>
      </c>
      <c r="X65" s="137">
        <f>C34*$K$15</f>
        <v>11.1104</v>
      </c>
      <c r="Y65" s="220">
        <f>F34*$K$18</f>
        <v>0</v>
      </c>
      <c r="Z65" s="233">
        <f>X65+Y65</f>
        <v>11.1104</v>
      </c>
      <c r="AA65" s="125">
        <f t="shared" ref="AA65:AA88" si="9">Y65*$AA$63</f>
        <v>0</v>
      </c>
      <c r="AB65" s="4"/>
      <c r="AC65" s="4"/>
    </row>
    <row r="66" spans="1:29" x14ac:dyDescent="0.2">
      <c r="A66" s="52" t="s">
        <v>30</v>
      </c>
      <c r="B66" s="124">
        <f t="shared" ref="B66:B88" si="10">B35*$C$13</f>
        <v>0</v>
      </c>
      <c r="C66" s="137">
        <f t="shared" ref="C66:C88" si="11">C35*$C$15</f>
        <v>0</v>
      </c>
      <c r="D66" s="137">
        <f>B66+C66</f>
        <v>0</v>
      </c>
      <c r="E66" s="56">
        <f>D66*$E$63</f>
        <v>0</v>
      </c>
      <c r="F66" s="124">
        <f>B35*$D$13</f>
        <v>136.31639999999999</v>
      </c>
      <c r="G66" s="125">
        <f t="shared" ref="G66:G88" si="12">F66*$G$63</f>
        <v>8266.7317176339802</v>
      </c>
      <c r="H66" s="124">
        <f>B35*$E$13</f>
        <v>38.860799999999998</v>
      </c>
      <c r="I66" s="137">
        <f t="shared" ref="I66:I88" si="13">C35*$E$15</f>
        <v>0</v>
      </c>
      <c r="J66" s="234">
        <f t="shared" ref="J66:J88" si="14">G35*$E$19</f>
        <v>0</v>
      </c>
      <c r="K66" s="137">
        <f t="shared" si="5"/>
        <v>38.860799999999998</v>
      </c>
      <c r="L66" s="230">
        <f>K66*$L$63</f>
        <v>0</v>
      </c>
      <c r="M66" s="124">
        <f t="shared" ref="M66:M88" si="15">B35*$F$13</f>
        <v>10.459020000000001</v>
      </c>
      <c r="N66" s="137">
        <f>D35*$F$16</f>
        <v>0</v>
      </c>
      <c r="O66" s="137">
        <f t="shared" ref="O66:O88" si="16">E35*$F$17</f>
        <v>0</v>
      </c>
      <c r="P66" s="137">
        <f>M66+N66+O66</f>
        <v>10.459020000000001</v>
      </c>
      <c r="Q66" s="56">
        <f t="shared" si="6"/>
        <v>0</v>
      </c>
      <c r="R66" s="124">
        <f>B35*$G$13</f>
        <v>16.014899999999997</v>
      </c>
      <c r="S66" s="137">
        <f t="shared" ref="S66:S88" si="17">D35*$G$16</f>
        <v>0</v>
      </c>
      <c r="T66" s="137">
        <f>R66+S66</f>
        <v>16.014899999999997</v>
      </c>
      <c r="U66" s="218">
        <f t="shared" si="7"/>
        <v>0</v>
      </c>
      <c r="V66" s="124">
        <f t="shared" ref="V66:V88" si="18">G35*$J$19</f>
        <v>0</v>
      </c>
      <c r="W66" s="125">
        <f t="shared" si="8"/>
        <v>0</v>
      </c>
      <c r="X66" s="137">
        <f t="shared" ref="X66:X88" si="19">C35*$K$15</f>
        <v>0</v>
      </c>
      <c r="Y66" s="220">
        <f t="shared" ref="Y66:Y88" si="20">F35*$K$18</f>
        <v>0</v>
      </c>
      <c r="Z66" s="233">
        <f t="shared" ref="Z66:Z88" si="21">X66+Y66</f>
        <v>0</v>
      </c>
      <c r="AA66" s="125">
        <f t="shared" si="9"/>
        <v>0</v>
      </c>
      <c r="AB66" s="4"/>
      <c r="AC66" s="4"/>
    </row>
    <row r="67" spans="1:29" x14ac:dyDescent="0.2">
      <c r="A67" s="52" t="s">
        <v>19</v>
      </c>
      <c r="B67" s="124">
        <f t="shared" si="10"/>
        <v>0</v>
      </c>
      <c r="C67" s="137">
        <f t="shared" si="11"/>
        <v>0</v>
      </c>
      <c r="D67" s="137">
        <f>B67+C67</f>
        <v>0</v>
      </c>
      <c r="E67" s="56">
        <f>D67*$E$63</f>
        <v>0</v>
      </c>
      <c r="F67" s="124">
        <f>B36*$D$13</f>
        <v>52.892200000000003</v>
      </c>
      <c r="G67" s="125">
        <f>F67*$G$63</f>
        <v>3207.5790393191141</v>
      </c>
      <c r="H67" s="124">
        <f t="shared" ref="H67:H88" si="22">B36*$E$13</f>
        <v>15.0784</v>
      </c>
      <c r="I67" s="137">
        <f t="shared" si="13"/>
        <v>0</v>
      </c>
      <c r="J67" s="234">
        <f t="shared" si="14"/>
        <v>0</v>
      </c>
      <c r="K67" s="137">
        <f t="shared" si="5"/>
        <v>15.0784</v>
      </c>
      <c r="L67" s="230">
        <f>K67*$L$63</f>
        <v>0</v>
      </c>
      <c r="M67" s="124">
        <f t="shared" si="15"/>
        <v>4.0582100000000008</v>
      </c>
      <c r="N67" s="137">
        <f>D36*$F$16</f>
        <v>0</v>
      </c>
      <c r="O67" s="137">
        <f t="shared" si="16"/>
        <v>0</v>
      </c>
      <c r="P67" s="137">
        <f>M67+N67+O67</f>
        <v>4.0582100000000008</v>
      </c>
      <c r="Q67" s="56">
        <f t="shared" si="6"/>
        <v>0</v>
      </c>
      <c r="R67" s="124">
        <f t="shared" ref="R67:R88" si="23">B36*$G$13</f>
        <v>6.2139500000000005</v>
      </c>
      <c r="S67" s="137">
        <f t="shared" si="17"/>
        <v>0</v>
      </c>
      <c r="T67" s="137">
        <f>R67+S67</f>
        <v>6.2139500000000005</v>
      </c>
      <c r="U67" s="218">
        <f t="shared" si="7"/>
        <v>0</v>
      </c>
      <c r="V67" s="124">
        <f t="shared" si="18"/>
        <v>0</v>
      </c>
      <c r="W67" s="125">
        <f t="shared" si="8"/>
        <v>0</v>
      </c>
      <c r="X67" s="137">
        <f t="shared" si="19"/>
        <v>0</v>
      </c>
      <c r="Y67" s="220">
        <f t="shared" si="20"/>
        <v>8.0444000000000013</v>
      </c>
      <c r="Z67" s="233">
        <f t="shared" si="21"/>
        <v>8.0444000000000013</v>
      </c>
      <c r="AA67" s="125">
        <f t="shared" si="9"/>
        <v>0</v>
      </c>
      <c r="AB67" s="4"/>
      <c r="AC67" s="4"/>
    </row>
    <row r="68" spans="1:29" x14ac:dyDescent="0.2">
      <c r="A68" s="52" t="s">
        <v>46</v>
      </c>
      <c r="B68" s="124">
        <f t="shared" si="10"/>
        <v>0</v>
      </c>
      <c r="C68" s="137">
        <f t="shared" si="11"/>
        <v>0</v>
      </c>
      <c r="D68" s="137">
        <f t="shared" ref="D68:D87" si="24">B68+C68</f>
        <v>0</v>
      </c>
      <c r="E68" s="56">
        <f t="shared" ref="E68:E87" si="25">D68*$E$63</f>
        <v>0</v>
      </c>
      <c r="F68" s="124">
        <f t="shared" ref="F68:F88" si="26">B37*$D$13</f>
        <v>68.158199999999994</v>
      </c>
      <c r="G68" s="125">
        <f t="shared" si="12"/>
        <v>4133.3658588169901</v>
      </c>
      <c r="H68" s="124">
        <f t="shared" si="22"/>
        <v>19.430399999999999</v>
      </c>
      <c r="I68" s="137">
        <f t="shared" si="13"/>
        <v>0</v>
      </c>
      <c r="J68" s="234">
        <f t="shared" si="14"/>
        <v>0</v>
      </c>
      <c r="K68" s="137">
        <f t="shared" si="5"/>
        <v>19.430399999999999</v>
      </c>
      <c r="L68" s="230">
        <f>K68*$L$63</f>
        <v>0</v>
      </c>
      <c r="M68" s="124">
        <f t="shared" si="15"/>
        <v>5.2295100000000003</v>
      </c>
      <c r="N68" s="137">
        <f t="shared" ref="N68:N88" si="27">D37*$F$16</f>
        <v>0</v>
      </c>
      <c r="O68" s="137">
        <f t="shared" si="16"/>
        <v>0</v>
      </c>
      <c r="P68" s="137">
        <f t="shared" ref="P68:P82" si="28">M68+N68+O68</f>
        <v>5.2295100000000003</v>
      </c>
      <c r="Q68" s="56">
        <f t="shared" si="6"/>
        <v>0</v>
      </c>
      <c r="R68" s="124">
        <f t="shared" si="23"/>
        <v>8.0074499999999986</v>
      </c>
      <c r="S68" s="137">
        <f t="shared" si="17"/>
        <v>0</v>
      </c>
      <c r="T68" s="137">
        <f>R68+S68</f>
        <v>8.0074499999999986</v>
      </c>
      <c r="U68" s="218">
        <f t="shared" si="7"/>
        <v>0</v>
      </c>
      <c r="V68" s="124">
        <f t="shared" si="18"/>
        <v>0</v>
      </c>
      <c r="W68" s="125">
        <f t="shared" si="8"/>
        <v>0</v>
      </c>
      <c r="X68" s="137">
        <f t="shared" si="19"/>
        <v>0</v>
      </c>
      <c r="Y68" s="220">
        <f t="shared" si="20"/>
        <v>0</v>
      </c>
      <c r="Z68" s="233">
        <f t="shared" si="21"/>
        <v>0</v>
      </c>
      <c r="AA68" s="125">
        <f t="shared" si="9"/>
        <v>0</v>
      </c>
      <c r="AB68" s="4"/>
      <c r="AC68" s="4"/>
    </row>
    <row r="69" spans="1:29" x14ac:dyDescent="0.2">
      <c r="A69" s="52" t="s">
        <v>11</v>
      </c>
      <c r="B69" s="124">
        <f t="shared" si="10"/>
        <v>0</v>
      </c>
      <c r="C69" s="137">
        <f t="shared" si="11"/>
        <v>0</v>
      </c>
      <c r="D69" s="137">
        <f t="shared" si="24"/>
        <v>0</v>
      </c>
      <c r="E69" s="56">
        <f t="shared" si="25"/>
        <v>0</v>
      </c>
      <c r="F69" s="124">
        <f t="shared" si="26"/>
        <v>36.997599999999998</v>
      </c>
      <c r="G69" s="125">
        <f t="shared" si="12"/>
        <v>2243.6715860772069</v>
      </c>
      <c r="H69" s="124">
        <f t="shared" si="22"/>
        <v>10.5472</v>
      </c>
      <c r="I69" s="137">
        <f t="shared" si="13"/>
        <v>0</v>
      </c>
      <c r="J69" s="234">
        <f t="shared" si="14"/>
        <v>0</v>
      </c>
      <c r="K69" s="137">
        <f t="shared" si="5"/>
        <v>10.5472</v>
      </c>
      <c r="L69" s="230">
        <f t="shared" ref="L69:L83" si="29">K69*$L$63</f>
        <v>0</v>
      </c>
      <c r="M69" s="124">
        <f t="shared" si="15"/>
        <v>2.8386800000000001</v>
      </c>
      <c r="N69" s="137">
        <f t="shared" si="27"/>
        <v>2.99376</v>
      </c>
      <c r="O69" s="137">
        <f t="shared" si="16"/>
        <v>0</v>
      </c>
      <c r="P69" s="137">
        <f t="shared" si="28"/>
        <v>5.8324400000000001</v>
      </c>
      <c r="Q69" s="56">
        <f t="shared" si="6"/>
        <v>0</v>
      </c>
      <c r="R69" s="124">
        <f t="shared" si="23"/>
        <v>4.3466000000000005</v>
      </c>
      <c r="S69" s="137">
        <f t="shared" si="17"/>
        <v>4.3516000000000004</v>
      </c>
      <c r="T69" s="137">
        <f t="shared" ref="T69:T87" si="30">R69+S69</f>
        <v>8.6981999999999999</v>
      </c>
      <c r="U69" s="218">
        <f t="shared" si="7"/>
        <v>0</v>
      </c>
      <c r="V69" s="124">
        <f t="shared" si="18"/>
        <v>0</v>
      </c>
      <c r="W69" s="125">
        <f t="shared" si="8"/>
        <v>0</v>
      </c>
      <c r="X69" s="137">
        <f t="shared" si="19"/>
        <v>0</v>
      </c>
      <c r="Y69" s="220">
        <f t="shared" si="20"/>
        <v>121.849</v>
      </c>
      <c r="Z69" s="233">
        <f t="shared" si="21"/>
        <v>121.849</v>
      </c>
      <c r="AA69" s="125">
        <f t="shared" si="9"/>
        <v>0</v>
      </c>
      <c r="AB69" s="4"/>
      <c r="AC69" s="4"/>
    </row>
    <row r="70" spans="1:29" x14ac:dyDescent="0.2">
      <c r="A70" s="52" t="s">
        <v>20</v>
      </c>
      <c r="B70" s="124">
        <f t="shared" si="10"/>
        <v>0</v>
      </c>
      <c r="C70" s="137">
        <f t="shared" si="11"/>
        <v>0</v>
      </c>
      <c r="D70" s="137">
        <f t="shared" si="24"/>
        <v>0</v>
      </c>
      <c r="E70" s="56">
        <f t="shared" si="25"/>
        <v>0</v>
      </c>
      <c r="F70" s="124">
        <f t="shared" si="26"/>
        <v>111.1724</v>
      </c>
      <c r="G70" s="125">
        <f t="shared" si="12"/>
        <v>6741.9063678727725</v>
      </c>
      <c r="H70" s="124">
        <f t="shared" si="22"/>
        <v>31.692799999999998</v>
      </c>
      <c r="I70" s="137">
        <f t="shared" si="13"/>
        <v>0</v>
      </c>
      <c r="J70" s="234">
        <f t="shared" si="14"/>
        <v>0</v>
      </c>
      <c r="K70" s="137">
        <f t="shared" si="5"/>
        <v>31.692799999999998</v>
      </c>
      <c r="L70" s="230">
        <f t="shared" si="29"/>
        <v>0</v>
      </c>
      <c r="M70" s="124">
        <f>B39*$F$13</f>
        <v>8.5298200000000008</v>
      </c>
      <c r="N70" s="137">
        <f t="shared" si="27"/>
        <v>7.1782199999999996</v>
      </c>
      <c r="O70" s="137">
        <f t="shared" si="16"/>
        <v>0</v>
      </c>
      <c r="P70" s="137">
        <f t="shared" si="28"/>
        <v>15.70804</v>
      </c>
      <c r="Q70" s="56">
        <f t="shared" si="6"/>
        <v>0</v>
      </c>
      <c r="R70" s="124">
        <f t="shared" si="23"/>
        <v>13.0609</v>
      </c>
      <c r="S70" s="137">
        <f t="shared" si="17"/>
        <v>10.433950000000001</v>
      </c>
      <c r="T70" s="137">
        <f t="shared" si="30"/>
        <v>23.49485</v>
      </c>
      <c r="U70" s="218">
        <f t="shared" si="7"/>
        <v>0</v>
      </c>
      <c r="V70" s="124">
        <f t="shared" si="18"/>
        <v>0</v>
      </c>
      <c r="W70" s="125">
        <f t="shared" si="8"/>
        <v>0</v>
      </c>
      <c r="X70" s="137">
        <f t="shared" si="19"/>
        <v>0</v>
      </c>
      <c r="Y70" s="220">
        <f t="shared" si="20"/>
        <v>7.4984000000000002</v>
      </c>
      <c r="Z70" s="233">
        <f t="shared" si="21"/>
        <v>7.4984000000000002</v>
      </c>
      <c r="AA70" s="125">
        <f t="shared" si="9"/>
        <v>0</v>
      </c>
      <c r="AB70" s="4"/>
      <c r="AC70" s="4"/>
    </row>
    <row r="71" spans="1:29" x14ac:dyDescent="0.2">
      <c r="A71" s="52" t="s">
        <v>21</v>
      </c>
      <c r="B71" s="124">
        <f t="shared" si="10"/>
        <v>0</v>
      </c>
      <c r="C71" s="137">
        <f t="shared" si="11"/>
        <v>0</v>
      </c>
      <c r="D71" s="137">
        <f t="shared" si="24"/>
        <v>0</v>
      </c>
      <c r="E71" s="56">
        <f t="shared" si="25"/>
        <v>0</v>
      </c>
      <c r="F71" s="124">
        <f t="shared" si="26"/>
        <v>18.139599999999998</v>
      </c>
      <c r="G71" s="125">
        <f t="shared" si="12"/>
        <v>1100.0525737563005</v>
      </c>
      <c r="H71" s="124">
        <f t="shared" si="22"/>
        <v>5.1711999999999998</v>
      </c>
      <c r="I71" s="137">
        <f t="shared" si="13"/>
        <v>0</v>
      </c>
      <c r="J71" s="234">
        <f t="shared" si="14"/>
        <v>0</v>
      </c>
      <c r="K71" s="137">
        <f t="shared" si="5"/>
        <v>5.1711999999999998</v>
      </c>
      <c r="L71" s="230">
        <f t="shared" si="29"/>
        <v>0</v>
      </c>
      <c r="M71" s="124">
        <f>B40*$F$13</f>
        <v>1.39178</v>
      </c>
      <c r="N71" s="137">
        <f t="shared" si="27"/>
        <v>0.40823999999999994</v>
      </c>
      <c r="O71" s="137">
        <f t="shared" si="16"/>
        <v>0</v>
      </c>
      <c r="P71" s="137">
        <f t="shared" si="28"/>
        <v>1.80002</v>
      </c>
      <c r="Q71" s="56">
        <f t="shared" si="6"/>
        <v>0</v>
      </c>
      <c r="R71" s="124">
        <f t="shared" si="23"/>
        <v>2.1311</v>
      </c>
      <c r="S71" s="137">
        <f t="shared" si="17"/>
        <v>0.59339999999999993</v>
      </c>
      <c r="T71" s="137">
        <f t="shared" si="30"/>
        <v>2.7244999999999999</v>
      </c>
      <c r="U71" s="218">
        <f t="shared" si="7"/>
        <v>0</v>
      </c>
      <c r="V71" s="124">
        <f t="shared" si="18"/>
        <v>0</v>
      </c>
      <c r="W71" s="125">
        <f t="shared" si="8"/>
        <v>0</v>
      </c>
      <c r="X71" s="137">
        <f t="shared" si="19"/>
        <v>0</v>
      </c>
      <c r="Y71" s="220">
        <f t="shared" si="20"/>
        <v>0.89179999999999993</v>
      </c>
      <c r="Z71" s="233">
        <f t="shared" si="21"/>
        <v>0.89179999999999993</v>
      </c>
      <c r="AA71" s="125">
        <f t="shared" si="9"/>
        <v>0</v>
      </c>
      <c r="AB71" s="4"/>
      <c r="AC71" s="4"/>
    </row>
    <row r="72" spans="1:29" x14ac:dyDescent="0.2">
      <c r="A72" s="52" t="s">
        <v>56</v>
      </c>
      <c r="B72" s="124">
        <f t="shared" si="10"/>
        <v>0</v>
      </c>
      <c r="C72" s="137">
        <f t="shared" si="11"/>
        <v>0</v>
      </c>
      <c r="D72" s="137">
        <f t="shared" si="24"/>
        <v>0</v>
      </c>
      <c r="E72" s="56">
        <f t="shared" si="25"/>
        <v>0</v>
      </c>
      <c r="F72" s="124">
        <f t="shared" si="26"/>
        <v>28.286999999999999</v>
      </c>
      <c r="G72" s="125">
        <f t="shared" si="12"/>
        <v>1715.4285184813598</v>
      </c>
      <c r="H72" s="124">
        <f t="shared" si="22"/>
        <v>8.0640000000000001</v>
      </c>
      <c r="I72" s="137">
        <f t="shared" si="13"/>
        <v>0</v>
      </c>
      <c r="J72" s="234">
        <f t="shared" si="14"/>
        <v>0</v>
      </c>
      <c r="K72" s="137">
        <f t="shared" si="5"/>
        <v>8.0640000000000001</v>
      </c>
      <c r="L72" s="230">
        <f t="shared" si="29"/>
        <v>0</v>
      </c>
      <c r="M72" s="124">
        <f t="shared" si="15"/>
        <v>2.17035</v>
      </c>
      <c r="N72" s="137">
        <f t="shared" si="27"/>
        <v>0</v>
      </c>
      <c r="O72" s="137">
        <f t="shared" si="16"/>
        <v>0</v>
      </c>
      <c r="P72" s="137">
        <f t="shared" si="28"/>
        <v>2.17035</v>
      </c>
      <c r="Q72" s="56">
        <f t="shared" si="6"/>
        <v>0</v>
      </c>
      <c r="R72" s="124">
        <f t="shared" si="23"/>
        <v>3.3232499999999998</v>
      </c>
      <c r="S72" s="137">
        <f t="shared" si="17"/>
        <v>0</v>
      </c>
      <c r="T72" s="137">
        <f t="shared" si="30"/>
        <v>3.3232499999999998</v>
      </c>
      <c r="U72" s="218">
        <f t="shared" si="7"/>
        <v>0</v>
      </c>
      <c r="V72" s="124">
        <f t="shared" si="18"/>
        <v>0</v>
      </c>
      <c r="W72" s="125">
        <f t="shared" si="8"/>
        <v>0</v>
      </c>
      <c r="X72" s="137">
        <f t="shared" si="19"/>
        <v>0</v>
      </c>
      <c r="Y72" s="220">
        <f t="shared" si="20"/>
        <v>0</v>
      </c>
      <c r="Z72" s="233">
        <f t="shared" si="21"/>
        <v>0</v>
      </c>
      <c r="AA72" s="125">
        <f t="shared" si="9"/>
        <v>0</v>
      </c>
      <c r="AB72" s="4"/>
      <c r="AC72" s="4"/>
    </row>
    <row r="73" spans="1:29" x14ac:dyDescent="0.2">
      <c r="A73" s="52" t="s">
        <v>45</v>
      </c>
      <c r="B73" s="124">
        <f t="shared" si="10"/>
        <v>0</v>
      </c>
      <c r="C73" s="137">
        <f t="shared" si="11"/>
        <v>0</v>
      </c>
      <c r="D73" s="137">
        <f t="shared" si="24"/>
        <v>0</v>
      </c>
      <c r="E73" s="56">
        <f t="shared" si="25"/>
        <v>0</v>
      </c>
      <c r="F73" s="124">
        <f t="shared" si="26"/>
        <v>15.445600000000001</v>
      </c>
      <c r="G73" s="125">
        <f t="shared" si="12"/>
        <v>936.67842913902825</v>
      </c>
      <c r="H73" s="124">
        <f t="shared" si="22"/>
        <v>4.4032</v>
      </c>
      <c r="I73" s="137">
        <f t="shared" si="13"/>
        <v>0</v>
      </c>
      <c r="J73" s="234">
        <f t="shared" si="14"/>
        <v>0</v>
      </c>
      <c r="K73" s="137">
        <f t="shared" si="5"/>
        <v>4.4032</v>
      </c>
      <c r="L73" s="230">
        <f t="shared" si="29"/>
        <v>0</v>
      </c>
      <c r="M73" s="124">
        <f t="shared" si="15"/>
        <v>1.1850800000000001</v>
      </c>
      <c r="N73" s="137">
        <f t="shared" si="27"/>
        <v>0</v>
      </c>
      <c r="O73" s="137">
        <f t="shared" si="16"/>
        <v>0</v>
      </c>
      <c r="P73" s="137">
        <f t="shared" si="28"/>
        <v>1.1850800000000001</v>
      </c>
      <c r="Q73" s="56">
        <f t="shared" si="6"/>
        <v>0</v>
      </c>
      <c r="R73" s="124">
        <f t="shared" si="23"/>
        <v>1.8146</v>
      </c>
      <c r="S73" s="137">
        <f t="shared" si="17"/>
        <v>0</v>
      </c>
      <c r="T73" s="137">
        <f t="shared" si="30"/>
        <v>1.8146</v>
      </c>
      <c r="U73" s="218">
        <f t="shared" si="7"/>
        <v>0</v>
      </c>
      <c r="V73" s="124">
        <f t="shared" si="18"/>
        <v>0</v>
      </c>
      <c r="W73" s="125">
        <f t="shared" si="8"/>
        <v>0</v>
      </c>
      <c r="X73" s="137">
        <f t="shared" si="19"/>
        <v>0</v>
      </c>
      <c r="Y73" s="220">
        <f t="shared" si="20"/>
        <v>0</v>
      </c>
      <c r="Z73" s="233">
        <f t="shared" si="21"/>
        <v>0</v>
      </c>
      <c r="AA73" s="125">
        <f t="shared" si="9"/>
        <v>0</v>
      </c>
      <c r="AB73" s="4"/>
      <c r="AC73" s="4"/>
    </row>
    <row r="74" spans="1:29" x14ac:dyDescent="0.2">
      <c r="A74" s="52" t="s">
        <v>31</v>
      </c>
      <c r="B74" s="124">
        <f t="shared" si="10"/>
        <v>0</v>
      </c>
      <c r="C74" s="137">
        <f t="shared" si="11"/>
        <v>0</v>
      </c>
      <c r="D74" s="137">
        <f t="shared" si="24"/>
        <v>0</v>
      </c>
      <c r="E74" s="56">
        <f t="shared" si="25"/>
        <v>0</v>
      </c>
      <c r="F74" s="124">
        <f t="shared" si="26"/>
        <v>119.43400000000001</v>
      </c>
      <c r="G74" s="125">
        <f t="shared" si="12"/>
        <v>7242.9204113657424</v>
      </c>
      <c r="H74" s="124">
        <f t="shared" si="22"/>
        <v>34.048000000000002</v>
      </c>
      <c r="I74" s="137">
        <f t="shared" si="13"/>
        <v>0</v>
      </c>
      <c r="J74" s="234">
        <f t="shared" si="14"/>
        <v>535.0761</v>
      </c>
      <c r="K74" s="137">
        <f t="shared" si="5"/>
        <v>569.1241</v>
      </c>
      <c r="L74" s="230">
        <f t="shared" si="29"/>
        <v>0</v>
      </c>
      <c r="M74" s="124">
        <f t="shared" si="15"/>
        <v>9.1637000000000004</v>
      </c>
      <c r="N74" s="137">
        <f t="shared" si="27"/>
        <v>0</v>
      </c>
      <c r="O74" s="137">
        <f t="shared" si="16"/>
        <v>0</v>
      </c>
      <c r="P74" s="137">
        <f t="shared" si="28"/>
        <v>9.1637000000000004</v>
      </c>
      <c r="Q74" s="56">
        <f t="shared" si="6"/>
        <v>0</v>
      </c>
      <c r="R74" s="124">
        <f t="shared" si="23"/>
        <v>14.031500000000001</v>
      </c>
      <c r="S74" s="137">
        <f t="shared" si="17"/>
        <v>0</v>
      </c>
      <c r="T74" s="137">
        <f t="shared" si="30"/>
        <v>14.031500000000001</v>
      </c>
      <c r="U74" s="218">
        <f t="shared" si="7"/>
        <v>0</v>
      </c>
      <c r="V74" s="124">
        <f>G43*$J$19</f>
        <v>305.8965</v>
      </c>
      <c r="W74" s="125">
        <f t="shared" si="8"/>
        <v>0</v>
      </c>
      <c r="X74" s="137">
        <f t="shared" si="19"/>
        <v>0</v>
      </c>
      <c r="Y74" s="220">
        <f t="shared" si="20"/>
        <v>34.1432</v>
      </c>
      <c r="Z74" s="233">
        <f t="shared" si="21"/>
        <v>34.1432</v>
      </c>
      <c r="AA74" s="125">
        <f t="shared" si="9"/>
        <v>0</v>
      </c>
      <c r="AB74" s="4"/>
      <c r="AC74" s="4"/>
    </row>
    <row r="75" spans="1:29" x14ac:dyDescent="0.2">
      <c r="A75" s="52" t="s">
        <v>17</v>
      </c>
      <c r="B75" s="124">
        <f t="shared" si="10"/>
        <v>0</v>
      </c>
      <c r="C75" s="137">
        <f t="shared" si="11"/>
        <v>0</v>
      </c>
      <c r="D75" s="137">
        <f t="shared" si="24"/>
        <v>0</v>
      </c>
      <c r="E75" s="56">
        <f t="shared" si="25"/>
        <v>0</v>
      </c>
      <c r="F75" s="124">
        <f t="shared" si="26"/>
        <v>22.7194</v>
      </c>
      <c r="G75" s="125">
        <f t="shared" si="12"/>
        <v>1377.7886196056636</v>
      </c>
      <c r="H75" s="124">
        <f t="shared" si="22"/>
        <v>6.4767999999999999</v>
      </c>
      <c r="I75" s="137">
        <f t="shared" si="13"/>
        <v>39.744899999999994</v>
      </c>
      <c r="J75" s="234">
        <f t="shared" si="14"/>
        <v>0</v>
      </c>
      <c r="K75" s="137">
        <f t="shared" ref="K75:K88" si="31">H75+I75+J75</f>
        <v>46.221699999999991</v>
      </c>
      <c r="L75" s="230">
        <f t="shared" si="29"/>
        <v>0</v>
      </c>
      <c r="M75" s="124">
        <f t="shared" si="15"/>
        <v>1.7431700000000001</v>
      </c>
      <c r="N75" s="137">
        <f t="shared" si="27"/>
        <v>0</v>
      </c>
      <c r="O75" s="137">
        <f t="shared" si="16"/>
        <v>0</v>
      </c>
      <c r="P75" s="137">
        <f t="shared" si="28"/>
        <v>1.7431700000000001</v>
      </c>
      <c r="Q75" s="56">
        <f t="shared" si="6"/>
        <v>0</v>
      </c>
      <c r="R75" s="124">
        <f t="shared" si="23"/>
        <v>2.6691500000000001</v>
      </c>
      <c r="S75" s="137">
        <f t="shared" si="17"/>
        <v>0</v>
      </c>
      <c r="T75" s="137">
        <f t="shared" si="30"/>
        <v>2.6691500000000001</v>
      </c>
      <c r="U75" s="218">
        <f t="shared" si="7"/>
        <v>0</v>
      </c>
      <c r="V75" s="124">
        <f t="shared" si="18"/>
        <v>0</v>
      </c>
      <c r="W75" s="125">
        <f t="shared" si="8"/>
        <v>0</v>
      </c>
      <c r="X75" s="137">
        <f t="shared" si="19"/>
        <v>20.794799999999999</v>
      </c>
      <c r="Y75" s="220">
        <f t="shared" si="20"/>
        <v>0</v>
      </c>
      <c r="Z75" s="233">
        <f t="shared" si="21"/>
        <v>20.794799999999999</v>
      </c>
      <c r="AA75" s="125">
        <f t="shared" si="9"/>
        <v>0</v>
      </c>
      <c r="AB75" s="4"/>
      <c r="AC75" s="4"/>
    </row>
    <row r="76" spans="1:29" x14ac:dyDescent="0.2">
      <c r="A76" s="52" t="s">
        <v>133</v>
      </c>
      <c r="B76" s="124">
        <f t="shared" si="10"/>
        <v>0</v>
      </c>
      <c r="C76" s="137">
        <f t="shared" si="11"/>
        <v>0</v>
      </c>
      <c r="D76" s="137">
        <f>B76+C76</f>
        <v>0</v>
      </c>
      <c r="E76" s="56">
        <f>D76*$E$63</f>
        <v>0</v>
      </c>
      <c r="F76" s="124">
        <f t="shared" si="26"/>
        <v>19.217199999999998</v>
      </c>
      <c r="G76" s="125">
        <f>F76*$G$63</f>
        <v>1165.4022316032094</v>
      </c>
      <c r="H76" s="124">
        <f t="shared" si="22"/>
        <v>5.4783999999999997</v>
      </c>
      <c r="I76" s="137">
        <f t="shared" si="13"/>
        <v>0</v>
      </c>
      <c r="J76" s="234">
        <f t="shared" si="14"/>
        <v>0</v>
      </c>
      <c r="K76" s="137">
        <f t="shared" si="31"/>
        <v>5.4783999999999997</v>
      </c>
      <c r="L76" s="230">
        <f t="shared" si="29"/>
        <v>0</v>
      </c>
      <c r="M76" s="124">
        <f t="shared" si="15"/>
        <v>1.4744600000000001</v>
      </c>
      <c r="N76" s="137">
        <f t="shared" si="27"/>
        <v>0</v>
      </c>
      <c r="O76" s="137">
        <f t="shared" si="16"/>
        <v>0</v>
      </c>
      <c r="P76" s="137">
        <f>M76+N76+O76</f>
        <v>1.4744600000000001</v>
      </c>
      <c r="Q76" s="56">
        <f t="shared" si="6"/>
        <v>0</v>
      </c>
      <c r="R76" s="124">
        <f t="shared" si="23"/>
        <v>2.2576999999999998</v>
      </c>
      <c r="S76" s="137">
        <f t="shared" si="17"/>
        <v>0</v>
      </c>
      <c r="T76" s="137">
        <f>R76+S76</f>
        <v>2.2576999999999998</v>
      </c>
      <c r="U76" s="218">
        <f t="shared" si="7"/>
        <v>0</v>
      </c>
      <c r="V76" s="124">
        <f t="shared" si="18"/>
        <v>0</v>
      </c>
      <c r="W76" s="125">
        <f t="shared" si="8"/>
        <v>0</v>
      </c>
      <c r="X76" s="137">
        <f t="shared" si="19"/>
        <v>0</v>
      </c>
      <c r="Y76" s="220">
        <f t="shared" si="20"/>
        <v>0</v>
      </c>
      <c r="Z76" s="233">
        <f t="shared" si="21"/>
        <v>0</v>
      </c>
      <c r="AA76" s="125">
        <f t="shared" si="9"/>
        <v>0</v>
      </c>
      <c r="AB76" s="4"/>
      <c r="AC76" s="4"/>
    </row>
    <row r="77" spans="1:29" x14ac:dyDescent="0.2">
      <c r="A77" s="52" t="s">
        <v>12</v>
      </c>
      <c r="B77" s="124">
        <f t="shared" si="10"/>
        <v>0</v>
      </c>
      <c r="C77" s="137">
        <f t="shared" si="11"/>
        <v>0</v>
      </c>
      <c r="D77" s="137">
        <f t="shared" si="24"/>
        <v>0</v>
      </c>
      <c r="E77" s="56">
        <f t="shared" si="25"/>
        <v>0</v>
      </c>
      <c r="F77" s="124">
        <f t="shared" si="26"/>
        <v>32.058600000000006</v>
      </c>
      <c r="G77" s="125">
        <f t="shared" si="12"/>
        <v>1944.1523209455415</v>
      </c>
      <c r="H77" s="124">
        <f t="shared" si="22"/>
        <v>9.1392000000000007</v>
      </c>
      <c r="I77" s="137">
        <f t="shared" si="13"/>
        <v>22.728300000000001</v>
      </c>
      <c r="J77" s="234">
        <f t="shared" si="14"/>
        <v>0</v>
      </c>
      <c r="K77" s="137">
        <f t="shared" si="31"/>
        <v>31.8675</v>
      </c>
      <c r="L77" s="230">
        <f t="shared" si="29"/>
        <v>0</v>
      </c>
      <c r="M77" s="124">
        <f t="shared" si="15"/>
        <v>2.4597300000000004</v>
      </c>
      <c r="N77" s="137">
        <f t="shared" si="27"/>
        <v>3.6061199999999998</v>
      </c>
      <c r="O77" s="137">
        <f t="shared" si="16"/>
        <v>11.576460000000001</v>
      </c>
      <c r="P77" s="137">
        <f t="shared" si="28"/>
        <v>17.642310000000002</v>
      </c>
      <c r="Q77" s="56">
        <f t="shared" si="6"/>
        <v>0</v>
      </c>
      <c r="R77" s="124">
        <f t="shared" si="23"/>
        <v>3.7663500000000001</v>
      </c>
      <c r="S77" s="137">
        <f t="shared" si="17"/>
        <v>5.2416999999999998</v>
      </c>
      <c r="T77" s="137">
        <f t="shared" si="30"/>
        <v>9.0080500000000008</v>
      </c>
      <c r="U77" s="218">
        <f t="shared" si="7"/>
        <v>0</v>
      </c>
      <c r="V77" s="124">
        <f t="shared" si="18"/>
        <v>0</v>
      </c>
      <c r="W77" s="125">
        <f t="shared" si="8"/>
        <v>0</v>
      </c>
      <c r="X77" s="137">
        <f t="shared" si="19"/>
        <v>11.8916</v>
      </c>
      <c r="Y77" s="220">
        <f t="shared" si="20"/>
        <v>0</v>
      </c>
      <c r="Z77" s="233">
        <f t="shared" si="21"/>
        <v>11.8916</v>
      </c>
      <c r="AA77" s="125">
        <f t="shared" si="9"/>
        <v>0</v>
      </c>
      <c r="AB77" s="4"/>
      <c r="AC77" s="4"/>
    </row>
    <row r="78" spans="1:29" x14ac:dyDescent="0.2">
      <c r="A78" s="52" t="s">
        <v>13</v>
      </c>
      <c r="B78" s="124">
        <f t="shared" si="10"/>
        <v>0</v>
      </c>
      <c r="C78" s="137">
        <f t="shared" si="11"/>
        <v>0</v>
      </c>
      <c r="D78" s="137">
        <f t="shared" si="24"/>
        <v>0</v>
      </c>
      <c r="E78" s="56">
        <f t="shared" si="25"/>
        <v>0</v>
      </c>
      <c r="F78" s="124">
        <f t="shared" si="26"/>
        <v>15.445600000000001</v>
      </c>
      <c r="G78" s="125">
        <f t="shared" si="12"/>
        <v>936.67842913902825</v>
      </c>
      <c r="H78" s="124">
        <f t="shared" si="22"/>
        <v>4.4032</v>
      </c>
      <c r="I78" s="137">
        <f t="shared" si="13"/>
        <v>3.4838999999999998</v>
      </c>
      <c r="J78" s="234">
        <f t="shared" si="14"/>
        <v>0.99180000000000001</v>
      </c>
      <c r="K78" s="137">
        <f t="shared" si="31"/>
        <v>8.8788999999999998</v>
      </c>
      <c r="L78" s="230">
        <f t="shared" si="29"/>
        <v>0</v>
      </c>
      <c r="M78" s="124">
        <f t="shared" si="15"/>
        <v>1.1850800000000001</v>
      </c>
      <c r="N78" s="137">
        <f t="shared" si="27"/>
        <v>0</v>
      </c>
      <c r="O78" s="137">
        <f t="shared" si="16"/>
        <v>0</v>
      </c>
      <c r="P78" s="137">
        <f t="shared" si="28"/>
        <v>1.1850800000000001</v>
      </c>
      <c r="Q78" s="56">
        <f t="shared" si="6"/>
        <v>0</v>
      </c>
      <c r="R78" s="124">
        <f t="shared" si="23"/>
        <v>1.8146</v>
      </c>
      <c r="S78" s="137">
        <f t="shared" si="17"/>
        <v>0</v>
      </c>
      <c r="T78" s="137">
        <f t="shared" si="30"/>
        <v>1.8146</v>
      </c>
      <c r="U78" s="218">
        <f t="shared" si="7"/>
        <v>0</v>
      </c>
      <c r="V78" s="124">
        <f t="shared" si="18"/>
        <v>0.56699999999999995</v>
      </c>
      <c r="W78" s="125">
        <f t="shared" si="8"/>
        <v>0</v>
      </c>
      <c r="X78" s="137">
        <f t="shared" si="19"/>
        <v>1.8228</v>
      </c>
      <c r="Y78" s="220">
        <f t="shared" si="20"/>
        <v>0</v>
      </c>
      <c r="Z78" s="233">
        <f t="shared" si="21"/>
        <v>1.8228</v>
      </c>
      <c r="AA78" s="125">
        <f t="shared" si="9"/>
        <v>0</v>
      </c>
      <c r="AB78" s="4"/>
      <c r="AC78" s="4"/>
    </row>
    <row r="79" spans="1:29" x14ac:dyDescent="0.2">
      <c r="A79" s="52" t="s">
        <v>9</v>
      </c>
      <c r="B79" s="124">
        <f t="shared" si="10"/>
        <v>0</v>
      </c>
      <c r="C79" s="137">
        <f t="shared" si="11"/>
        <v>0</v>
      </c>
      <c r="D79" s="137">
        <f t="shared" si="24"/>
        <v>0</v>
      </c>
      <c r="E79" s="56">
        <f t="shared" si="25"/>
        <v>0</v>
      </c>
      <c r="F79" s="124">
        <f t="shared" si="26"/>
        <v>44.630600000000001</v>
      </c>
      <c r="G79" s="125">
        <f t="shared" si="12"/>
        <v>2706.5649958261456</v>
      </c>
      <c r="H79" s="124">
        <f t="shared" si="22"/>
        <v>12.7232</v>
      </c>
      <c r="I79" s="137">
        <f t="shared" si="13"/>
        <v>72.616799999999998</v>
      </c>
      <c r="J79" s="234">
        <f t="shared" si="14"/>
        <v>0</v>
      </c>
      <c r="K79" s="137">
        <f t="shared" si="31"/>
        <v>85.34</v>
      </c>
      <c r="L79" s="230">
        <f t="shared" si="29"/>
        <v>0</v>
      </c>
      <c r="M79" s="124">
        <f t="shared" si="15"/>
        <v>3.4243300000000003</v>
      </c>
      <c r="N79" s="137">
        <f t="shared" si="27"/>
        <v>0</v>
      </c>
      <c r="O79" s="137">
        <f t="shared" si="16"/>
        <v>46.125239999999998</v>
      </c>
      <c r="P79" s="137">
        <f t="shared" si="28"/>
        <v>49.549569999999996</v>
      </c>
      <c r="Q79" s="56">
        <f t="shared" si="6"/>
        <v>0</v>
      </c>
      <c r="R79" s="124">
        <f t="shared" si="23"/>
        <v>5.2433500000000004</v>
      </c>
      <c r="S79" s="137">
        <f t="shared" si="17"/>
        <v>0</v>
      </c>
      <c r="T79" s="137">
        <f t="shared" si="30"/>
        <v>5.2433500000000004</v>
      </c>
      <c r="U79" s="218">
        <f t="shared" si="7"/>
        <v>0</v>
      </c>
      <c r="V79" s="124">
        <f t="shared" si="18"/>
        <v>0</v>
      </c>
      <c r="W79" s="125">
        <f t="shared" si="8"/>
        <v>0</v>
      </c>
      <c r="X79" s="137">
        <f t="shared" si="19"/>
        <v>37.993600000000001</v>
      </c>
      <c r="Y79" s="220">
        <f t="shared" si="20"/>
        <v>0</v>
      </c>
      <c r="Z79" s="233">
        <f t="shared" si="21"/>
        <v>37.993600000000001</v>
      </c>
      <c r="AA79" s="125">
        <f t="shared" si="9"/>
        <v>0</v>
      </c>
      <c r="AB79" s="4"/>
      <c r="AC79" s="4"/>
    </row>
    <row r="80" spans="1:29" x14ac:dyDescent="0.2">
      <c r="A80" s="52" t="s">
        <v>14</v>
      </c>
      <c r="B80" s="124">
        <f t="shared" si="10"/>
        <v>0</v>
      </c>
      <c r="C80" s="137">
        <f t="shared" si="11"/>
        <v>0</v>
      </c>
      <c r="D80" s="137">
        <f t="shared" si="24"/>
        <v>0</v>
      </c>
      <c r="E80" s="56">
        <f t="shared" si="25"/>
        <v>0</v>
      </c>
      <c r="F80" s="124">
        <f t="shared" si="26"/>
        <v>16.7028</v>
      </c>
      <c r="G80" s="125">
        <f t="shared" si="12"/>
        <v>1012.9196966270887</v>
      </c>
      <c r="H80" s="124">
        <f t="shared" si="22"/>
        <v>4.7615999999999996</v>
      </c>
      <c r="I80" s="137">
        <f t="shared" si="13"/>
        <v>0</v>
      </c>
      <c r="J80" s="234">
        <f t="shared" si="14"/>
        <v>0</v>
      </c>
      <c r="K80" s="137">
        <f t="shared" si="31"/>
        <v>4.7615999999999996</v>
      </c>
      <c r="L80" s="230">
        <f t="shared" si="29"/>
        <v>0</v>
      </c>
      <c r="M80" s="124">
        <f t="shared" si="15"/>
        <v>1.2815399999999999</v>
      </c>
      <c r="N80" s="137">
        <f t="shared" si="27"/>
        <v>9.1853999999999996</v>
      </c>
      <c r="O80" s="137">
        <f t="shared" si="16"/>
        <v>0</v>
      </c>
      <c r="P80" s="137">
        <f t="shared" si="28"/>
        <v>10.466939999999999</v>
      </c>
      <c r="Q80" s="56">
        <f t="shared" si="6"/>
        <v>0</v>
      </c>
      <c r="R80" s="124">
        <f t="shared" si="23"/>
        <v>1.9622999999999999</v>
      </c>
      <c r="S80" s="137">
        <f t="shared" si="17"/>
        <v>13.3515</v>
      </c>
      <c r="T80" s="137">
        <f t="shared" si="30"/>
        <v>15.313800000000001</v>
      </c>
      <c r="U80" s="218">
        <f t="shared" si="7"/>
        <v>0</v>
      </c>
      <c r="V80" s="124">
        <f t="shared" si="18"/>
        <v>0</v>
      </c>
      <c r="W80" s="125">
        <f t="shared" si="8"/>
        <v>0</v>
      </c>
      <c r="X80" s="137">
        <f t="shared" si="19"/>
        <v>0</v>
      </c>
      <c r="Y80" s="220">
        <f t="shared" si="20"/>
        <v>9.0999999999999998E-2</v>
      </c>
      <c r="Z80" s="233">
        <f t="shared" si="21"/>
        <v>9.0999999999999998E-2</v>
      </c>
      <c r="AA80" s="125">
        <f t="shared" si="9"/>
        <v>0</v>
      </c>
      <c r="AB80" s="4"/>
      <c r="AC80" s="4"/>
    </row>
    <row r="81" spans="1:29" x14ac:dyDescent="0.2">
      <c r="A81" s="52" t="s">
        <v>15</v>
      </c>
      <c r="B81" s="124">
        <f t="shared" si="10"/>
        <v>0</v>
      </c>
      <c r="C81" s="137">
        <f t="shared" si="11"/>
        <v>0</v>
      </c>
      <c r="D81" s="137">
        <f t="shared" si="24"/>
        <v>0</v>
      </c>
      <c r="E81" s="56">
        <f t="shared" si="25"/>
        <v>0</v>
      </c>
      <c r="F81" s="124">
        <f t="shared" si="26"/>
        <v>34.573</v>
      </c>
      <c r="G81" s="125">
        <f t="shared" si="12"/>
        <v>2096.6348559216622</v>
      </c>
      <c r="H81" s="124">
        <f t="shared" si="22"/>
        <v>9.8559999999999999</v>
      </c>
      <c r="I81" s="137">
        <f t="shared" si="13"/>
        <v>0</v>
      </c>
      <c r="J81" s="234">
        <f t="shared" si="14"/>
        <v>14.9321</v>
      </c>
      <c r="K81" s="137">
        <f t="shared" si="31"/>
        <v>24.7881</v>
      </c>
      <c r="L81" s="230">
        <f t="shared" si="29"/>
        <v>0</v>
      </c>
      <c r="M81" s="124">
        <f t="shared" si="15"/>
        <v>2.6526500000000004</v>
      </c>
      <c r="N81" s="137">
        <f t="shared" si="27"/>
        <v>3.2319</v>
      </c>
      <c r="O81" s="137">
        <f t="shared" si="16"/>
        <v>0.51471</v>
      </c>
      <c r="P81" s="137">
        <f t="shared" si="28"/>
        <v>6.3992600000000008</v>
      </c>
      <c r="Q81" s="56">
        <f t="shared" si="6"/>
        <v>0</v>
      </c>
      <c r="R81" s="124">
        <f t="shared" si="23"/>
        <v>4.06175</v>
      </c>
      <c r="S81" s="137">
        <f t="shared" si="17"/>
        <v>4.6977500000000001</v>
      </c>
      <c r="T81" s="137">
        <f t="shared" si="30"/>
        <v>8.7594999999999992</v>
      </c>
      <c r="U81" s="218">
        <f t="shared" si="7"/>
        <v>0</v>
      </c>
      <c r="V81" s="124">
        <f t="shared" si="18"/>
        <v>8.5365000000000002</v>
      </c>
      <c r="W81" s="125">
        <f t="shared" si="8"/>
        <v>0</v>
      </c>
      <c r="X81" s="137">
        <f t="shared" si="19"/>
        <v>0</v>
      </c>
      <c r="Y81" s="220">
        <f t="shared" si="20"/>
        <v>9.4822000000000006</v>
      </c>
      <c r="Z81" s="233">
        <f t="shared" si="21"/>
        <v>9.4822000000000006</v>
      </c>
      <c r="AA81" s="125">
        <f t="shared" si="9"/>
        <v>0</v>
      </c>
      <c r="AB81" s="4"/>
      <c r="AC81" s="4"/>
    </row>
    <row r="82" spans="1:29" x14ac:dyDescent="0.2">
      <c r="A82" s="52" t="s">
        <v>10</v>
      </c>
      <c r="B82" s="124">
        <f t="shared" si="10"/>
        <v>0</v>
      </c>
      <c r="C82" s="137">
        <f t="shared" si="11"/>
        <v>0</v>
      </c>
      <c r="D82" s="137">
        <f t="shared" si="24"/>
        <v>0</v>
      </c>
      <c r="E82" s="56">
        <f t="shared" si="25"/>
        <v>0</v>
      </c>
      <c r="F82" s="124">
        <f t="shared" si="26"/>
        <v>44.451000000000001</v>
      </c>
      <c r="G82" s="125">
        <f t="shared" si="12"/>
        <v>2695.6733861849939</v>
      </c>
      <c r="H82" s="124">
        <f t="shared" si="22"/>
        <v>12.672000000000001</v>
      </c>
      <c r="I82" s="137">
        <f t="shared" si="13"/>
        <v>38.702100000000002</v>
      </c>
      <c r="J82" s="234">
        <f t="shared" si="14"/>
        <v>0</v>
      </c>
      <c r="K82" s="137">
        <f t="shared" si="31"/>
        <v>51.374099999999999</v>
      </c>
      <c r="L82" s="230">
        <f t="shared" si="29"/>
        <v>0</v>
      </c>
      <c r="M82" s="124">
        <f t="shared" si="15"/>
        <v>3.4105500000000006</v>
      </c>
      <c r="N82" s="137">
        <f t="shared" si="27"/>
        <v>0</v>
      </c>
      <c r="O82" s="137">
        <f t="shared" si="16"/>
        <v>0</v>
      </c>
      <c r="P82" s="137">
        <f t="shared" si="28"/>
        <v>3.4105500000000006</v>
      </c>
      <c r="Q82" s="56">
        <f t="shared" si="6"/>
        <v>0</v>
      </c>
      <c r="R82" s="124">
        <f t="shared" si="23"/>
        <v>5.2222499999999998</v>
      </c>
      <c r="S82" s="137">
        <f t="shared" si="17"/>
        <v>0</v>
      </c>
      <c r="T82" s="137">
        <f t="shared" si="30"/>
        <v>5.2222499999999998</v>
      </c>
      <c r="U82" s="218">
        <f t="shared" si="7"/>
        <v>0</v>
      </c>
      <c r="V82" s="124">
        <f t="shared" si="18"/>
        <v>0</v>
      </c>
      <c r="W82" s="125">
        <f t="shared" si="8"/>
        <v>0</v>
      </c>
      <c r="X82" s="137">
        <f t="shared" si="19"/>
        <v>20.249200000000002</v>
      </c>
      <c r="Y82" s="220">
        <f t="shared" si="20"/>
        <v>0</v>
      </c>
      <c r="Z82" s="233">
        <f t="shared" si="21"/>
        <v>20.249200000000002</v>
      </c>
      <c r="AA82" s="125">
        <f t="shared" si="9"/>
        <v>0</v>
      </c>
      <c r="AB82" s="4"/>
      <c r="AC82" s="4"/>
    </row>
    <row r="83" spans="1:29" x14ac:dyDescent="0.2">
      <c r="A83" s="52" t="s">
        <v>8</v>
      </c>
      <c r="B83" s="124">
        <f t="shared" si="10"/>
        <v>0</v>
      </c>
      <c r="C83" s="137">
        <f t="shared" si="11"/>
        <v>0</v>
      </c>
      <c r="D83" s="137">
        <f t="shared" si="24"/>
        <v>0</v>
      </c>
      <c r="E83" s="56">
        <f t="shared" si="25"/>
        <v>0</v>
      </c>
      <c r="F83" s="124">
        <f t="shared" si="26"/>
        <v>52.892200000000003</v>
      </c>
      <c r="G83" s="125">
        <f t="shared" si="12"/>
        <v>3207.5790393191141</v>
      </c>
      <c r="H83" s="124">
        <f t="shared" si="22"/>
        <v>15.0784</v>
      </c>
      <c r="I83" s="137">
        <f t="shared" si="13"/>
        <v>33.18</v>
      </c>
      <c r="J83" s="234">
        <f t="shared" si="14"/>
        <v>0</v>
      </c>
      <c r="K83" s="137">
        <f t="shared" si="31"/>
        <v>48.258400000000002</v>
      </c>
      <c r="L83" s="230">
        <f t="shared" si="29"/>
        <v>0</v>
      </c>
      <c r="M83" s="124">
        <f t="shared" si="15"/>
        <v>4.0582100000000008</v>
      </c>
      <c r="N83" s="137">
        <f t="shared" si="27"/>
        <v>217.08161999999999</v>
      </c>
      <c r="O83" s="137">
        <f t="shared" si="16"/>
        <v>28.408379999999998</v>
      </c>
      <c r="P83" s="137">
        <f t="shared" ref="P83:P88" si="32">M83+N83+O83</f>
        <v>249.54820999999998</v>
      </c>
      <c r="Q83" s="56">
        <f t="shared" si="6"/>
        <v>0</v>
      </c>
      <c r="R83" s="124">
        <f t="shared" si="23"/>
        <v>6.2139500000000005</v>
      </c>
      <c r="S83" s="137">
        <f t="shared" si="17"/>
        <v>315.54045000000002</v>
      </c>
      <c r="T83" s="137">
        <f t="shared" si="30"/>
        <v>321.75440000000003</v>
      </c>
      <c r="U83" s="218">
        <f t="shared" si="7"/>
        <v>0</v>
      </c>
      <c r="V83" s="124">
        <f t="shared" si="18"/>
        <v>0</v>
      </c>
      <c r="W83" s="125">
        <f t="shared" si="8"/>
        <v>0</v>
      </c>
      <c r="X83" s="137">
        <f t="shared" si="19"/>
        <v>17.360000000000003</v>
      </c>
      <c r="Y83" s="220">
        <f t="shared" si="20"/>
        <v>0</v>
      </c>
      <c r="Z83" s="233">
        <f t="shared" si="21"/>
        <v>17.360000000000003</v>
      </c>
      <c r="AA83" s="125">
        <f t="shared" si="9"/>
        <v>0</v>
      </c>
      <c r="AB83" s="4"/>
      <c r="AC83" s="4"/>
    </row>
    <row r="84" spans="1:29" x14ac:dyDescent="0.2">
      <c r="A84" s="52" t="s">
        <v>18</v>
      </c>
      <c r="B84" s="124">
        <f t="shared" si="10"/>
        <v>0</v>
      </c>
      <c r="C84" s="137">
        <f t="shared" si="11"/>
        <v>0</v>
      </c>
      <c r="D84" s="137">
        <f t="shared" si="24"/>
        <v>0</v>
      </c>
      <c r="E84" s="56">
        <f t="shared" si="25"/>
        <v>0</v>
      </c>
      <c r="F84" s="124">
        <f t="shared" si="26"/>
        <v>2.1551999999999998</v>
      </c>
      <c r="G84" s="125">
        <f t="shared" si="12"/>
        <v>130.69931569381788</v>
      </c>
      <c r="H84" s="124">
        <f t="shared" si="22"/>
        <v>0.61439999999999995</v>
      </c>
      <c r="I84" s="137">
        <f t="shared" si="13"/>
        <v>1.2323999999999999</v>
      </c>
      <c r="J84" s="234">
        <f t="shared" si="14"/>
        <v>0</v>
      </c>
      <c r="K84" s="137">
        <f t="shared" si="31"/>
        <v>1.8468</v>
      </c>
      <c r="L84" s="230">
        <f>K84*$L$63</f>
        <v>0</v>
      </c>
      <c r="M84" s="124">
        <f t="shared" si="15"/>
        <v>0.16536000000000001</v>
      </c>
      <c r="N84" s="137">
        <f t="shared" si="27"/>
        <v>8.6070599999999988</v>
      </c>
      <c r="O84" s="137">
        <f t="shared" si="16"/>
        <v>1.1287499999999999</v>
      </c>
      <c r="P84" s="137">
        <f t="shared" si="32"/>
        <v>9.9011699999999987</v>
      </c>
      <c r="Q84" s="56">
        <f t="shared" si="6"/>
        <v>0</v>
      </c>
      <c r="R84" s="124">
        <f t="shared" si="23"/>
        <v>0.25319999999999998</v>
      </c>
      <c r="S84" s="137">
        <f t="shared" si="17"/>
        <v>12.51085</v>
      </c>
      <c r="T84" s="137">
        <f t="shared" si="30"/>
        <v>12.764049999999999</v>
      </c>
      <c r="U84" s="218">
        <f t="shared" si="7"/>
        <v>0</v>
      </c>
      <c r="V84" s="124">
        <f t="shared" si="18"/>
        <v>0</v>
      </c>
      <c r="W84" s="125">
        <f t="shared" si="8"/>
        <v>0</v>
      </c>
      <c r="X84" s="137">
        <f t="shared" si="19"/>
        <v>0.64479999999999993</v>
      </c>
      <c r="Y84" s="220">
        <f t="shared" si="20"/>
        <v>0</v>
      </c>
      <c r="Z84" s="233">
        <f t="shared" si="21"/>
        <v>0.64479999999999993</v>
      </c>
      <c r="AA84" s="125">
        <f t="shared" si="9"/>
        <v>0</v>
      </c>
      <c r="AB84" s="4"/>
      <c r="AC84" s="4"/>
    </row>
    <row r="85" spans="1:29" x14ac:dyDescent="0.2">
      <c r="A85" s="52" t="s">
        <v>120</v>
      </c>
      <c r="B85" s="124">
        <f t="shared" si="10"/>
        <v>0</v>
      </c>
      <c r="C85" s="137">
        <f t="shared" si="11"/>
        <v>0</v>
      </c>
      <c r="D85" s="137">
        <f>B85+C85</f>
        <v>0</v>
      </c>
      <c r="E85" s="56">
        <f>D85*$E$63</f>
        <v>0</v>
      </c>
      <c r="F85" s="124">
        <f t="shared" si="26"/>
        <v>4.9390000000000001</v>
      </c>
      <c r="G85" s="125">
        <f>F85*$G$63</f>
        <v>299.51926513166597</v>
      </c>
      <c r="H85" s="124">
        <f t="shared" si="22"/>
        <v>1.4079999999999999</v>
      </c>
      <c r="I85" s="137">
        <f t="shared" si="13"/>
        <v>1.1613</v>
      </c>
      <c r="J85" s="234">
        <f t="shared" si="14"/>
        <v>0</v>
      </c>
      <c r="K85" s="137">
        <f t="shared" si="31"/>
        <v>2.5693000000000001</v>
      </c>
      <c r="L85" s="230">
        <f>K85*$L$63</f>
        <v>0</v>
      </c>
      <c r="M85" s="124">
        <f t="shared" si="15"/>
        <v>0.37895000000000001</v>
      </c>
      <c r="N85" s="137">
        <f t="shared" si="27"/>
        <v>30.788099999999996</v>
      </c>
      <c r="O85" s="137">
        <f t="shared" si="16"/>
        <v>0</v>
      </c>
      <c r="P85" s="137">
        <f t="shared" si="32"/>
        <v>31.167049999999996</v>
      </c>
      <c r="Q85" s="56">
        <f t="shared" si="6"/>
        <v>0</v>
      </c>
      <c r="R85" s="124">
        <f t="shared" si="23"/>
        <v>0.58024999999999993</v>
      </c>
      <c r="S85" s="137">
        <f t="shared" si="17"/>
        <v>44.752249999999997</v>
      </c>
      <c r="T85" s="137">
        <f>R85+S85</f>
        <v>45.332499999999996</v>
      </c>
      <c r="U85" s="218">
        <f t="shared" si="7"/>
        <v>0</v>
      </c>
      <c r="V85" s="124">
        <f t="shared" si="18"/>
        <v>0</v>
      </c>
      <c r="W85" s="125">
        <f t="shared" si="8"/>
        <v>0</v>
      </c>
      <c r="X85" s="137">
        <f t="shared" si="19"/>
        <v>0.60760000000000003</v>
      </c>
      <c r="Y85" s="220">
        <f t="shared" si="20"/>
        <v>0</v>
      </c>
      <c r="Z85" s="233">
        <f t="shared" si="21"/>
        <v>0.60760000000000003</v>
      </c>
      <c r="AA85" s="125">
        <f t="shared" si="9"/>
        <v>0</v>
      </c>
      <c r="AB85" s="4"/>
      <c r="AC85" s="4"/>
    </row>
    <row r="86" spans="1:29" x14ac:dyDescent="0.2">
      <c r="A86" s="52" t="s">
        <v>121</v>
      </c>
      <c r="B86" s="124">
        <f t="shared" si="10"/>
        <v>0</v>
      </c>
      <c r="C86" s="137">
        <f t="shared" si="11"/>
        <v>0</v>
      </c>
      <c r="D86" s="137">
        <f t="shared" si="24"/>
        <v>0</v>
      </c>
      <c r="E86" s="56">
        <f t="shared" si="25"/>
        <v>0</v>
      </c>
      <c r="F86" s="124">
        <f t="shared" si="26"/>
        <v>3.6818000000000004</v>
      </c>
      <c r="G86" s="125">
        <f t="shared" si="12"/>
        <v>223.27799764360557</v>
      </c>
      <c r="H86" s="124">
        <f t="shared" si="22"/>
        <v>1.0496000000000001</v>
      </c>
      <c r="I86" s="137">
        <f t="shared" si="13"/>
        <v>2.2278000000000002</v>
      </c>
      <c r="J86" s="234">
        <f t="shared" si="14"/>
        <v>0</v>
      </c>
      <c r="K86" s="137">
        <f t="shared" si="31"/>
        <v>3.2774000000000001</v>
      </c>
      <c r="L86" s="230">
        <f>K86*$L$63</f>
        <v>0</v>
      </c>
      <c r="M86" s="124">
        <f t="shared" si="15"/>
        <v>0.28249000000000007</v>
      </c>
      <c r="N86" s="137">
        <f t="shared" si="27"/>
        <v>0.20411999999999997</v>
      </c>
      <c r="O86" s="137">
        <f t="shared" si="16"/>
        <v>1.0655399999999999</v>
      </c>
      <c r="P86" s="137">
        <f t="shared" si="32"/>
        <v>1.5521499999999999</v>
      </c>
      <c r="Q86" s="56">
        <f t="shared" si="6"/>
        <v>0</v>
      </c>
      <c r="R86" s="124">
        <f t="shared" si="23"/>
        <v>0.43255000000000005</v>
      </c>
      <c r="S86" s="137">
        <f t="shared" si="17"/>
        <v>0.29669999999999996</v>
      </c>
      <c r="T86" s="137">
        <f t="shared" si="30"/>
        <v>0.72924999999999995</v>
      </c>
      <c r="U86" s="218">
        <f t="shared" si="7"/>
        <v>0</v>
      </c>
      <c r="V86" s="124">
        <f t="shared" si="18"/>
        <v>0</v>
      </c>
      <c r="W86" s="125">
        <f t="shared" si="8"/>
        <v>0</v>
      </c>
      <c r="X86" s="137">
        <f t="shared" si="19"/>
        <v>1.1656</v>
      </c>
      <c r="Y86" s="220">
        <f t="shared" si="20"/>
        <v>0</v>
      </c>
      <c r="Z86" s="233">
        <f t="shared" si="21"/>
        <v>1.1656</v>
      </c>
      <c r="AA86" s="125">
        <f t="shared" si="9"/>
        <v>0</v>
      </c>
      <c r="AB86" s="4"/>
      <c r="AC86" s="4"/>
    </row>
    <row r="87" spans="1:29" x14ac:dyDescent="0.2">
      <c r="A87" s="52" t="s">
        <v>103</v>
      </c>
      <c r="B87" s="124">
        <f t="shared" si="10"/>
        <v>0</v>
      </c>
      <c r="C87" s="137">
        <f t="shared" si="11"/>
        <v>0</v>
      </c>
      <c r="D87" s="137">
        <f t="shared" si="24"/>
        <v>0</v>
      </c>
      <c r="E87" s="56">
        <f t="shared" si="25"/>
        <v>0</v>
      </c>
      <c r="F87" s="124">
        <f t="shared" si="26"/>
        <v>1.796</v>
      </c>
      <c r="G87" s="125">
        <f t="shared" si="12"/>
        <v>108.91609641151491</v>
      </c>
      <c r="H87" s="124">
        <f t="shared" si="22"/>
        <v>0.51200000000000001</v>
      </c>
      <c r="I87" s="137">
        <f t="shared" si="13"/>
        <v>0.68729999999999991</v>
      </c>
      <c r="J87" s="234">
        <f t="shared" si="14"/>
        <v>0</v>
      </c>
      <c r="K87" s="137">
        <f t="shared" si="31"/>
        <v>1.1993</v>
      </c>
      <c r="L87" s="230">
        <f>K87*$L$63</f>
        <v>0</v>
      </c>
      <c r="M87" s="124">
        <f t="shared" si="15"/>
        <v>0.13780000000000001</v>
      </c>
      <c r="N87" s="137">
        <f t="shared" si="27"/>
        <v>6.531839999999999</v>
      </c>
      <c r="O87" s="137">
        <f t="shared" si="16"/>
        <v>0.76755000000000007</v>
      </c>
      <c r="P87" s="137">
        <f t="shared" si="32"/>
        <v>7.4371899999999993</v>
      </c>
      <c r="Q87" s="56">
        <f t="shared" si="6"/>
        <v>0</v>
      </c>
      <c r="R87" s="124">
        <f t="shared" si="23"/>
        <v>0.21099999999999999</v>
      </c>
      <c r="S87" s="137">
        <f t="shared" si="17"/>
        <v>9.4943999999999988</v>
      </c>
      <c r="T87" s="137">
        <f t="shared" si="30"/>
        <v>9.7053999999999991</v>
      </c>
      <c r="U87" s="218">
        <f t="shared" si="7"/>
        <v>0</v>
      </c>
      <c r="V87" s="124">
        <f t="shared" si="18"/>
        <v>0</v>
      </c>
      <c r="W87" s="125">
        <f t="shared" si="8"/>
        <v>0</v>
      </c>
      <c r="X87" s="137">
        <f t="shared" si="19"/>
        <v>0.35959999999999998</v>
      </c>
      <c r="Y87" s="220">
        <f t="shared" si="20"/>
        <v>0</v>
      </c>
      <c r="Z87" s="233">
        <f t="shared" si="21"/>
        <v>0.35959999999999998</v>
      </c>
      <c r="AA87" s="125">
        <f t="shared" si="9"/>
        <v>0</v>
      </c>
      <c r="AB87" s="4"/>
      <c r="AC87" s="4"/>
    </row>
    <row r="88" spans="1:29" ht="13.5" thickBot="1" x14ac:dyDescent="0.25">
      <c r="A88" s="52" t="s">
        <v>104</v>
      </c>
      <c r="B88" s="124">
        <f t="shared" si="10"/>
        <v>0</v>
      </c>
      <c r="C88" s="137">
        <f t="shared" si="11"/>
        <v>0</v>
      </c>
      <c r="D88" s="137">
        <f>B88+C88</f>
        <v>0</v>
      </c>
      <c r="E88" s="56">
        <f>D88*$E$63</f>
        <v>0</v>
      </c>
      <c r="F88" s="124">
        <f t="shared" si="26"/>
        <v>1.796</v>
      </c>
      <c r="G88" s="125">
        <f t="shared" si="12"/>
        <v>108.91609641151491</v>
      </c>
      <c r="H88" s="124">
        <f t="shared" si="22"/>
        <v>0.51200000000000001</v>
      </c>
      <c r="I88" s="137">
        <f t="shared" si="13"/>
        <v>0</v>
      </c>
      <c r="J88" s="234">
        <f t="shared" si="14"/>
        <v>0</v>
      </c>
      <c r="K88" s="137">
        <f t="shared" si="31"/>
        <v>0.51200000000000001</v>
      </c>
      <c r="L88" s="230">
        <f>K88*$L$63</f>
        <v>0</v>
      </c>
      <c r="M88" s="124">
        <f t="shared" si="15"/>
        <v>0.13780000000000001</v>
      </c>
      <c r="N88" s="137">
        <f t="shared" si="27"/>
        <v>49.669199999999996</v>
      </c>
      <c r="O88" s="137">
        <f t="shared" si="16"/>
        <v>0.71337000000000006</v>
      </c>
      <c r="P88" s="137">
        <f t="shared" si="32"/>
        <v>50.520369999999993</v>
      </c>
      <c r="Q88" s="56">
        <f t="shared" si="6"/>
        <v>0</v>
      </c>
      <c r="R88" s="124">
        <f t="shared" si="23"/>
        <v>0.21099999999999999</v>
      </c>
      <c r="S88" s="137">
        <f t="shared" si="17"/>
        <v>72.196999999999989</v>
      </c>
      <c r="T88" s="137">
        <f>R88+S88</f>
        <v>72.407999999999987</v>
      </c>
      <c r="U88" s="218">
        <f t="shared" si="7"/>
        <v>0</v>
      </c>
      <c r="V88" s="124">
        <f t="shared" si="18"/>
        <v>0</v>
      </c>
      <c r="W88" s="125">
        <f t="shared" si="8"/>
        <v>0</v>
      </c>
      <c r="X88" s="137">
        <f t="shared" si="19"/>
        <v>0</v>
      </c>
      <c r="Y88" s="220">
        <f t="shared" si="20"/>
        <v>0</v>
      </c>
      <c r="Z88" s="233">
        <f t="shared" si="21"/>
        <v>0</v>
      </c>
      <c r="AA88" s="125">
        <f t="shared" si="9"/>
        <v>0</v>
      </c>
      <c r="AB88" s="4"/>
      <c r="AC88" s="4"/>
    </row>
    <row r="89" spans="1:29" ht="13.5" thickBot="1" x14ac:dyDescent="0.25">
      <c r="A89" s="127" t="s">
        <v>51</v>
      </c>
      <c r="B89" s="138">
        <f>SUM(B65:B88)</f>
        <v>0</v>
      </c>
      <c r="C89" s="139">
        <f t="shared" ref="C89:Z89" si="33">SUM(C65:C88)</f>
        <v>0</v>
      </c>
      <c r="D89" s="139">
        <f>SUM(D65:D88)</f>
        <v>0</v>
      </c>
      <c r="E89" s="140">
        <f t="shared" si="33"/>
        <v>0</v>
      </c>
      <c r="F89" s="138">
        <f t="shared" si="33"/>
        <v>897.99999999999989</v>
      </c>
      <c r="G89" s="140">
        <f t="shared" si="33"/>
        <v>54458.048205757448</v>
      </c>
      <c r="H89" s="138">
        <f>SUM(H65:H88)</f>
        <v>255.99999999999991</v>
      </c>
      <c r="I89" s="139">
        <f t="shared" si="33"/>
        <v>237.00000000000003</v>
      </c>
      <c r="J89" s="235">
        <f>SUM(J65:J88)</f>
        <v>551</v>
      </c>
      <c r="K89" s="139">
        <f>SUM(K65:K88)</f>
        <v>1044</v>
      </c>
      <c r="L89" s="231">
        <f>SUM(L65:L88)</f>
        <v>0</v>
      </c>
      <c r="M89" s="138">
        <f>SUM(M65:M88)</f>
        <v>68.900000000000006</v>
      </c>
      <c r="N89" s="139">
        <f t="shared" si="33"/>
        <v>340.19999999999993</v>
      </c>
      <c r="O89" s="139">
        <f t="shared" si="33"/>
        <v>90.3</v>
      </c>
      <c r="P89" s="139">
        <f>SUM(P65:P88)</f>
        <v>499.39999999999992</v>
      </c>
      <c r="Q89" s="140">
        <f t="shared" si="33"/>
        <v>0</v>
      </c>
      <c r="R89" s="138">
        <f t="shared" si="33"/>
        <v>105.50000000000004</v>
      </c>
      <c r="S89" s="139">
        <f t="shared" si="33"/>
        <v>494.5</v>
      </c>
      <c r="T89" s="139">
        <f t="shared" si="33"/>
        <v>600.00000000000011</v>
      </c>
      <c r="U89" s="219">
        <f t="shared" si="33"/>
        <v>0</v>
      </c>
      <c r="V89" s="138">
        <f t="shared" si="33"/>
        <v>315</v>
      </c>
      <c r="W89" s="140">
        <f>SUM(W65:W88)</f>
        <v>0</v>
      </c>
      <c r="X89" s="138">
        <f t="shared" si="33"/>
        <v>124.00000000000001</v>
      </c>
      <c r="Y89" s="221">
        <f>SUM(Y65:Y88)</f>
        <v>182.00000000000003</v>
      </c>
      <c r="Z89" s="139">
        <f t="shared" si="33"/>
        <v>305.99999999999994</v>
      </c>
      <c r="AA89" s="140">
        <f>SUM(AA65:AA88)</f>
        <v>0</v>
      </c>
      <c r="AB89" s="4"/>
      <c r="AC89" s="4"/>
    </row>
    <row r="90" spans="1:29" x14ac:dyDescent="0.2">
      <c r="A90" s="141" t="s">
        <v>74</v>
      </c>
      <c r="B90" s="41"/>
      <c r="C90" s="41"/>
      <c r="D90" s="41"/>
      <c r="E90" s="38"/>
      <c r="F90" s="41"/>
      <c r="G90" s="38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4"/>
      <c r="Y90" s="4"/>
    </row>
    <row r="91" spans="1:29" x14ac:dyDescent="0.2">
      <c r="A91" s="123" t="s">
        <v>79</v>
      </c>
      <c r="B91" s="151"/>
      <c r="C91" s="151"/>
      <c r="D91" s="42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4"/>
      <c r="Y91" s="4"/>
    </row>
    <row r="92" spans="1:29" x14ac:dyDescent="0.2">
      <c r="A92" s="123" t="s">
        <v>82</v>
      </c>
      <c r="B92" s="151"/>
      <c r="C92" s="151"/>
      <c r="D92" s="4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4"/>
      <c r="Y92" s="4"/>
    </row>
    <row r="93" spans="1:29" ht="13.5" thickBot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9" ht="16.5" thickBot="1" x14ac:dyDescent="0.3">
      <c r="A94" s="162" t="s">
        <v>66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9" ht="76.5" x14ac:dyDescent="0.2">
      <c r="A95" s="142" t="s">
        <v>3</v>
      </c>
      <c r="B95" s="115" t="s">
        <v>83</v>
      </c>
      <c r="C95" s="116" t="s">
        <v>115</v>
      </c>
      <c r="D95" s="31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9" x14ac:dyDescent="0.2">
      <c r="A96" s="52" t="s">
        <v>29</v>
      </c>
      <c r="B96" s="55">
        <f>C26*E63</f>
        <v>0</v>
      </c>
      <c r="C96" s="56">
        <f>(C13+C20)*E63</f>
        <v>0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x14ac:dyDescent="0.2">
      <c r="A97" s="52" t="s">
        <v>36</v>
      </c>
      <c r="B97" s="55">
        <f>D26*G63</f>
        <v>0</v>
      </c>
      <c r="C97" s="56">
        <f>(D13+D20)*G63</f>
        <v>54458.048205757455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x14ac:dyDescent="0.2">
      <c r="A98" s="52" t="s">
        <v>5</v>
      </c>
      <c r="B98" s="55">
        <f>E26*L63</f>
        <v>0</v>
      </c>
      <c r="C98" s="56">
        <f>(E13+E20)*J63</f>
        <v>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x14ac:dyDescent="0.2">
      <c r="A99" s="143" t="s">
        <v>8</v>
      </c>
      <c r="B99" s="55">
        <f>F26*Q63</f>
        <v>0</v>
      </c>
      <c r="C99" s="56">
        <f>(F13+F20)*Q63</f>
        <v>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x14ac:dyDescent="0.2">
      <c r="A100" s="143" t="s">
        <v>37</v>
      </c>
      <c r="B100" s="55">
        <f>G26*U63</f>
        <v>0</v>
      </c>
      <c r="C100" s="56">
        <f>(G13+G20)*U63</f>
        <v>0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x14ac:dyDescent="0.2">
      <c r="A101" s="143" t="s">
        <v>38</v>
      </c>
      <c r="B101" s="144">
        <f>I26*AC63</f>
        <v>0</v>
      </c>
      <c r="C101" s="56">
        <f>(I13+I20)*AC63</f>
        <v>0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x14ac:dyDescent="0.2">
      <c r="A102" s="143" t="s">
        <v>15</v>
      </c>
      <c r="B102" s="144">
        <f>J26*W63</f>
        <v>0</v>
      </c>
      <c r="C102" s="56">
        <f>(J13+J20)*W63</f>
        <v>0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x14ac:dyDescent="0.2">
      <c r="A103" s="143" t="s">
        <v>11</v>
      </c>
      <c r="B103" s="144">
        <f>K26*AA63</f>
        <v>0</v>
      </c>
      <c r="C103" s="145">
        <f>(K13+K20)*AA63</f>
        <v>0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ht="13.5" thickBot="1" x14ac:dyDescent="0.25">
      <c r="A104" s="126" t="s">
        <v>51</v>
      </c>
      <c r="B104" s="146">
        <f>SUM(B96:B103)</f>
        <v>0</v>
      </c>
      <c r="C104" s="62">
        <f>SUM(C96:C103)</f>
        <v>54458.048205757455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</sheetData>
  <mergeCells count="18">
    <mergeCell ref="X63:Z63"/>
    <mergeCell ref="AB64:AC64"/>
    <mergeCell ref="R62:U62"/>
    <mergeCell ref="V62:W62"/>
    <mergeCell ref="X62:AA62"/>
    <mergeCell ref="AB62:AC62"/>
    <mergeCell ref="M62:Q62"/>
    <mergeCell ref="B63:D63"/>
    <mergeCell ref="H63:K63"/>
    <mergeCell ref="M63:P63"/>
    <mergeCell ref="R63:T63"/>
    <mergeCell ref="A3:A4"/>
    <mergeCell ref="A29:K29"/>
    <mergeCell ref="A59:G59"/>
    <mergeCell ref="A61:A63"/>
    <mergeCell ref="B62:E62"/>
    <mergeCell ref="F62:G62"/>
    <mergeCell ref="H62:L62"/>
  </mergeCells>
  <pageMargins left="0.7" right="0.7" top="0.75" bottom="0.75" header="0.3" footer="0.3"/>
  <pageSetup paperSize="5" scale="2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4"/>
  <sheetViews>
    <sheetView zoomScale="110" zoomScaleNormal="110" workbookViewId="0"/>
  </sheetViews>
  <sheetFormatPr defaultRowHeight="12.75" x14ac:dyDescent="0.2"/>
  <cols>
    <col min="1" max="25" width="16.7109375" customWidth="1"/>
  </cols>
  <sheetData>
    <row r="1" spans="1:16" ht="18.75" x14ac:dyDescent="0.3">
      <c r="A1" s="260" t="s">
        <v>329</v>
      </c>
      <c r="B1" s="4"/>
      <c r="C1" s="4"/>
      <c r="D1" s="4"/>
      <c r="E1" s="4"/>
      <c r="F1" s="4"/>
      <c r="G1" s="4"/>
      <c r="H1" s="4"/>
      <c r="I1" s="4"/>
      <c r="J1" s="4"/>
    </row>
    <row r="2" spans="1:16" ht="18.75" x14ac:dyDescent="0.3">
      <c r="A2" s="3"/>
      <c r="B2" s="7"/>
      <c r="C2" s="4" t="s">
        <v>24</v>
      </c>
      <c r="D2" s="4" t="s">
        <v>24</v>
      </c>
      <c r="E2" s="263" t="s">
        <v>24</v>
      </c>
      <c r="F2" s="264"/>
      <c r="G2" s="16"/>
      <c r="H2" s="4"/>
    </row>
    <row r="3" spans="1:16" ht="15.75" x14ac:dyDescent="0.2">
      <c r="A3" s="598" t="s">
        <v>59</v>
      </c>
      <c r="B3" s="598"/>
      <c r="C3" s="265"/>
      <c r="D3" s="265"/>
      <c r="E3" s="265"/>
      <c r="F3" s="265"/>
      <c r="G3" s="265"/>
      <c r="H3" s="265"/>
      <c r="I3" s="266" t="s">
        <v>24</v>
      </c>
      <c r="J3" s="266"/>
    </row>
    <row r="4" spans="1:16" ht="51" x14ac:dyDescent="0.2">
      <c r="A4" s="475" t="s">
        <v>155</v>
      </c>
      <c r="B4" s="166" t="s">
        <v>159</v>
      </c>
      <c r="C4" s="166" t="s">
        <v>161</v>
      </c>
      <c r="D4" s="472" t="s">
        <v>176</v>
      </c>
      <c r="E4" s="166" t="s">
        <v>292</v>
      </c>
      <c r="F4" s="472" t="s">
        <v>181</v>
      </c>
      <c r="G4" s="166" t="s">
        <v>182</v>
      </c>
      <c r="H4" s="472" t="s">
        <v>225</v>
      </c>
      <c r="I4" s="331"/>
      <c r="J4" s="331"/>
      <c r="K4" s="331"/>
      <c r="L4" s="331"/>
      <c r="M4" s="331"/>
      <c r="N4" s="331"/>
      <c r="O4" s="331"/>
      <c r="P4" s="331"/>
    </row>
    <row r="5" spans="1:16" x14ac:dyDescent="0.2">
      <c r="A5" s="189" t="s">
        <v>6</v>
      </c>
      <c r="B5" s="33">
        <v>50</v>
      </c>
      <c r="C5" s="33">
        <v>0</v>
      </c>
      <c r="D5" s="154">
        <f>B5+C5</f>
        <v>50</v>
      </c>
      <c r="E5" s="259">
        <v>-45</v>
      </c>
      <c r="F5" s="154">
        <f>D5+E5</f>
        <v>5</v>
      </c>
      <c r="G5" s="259">
        <v>0</v>
      </c>
      <c r="H5" s="154">
        <f>F5+G5</f>
        <v>5</v>
      </c>
      <c r="I5" s="25"/>
      <c r="J5" s="440" t="s">
        <v>24</v>
      </c>
      <c r="K5" s="35"/>
      <c r="L5" s="35"/>
      <c r="M5" s="332"/>
      <c r="N5" s="35"/>
      <c r="O5" s="332"/>
      <c r="P5" s="35"/>
    </row>
    <row r="6" spans="1:16" x14ac:dyDescent="0.2">
      <c r="A6" s="189" t="s">
        <v>29</v>
      </c>
      <c r="B6" s="33">
        <f>$B$5</f>
        <v>50</v>
      </c>
      <c r="C6" s="33">
        <v>0</v>
      </c>
      <c r="D6" s="154">
        <f>B6+C6</f>
        <v>50</v>
      </c>
      <c r="E6" s="259">
        <v>-45</v>
      </c>
      <c r="F6" s="154">
        <f t="shared" ref="F6:F17" si="0">D6+E6</f>
        <v>5</v>
      </c>
      <c r="G6" s="259">
        <v>0</v>
      </c>
      <c r="H6" s="154">
        <f t="shared" ref="H6:H17" si="1">F6+G6</f>
        <v>5</v>
      </c>
      <c r="I6" s="25"/>
      <c r="J6" s="35"/>
      <c r="K6" s="35"/>
      <c r="L6" s="35"/>
      <c r="M6" s="332"/>
      <c r="N6" s="35"/>
      <c r="O6" s="332"/>
      <c r="P6" s="35"/>
    </row>
    <row r="7" spans="1:16" x14ac:dyDescent="0.2">
      <c r="A7" s="189" t="s">
        <v>36</v>
      </c>
      <c r="B7" s="33">
        <f t="shared" ref="B7:B17" si="2">$B$5</f>
        <v>50</v>
      </c>
      <c r="C7" s="33">
        <v>30.02</v>
      </c>
      <c r="D7" s="154">
        <f>B7+C6+C7</f>
        <v>80.02</v>
      </c>
      <c r="E7" s="259">
        <v>-45</v>
      </c>
      <c r="F7" s="154">
        <f t="shared" si="0"/>
        <v>35.019999999999996</v>
      </c>
      <c r="G7" s="259">
        <v>0</v>
      </c>
      <c r="H7" s="154">
        <f t="shared" si="1"/>
        <v>35.019999999999996</v>
      </c>
      <c r="I7" s="25"/>
      <c r="J7" s="35"/>
      <c r="K7" s="35"/>
      <c r="L7" s="35"/>
      <c r="M7" s="332"/>
      <c r="N7" s="35"/>
      <c r="O7" s="332"/>
      <c r="P7" s="35"/>
    </row>
    <row r="8" spans="1:16" x14ac:dyDescent="0.2">
      <c r="A8" s="189" t="s">
        <v>5</v>
      </c>
      <c r="B8" s="33">
        <f t="shared" si="2"/>
        <v>50</v>
      </c>
      <c r="C8" s="33">
        <v>0</v>
      </c>
      <c r="D8" s="154">
        <f>B8+C6+C8</f>
        <v>50</v>
      </c>
      <c r="E8" s="259">
        <v>-45</v>
      </c>
      <c r="F8" s="154">
        <f t="shared" si="0"/>
        <v>5</v>
      </c>
      <c r="G8" s="259">
        <v>0</v>
      </c>
      <c r="H8" s="154">
        <f t="shared" si="1"/>
        <v>5</v>
      </c>
      <c r="I8" s="25"/>
      <c r="J8" s="35"/>
      <c r="K8" s="35"/>
      <c r="L8" s="35"/>
      <c r="M8" s="332"/>
      <c r="N8" s="35"/>
      <c r="O8" s="332"/>
      <c r="P8" s="35"/>
    </row>
    <row r="9" spans="1:16" x14ac:dyDescent="0.2">
      <c r="A9" s="189" t="s">
        <v>8</v>
      </c>
      <c r="B9" s="33">
        <f t="shared" si="2"/>
        <v>50</v>
      </c>
      <c r="C9" s="33">
        <v>0</v>
      </c>
      <c r="D9" s="154">
        <f>B9+C6+C7+C9</f>
        <v>80.02</v>
      </c>
      <c r="E9" s="259">
        <v>-45</v>
      </c>
      <c r="F9" s="154">
        <f t="shared" si="0"/>
        <v>35.019999999999996</v>
      </c>
      <c r="G9" s="259">
        <v>0</v>
      </c>
      <c r="H9" s="154">
        <f t="shared" si="1"/>
        <v>35.019999999999996</v>
      </c>
      <c r="I9" s="25"/>
      <c r="J9" s="35"/>
      <c r="K9" s="35"/>
      <c r="L9" s="35"/>
      <c r="M9" s="332"/>
      <c r="N9" s="35"/>
      <c r="O9" s="332"/>
      <c r="P9" s="35"/>
    </row>
    <row r="10" spans="1:16" x14ac:dyDescent="0.2">
      <c r="A10" s="189" t="s">
        <v>37</v>
      </c>
      <c r="B10" s="33">
        <f t="shared" si="2"/>
        <v>50</v>
      </c>
      <c r="C10" s="33">
        <v>0</v>
      </c>
      <c r="D10" s="154">
        <f>B10+C6+C7+C9+C10</f>
        <v>80.02</v>
      </c>
      <c r="E10" s="259">
        <v>-45</v>
      </c>
      <c r="F10" s="154">
        <f t="shared" si="0"/>
        <v>35.019999999999996</v>
      </c>
      <c r="G10" s="259">
        <v>0</v>
      </c>
      <c r="H10" s="154">
        <f t="shared" si="1"/>
        <v>35.019999999999996</v>
      </c>
      <c r="I10" s="25"/>
      <c r="J10" s="35"/>
      <c r="K10" s="35"/>
      <c r="L10" s="35"/>
      <c r="M10" s="332"/>
      <c r="N10" s="35"/>
      <c r="O10" s="332"/>
      <c r="P10" s="35"/>
    </row>
    <row r="11" spans="1:16" x14ac:dyDescent="0.2">
      <c r="A11" s="189" t="s">
        <v>38</v>
      </c>
      <c r="B11" s="33">
        <f t="shared" si="2"/>
        <v>50</v>
      </c>
      <c r="C11" s="33">
        <v>0</v>
      </c>
      <c r="D11" s="154">
        <f>B11+C6+C7+C11</f>
        <v>80.02</v>
      </c>
      <c r="E11" s="259">
        <v>-50.02</v>
      </c>
      <c r="F11" s="154">
        <f t="shared" si="0"/>
        <v>29.999999999999993</v>
      </c>
      <c r="G11" s="259">
        <v>0</v>
      </c>
      <c r="H11" s="154">
        <f t="shared" si="1"/>
        <v>29.999999999999993</v>
      </c>
      <c r="I11" s="25"/>
      <c r="J11" s="35"/>
      <c r="K11" s="35"/>
      <c r="L11" s="35"/>
      <c r="M11" s="332"/>
      <c r="N11" s="35"/>
      <c r="O11" s="332"/>
      <c r="P11" s="35"/>
    </row>
    <row r="12" spans="1:16" x14ac:dyDescent="0.2">
      <c r="A12" s="24" t="s">
        <v>15</v>
      </c>
      <c r="B12" s="33">
        <f t="shared" si="2"/>
        <v>50</v>
      </c>
      <c r="C12" s="37">
        <v>0</v>
      </c>
      <c r="D12" s="154">
        <f>B12+C6+C8+C12</f>
        <v>50</v>
      </c>
      <c r="E12" s="259">
        <v>-45</v>
      </c>
      <c r="F12" s="154">
        <f t="shared" si="0"/>
        <v>5</v>
      </c>
      <c r="G12" s="259">
        <v>0</v>
      </c>
      <c r="H12" s="154">
        <f t="shared" si="1"/>
        <v>5</v>
      </c>
      <c r="I12" s="25"/>
      <c r="J12" s="35"/>
      <c r="K12" s="35"/>
      <c r="L12" s="35"/>
      <c r="M12" s="332"/>
      <c r="N12" s="35"/>
      <c r="O12" s="332"/>
      <c r="P12" s="35"/>
    </row>
    <row r="13" spans="1:16" x14ac:dyDescent="0.2">
      <c r="A13" s="24" t="s">
        <v>46</v>
      </c>
      <c r="B13" s="33">
        <f t="shared" si="2"/>
        <v>50</v>
      </c>
      <c r="C13" s="37">
        <v>0</v>
      </c>
      <c r="D13" s="154">
        <f>B13+C13</f>
        <v>50</v>
      </c>
      <c r="E13" s="259">
        <v>-45</v>
      </c>
      <c r="F13" s="154">
        <f t="shared" si="0"/>
        <v>5</v>
      </c>
      <c r="G13" s="259">
        <v>0</v>
      </c>
      <c r="H13" s="154">
        <f>F13+G13</f>
        <v>5</v>
      </c>
      <c r="I13" s="25"/>
      <c r="J13" s="35"/>
      <c r="K13" s="35"/>
      <c r="L13" s="35"/>
      <c r="M13" s="332"/>
      <c r="N13" s="35"/>
      <c r="O13" s="332"/>
      <c r="P13" s="35"/>
    </row>
    <row r="14" spans="1:16" x14ac:dyDescent="0.2">
      <c r="A14" s="24" t="s">
        <v>129</v>
      </c>
      <c r="B14" s="33">
        <f t="shared" si="2"/>
        <v>50</v>
      </c>
      <c r="C14" s="37">
        <v>0</v>
      </c>
      <c r="D14" s="154">
        <f>B14+C13+C14</f>
        <v>50</v>
      </c>
      <c r="E14" s="259">
        <v>-45</v>
      </c>
      <c r="F14" s="154">
        <f t="shared" si="0"/>
        <v>5</v>
      </c>
      <c r="G14" s="259">
        <v>0</v>
      </c>
      <c r="H14" s="154">
        <f t="shared" si="1"/>
        <v>5</v>
      </c>
      <c r="I14" s="25"/>
      <c r="J14" s="35"/>
      <c r="K14" s="35"/>
      <c r="L14" s="35"/>
      <c r="M14" s="332"/>
      <c r="N14" s="35"/>
      <c r="O14" s="332"/>
      <c r="P14" s="35"/>
    </row>
    <row r="15" spans="1:16" x14ac:dyDescent="0.2">
      <c r="A15" s="24" t="s">
        <v>20</v>
      </c>
      <c r="B15" s="33">
        <f t="shared" si="2"/>
        <v>50</v>
      </c>
      <c r="C15" s="37">
        <v>0</v>
      </c>
      <c r="D15" s="154">
        <f>B15+C15</f>
        <v>50</v>
      </c>
      <c r="E15" s="259">
        <v>-45</v>
      </c>
      <c r="F15" s="154">
        <f t="shared" si="0"/>
        <v>5</v>
      </c>
      <c r="G15" s="259">
        <v>0</v>
      </c>
      <c r="H15" s="154">
        <f t="shared" si="1"/>
        <v>5</v>
      </c>
      <c r="I15" s="25"/>
      <c r="J15" s="35"/>
      <c r="K15" s="35"/>
      <c r="L15" s="35"/>
      <c r="M15" s="332"/>
      <c r="N15" s="35"/>
      <c r="O15" s="332"/>
      <c r="P15" s="35"/>
    </row>
    <row r="16" spans="1:16" x14ac:dyDescent="0.2">
      <c r="A16" s="24" t="s">
        <v>11</v>
      </c>
      <c r="B16" s="33">
        <f t="shared" si="2"/>
        <v>50</v>
      </c>
      <c r="C16" s="37">
        <v>0</v>
      </c>
      <c r="D16" s="154">
        <f>B16+C6+C8+C16</f>
        <v>50</v>
      </c>
      <c r="E16" s="259">
        <v>-45</v>
      </c>
      <c r="F16" s="154">
        <f t="shared" si="0"/>
        <v>5</v>
      </c>
      <c r="G16" s="259">
        <v>0</v>
      </c>
      <c r="H16" s="154">
        <f t="shared" si="1"/>
        <v>5</v>
      </c>
      <c r="I16" s="25"/>
      <c r="J16" s="35"/>
      <c r="K16" s="35"/>
      <c r="L16" s="35"/>
      <c r="M16" s="332"/>
      <c r="N16" s="35"/>
      <c r="O16" s="332"/>
      <c r="P16" s="35"/>
    </row>
    <row r="17" spans="1:18" x14ac:dyDescent="0.2">
      <c r="A17" s="24" t="s">
        <v>10</v>
      </c>
      <c r="B17" s="33">
        <f t="shared" si="2"/>
        <v>50</v>
      </c>
      <c r="C17" s="37">
        <v>0</v>
      </c>
      <c r="D17" s="154">
        <f>B17+C6+C17</f>
        <v>50</v>
      </c>
      <c r="E17" s="259">
        <v>-45</v>
      </c>
      <c r="F17" s="154">
        <f t="shared" si="0"/>
        <v>5</v>
      </c>
      <c r="G17" s="259">
        <v>0</v>
      </c>
      <c r="H17" s="154">
        <f t="shared" si="1"/>
        <v>5</v>
      </c>
      <c r="I17" s="25"/>
      <c r="J17" s="35"/>
      <c r="K17" s="35"/>
      <c r="L17" s="35"/>
      <c r="M17" s="332"/>
      <c r="N17" s="35"/>
      <c r="O17" s="332"/>
      <c r="P17" s="35"/>
    </row>
    <row r="18" spans="1:18" x14ac:dyDescent="0.2">
      <c r="A18" s="24" t="s">
        <v>322</v>
      </c>
      <c r="B18" s="33" t="s">
        <v>149</v>
      </c>
      <c r="C18" s="37" t="s">
        <v>149</v>
      </c>
      <c r="D18" s="154" t="s">
        <v>149</v>
      </c>
      <c r="E18" s="33" t="s">
        <v>149</v>
      </c>
      <c r="F18" s="154" t="s">
        <v>149</v>
      </c>
      <c r="G18" s="33" t="s">
        <v>149</v>
      </c>
      <c r="H18" s="154" t="s">
        <v>149</v>
      </c>
      <c r="I18" s="25"/>
      <c r="J18" s="35"/>
      <c r="K18" s="35"/>
      <c r="L18" s="35"/>
      <c r="M18" s="35"/>
      <c r="N18" s="35"/>
      <c r="O18" s="35"/>
      <c r="P18" s="35"/>
    </row>
    <row r="19" spans="1:18" x14ac:dyDescent="0.2">
      <c r="A19" s="24" t="s">
        <v>221</v>
      </c>
      <c r="B19" s="33" t="s">
        <v>149</v>
      </c>
      <c r="C19" s="37" t="s">
        <v>149</v>
      </c>
      <c r="D19" s="154" t="s">
        <v>149</v>
      </c>
      <c r="E19" s="33" t="s">
        <v>149</v>
      </c>
      <c r="F19" s="154" t="s">
        <v>149</v>
      </c>
      <c r="G19" s="33" t="s">
        <v>149</v>
      </c>
      <c r="H19" s="154" t="s">
        <v>149</v>
      </c>
      <c r="I19" s="25"/>
      <c r="J19" s="35"/>
      <c r="K19" s="35"/>
      <c r="L19" s="35"/>
      <c r="M19" s="35"/>
      <c r="N19" s="35"/>
      <c r="O19" s="35"/>
      <c r="P19" s="35"/>
    </row>
    <row r="20" spans="1:18" x14ac:dyDescent="0.2">
      <c r="A20" s="24" t="s">
        <v>323</v>
      </c>
      <c r="B20" s="33" t="s">
        <v>149</v>
      </c>
      <c r="C20" s="37" t="s">
        <v>149</v>
      </c>
      <c r="D20" s="154" t="s">
        <v>149</v>
      </c>
      <c r="E20" s="33" t="s">
        <v>149</v>
      </c>
      <c r="F20" s="154" t="s">
        <v>149</v>
      </c>
      <c r="G20" s="33" t="s">
        <v>149</v>
      </c>
      <c r="H20" s="154" t="s">
        <v>149</v>
      </c>
      <c r="I20" s="25"/>
      <c r="J20" s="35"/>
      <c r="K20" s="35"/>
      <c r="L20" s="35"/>
      <c r="M20" s="35"/>
      <c r="N20" s="35"/>
      <c r="O20" s="35"/>
      <c r="P20" s="35"/>
    </row>
    <row r="21" spans="1:18" x14ac:dyDescent="0.2">
      <c r="A21" s="24" t="s">
        <v>223</v>
      </c>
      <c r="B21" s="33" t="s">
        <v>149</v>
      </c>
      <c r="C21" s="37" t="s">
        <v>149</v>
      </c>
      <c r="D21" s="154" t="s">
        <v>149</v>
      </c>
      <c r="E21" s="33" t="s">
        <v>149</v>
      </c>
      <c r="F21" s="154" t="s">
        <v>149</v>
      </c>
      <c r="G21" s="33" t="s">
        <v>149</v>
      </c>
      <c r="H21" s="154" t="s">
        <v>149</v>
      </c>
      <c r="I21" s="25"/>
      <c r="J21" s="35"/>
      <c r="K21" s="35"/>
      <c r="L21" s="35"/>
      <c r="M21" s="35"/>
      <c r="N21" s="35"/>
      <c r="O21" s="35"/>
      <c r="P21" s="35"/>
    </row>
    <row r="22" spans="1:18" x14ac:dyDescent="0.2">
      <c r="A22" s="24" t="s">
        <v>224</v>
      </c>
      <c r="B22" s="33" t="s">
        <v>149</v>
      </c>
      <c r="C22" s="37" t="s">
        <v>149</v>
      </c>
      <c r="D22" s="154" t="s">
        <v>149</v>
      </c>
      <c r="E22" s="33" t="s">
        <v>149</v>
      </c>
      <c r="F22" s="154" t="s">
        <v>149</v>
      </c>
      <c r="G22" s="33" t="s">
        <v>149</v>
      </c>
      <c r="H22" s="154" t="s">
        <v>149</v>
      </c>
      <c r="I22" s="25"/>
      <c r="J22" s="35"/>
      <c r="K22" s="35"/>
      <c r="L22" s="35"/>
      <c r="M22" s="35"/>
      <c r="N22" s="35"/>
      <c r="O22" s="35"/>
      <c r="P22" s="35"/>
    </row>
    <row r="23" spans="1:18" x14ac:dyDescent="0.2">
      <c r="A23" s="25" t="s">
        <v>213</v>
      </c>
      <c r="B23" s="36"/>
      <c r="C23" s="35"/>
      <c r="D23" s="35"/>
      <c r="E23" s="35"/>
      <c r="F23" s="35"/>
      <c r="G23" s="35"/>
      <c r="H23" s="35"/>
      <c r="I23" s="268"/>
      <c r="J23" s="268"/>
      <c r="M23" s="515" t="s">
        <v>24</v>
      </c>
      <c r="N23" s="515" t="s">
        <v>24</v>
      </c>
      <c r="O23" s="515" t="s">
        <v>24</v>
      </c>
    </row>
    <row r="24" spans="1:18" ht="24.95" customHeight="1" x14ac:dyDescent="0.2">
      <c r="A24" s="599" t="s">
        <v>160</v>
      </c>
      <c r="B24" s="599"/>
      <c r="C24" s="599"/>
      <c r="D24" s="599"/>
      <c r="E24" s="599"/>
      <c r="F24" s="599"/>
      <c r="G24" s="599"/>
      <c r="H24" s="599"/>
      <c r="I24" s="268"/>
      <c r="J24" s="268"/>
    </row>
    <row r="25" spans="1:18" x14ac:dyDescent="0.2">
      <c r="A25" s="442" t="s">
        <v>330</v>
      </c>
      <c r="B25" s="516"/>
      <c r="C25" s="516"/>
      <c r="D25" s="516"/>
      <c r="E25" s="517"/>
      <c r="F25" s="271"/>
      <c r="G25" s="271"/>
      <c r="H25" s="271"/>
      <c r="I25" s="268"/>
      <c r="J25" s="268"/>
    </row>
    <row r="26" spans="1:18" ht="15.75" x14ac:dyDescent="0.25">
      <c r="A26" s="600" t="s">
        <v>237</v>
      </c>
      <c r="B26" s="600"/>
      <c r="C26" s="600"/>
      <c r="D26" s="600"/>
      <c r="E26" s="270"/>
      <c r="F26" s="271"/>
      <c r="G26" s="271"/>
      <c r="H26" s="271"/>
      <c r="I26" s="268"/>
      <c r="J26" s="268"/>
      <c r="N26" s="18" t="s">
        <v>24</v>
      </c>
    </row>
    <row r="27" spans="1:18" x14ac:dyDescent="0.2">
      <c r="A27" s="596" t="s">
        <v>3</v>
      </c>
      <c r="B27" s="595" t="s">
        <v>238</v>
      </c>
      <c r="C27" s="595"/>
      <c r="D27" s="595"/>
      <c r="E27" s="595"/>
      <c r="F27" s="595" t="s">
        <v>239</v>
      </c>
      <c r="G27" s="595"/>
      <c r="H27" s="595"/>
      <c r="I27" s="595"/>
      <c r="J27" s="595" t="s">
        <v>240</v>
      </c>
      <c r="K27" s="595"/>
      <c r="L27" s="595"/>
      <c r="M27" s="595"/>
      <c r="N27" s="595" t="s">
        <v>241</v>
      </c>
      <c r="O27" s="595"/>
      <c r="P27" s="595"/>
      <c r="Q27" s="595"/>
      <c r="R27" s="268"/>
    </row>
    <row r="28" spans="1:18" ht="38.25" x14ac:dyDescent="0.2">
      <c r="A28" s="596"/>
      <c r="B28" s="475" t="s">
        <v>293</v>
      </c>
      <c r="C28" s="166" t="s">
        <v>317</v>
      </c>
      <c r="D28" s="166" t="s">
        <v>294</v>
      </c>
      <c r="E28" s="166" t="s">
        <v>242</v>
      </c>
      <c r="F28" s="475" t="s">
        <v>293</v>
      </c>
      <c r="G28" s="166" t="s">
        <v>317</v>
      </c>
      <c r="H28" s="166" t="s">
        <v>294</v>
      </c>
      <c r="I28" s="166" t="s">
        <v>242</v>
      </c>
      <c r="J28" s="475" t="s">
        <v>293</v>
      </c>
      <c r="K28" s="166" t="s">
        <v>317</v>
      </c>
      <c r="L28" s="166" t="s">
        <v>294</v>
      </c>
      <c r="M28" s="166" t="s">
        <v>242</v>
      </c>
      <c r="N28" s="475" t="s">
        <v>293</v>
      </c>
      <c r="O28" s="166" t="s">
        <v>317</v>
      </c>
      <c r="P28" s="166" t="s">
        <v>294</v>
      </c>
      <c r="Q28" s="166" t="s">
        <v>242</v>
      </c>
    </row>
    <row r="29" spans="1:18" x14ac:dyDescent="0.2">
      <c r="A29" s="189" t="s">
        <v>6</v>
      </c>
      <c r="B29" s="338">
        <v>1945.2</v>
      </c>
      <c r="C29" s="338">
        <v>2188.6999999999998</v>
      </c>
      <c r="D29" s="338">
        <v>754.4</v>
      </c>
      <c r="E29" s="47">
        <f>B29+C29+D29</f>
        <v>4888.2999999999993</v>
      </c>
      <c r="F29" s="339">
        <v>1889.8</v>
      </c>
      <c r="G29" s="339">
        <v>382.6</v>
      </c>
      <c r="H29" s="339">
        <v>105.6</v>
      </c>
      <c r="I29" s="47">
        <f>F29+G29+H29</f>
        <v>2378</v>
      </c>
      <c r="J29" s="339">
        <f>B29-F29</f>
        <v>55.400000000000091</v>
      </c>
      <c r="K29" s="339">
        <f>C29-G29</f>
        <v>1806.1</v>
      </c>
      <c r="L29" s="339">
        <f>D29-H29</f>
        <v>648.79999999999995</v>
      </c>
      <c r="M29" s="340">
        <f>J29+K29+L29</f>
        <v>2510.3000000000002</v>
      </c>
      <c r="N29" s="54">
        <v>0</v>
      </c>
      <c r="O29" s="54">
        <v>0</v>
      </c>
      <c r="P29" s="54">
        <v>0</v>
      </c>
      <c r="Q29" s="47">
        <f>N29+O29+P29</f>
        <v>0</v>
      </c>
    </row>
    <row r="30" spans="1:18" x14ac:dyDescent="0.2">
      <c r="A30" s="189" t="s">
        <v>29</v>
      </c>
      <c r="B30" s="338">
        <v>408.9</v>
      </c>
      <c r="C30" s="338">
        <v>1210.4000000000001</v>
      </c>
      <c r="D30" s="338">
        <v>529</v>
      </c>
      <c r="E30" s="47">
        <f t="shared" ref="E30:E36" si="3">B30+C30+D30</f>
        <v>2148.3000000000002</v>
      </c>
      <c r="F30" s="339">
        <v>1252.4000000000001</v>
      </c>
      <c r="G30" s="339">
        <v>36.1</v>
      </c>
      <c r="H30" s="339">
        <v>51.6</v>
      </c>
      <c r="I30" s="47">
        <f t="shared" ref="I30:I41" si="4">F30+G30+H30</f>
        <v>1340.1</v>
      </c>
      <c r="J30" s="339">
        <f>B30-F30</f>
        <v>-843.50000000000011</v>
      </c>
      <c r="K30" s="339">
        <f>C30-G30</f>
        <v>1174.3000000000002</v>
      </c>
      <c r="L30" s="339">
        <f t="shared" ref="K30:L41" si="5">D30-H30</f>
        <v>477.4</v>
      </c>
      <c r="M30" s="47">
        <f>J30+K30+L30</f>
        <v>808.2</v>
      </c>
      <c r="N30" s="54">
        <v>0</v>
      </c>
      <c r="O30" s="54">
        <v>0</v>
      </c>
      <c r="P30" s="54">
        <v>0</v>
      </c>
      <c r="Q30" s="47">
        <f t="shared" ref="Q30:Q36" si="6">N30+O30+P30</f>
        <v>0</v>
      </c>
    </row>
    <row r="31" spans="1:18" x14ac:dyDescent="0.2">
      <c r="A31" s="189" t="s">
        <v>36</v>
      </c>
      <c r="B31" s="338">
        <v>69.900000000000006</v>
      </c>
      <c r="C31" s="338">
        <v>683.6</v>
      </c>
      <c r="D31" s="338">
        <v>255</v>
      </c>
      <c r="E31" s="47">
        <f t="shared" si="3"/>
        <v>1008.5</v>
      </c>
      <c r="F31" s="339">
        <v>524.1</v>
      </c>
      <c r="G31" s="339">
        <v>34</v>
      </c>
      <c r="H31" s="339">
        <v>12.3</v>
      </c>
      <c r="I31" s="47">
        <f t="shared" si="4"/>
        <v>570.4</v>
      </c>
      <c r="J31" s="339">
        <f t="shared" ref="J31:J41" si="7">B31-F31</f>
        <v>-454.20000000000005</v>
      </c>
      <c r="K31" s="339">
        <f t="shared" si="5"/>
        <v>649.6</v>
      </c>
      <c r="L31" s="339">
        <f t="shared" si="5"/>
        <v>242.7</v>
      </c>
      <c r="M31" s="47">
        <f t="shared" ref="M31:M36" si="8">J31+K31+L31</f>
        <v>438.09999999999997</v>
      </c>
      <c r="N31" s="54">
        <v>0</v>
      </c>
      <c r="O31" s="54">
        <v>0</v>
      </c>
      <c r="P31" s="54">
        <v>0</v>
      </c>
      <c r="Q31" s="47">
        <f t="shared" si="6"/>
        <v>0</v>
      </c>
    </row>
    <row r="32" spans="1:18" x14ac:dyDescent="0.2">
      <c r="A32" s="189" t="s">
        <v>5</v>
      </c>
      <c r="B32" s="338">
        <v>34.799999999999997</v>
      </c>
      <c r="C32" s="338">
        <v>26.3</v>
      </c>
      <c r="D32" s="338">
        <v>52</v>
      </c>
      <c r="E32" s="47">
        <f t="shared" si="3"/>
        <v>113.1</v>
      </c>
      <c r="F32" s="339">
        <v>84.2</v>
      </c>
      <c r="G32" s="339">
        <v>0</v>
      </c>
      <c r="H32" s="339">
        <v>39.299999999999997</v>
      </c>
      <c r="I32" s="47">
        <f t="shared" si="4"/>
        <v>123.5</v>
      </c>
      <c r="J32" s="339">
        <f t="shared" si="7"/>
        <v>-49.400000000000006</v>
      </c>
      <c r="K32" s="339">
        <f t="shared" si="5"/>
        <v>26.3</v>
      </c>
      <c r="L32" s="339">
        <f t="shared" si="5"/>
        <v>12.700000000000003</v>
      </c>
      <c r="M32" s="47">
        <f t="shared" si="8"/>
        <v>-10.400000000000002</v>
      </c>
      <c r="N32" s="341">
        <v>0</v>
      </c>
      <c r="O32" s="341">
        <v>0</v>
      </c>
      <c r="P32" s="341">
        <v>0</v>
      </c>
      <c r="Q32" s="47">
        <f t="shared" si="6"/>
        <v>0</v>
      </c>
    </row>
    <row r="33" spans="1:18" x14ac:dyDescent="0.2">
      <c r="A33" s="189" t="s">
        <v>8</v>
      </c>
      <c r="B33" s="338">
        <v>0</v>
      </c>
      <c r="C33" s="338">
        <v>4.5</v>
      </c>
      <c r="D33" s="338">
        <v>34.9</v>
      </c>
      <c r="E33" s="47">
        <f t="shared" si="3"/>
        <v>39.4</v>
      </c>
      <c r="F33" s="339">
        <v>46</v>
      </c>
      <c r="G33" s="339">
        <v>3.2</v>
      </c>
      <c r="H33" s="339">
        <v>0.4</v>
      </c>
      <c r="I33" s="47">
        <f>F33+G33+H33</f>
        <v>49.6</v>
      </c>
      <c r="J33" s="339">
        <f t="shared" si="7"/>
        <v>-46</v>
      </c>
      <c r="K33" s="339">
        <f t="shared" si="5"/>
        <v>1.2999999999999998</v>
      </c>
      <c r="L33" s="339">
        <f>D33-H33</f>
        <v>34.5</v>
      </c>
      <c r="M33" s="47">
        <f t="shared" si="8"/>
        <v>-10.200000000000003</v>
      </c>
      <c r="N33" s="341">
        <v>0</v>
      </c>
      <c r="O33" s="341">
        <v>0</v>
      </c>
      <c r="P33" s="341">
        <v>0</v>
      </c>
      <c r="Q33" s="47">
        <f t="shared" si="6"/>
        <v>0</v>
      </c>
    </row>
    <row r="34" spans="1:18" x14ac:dyDescent="0.2">
      <c r="A34" s="189" t="s">
        <v>37</v>
      </c>
      <c r="B34" s="338">
        <v>0</v>
      </c>
      <c r="C34" s="338">
        <v>0</v>
      </c>
      <c r="D34" s="338">
        <v>12.2</v>
      </c>
      <c r="E34" s="47">
        <f t="shared" si="3"/>
        <v>12.2</v>
      </c>
      <c r="F34" s="339">
        <v>22.4</v>
      </c>
      <c r="G34" s="339">
        <v>0.2</v>
      </c>
      <c r="H34" s="339">
        <v>0.3</v>
      </c>
      <c r="I34" s="47">
        <f t="shared" si="4"/>
        <v>22.9</v>
      </c>
      <c r="J34" s="339">
        <f t="shared" si="7"/>
        <v>-22.4</v>
      </c>
      <c r="K34" s="339">
        <f t="shared" si="5"/>
        <v>-0.2</v>
      </c>
      <c r="L34" s="339">
        <f t="shared" si="5"/>
        <v>11.899999999999999</v>
      </c>
      <c r="M34" s="47">
        <f t="shared" si="8"/>
        <v>-10.7</v>
      </c>
      <c r="N34" s="341">
        <v>0</v>
      </c>
      <c r="O34" s="341">
        <v>0</v>
      </c>
      <c r="P34" s="341">
        <v>0</v>
      </c>
      <c r="Q34" s="47">
        <f t="shared" si="6"/>
        <v>0</v>
      </c>
    </row>
    <row r="35" spans="1:18" x14ac:dyDescent="0.2">
      <c r="A35" s="189" t="s">
        <v>38</v>
      </c>
      <c r="B35" s="338">
        <v>12.4</v>
      </c>
      <c r="C35" s="338">
        <v>0</v>
      </c>
      <c r="D35" s="338">
        <v>3.7</v>
      </c>
      <c r="E35" s="47">
        <f t="shared" si="3"/>
        <v>16.100000000000001</v>
      </c>
      <c r="F35" s="339">
        <v>1.9</v>
      </c>
      <c r="G35" s="339">
        <v>3.7</v>
      </c>
      <c r="H35" s="339">
        <v>0</v>
      </c>
      <c r="I35" s="47">
        <f t="shared" si="4"/>
        <v>5.6</v>
      </c>
      <c r="J35" s="339">
        <f t="shared" si="7"/>
        <v>10.5</v>
      </c>
      <c r="K35" s="339">
        <f t="shared" si="5"/>
        <v>-3.7</v>
      </c>
      <c r="L35" s="339">
        <f t="shared" si="5"/>
        <v>3.7</v>
      </c>
      <c r="M35" s="47">
        <f t="shared" si="8"/>
        <v>10.5</v>
      </c>
      <c r="N35" s="341">
        <v>0</v>
      </c>
      <c r="O35" s="341">
        <v>0</v>
      </c>
      <c r="P35" s="341">
        <v>0</v>
      </c>
      <c r="Q35" s="47">
        <f t="shared" si="6"/>
        <v>0</v>
      </c>
    </row>
    <row r="36" spans="1:18" x14ac:dyDescent="0.2">
      <c r="A36" s="24" t="s">
        <v>15</v>
      </c>
      <c r="B36" s="338">
        <v>34.5</v>
      </c>
      <c r="C36" s="338">
        <v>26.3</v>
      </c>
      <c r="D36" s="338">
        <v>16.399999999999999</v>
      </c>
      <c r="E36" s="47">
        <f t="shared" si="3"/>
        <v>77.199999999999989</v>
      </c>
      <c r="F36" s="339">
        <v>78.599999999999994</v>
      </c>
      <c r="G36" s="339">
        <v>0</v>
      </c>
      <c r="H36" s="339">
        <v>39.299999999999997</v>
      </c>
      <c r="I36" s="47">
        <f t="shared" si="4"/>
        <v>117.89999999999999</v>
      </c>
      <c r="J36" s="339">
        <f t="shared" si="7"/>
        <v>-44.099999999999994</v>
      </c>
      <c r="K36" s="339">
        <f t="shared" si="5"/>
        <v>26.3</v>
      </c>
      <c r="L36" s="339">
        <f t="shared" si="5"/>
        <v>-22.9</v>
      </c>
      <c r="M36" s="47">
        <f t="shared" si="8"/>
        <v>-40.699999999999989</v>
      </c>
      <c r="N36" s="341">
        <v>0</v>
      </c>
      <c r="O36" s="341">
        <v>0</v>
      </c>
      <c r="P36" s="341">
        <v>0</v>
      </c>
      <c r="Q36" s="47">
        <f t="shared" si="6"/>
        <v>0</v>
      </c>
    </row>
    <row r="37" spans="1:18" x14ac:dyDescent="0.2">
      <c r="A37" s="24" t="s">
        <v>46</v>
      </c>
      <c r="B37" s="338">
        <v>0</v>
      </c>
      <c r="C37" s="338">
        <v>0</v>
      </c>
      <c r="D37" s="338">
        <v>15.3</v>
      </c>
      <c r="E37" s="47">
        <f>B37+C37+D37</f>
        <v>15.3</v>
      </c>
      <c r="F37" s="339">
        <v>74.8</v>
      </c>
      <c r="G37" s="339">
        <v>32.6</v>
      </c>
      <c r="H37" s="339">
        <v>11.6</v>
      </c>
      <c r="I37" s="47">
        <f t="shared" si="4"/>
        <v>119</v>
      </c>
      <c r="J37" s="339">
        <f t="shared" si="7"/>
        <v>-74.8</v>
      </c>
      <c r="K37" s="339">
        <f t="shared" si="5"/>
        <v>-32.6</v>
      </c>
      <c r="L37" s="339">
        <f t="shared" si="5"/>
        <v>3.7000000000000011</v>
      </c>
      <c r="M37" s="47">
        <f>J37+K37+L37</f>
        <v>-103.7</v>
      </c>
      <c r="N37" s="341">
        <v>0</v>
      </c>
      <c r="O37" s="341">
        <v>0</v>
      </c>
      <c r="P37" s="341">
        <v>0</v>
      </c>
      <c r="Q37" s="47">
        <f>N37+O37+P37</f>
        <v>0</v>
      </c>
    </row>
    <row r="38" spans="1:18" x14ac:dyDescent="0.2">
      <c r="A38" s="24" t="s">
        <v>129</v>
      </c>
      <c r="B38" s="338">
        <v>0</v>
      </c>
      <c r="C38" s="338">
        <v>0</v>
      </c>
      <c r="D38" s="338">
        <v>11.3</v>
      </c>
      <c r="E38" s="47">
        <f>B38+C38+D38</f>
        <v>11.3</v>
      </c>
      <c r="F38" s="339">
        <v>35.299999999999997</v>
      </c>
      <c r="G38" s="339">
        <v>0</v>
      </c>
      <c r="H38" s="339">
        <v>2.6</v>
      </c>
      <c r="I38" s="47">
        <f t="shared" si="4"/>
        <v>37.9</v>
      </c>
      <c r="J38" s="339">
        <f t="shared" si="7"/>
        <v>-35.299999999999997</v>
      </c>
      <c r="K38" s="339">
        <f t="shared" si="5"/>
        <v>0</v>
      </c>
      <c r="L38" s="339">
        <f t="shared" si="5"/>
        <v>8.7000000000000011</v>
      </c>
      <c r="M38" s="47">
        <f>J38+K38+L38</f>
        <v>-26.599999999999994</v>
      </c>
      <c r="N38" s="341">
        <v>0</v>
      </c>
      <c r="O38" s="341">
        <v>0</v>
      </c>
      <c r="P38" s="341">
        <v>0</v>
      </c>
      <c r="Q38" s="47">
        <f>N38+O38+P38</f>
        <v>0</v>
      </c>
    </row>
    <row r="39" spans="1:18" x14ac:dyDescent="0.2">
      <c r="A39" s="24" t="s">
        <v>20</v>
      </c>
      <c r="B39" s="338">
        <v>405.2</v>
      </c>
      <c r="C39" s="338">
        <v>520.29999999999995</v>
      </c>
      <c r="D39" s="338">
        <v>2</v>
      </c>
      <c r="E39" s="47">
        <f>B39+C39+D39</f>
        <v>927.5</v>
      </c>
      <c r="F39" s="339">
        <v>337.4</v>
      </c>
      <c r="G39" s="339">
        <v>0.8</v>
      </c>
      <c r="H39" s="339">
        <v>0</v>
      </c>
      <c r="I39" s="47">
        <f t="shared" si="4"/>
        <v>338.2</v>
      </c>
      <c r="J39" s="339">
        <f t="shared" si="7"/>
        <v>67.800000000000011</v>
      </c>
      <c r="K39" s="339">
        <f t="shared" si="5"/>
        <v>519.5</v>
      </c>
      <c r="L39" s="339">
        <f t="shared" si="5"/>
        <v>2</v>
      </c>
      <c r="M39" s="47">
        <f>J39+K39+L39</f>
        <v>589.29999999999995</v>
      </c>
      <c r="N39" s="341">
        <v>0</v>
      </c>
      <c r="O39" s="341">
        <v>0</v>
      </c>
      <c r="P39" s="341">
        <v>0</v>
      </c>
      <c r="Q39" s="47">
        <f>N39+O39+P39</f>
        <v>0</v>
      </c>
    </row>
    <row r="40" spans="1:18" x14ac:dyDescent="0.2">
      <c r="A40" s="24" t="s">
        <v>11</v>
      </c>
      <c r="B40" s="338">
        <v>0.3</v>
      </c>
      <c r="C40" s="338">
        <v>0</v>
      </c>
      <c r="D40" s="338">
        <v>35.6</v>
      </c>
      <c r="E40" s="47">
        <f>B40+C40+D40</f>
        <v>35.9</v>
      </c>
      <c r="F40" s="339">
        <v>5.6</v>
      </c>
      <c r="G40" s="339">
        <v>0</v>
      </c>
      <c r="H40" s="339">
        <v>0</v>
      </c>
      <c r="I40" s="47">
        <f t="shared" si="4"/>
        <v>5.6</v>
      </c>
      <c r="J40" s="339">
        <f t="shared" si="7"/>
        <v>-5.3</v>
      </c>
      <c r="K40" s="339">
        <f t="shared" si="5"/>
        <v>0</v>
      </c>
      <c r="L40" s="339">
        <f t="shared" si="5"/>
        <v>35.6</v>
      </c>
      <c r="M40" s="47">
        <f>J40+K40+L40</f>
        <v>30.3</v>
      </c>
      <c r="N40" s="341">
        <v>0</v>
      </c>
      <c r="O40" s="341">
        <v>0</v>
      </c>
      <c r="P40" s="341">
        <v>0</v>
      </c>
      <c r="Q40" s="47">
        <f>N40+O40+P40</f>
        <v>0</v>
      </c>
    </row>
    <row r="41" spans="1:18" x14ac:dyDescent="0.2">
      <c r="A41" s="24" t="s">
        <v>10</v>
      </c>
      <c r="B41" s="338">
        <v>37.700000000000003</v>
      </c>
      <c r="C41" s="338">
        <v>0.2</v>
      </c>
      <c r="D41" s="338">
        <v>135.5</v>
      </c>
      <c r="E41" s="47">
        <f>B41+C41+D41</f>
        <v>173.4</v>
      </c>
      <c r="F41" s="339">
        <v>498</v>
      </c>
      <c r="G41" s="339">
        <v>0.2</v>
      </c>
      <c r="H41" s="339">
        <v>0</v>
      </c>
      <c r="I41" s="47">
        <f t="shared" si="4"/>
        <v>498.2</v>
      </c>
      <c r="J41" s="339">
        <f t="shared" si="7"/>
        <v>-460.3</v>
      </c>
      <c r="K41" s="339">
        <f t="shared" si="5"/>
        <v>0</v>
      </c>
      <c r="L41" s="339">
        <f t="shared" si="5"/>
        <v>135.5</v>
      </c>
      <c r="M41" s="47">
        <f>J41+K41+L41</f>
        <v>-324.8</v>
      </c>
      <c r="N41" s="341">
        <v>0</v>
      </c>
      <c r="O41" s="341">
        <v>0</v>
      </c>
      <c r="P41" s="341">
        <v>0</v>
      </c>
      <c r="Q41" s="47">
        <f>N41+O41+P41</f>
        <v>0</v>
      </c>
    </row>
    <row r="42" spans="1:18" x14ac:dyDescent="0.2">
      <c r="A42" s="9"/>
      <c r="B42" s="272"/>
      <c r="C42" s="273"/>
      <c r="D42" s="272"/>
      <c r="E42" s="274"/>
      <c r="F42" s="272"/>
      <c r="G42" s="273"/>
      <c r="H42" s="272"/>
      <c r="I42" s="274"/>
      <c r="J42" s="275"/>
      <c r="K42" s="275"/>
      <c r="L42" s="275"/>
      <c r="M42" s="274"/>
      <c r="N42" s="9"/>
      <c r="O42" s="9"/>
      <c r="P42" s="9"/>
      <c r="Q42" s="9"/>
    </row>
    <row r="43" spans="1:18" ht="15.75" x14ac:dyDescent="0.25">
      <c r="A43" s="597" t="s">
        <v>243</v>
      </c>
      <c r="B43" s="597"/>
      <c r="C43" s="597"/>
      <c r="D43" s="272"/>
      <c r="E43" s="274"/>
      <c r="F43" s="272"/>
      <c r="G43" s="273"/>
      <c r="H43" s="272"/>
      <c r="I43" s="274"/>
      <c r="J43" s="275"/>
      <c r="K43" s="275"/>
      <c r="L43" s="275"/>
      <c r="M43" s="274"/>
      <c r="N43" s="9"/>
      <c r="O43" s="9"/>
      <c r="P43" s="9"/>
      <c r="Q43" s="7"/>
    </row>
    <row r="44" spans="1:18" x14ac:dyDescent="0.2">
      <c r="A44" s="596" t="s">
        <v>3</v>
      </c>
      <c r="B44" s="595" t="s">
        <v>244</v>
      </c>
      <c r="C44" s="595"/>
      <c r="D44" s="595"/>
      <c r="E44" s="595"/>
      <c r="F44" s="595" t="s">
        <v>245</v>
      </c>
      <c r="G44" s="595"/>
      <c r="H44" s="595"/>
      <c r="I44" s="595"/>
      <c r="J44" s="595" t="s">
        <v>246</v>
      </c>
      <c r="K44" s="595"/>
      <c r="L44" s="595"/>
      <c r="M44" s="595"/>
      <c r="N44" s="276"/>
      <c r="O44" s="277"/>
      <c r="P44" s="277"/>
      <c r="Q44" s="277"/>
      <c r="R44" s="268"/>
    </row>
    <row r="45" spans="1:18" ht="38.25" x14ac:dyDescent="0.2">
      <c r="A45" s="596"/>
      <c r="B45" s="475" t="s">
        <v>293</v>
      </c>
      <c r="C45" s="166" t="s">
        <v>317</v>
      </c>
      <c r="D45" s="166" t="s">
        <v>294</v>
      </c>
      <c r="E45" s="166" t="s">
        <v>242</v>
      </c>
      <c r="F45" s="475" t="s">
        <v>293</v>
      </c>
      <c r="G45" s="166" t="s">
        <v>317</v>
      </c>
      <c r="H45" s="166" t="s">
        <v>294</v>
      </c>
      <c r="I45" s="166" t="s">
        <v>242</v>
      </c>
      <c r="J45" s="475" t="s">
        <v>293</v>
      </c>
      <c r="K45" s="166" t="s">
        <v>317</v>
      </c>
      <c r="L45" s="166" t="s">
        <v>294</v>
      </c>
      <c r="M45" s="166" t="s">
        <v>242</v>
      </c>
      <c r="N45" s="278"/>
      <c r="O45" s="19"/>
      <c r="P45" s="19"/>
      <c r="Q45" s="19"/>
    </row>
    <row r="46" spans="1:18" x14ac:dyDescent="0.2">
      <c r="A46" s="189" t="s">
        <v>6</v>
      </c>
      <c r="B46" s="339">
        <v>174.7</v>
      </c>
      <c r="C46" s="339">
        <v>0</v>
      </c>
      <c r="D46" s="339">
        <v>31.4</v>
      </c>
      <c r="E46" s="47">
        <f t="shared" ref="E46:E53" si="9">B46+C46+D46</f>
        <v>206.1</v>
      </c>
      <c r="F46" s="339">
        <v>230.1</v>
      </c>
      <c r="G46" s="339">
        <v>2486.3000000000002</v>
      </c>
      <c r="H46" s="339">
        <v>0</v>
      </c>
      <c r="I46" s="47">
        <f t="shared" ref="I46:I53" si="10">F46+G46+H46</f>
        <v>2716.4</v>
      </c>
      <c r="J46" s="338">
        <f t="shared" ref="J46:L58" si="11">B46-F46</f>
        <v>-55.400000000000006</v>
      </c>
      <c r="K46" s="339">
        <f>C46-G46</f>
        <v>-2486.3000000000002</v>
      </c>
      <c r="L46" s="339">
        <f t="shared" si="11"/>
        <v>31.4</v>
      </c>
      <c r="M46" s="340">
        <f>J46+K46+L46</f>
        <v>-2510.3000000000002</v>
      </c>
      <c r="N46" s="279" t="s">
        <v>24</v>
      </c>
      <c r="O46" s="280" t="s">
        <v>24</v>
      </c>
      <c r="P46" s="281"/>
      <c r="Q46" s="281"/>
      <c r="R46" s="282"/>
    </row>
    <row r="47" spans="1:18" x14ac:dyDescent="0.2">
      <c r="A47" s="189" t="s">
        <v>29</v>
      </c>
      <c r="B47" s="339">
        <v>69.099999999999994</v>
      </c>
      <c r="C47" s="339">
        <v>0</v>
      </c>
      <c r="D47" s="339">
        <v>14.3</v>
      </c>
      <c r="E47" s="47">
        <f t="shared" si="9"/>
        <v>83.399999999999991</v>
      </c>
      <c r="F47" s="339">
        <v>114.9</v>
      </c>
      <c r="G47" s="339">
        <v>1218.5</v>
      </c>
      <c r="H47" s="339">
        <v>0</v>
      </c>
      <c r="I47" s="47">
        <f t="shared" si="10"/>
        <v>1333.4</v>
      </c>
      <c r="J47" s="339">
        <f t="shared" si="11"/>
        <v>-45.800000000000011</v>
      </c>
      <c r="K47" s="339">
        <f>C47-G47</f>
        <v>-1218.5</v>
      </c>
      <c r="L47" s="339">
        <f t="shared" si="11"/>
        <v>14.3</v>
      </c>
      <c r="M47" s="47">
        <f t="shared" ref="M47:M53" si="12">J47+K47+L47</f>
        <v>-1250</v>
      </c>
      <c r="N47" s="7"/>
      <c r="O47" s="9"/>
      <c r="P47" s="281"/>
      <c r="Q47" s="281"/>
      <c r="R47" s="169"/>
    </row>
    <row r="48" spans="1:18" x14ac:dyDescent="0.2">
      <c r="A48" s="189" t="s">
        <v>36</v>
      </c>
      <c r="B48" s="339">
        <v>38.799999999999997</v>
      </c>
      <c r="C48" s="339">
        <v>0</v>
      </c>
      <c r="D48" s="339">
        <v>2.4</v>
      </c>
      <c r="E48" s="47">
        <f t="shared" si="9"/>
        <v>41.199999999999996</v>
      </c>
      <c r="F48" s="339">
        <v>114.9</v>
      </c>
      <c r="G48" s="339">
        <v>364.4</v>
      </c>
      <c r="H48" s="339">
        <v>0</v>
      </c>
      <c r="I48" s="47">
        <f t="shared" si="10"/>
        <v>479.29999999999995</v>
      </c>
      <c r="J48" s="339">
        <f t="shared" si="11"/>
        <v>-76.100000000000009</v>
      </c>
      <c r="K48" s="339">
        <f t="shared" si="11"/>
        <v>-364.4</v>
      </c>
      <c r="L48" s="339">
        <f t="shared" si="11"/>
        <v>2.4</v>
      </c>
      <c r="M48" s="47">
        <f t="shared" si="12"/>
        <v>-438.1</v>
      </c>
      <c r="N48" s="7"/>
      <c r="O48" s="9"/>
      <c r="P48" s="281"/>
      <c r="Q48" s="9"/>
      <c r="R48" s="169"/>
    </row>
    <row r="49" spans="1:25" x14ac:dyDescent="0.2">
      <c r="A49" s="189" t="s">
        <v>5</v>
      </c>
      <c r="B49" s="339">
        <v>24.2</v>
      </c>
      <c r="C49" s="339">
        <v>0</v>
      </c>
      <c r="D49" s="339">
        <v>11.9</v>
      </c>
      <c r="E49" s="47">
        <f t="shared" si="9"/>
        <v>36.1</v>
      </c>
      <c r="F49" s="339">
        <v>0</v>
      </c>
      <c r="G49" s="339">
        <v>179.5</v>
      </c>
      <c r="H49" s="339">
        <v>0</v>
      </c>
      <c r="I49" s="47">
        <f t="shared" si="10"/>
        <v>179.5</v>
      </c>
      <c r="J49" s="339">
        <f t="shared" si="11"/>
        <v>24.2</v>
      </c>
      <c r="K49" s="339">
        <f t="shared" si="11"/>
        <v>-179.5</v>
      </c>
      <c r="L49" s="339">
        <f t="shared" si="11"/>
        <v>11.9</v>
      </c>
      <c r="M49" s="47">
        <f t="shared" si="12"/>
        <v>-143.4</v>
      </c>
      <c r="N49" s="9"/>
      <c r="O49" s="9"/>
      <c r="P49" s="281"/>
      <c r="Q49" s="9"/>
      <c r="R49" s="169"/>
    </row>
    <row r="50" spans="1:25" x14ac:dyDescent="0.2">
      <c r="A50" s="189" t="s">
        <v>8</v>
      </c>
      <c r="B50" s="339">
        <v>15.1</v>
      </c>
      <c r="C50" s="339">
        <v>0</v>
      </c>
      <c r="D50" s="339">
        <v>0.4</v>
      </c>
      <c r="E50" s="47">
        <f t="shared" si="9"/>
        <v>15.5</v>
      </c>
      <c r="F50" s="339">
        <v>0</v>
      </c>
      <c r="G50" s="339">
        <v>217.4</v>
      </c>
      <c r="H50" s="339">
        <v>0</v>
      </c>
      <c r="I50" s="47">
        <f t="shared" si="10"/>
        <v>217.4</v>
      </c>
      <c r="J50" s="339">
        <f t="shared" si="11"/>
        <v>15.1</v>
      </c>
      <c r="K50" s="339">
        <f t="shared" si="11"/>
        <v>-217.4</v>
      </c>
      <c r="L50" s="339">
        <f t="shared" si="11"/>
        <v>0.4</v>
      </c>
      <c r="M50" s="47">
        <f t="shared" si="12"/>
        <v>-201.9</v>
      </c>
      <c r="N50" s="9"/>
      <c r="O50" s="9"/>
      <c r="P50" s="281"/>
      <c r="Q50" s="9"/>
      <c r="R50" s="169"/>
    </row>
    <row r="51" spans="1:25" x14ac:dyDescent="0.2">
      <c r="A51" s="189" t="s">
        <v>37</v>
      </c>
      <c r="B51" s="339">
        <v>7.5</v>
      </c>
      <c r="C51" s="339">
        <v>0</v>
      </c>
      <c r="D51" s="339">
        <v>0.3</v>
      </c>
      <c r="E51" s="47">
        <f t="shared" si="9"/>
        <v>7.8</v>
      </c>
      <c r="F51" s="339">
        <v>0</v>
      </c>
      <c r="G51" s="339">
        <v>95.6</v>
      </c>
      <c r="H51" s="339">
        <v>0</v>
      </c>
      <c r="I51" s="47">
        <f t="shared" si="10"/>
        <v>95.6</v>
      </c>
      <c r="J51" s="339">
        <f t="shared" si="11"/>
        <v>7.5</v>
      </c>
      <c r="K51" s="339">
        <f t="shared" si="11"/>
        <v>-95.6</v>
      </c>
      <c r="L51" s="339">
        <f t="shared" si="11"/>
        <v>0.3</v>
      </c>
      <c r="M51" s="47">
        <f t="shared" si="12"/>
        <v>-87.8</v>
      </c>
      <c r="N51" s="9"/>
      <c r="O51" s="281"/>
      <c r="P51" s="9"/>
      <c r="Q51" s="9"/>
    </row>
    <row r="52" spans="1:25" x14ac:dyDescent="0.2">
      <c r="A52" s="189" t="s">
        <v>38</v>
      </c>
      <c r="B52" s="339">
        <v>1.9</v>
      </c>
      <c r="C52" s="339">
        <v>0</v>
      </c>
      <c r="D52" s="339">
        <v>0</v>
      </c>
      <c r="E52" s="47">
        <f t="shared" si="9"/>
        <v>1.9</v>
      </c>
      <c r="F52" s="339">
        <v>0</v>
      </c>
      <c r="G52" s="339">
        <v>0</v>
      </c>
      <c r="H52" s="339">
        <v>0</v>
      </c>
      <c r="I52" s="47">
        <f t="shared" si="10"/>
        <v>0</v>
      </c>
      <c r="J52" s="339">
        <f t="shared" si="11"/>
        <v>1.9</v>
      </c>
      <c r="K52" s="339">
        <f t="shared" si="11"/>
        <v>0</v>
      </c>
      <c r="L52" s="339">
        <f t="shared" si="11"/>
        <v>0</v>
      </c>
      <c r="M52" s="47">
        <f t="shared" si="12"/>
        <v>1.9</v>
      </c>
      <c r="N52" s="9"/>
      <c r="O52" s="9"/>
      <c r="P52" s="9"/>
      <c r="Q52" s="9"/>
    </row>
    <row r="53" spans="1:25" x14ac:dyDescent="0.2">
      <c r="A53" s="24" t="s">
        <v>15</v>
      </c>
      <c r="B53" s="339">
        <v>18.600000000000001</v>
      </c>
      <c r="C53" s="339">
        <v>0</v>
      </c>
      <c r="D53" s="339">
        <v>11.9</v>
      </c>
      <c r="E53" s="47">
        <f t="shared" si="9"/>
        <v>30.5</v>
      </c>
      <c r="F53" s="339">
        <v>0</v>
      </c>
      <c r="G53" s="339">
        <v>0</v>
      </c>
      <c r="H53" s="339">
        <v>0</v>
      </c>
      <c r="I53" s="47">
        <f t="shared" si="10"/>
        <v>0</v>
      </c>
      <c r="J53" s="339">
        <f t="shared" si="11"/>
        <v>18.600000000000001</v>
      </c>
      <c r="K53" s="339">
        <f t="shared" si="11"/>
        <v>0</v>
      </c>
      <c r="L53" s="339">
        <f t="shared" si="11"/>
        <v>11.9</v>
      </c>
      <c r="M53" s="47">
        <f t="shared" si="12"/>
        <v>30.5</v>
      </c>
      <c r="N53" s="9"/>
      <c r="O53" s="283"/>
      <c r="P53" s="284"/>
      <c r="Q53" s="285"/>
    </row>
    <row r="54" spans="1:25" x14ac:dyDescent="0.2">
      <c r="A54" s="24" t="s">
        <v>46</v>
      </c>
      <c r="B54" s="339">
        <v>16.2</v>
      </c>
      <c r="C54" s="339">
        <v>0</v>
      </c>
      <c r="D54" s="339">
        <v>6.2</v>
      </c>
      <c r="E54" s="47">
        <f>B54+C54+D54</f>
        <v>22.4</v>
      </c>
      <c r="F54" s="339">
        <v>0</v>
      </c>
      <c r="G54" s="339">
        <v>0</v>
      </c>
      <c r="H54" s="339">
        <v>0</v>
      </c>
      <c r="I54" s="47">
        <f>F54+G54+H54</f>
        <v>0</v>
      </c>
      <c r="J54" s="339">
        <f t="shared" si="11"/>
        <v>16.2</v>
      </c>
      <c r="K54" s="339">
        <f t="shared" si="11"/>
        <v>0</v>
      </c>
      <c r="L54" s="339">
        <f t="shared" si="11"/>
        <v>6.2</v>
      </c>
      <c r="M54" s="47">
        <f>J54+K54+L54</f>
        <v>22.4</v>
      </c>
      <c r="N54" s="9"/>
      <c r="O54" s="283"/>
      <c r="P54" s="284"/>
      <c r="Q54" s="285"/>
    </row>
    <row r="55" spans="1:25" x14ac:dyDescent="0.2">
      <c r="A55" s="24" t="s">
        <v>129</v>
      </c>
      <c r="B55" s="339">
        <v>0.3</v>
      </c>
      <c r="C55" s="339">
        <v>0</v>
      </c>
      <c r="D55" s="339">
        <v>2.6</v>
      </c>
      <c r="E55" s="47">
        <f>B55+C55+D55</f>
        <v>2.9</v>
      </c>
      <c r="F55" s="339">
        <v>0</v>
      </c>
      <c r="G55" s="339">
        <v>0</v>
      </c>
      <c r="H55" s="339">
        <v>0</v>
      </c>
      <c r="I55" s="47">
        <f>F55+G55+H55</f>
        <v>0</v>
      </c>
      <c r="J55" s="339">
        <f t="shared" si="11"/>
        <v>0.3</v>
      </c>
      <c r="K55" s="339">
        <f t="shared" si="11"/>
        <v>0</v>
      </c>
      <c r="L55" s="339">
        <f t="shared" si="11"/>
        <v>2.6</v>
      </c>
      <c r="M55" s="47">
        <f>J55+K55+L55</f>
        <v>2.9</v>
      </c>
      <c r="N55" s="9"/>
      <c r="O55" s="283"/>
      <c r="P55" s="284"/>
      <c r="Q55" s="285"/>
    </row>
    <row r="56" spans="1:25" x14ac:dyDescent="0.2">
      <c r="A56" s="24" t="s">
        <v>20</v>
      </c>
      <c r="B56" s="339">
        <v>8.9</v>
      </c>
      <c r="C56" s="339">
        <v>0</v>
      </c>
      <c r="D56" s="339">
        <v>0</v>
      </c>
      <c r="E56" s="47">
        <f>B56+C56+D56</f>
        <v>8.9</v>
      </c>
      <c r="F56" s="339">
        <v>115.2</v>
      </c>
      <c r="G56" s="339">
        <v>681.1</v>
      </c>
      <c r="H56" s="339">
        <v>0</v>
      </c>
      <c r="I56" s="47">
        <f>F56+G56+H56</f>
        <v>796.30000000000007</v>
      </c>
      <c r="J56" s="339">
        <f t="shared" si="11"/>
        <v>-106.3</v>
      </c>
      <c r="K56" s="339">
        <f t="shared" si="11"/>
        <v>-681.1</v>
      </c>
      <c r="L56" s="339">
        <f t="shared" si="11"/>
        <v>0</v>
      </c>
      <c r="M56" s="47">
        <f>J56+K56+L56</f>
        <v>-787.4</v>
      </c>
      <c r="N56" s="9"/>
      <c r="O56" s="283"/>
      <c r="P56" s="284"/>
      <c r="Q56" s="285"/>
    </row>
    <row r="57" spans="1:25" x14ac:dyDescent="0.2">
      <c r="A57" s="24" t="s">
        <v>11</v>
      </c>
      <c r="B57" s="339">
        <v>5.6</v>
      </c>
      <c r="C57" s="339">
        <v>0</v>
      </c>
      <c r="D57" s="339">
        <v>0</v>
      </c>
      <c r="E57" s="47">
        <f>B57+C57+D57</f>
        <v>5.6</v>
      </c>
      <c r="F57" s="339">
        <v>0</v>
      </c>
      <c r="G57" s="339">
        <v>124.5</v>
      </c>
      <c r="H57" s="339">
        <v>0</v>
      </c>
      <c r="I57" s="47">
        <f>F57+G57+H57</f>
        <v>124.5</v>
      </c>
      <c r="J57" s="339">
        <f t="shared" si="11"/>
        <v>5.6</v>
      </c>
      <c r="K57" s="339">
        <f t="shared" si="11"/>
        <v>-124.5</v>
      </c>
      <c r="L57" s="339">
        <f t="shared" si="11"/>
        <v>0</v>
      </c>
      <c r="M57" s="47">
        <f>J57+K57+L57</f>
        <v>-118.9</v>
      </c>
      <c r="N57" s="9"/>
      <c r="O57" s="283"/>
      <c r="P57" s="284"/>
      <c r="Q57" s="285"/>
    </row>
    <row r="58" spans="1:25" x14ac:dyDescent="0.2">
      <c r="A58" s="24" t="s">
        <v>10</v>
      </c>
      <c r="B58" s="339">
        <v>3.1</v>
      </c>
      <c r="C58" s="339">
        <v>0</v>
      </c>
      <c r="D58" s="339">
        <v>0</v>
      </c>
      <c r="E58" s="47">
        <f>B58+C58+D58</f>
        <v>3.1</v>
      </c>
      <c r="F58" s="339">
        <v>0</v>
      </c>
      <c r="G58" s="339">
        <v>0</v>
      </c>
      <c r="H58" s="339">
        <v>0</v>
      </c>
      <c r="I58" s="47">
        <f>F58+G58+H58</f>
        <v>0</v>
      </c>
      <c r="J58" s="339">
        <f t="shared" si="11"/>
        <v>3.1</v>
      </c>
      <c r="K58" s="339">
        <f t="shared" si="11"/>
        <v>0</v>
      </c>
      <c r="L58" s="339">
        <f t="shared" si="11"/>
        <v>0</v>
      </c>
      <c r="M58" s="47">
        <f>J58+K58+L58</f>
        <v>3.1</v>
      </c>
      <c r="N58" s="9"/>
      <c r="O58" s="283"/>
      <c r="P58" s="284"/>
      <c r="Q58" s="285"/>
    </row>
    <row r="59" spans="1:25" x14ac:dyDescent="0.2">
      <c r="A59" s="9"/>
      <c r="B59" s="272"/>
      <c r="C59" s="273"/>
      <c r="D59" s="272"/>
      <c r="E59" s="274"/>
      <c r="F59" s="272"/>
      <c r="G59" s="273"/>
      <c r="H59" s="272"/>
      <c r="I59" s="274"/>
      <c r="J59" s="275"/>
      <c r="K59" s="275"/>
      <c r="L59" s="275"/>
      <c r="M59" s="274"/>
      <c r="N59" s="9"/>
      <c r="O59" s="9"/>
      <c r="P59" s="9"/>
      <c r="Q59" s="7"/>
    </row>
    <row r="60" spans="1:25" ht="15.75" x14ac:dyDescent="0.25">
      <c r="A60" s="592" t="s">
        <v>247</v>
      </c>
      <c r="B60" s="592"/>
      <c r="C60" s="269"/>
      <c r="D60" s="269"/>
      <c r="E60" s="270"/>
      <c r="F60" s="271"/>
      <c r="G60" s="271"/>
      <c r="H60" s="271"/>
      <c r="I60" s="268"/>
      <c r="J60" s="268"/>
    </row>
    <row r="61" spans="1:25" x14ac:dyDescent="0.2">
      <c r="A61" s="596" t="s">
        <v>3</v>
      </c>
      <c r="B61" s="595" t="s">
        <v>238</v>
      </c>
      <c r="C61" s="595"/>
      <c r="D61" s="595"/>
      <c r="E61" s="595"/>
      <c r="F61" s="595" t="s">
        <v>239</v>
      </c>
      <c r="G61" s="595"/>
      <c r="H61" s="595"/>
      <c r="I61" s="595"/>
      <c r="J61" s="595" t="s">
        <v>240</v>
      </c>
      <c r="K61" s="595"/>
      <c r="L61" s="595"/>
      <c r="M61" s="595"/>
      <c r="N61" s="591" t="s">
        <v>248</v>
      </c>
      <c r="O61" s="591"/>
      <c r="P61" s="591"/>
      <c r="Q61" s="591"/>
      <c r="R61" s="591" t="s">
        <v>249</v>
      </c>
      <c r="S61" s="591"/>
      <c r="T61" s="591"/>
      <c r="U61" s="591"/>
      <c r="V61" s="591" t="s">
        <v>250</v>
      </c>
      <c r="W61" s="591"/>
      <c r="X61" s="591"/>
      <c r="Y61" s="591"/>
    </row>
    <row r="62" spans="1:25" ht="38.25" x14ac:dyDescent="0.2">
      <c r="A62" s="596"/>
      <c r="B62" s="475" t="s">
        <v>293</v>
      </c>
      <c r="C62" s="166" t="s">
        <v>317</v>
      </c>
      <c r="D62" s="166" t="s">
        <v>294</v>
      </c>
      <c r="E62" s="166" t="s">
        <v>242</v>
      </c>
      <c r="F62" s="475" t="s">
        <v>293</v>
      </c>
      <c r="G62" s="166" t="s">
        <v>317</v>
      </c>
      <c r="H62" s="166" t="s">
        <v>294</v>
      </c>
      <c r="I62" s="166" t="s">
        <v>242</v>
      </c>
      <c r="J62" s="475" t="s">
        <v>293</v>
      </c>
      <c r="K62" s="166" t="s">
        <v>317</v>
      </c>
      <c r="L62" s="166" t="s">
        <v>294</v>
      </c>
      <c r="M62" s="166" t="s">
        <v>242</v>
      </c>
      <c r="N62" s="475" t="s">
        <v>293</v>
      </c>
      <c r="O62" s="166" t="s">
        <v>317</v>
      </c>
      <c r="P62" s="166" t="s">
        <v>294</v>
      </c>
      <c r="Q62" s="166" t="s">
        <v>242</v>
      </c>
      <c r="R62" s="482" t="s">
        <v>293</v>
      </c>
      <c r="S62" s="166" t="s">
        <v>317</v>
      </c>
      <c r="T62" s="166" t="s">
        <v>294</v>
      </c>
      <c r="U62" s="166" t="s">
        <v>242</v>
      </c>
      <c r="V62" s="482" t="s">
        <v>293</v>
      </c>
      <c r="W62" s="166" t="s">
        <v>317</v>
      </c>
      <c r="X62" s="166" t="s">
        <v>294</v>
      </c>
      <c r="Y62" s="166" t="s">
        <v>242</v>
      </c>
    </row>
    <row r="63" spans="1:25" x14ac:dyDescent="0.2">
      <c r="A63" s="189" t="s">
        <v>47</v>
      </c>
      <c r="B63" s="53">
        <f>B29-B30-B37-B39</f>
        <v>1131.1000000000001</v>
      </c>
      <c r="C63" s="53">
        <f>C29-C30-C37-C39</f>
        <v>457.99999999999977</v>
      </c>
      <c r="D63" s="53">
        <f>D29-D30-D37-D39</f>
        <v>208.09999999999997</v>
      </c>
      <c r="E63" s="54">
        <f t="shared" ref="E63:E75" si="13">B63+C63+D63</f>
        <v>1797.1999999999998</v>
      </c>
      <c r="F63" s="53">
        <f>F29-F30-F37-F39</f>
        <v>225.19999999999993</v>
      </c>
      <c r="G63" s="53">
        <f>G29-G30-G37-G39</f>
        <v>313.09999999999997</v>
      </c>
      <c r="H63" s="53">
        <f>H29-H30-H37-H39</f>
        <v>42.399999999999991</v>
      </c>
      <c r="I63" s="54">
        <f t="shared" ref="I63:I75" si="14">F63+G63+H63</f>
        <v>580.69999999999993</v>
      </c>
      <c r="J63" s="342">
        <f>B63-F63</f>
        <v>905.9000000000002</v>
      </c>
      <c r="K63" s="342">
        <f>C63-G63</f>
        <v>144.89999999999981</v>
      </c>
      <c r="L63" s="342">
        <f>D63-H63</f>
        <v>165.7</v>
      </c>
      <c r="M63" s="47">
        <f>J63+K63+L63</f>
        <v>1216.5</v>
      </c>
      <c r="N63" s="55">
        <f>B63*D5</f>
        <v>56555.000000000007</v>
      </c>
      <c r="O63" s="55">
        <f t="shared" ref="O63:O75" si="15">C63*F5</f>
        <v>2289.9999999999991</v>
      </c>
      <c r="P63" s="55">
        <f>D63*H5</f>
        <v>1040.4999999999998</v>
      </c>
      <c r="Q63" s="55">
        <f t="shared" ref="Q63:Q75" si="16">N63+O63+P63</f>
        <v>59885.500000000007</v>
      </c>
      <c r="R63" s="55">
        <f>F63*D5</f>
        <v>11259.999999999996</v>
      </c>
      <c r="S63" s="55">
        <f t="shared" ref="S63:S75" si="17">G63*F5</f>
        <v>1565.4999999999998</v>
      </c>
      <c r="T63" s="55">
        <f t="shared" ref="T63:T75" si="18">H63*H5</f>
        <v>211.99999999999994</v>
      </c>
      <c r="U63" s="55">
        <f>R63+S63+T63</f>
        <v>13037.499999999996</v>
      </c>
      <c r="V63" s="438">
        <f>N63-R63</f>
        <v>45295.000000000015</v>
      </c>
      <c r="W63" s="438">
        <f>O63-S63</f>
        <v>724.49999999999932</v>
      </c>
      <c r="X63" s="438">
        <f>P63-T63</f>
        <v>828.49999999999977</v>
      </c>
      <c r="Y63" s="438">
        <f t="shared" ref="Y63:Y72" si="19">V63+W63+X63</f>
        <v>46848.000000000015</v>
      </c>
    </row>
    <row r="64" spans="1:25" x14ac:dyDescent="0.2">
      <c r="A64" s="189" t="s">
        <v>50</v>
      </c>
      <c r="B64" s="53">
        <f>B30-B31-B32-B41</f>
        <v>266.5</v>
      </c>
      <c r="C64" s="53">
        <f>C30-C31-C32-C41</f>
        <v>500.30000000000007</v>
      </c>
      <c r="D64" s="53">
        <f>D30-D31-D32-D41</f>
        <v>86.5</v>
      </c>
      <c r="E64" s="54">
        <f t="shared" si="13"/>
        <v>853.30000000000007</v>
      </c>
      <c r="F64" s="53">
        <f>F30-F31-F32-F41</f>
        <v>146.10000000000002</v>
      </c>
      <c r="G64" s="53">
        <f>G30-G31-G32-G41</f>
        <v>1.9000000000000015</v>
      </c>
      <c r="H64" s="53">
        <f>H30-H31-H32-H41</f>
        <v>0</v>
      </c>
      <c r="I64" s="54">
        <f t="shared" si="14"/>
        <v>148.00000000000003</v>
      </c>
      <c r="J64" s="342">
        <f t="shared" ref="J64:L75" si="20">B64-F64</f>
        <v>120.39999999999998</v>
      </c>
      <c r="K64" s="342">
        <f t="shared" si="20"/>
        <v>498.40000000000009</v>
      </c>
      <c r="L64" s="342">
        <f t="shared" si="20"/>
        <v>86.5</v>
      </c>
      <c r="M64" s="47">
        <f t="shared" ref="M64:M72" si="21">J64+K64+L64</f>
        <v>705.30000000000007</v>
      </c>
      <c r="N64" s="55">
        <f t="shared" ref="N64:N74" si="22">B64*D6</f>
        <v>13325</v>
      </c>
      <c r="O64" s="55">
        <f t="shared" si="15"/>
        <v>2501.5000000000005</v>
      </c>
      <c r="P64" s="55">
        <f t="shared" ref="P64:P75" si="23">D64*H6</f>
        <v>432.5</v>
      </c>
      <c r="Q64" s="55">
        <f t="shared" si="16"/>
        <v>16259</v>
      </c>
      <c r="R64" s="55">
        <f>F64*D6</f>
        <v>7305.0000000000009</v>
      </c>
      <c r="S64" s="55">
        <f t="shared" si="17"/>
        <v>9.5000000000000071</v>
      </c>
      <c r="T64" s="55">
        <f t="shared" si="18"/>
        <v>0</v>
      </c>
      <c r="U64" s="55">
        <f t="shared" ref="U64:U75" si="24">R64+S64+T64</f>
        <v>7314.5000000000009</v>
      </c>
      <c r="V64" s="438">
        <f>N64-R64</f>
        <v>6019.9999999999991</v>
      </c>
      <c r="W64" s="438">
        <f t="shared" ref="V64:X75" si="25">O64-S64</f>
        <v>2492.0000000000005</v>
      </c>
      <c r="X64" s="438">
        <f t="shared" si="25"/>
        <v>432.5</v>
      </c>
      <c r="Y64" s="438">
        <f t="shared" si="19"/>
        <v>8944.5</v>
      </c>
    </row>
    <row r="65" spans="1:25" x14ac:dyDescent="0.2">
      <c r="A65" s="189" t="s">
        <v>49</v>
      </c>
      <c r="B65" s="53">
        <f>B31-B33-B35</f>
        <v>57.500000000000007</v>
      </c>
      <c r="C65" s="53">
        <f>C31-C33-C35</f>
        <v>679.1</v>
      </c>
      <c r="D65" s="53">
        <f>D31-D33-D35</f>
        <v>216.4</v>
      </c>
      <c r="E65" s="54">
        <f t="shared" si="13"/>
        <v>953</v>
      </c>
      <c r="F65" s="53">
        <f>F31-F33-F35</f>
        <v>476.20000000000005</v>
      </c>
      <c r="G65" s="53">
        <f>G31-G33-G35</f>
        <v>27.1</v>
      </c>
      <c r="H65" s="53">
        <f>H31-H33-H35</f>
        <v>11.9</v>
      </c>
      <c r="I65" s="54">
        <f t="shared" si="14"/>
        <v>515.20000000000005</v>
      </c>
      <c r="J65" s="342">
        <f t="shared" si="20"/>
        <v>-418.70000000000005</v>
      </c>
      <c r="K65" s="342">
        <f t="shared" si="20"/>
        <v>652</v>
      </c>
      <c r="L65" s="342">
        <f t="shared" si="20"/>
        <v>204.5</v>
      </c>
      <c r="M65" s="47">
        <f t="shared" si="21"/>
        <v>437.79999999999995</v>
      </c>
      <c r="N65" s="55">
        <f t="shared" si="22"/>
        <v>4601.1500000000005</v>
      </c>
      <c r="O65" s="55">
        <f t="shared" si="15"/>
        <v>23782.081999999999</v>
      </c>
      <c r="P65" s="55">
        <f t="shared" si="23"/>
        <v>7578.3279999999995</v>
      </c>
      <c r="Q65" s="55">
        <f t="shared" si="16"/>
        <v>35961.56</v>
      </c>
      <c r="R65" s="55">
        <f t="shared" ref="R65:R75" si="26">F65*D7</f>
        <v>38105.524000000005</v>
      </c>
      <c r="S65" s="55">
        <f t="shared" si="17"/>
        <v>949.04199999999992</v>
      </c>
      <c r="T65" s="55">
        <f t="shared" si="18"/>
        <v>416.73799999999994</v>
      </c>
      <c r="U65" s="55">
        <f t="shared" si="24"/>
        <v>39471.304000000004</v>
      </c>
      <c r="V65" s="438">
        <f>N65-R65</f>
        <v>-33504.374000000003</v>
      </c>
      <c r="W65" s="438">
        <f t="shared" si="25"/>
        <v>22833.039999999997</v>
      </c>
      <c r="X65" s="438">
        <f t="shared" si="25"/>
        <v>7161.5899999999992</v>
      </c>
      <c r="Y65" s="438">
        <f t="shared" si="19"/>
        <v>-3509.744000000007</v>
      </c>
    </row>
    <row r="66" spans="1:25" x14ac:dyDescent="0.2">
      <c r="A66" s="189" t="s">
        <v>48</v>
      </c>
      <c r="B66" s="53">
        <f>B32-B36-B40</f>
        <v>-2.8310687127941492E-15</v>
      </c>
      <c r="C66" s="53">
        <f>C32-C36-C40</f>
        <v>0</v>
      </c>
      <c r="D66" s="53">
        <f>D32-D36-D40</f>
        <v>0</v>
      </c>
      <c r="E66" s="54">
        <f t="shared" si="13"/>
        <v>-2.8310687127941492E-15</v>
      </c>
      <c r="F66" s="53">
        <f>F32-F36-F40</f>
        <v>8.8817841970012523E-15</v>
      </c>
      <c r="G66" s="53">
        <f>G32-G36-G40</f>
        <v>0</v>
      </c>
      <c r="H66" s="53">
        <f>H32-H36-H40</f>
        <v>0</v>
      </c>
      <c r="I66" s="54">
        <f t="shared" si="14"/>
        <v>8.8817841970012523E-15</v>
      </c>
      <c r="J66" s="342">
        <f t="shared" si="20"/>
        <v>-1.1712852909795402E-14</v>
      </c>
      <c r="K66" s="342">
        <f t="shared" si="20"/>
        <v>0</v>
      </c>
      <c r="L66" s="342">
        <f t="shared" si="20"/>
        <v>0</v>
      </c>
      <c r="M66" s="47">
        <f t="shared" si="21"/>
        <v>-1.1712852909795402E-14</v>
      </c>
      <c r="N66" s="55">
        <f t="shared" si="22"/>
        <v>-1.4155343563970746E-13</v>
      </c>
      <c r="O66" s="55">
        <f t="shared" si="15"/>
        <v>0</v>
      </c>
      <c r="P66" s="55">
        <f t="shared" si="23"/>
        <v>0</v>
      </c>
      <c r="Q66" s="55">
        <f t="shared" si="16"/>
        <v>-1.4155343563970746E-13</v>
      </c>
      <c r="R66" s="55">
        <f t="shared" si="26"/>
        <v>4.4408920985006262E-13</v>
      </c>
      <c r="S66" s="55">
        <f t="shared" si="17"/>
        <v>0</v>
      </c>
      <c r="T66" s="55">
        <f t="shared" si="18"/>
        <v>0</v>
      </c>
      <c r="U66" s="55">
        <f t="shared" si="24"/>
        <v>4.4408920985006262E-13</v>
      </c>
      <c r="V66" s="438">
        <f t="shared" si="25"/>
        <v>-5.8564264548977008E-13</v>
      </c>
      <c r="W66" s="438">
        <f t="shared" si="25"/>
        <v>0</v>
      </c>
      <c r="X66" s="438">
        <f t="shared" si="25"/>
        <v>0</v>
      </c>
      <c r="Y66" s="438">
        <f t="shared" si="19"/>
        <v>-5.8564264548977008E-13</v>
      </c>
    </row>
    <row r="67" spans="1:25" x14ac:dyDescent="0.2">
      <c r="A67" s="189" t="s">
        <v>40</v>
      </c>
      <c r="B67" s="53">
        <f>B33-B34</f>
        <v>0</v>
      </c>
      <c r="C67" s="53">
        <f>C33-C34</f>
        <v>4.5</v>
      </c>
      <c r="D67" s="53">
        <f>D33-D34</f>
        <v>22.7</v>
      </c>
      <c r="E67" s="54">
        <f t="shared" si="13"/>
        <v>27.2</v>
      </c>
      <c r="F67" s="53">
        <f>F33-F34</f>
        <v>23.6</v>
      </c>
      <c r="G67" s="53">
        <f>G33-G34</f>
        <v>3</v>
      </c>
      <c r="H67" s="53">
        <f>H33-H34</f>
        <v>0.10000000000000003</v>
      </c>
      <c r="I67" s="54">
        <f t="shared" si="14"/>
        <v>26.700000000000003</v>
      </c>
      <c r="J67" s="342">
        <f t="shared" si="20"/>
        <v>-23.6</v>
      </c>
      <c r="K67" s="342">
        <f t="shared" si="20"/>
        <v>1.5</v>
      </c>
      <c r="L67" s="342">
        <f t="shared" si="20"/>
        <v>22.599999999999998</v>
      </c>
      <c r="M67" s="47">
        <f t="shared" si="21"/>
        <v>0.49999999999999645</v>
      </c>
      <c r="N67" s="55">
        <f t="shared" si="22"/>
        <v>0</v>
      </c>
      <c r="O67" s="55">
        <f t="shared" si="15"/>
        <v>157.58999999999997</v>
      </c>
      <c r="P67" s="55">
        <f t="shared" si="23"/>
        <v>794.95399999999984</v>
      </c>
      <c r="Q67" s="55">
        <f t="shared" si="16"/>
        <v>952.54399999999987</v>
      </c>
      <c r="R67" s="55">
        <f t="shared" si="26"/>
        <v>1888.472</v>
      </c>
      <c r="S67" s="55">
        <f t="shared" si="17"/>
        <v>105.05999999999999</v>
      </c>
      <c r="T67" s="55">
        <f t="shared" si="18"/>
        <v>3.5020000000000007</v>
      </c>
      <c r="U67" s="55">
        <f t="shared" si="24"/>
        <v>1997.0339999999999</v>
      </c>
      <c r="V67" s="438">
        <f t="shared" si="25"/>
        <v>-1888.472</v>
      </c>
      <c r="W67" s="438">
        <f t="shared" si="25"/>
        <v>52.529999999999987</v>
      </c>
      <c r="X67" s="438">
        <f t="shared" si="25"/>
        <v>791.45199999999988</v>
      </c>
      <c r="Y67" s="438">
        <f t="shared" si="19"/>
        <v>-1044.4900000000002</v>
      </c>
    </row>
    <row r="68" spans="1:25" x14ac:dyDescent="0.2">
      <c r="A68" s="189" t="s">
        <v>37</v>
      </c>
      <c r="B68" s="53">
        <f t="shared" ref="B68:D70" si="27">B34</f>
        <v>0</v>
      </c>
      <c r="C68" s="53">
        <f t="shared" si="27"/>
        <v>0</v>
      </c>
      <c r="D68" s="53">
        <f t="shared" si="27"/>
        <v>12.2</v>
      </c>
      <c r="E68" s="54">
        <f t="shared" si="13"/>
        <v>12.2</v>
      </c>
      <c r="F68" s="53">
        <f t="shared" ref="F68:H70" si="28">F34</f>
        <v>22.4</v>
      </c>
      <c r="G68" s="53">
        <f t="shared" si="28"/>
        <v>0.2</v>
      </c>
      <c r="H68" s="53">
        <f t="shared" si="28"/>
        <v>0.3</v>
      </c>
      <c r="I68" s="54">
        <f t="shared" si="14"/>
        <v>22.9</v>
      </c>
      <c r="J68" s="342">
        <f t="shared" si="20"/>
        <v>-22.4</v>
      </c>
      <c r="K68" s="342">
        <f t="shared" si="20"/>
        <v>-0.2</v>
      </c>
      <c r="L68" s="342">
        <f t="shared" si="20"/>
        <v>11.899999999999999</v>
      </c>
      <c r="M68" s="47">
        <f t="shared" si="21"/>
        <v>-10.7</v>
      </c>
      <c r="N68" s="55">
        <f t="shared" si="22"/>
        <v>0</v>
      </c>
      <c r="O68" s="55">
        <f t="shared" si="15"/>
        <v>0</v>
      </c>
      <c r="P68" s="55">
        <f t="shared" si="23"/>
        <v>427.24399999999991</v>
      </c>
      <c r="Q68" s="55">
        <f t="shared" si="16"/>
        <v>427.24399999999991</v>
      </c>
      <c r="R68" s="55">
        <f t="shared" si="26"/>
        <v>1792.4479999999999</v>
      </c>
      <c r="S68" s="55">
        <f t="shared" si="17"/>
        <v>7.0039999999999996</v>
      </c>
      <c r="T68" s="55">
        <f t="shared" si="18"/>
        <v>10.505999999999998</v>
      </c>
      <c r="U68" s="55">
        <f t="shared" si="24"/>
        <v>1809.9579999999999</v>
      </c>
      <c r="V68" s="438">
        <f t="shared" si="25"/>
        <v>-1792.4479999999999</v>
      </c>
      <c r="W68" s="438">
        <f t="shared" si="25"/>
        <v>-7.0039999999999996</v>
      </c>
      <c r="X68" s="438">
        <f t="shared" si="25"/>
        <v>416.73799999999994</v>
      </c>
      <c r="Y68" s="438">
        <f t="shared" si="19"/>
        <v>-1382.7139999999999</v>
      </c>
    </row>
    <row r="69" spans="1:25" x14ac:dyDescent="0.2">
      <c r="A69" s="189" t="s">
        <v>38</v>
      </c>
      <c r="B69" s="53">
        <f t="shared" si="27"/>
        <v>12.4</v>
      </c>
      <c r="C69" s="53">
        <f t="shared" si="27"/>
        <v>0</v>
      </c>
      <c r="D69" s="53">
        <f t="shared" si="27"/>
        <v>3.7</v>
      </c>
      <c r="E69" s="54">
        <f t="shared" si="13"/>
        <v>16.100000000000001</v>
      </c>
      <c r="F69" s="53">
        <f t="shared" si="28"/>
        <v>1.9</v>
      </c>
      <c r="G69" s="53">
        <f t="shared" si="28"/>
        <v>3.7</v>
      </c>
      <c r="H69" s="53">
        <f t="shared" si="28"/>
        <v>0</v>
      </c>
      <c r="I69" s="54">
        <f t="shared" si="14"/>
        <v>5.6</v>
      </c>
      <c r="J69" s="342">
        <f t="shared" si="20"/>
        <v>10.5</v>
      </c>
      <c r="K69" s="342">
        <f t="shared" si="20"/>
        <v>-3.7</v>
      </c>
      <c r="L69" s="342">
        <f t="shared" si="20"/>
        <v>3.7</v>
      </c>
      <c r="M69" s="47">
        <f>J69+K69+L69</f>
        <v>10.5</v>
      </c>
      <c r="N69" s="55">
        <f t="shared" si="22"/>
        <v>992.24799999999993</v>
      </c>
      <c r="O69" s="55">
        <f t="shared" si="15"/>
        <v>0</v>
      </c>
      <c r="P69" s="55">
        <f t="shared" si="23"/>
        <v>110.99999999999999</v>
      </c>
      <c r="Q69" s="55">
        <f t="shared" si="16"/>
        <v>1103.2479999999998</v>
      </c>
      <c r="R69" s="55">
        <f t="shared" si="26"/>
        <v>152.03799999999998</v>
      </c>
      <c r="S69" s="55">
        <f t="shared" si="17"/>
        <v>110.99999999999999</v>
      </c>
      <c r="T69" s="55">
        <f t="shared" si="18"/>
        <v>0</v>
      </c>
      <c r="U69" s="55">
        <f t="shared" si="24"/>
        <v>263.03799999999995</v>
      </c>
      <c r="V69" s="438">
        <f t="shared" si="25"/>
        <v>840.20999999999992</v>
      </c>
      <c r="W69" s="438">
        <f t="shared" si="25"/>
        <v>-110.99999999999999</v>
      </c>
      <c r="X69" s="438">
        <f t="shared" si="25"/>
        <v>110.99999999999999</v>
      </c>
      <c r="Y69" s="438">
        <f t="shared" si="19"/>
        <v>840.20999999999992</v>
      </c>
    </row>
    <row r="70" spans="1:25" x14ac:dyDescent="0.2">
      <c r="A70" s="189" t="s">
        <v>15</v>
      </c>
      <c r="B70" s="53">
        <f>B36</f>
        <v>34.5</v>
      </c>
      <c r="C70" s="53">
        <f t="shared" si="27"/>
        <v>26.3</v>
      </c>
      <c r="D70" s="53">
        <f t="shared" si="27"/>
        <v>16.399999999999999</v>
      </c>
      <c r="E70" s="54">
        <f t="shared" si="13"/>
        <v>77.199999999999989</v>
      </c>
      <c r="F70" s="53">
        <f t="shared" si="28"/>
        <v>78.599999999999994</v>
      </c>
      <c r="G70" s="53">
        <f t="shared" si="28"/>
        <v>0</v>
      </c>
      <c r="H70" s="53">
        <f t="shared" si="28"/>
        <v>39.299999999999997</v>
      </c>
      <c r="I70" s="54">
        <f t="shared" si="14"/>
        <v>117.89999999999999</v>
      </c>
      <c r="J70" s="342">
        <f t="shared" si="20"/>
        <v>-44.099999999999994</v>
      </c>
      <c r="K70" s="342">
        <f t="shared" si="20"/>
        <v>26.3</v>
      </c>
      <c r="L70" s="342">
        <f t="shared" si="20"/>
        <v>-22.9</v>
      </c>
      <c r="M70" s="47">
        <f>J70+K70+L70</f>
        <v>-40.699999999999989</v>
      </c>
      <c r="N70" s="55">
        <f t="shared" si="22"/>
        <v>1725</v>
      </c>
      <c r="O70" s="55">
        <f t="shared" si="15"/>
        <v>131.5</v>
      </c>
      <c r="P70" s="55">
        <f t="shared" si="23"/>
        <v>82</v>
      </c>
      <c r="Q70" s="55">
        <f t="shared" si="16"/>
        <v>1938.5</v>
      </c>
      <c r="R70" s="55">
        <f t="shared" si="26"/>
        <v>3929.9999999999995</v>
      </c>
      <c r="S70" s="55">
        <f t="shared" si="17"/>
        <v>0</v>
      </c>
      <c r="T70" s="55">
        <f t="shared" si="18"/>
        <v>196.5</v>
      </c>
      <c r="U70" s="55">
        <f t="shared" si="24"/>
        <v>4126.5</v>
      </c>
      <c r="V70" s="438">
        <f t="shared" si="25"/>
        <v>-2204.9999999999995</v>
      </c>
      <c r="W70" s="438">
        <f t="shared" si="25"/>
        <v>131.5</v>
      </c>
      <c r="X70" s="438">
        <f t="shared" si="25"/>
        <v>-114.5</v>
      </c>
      <c r="Y70" s="438">
        <f t="shared" si="19"/>
        <v>-2187.9999999999995</v>
      </c>
    </row>
    <row r="71" spans="1:25" x14ac:dyDescent="0.2">
      <c r="A71" s="189" t="s">
        <v>130</v>
      </c>
      <c r="B71" s="53">
        <f>B37-B38</f>
        <v>0</v>
      </c>
      <c r="C71" s="53">
        <f>C37-C38</f>
        <v>0</v>
      </c>
      <c r="D71" s="53">
        <f>D37-D38</f>
        <v>4</v>
      </c>
      <c r="E71" s="54">
        <f t="shared" si="13"/>
        <v>4</v>
      </c>
      <c r="F71" s="53">
        <f>F37-F38</f>
        <v>39.5</v>
      </c>
      <c r="G71" s="53">
        <f>G37-G38</f>
        <v>32.6</v>
      </c>
      <c r="H71" s="53">
        <f>H37-H38</f>
        <v>9</v>
      </c>
      <c r="I71" s="54">
        <f t="shared" si="14"/>
        <v>81.099999999999994</v>
      </c>
      <c r="J71" s="342">
        <f t="shared" si="20"/>
        <v>-39.5</v>
      </c>
      <c r="K71" s="342">
        <f t="shared" si="20"/>
        <v>-32.6</v>
      </c>
      <c r="L71" s="342">
        <f t="shared" si="20"/>
        <v>-5</v>
      </c>
      <c r="M71" s="47">
        <f t="shared" si="21"/>
        <v>-77.099999999999994</v>
      </c>
      <c r="N71" s="55">
        <f t="shared" si="22"/>
        <v>0</v>
      </c>
      <c r="O71" s="55">
        <f t="shared" si="15"/>
        <v>0</v>
      </c>
      <c r="P71" s="55">
        <f t="shared" si="23"/>
        <v>20</v>
      </c>
      <c r="Q71" s="55">
        <f t="shared" si="16"/>
        <v>20</v>
      </c>
      <c r="R71" s="55">
        <f t="shared" si="26"/>
        <v>1975</v>
      </c>
      <c r="S71" s="55">
        <f t="shared" si="17"/>
        <v>163</v>
      </c>
      <c r="T71" s="55">
        <f t="shared" si="18"/>
        <v>45</v>
      </c>
      <c r="U71" s="55">
        <f t="shared" si="24"/>
        <v>2183</v>
      </c>
      <c r="V71" s="438">
        <f t="shared" si="25"/>
        <v>-1975</v>
      </c>
      <c r="W71" s="438">
        <f t="shared" si="25"/>
        <v>-163</v>
      </c>
      <c r="X71" s="438">
        <f t="shared" si="25"/>
        <v>-25</v>
      </c>
      <c r="Y71" s="438">
        <f t="shared" si="19"/>
        <v>-2163</v>
      </c>
    </row>
    <row r="72" spans="1:25" x14ac:dyDescent="0.2">
      <c r="A72" s="189" t="s">
        <v>129</v>
      </c>
      <c r="B72" s="53">
        <f t="shared" ref="B72:D75" si="29">B38</f>
        <v>0</v>
      </c>
      <c r="C72" s="53">
        <f t="shared" si="29"/>
        <v>0</v>
      </c>
      <c r="D72" s="53">
        <f t="shared" si="29"/>
        <v>11.3</v>
      </c>
      <c r="E72" s="54">
        <f t="shared" si="13"/>
        <v>11.3</v>
      </c>
      <c r="F72" s="53">
        <f t="shared" ref="F72:H75" si="30">F38</f>
        <v>35.299999999999997</v>
      </c>
      <c r="G72" s="53">
        <f t="shared" si="30"/>
        <v>0</v>
      </c>
      <c r="H72" s="53">
        <f t="shared" si="30"/>
        <v>2.6</v>
      </c>
      <c r="I72" s="54">
        <f t="shared" si="14"/>
        <v>37.9</v>
      </c>
      <c r="J72" s="342">
        <f t="shared" si="20"/>
        <v>-35.299999999999997</v>
      </c>
      <c r="K72" s="342">
        <f t="shared" si="20"/>
        <v>0</v>
      </c>
      <c r="L72" s="342">
        <f t="shared" si="20"/>
        <v>8.7000000000000011</v>
      </c>
      <c r="M72" s="47">
        <f t="shared" si="21"/>
        <v>-26.599999999999994</v>
      </c>
      <c r="N72" s="55">
        <f t="shared" si="22"/>
        <v>0</v>
      </c>
      <c r="O72" s="55">
        <f t="shared" si="15"/>
        <v>0</v>
      </c>
      <c r="P72" s="55">
        <f t="shared" si="23"/>
        <v>56.5</v>
      </c>
      <c r="Q72" s="55">
        <f t="shared" si="16"/>
        <v>56.5</v>
      </c>
      <c r="R72" s="55">
        <f t="shared" si="26"/>
        <v>1764.9999999999998</v>
      </c>
      <c r="S72" s="55">
        <f t="shared" si="17"/>
        <v>0</v>
      </c>
      <c r="T72" s="55">
        <f t="shared" si="18"/>
        <v>13</v>
      </c>
      <c r="U72" s="55">
        <f t="shared" si="24"/>
        <v>1777.9999999999998</v>
      </c>
      <c r="V72" s="438">
        <f t="shared" si="25"/>
        <v>-1764.9999999999998</v>
      </c>
      <c r="W72" s="438">
        <f t="shared" si="25"/>
        <v>0</v>
      </c>
      <c r="X72" s="438">
        <f t="shared" si="25"/>
        <v>43.5</v>
      </c>
      <c r="Y72" s="438">
        <f t="shared" si="19"/>
        <v>-1721.4999999999998</v>
      </c>
    </row>
    <row r="73" spans="1:25" x14ac:dyDescent="0.2">
      <c r="A73" s="24" t="s">
        <v>20</v>
      </c>
      <c r="B73" s="53">
        <f t="shared" si="29"/>
        <v>405.2</v>
      </c>
      <c r="C73" s="53">
        <f t="shared" si="29"/>
        <v>520.29999999999995</v>
      </c>
      <c r="D73" s="53">
        <f t="shared" si="29"/>
        <v>2</v>
      </c>
      <c r="E73" s="54">
        <f t="shared" si="13"/>
        <v>927.5</v>
      </c>
      <c r="F73" s="53">
        <f t="shared" si="30"/>
        <v>337.4</v>
      </c>
      <c r="G73" s="53">
        <f t="shared" si="30"/>
        <v>0.8</v>
      </c>
      <c r="H73" s="53">
        <f t="shared" si="30"/>
        <v>0</v>
      </c>
      <c r="I73" s="54">
        <f t="shared" si="14"/>
        <v>338.2</v>
      </c>
      <c r="J73" s="342">
        <f t="shared" si="20"/>
        <v>67.800000000000011</v>
      </c>
      <c r="K73" s="342">
        <f t="shared" si="20"/>
        <v>519.5</v>
      </c>
      <c r="L73" s="342">
        <f t="shared" si="20"/>
        <v>2</v>
      </c>
      <c r="M73" s="47">
        <f>J73+K73+L73</f>
        <v>589.29999999999995</v>
      </c>
      <c r="N73" s="55">
        <f t="shared" si="22"/>
        <v>20260</v>
      </c>
      <c r="O73" s="55">
        <f t="shared" si="15"/>
        <v>2601.5</v>
      </c>
      <c r="P73" s="55">
        <f t="shared" si="23"/>
        <v>10</v>
      </c>
      <c r="Q73" s="55">
        <f t="shared" si="16"/>
        <v>22871.5</v>
      </c>
      <c r="R73" s="55">
        <f t="shared" si="26"/>
        <v>16870</v>
      </c>
      <c r="S73" s="55">
        <f t="shared" si="17"/>
        <v>4</v>
      </c>
      <c r="T73" s="55">
        <f t="shared" si="18"/>
        <v>0</v>
      </c>
      <c r="U73" s="55">
        <f t="shared" si="24"/>
        <v>16874</v>
      </c>
      <c r="V73" s="438">
        <f t="shared" si="25"/>
        <v>3390</v>
      </c>
      <c r="W73" s="438">
        <f t="shared" si="25"/>
        <v>2597.5</v>
      </c>
      <c r="X73" s="438">
        <f>P73-T73</f>
        <v>10</v>
      </c>
      <c r="Y73" s="438">
        <f>V73+W73+X73</f>
        <v>5997.5</v>
      </c>
    </row>
    <row r="74" spans="1:25" x14ac:dyDescent="0.2">
      <c r="A74" s="24" t="s">
        <v>11</v>
      </c>
      <c r="B74" s="53">
        <f t="shared" si="29"/>
        <v>0.3</v>
      </c>
      <c r="C74" s="53">
        <f t="shared" si="29"/>
        <v>0</v>
      </c>
      <c r="D74" s="53">
        <f t="shared" si="29"/>
        <v>35.6</v>
      </c>
      <c r="E74" s="54">
        <f t="shared" si="13"/>
        <v>35.9</v>
      </c>
      <c r="F74" s="53">
        <f t="shared" si="30"/>
        <v>5.6</v>
      </c>
      <c r="G74" s="53">
        <f t="shared" si="30"/>
        <v>0</v>
      </c>
      <c r="H74" s="53">
        <f t="shared" si="30"/>
        <v>0</v>
      </c>
      <c r="I74" s="54">
        <f t="shared" si="14"/>
        <v>5.6</v>
      </c>
      <c r="J74" s="342">
        <f t="shared" si="20"/>
        <v>-5.3</v>
      </c>
      <c r="K74" s="342">
        <f t="shared" si="20"/>
        <v>0</v>
      </c>
      <c r="L74" s="342">
        <f t="shared" si="20"/>
        <v>35.6</v>
      </c>
      <c r="M74" s="47">
        <f>J74+K74+L74</f>
        <v>30.3</v>
      </c>
      <c r="N74" s="55">
        <f t="shared" si="22"/>
        <v>15</v>
      </c>
      <c r="O74" s="55">
        <f t="shared" si="15"/>
        <v>0</v>
      </c>
      <c r="P74" s="55">
        <f t="shared" si="23"/>
        <v>178</v>
      </c>
      <c r="Q74" s="55">
        <f t="shared" si="16"/>
        <v>193</v>
      </c>
      <c r="R74" s="55">
        <f t="shared" si="26"/>
        <v>280</v>
      </c>
      <c r="S74" s="55">
        <f t="shared" si="17"/>
        <v>0</v>
      </c>
      <c r="T74" s="55">
        <f t="shared" si="18"/>
        <v>0</v>
      </c>
      <c r="U74" s="55">
        <f t="shared" si="24"/>
        <v>280</v>
      </c>
      <c r="V74" s="438">
        <f t="shared" si="25"/>
        <v>-265</v>
      </c>
      <c r="W74" s="438">
        <f t="shared" si="25"/>
        <v>0</v>
      </c>
      <c r="X74" s="438">
        <f t="shared" si="25"/>
        <v>178</v>
      </c>
      <c r="Y74" s="438">
        <f>V74+W74+X74</f>
        <v>-87</v>
      </c>
    </row>
    <row r="75" spans="1:25" x14ac:dyDescent="0.2">
      <c r="A75" s="24" t="s">
        <v>10</v>
      </c>
      <c r="B75" s="53">
        <f>B41</f>
        <v>37.700000000000003</v>
      </c>
      <c r="C75" s="53">
        <f t="shared" si="29"/>
        <v>0.2</v>
      </c>
      <c r="D75" s="53">
        <f t="shared" si="29"/>
        <v>135.5</v>
      </c>
      <c r="E75" s="54">
        <f t="shared" si="13"/>
        <v>173.4</v>
      </c>
      <c r="F75" s="53">
        <f t="shared" si="30"/>
        <v>498</v>
      </c>
      <c r="G75" s="53">
        <f t="shared" si="30"/>
        <v>0.2</v>
      </c>
      <c r="H75" s="53">
        <f t="shared" si="30"/>
        <v>0</v>
      </c>
      <c r="I75" s="54">
        <f t="shared" si="14"/>
        <v>498.2</v>
      </c>
      <c r="J75" s="342">
        <f t="shared" si="20"/>
        <v>-460.3</v>
      </c>
      <c r="K75" s="342">
        <f t="shared" si="20"/>
        <v>0</v>
      </c>
      <c r="L75" s="342">
        <f t="shared" si="20"/>
        <v>135.5</v>
      </c>
      <c r="M75" s="47">
        <f>J75+K75+L75</f>
        <v>-324.8</v>
      </c>
      <c r="N75" s="55">
        <f>B75*D17</f>
        <v>1885.0000000000002</v>
      </c>
      <c r="O75" s="55">
        <f t="shared" si="15"/>
        <v>1</v>
      </c>
      <c r="P75" s="55">
        <f t="shared" si="23"/>
        <v>677.5</v>
      </c>
      <c r="Q75" s="55">
        <f t="shared" si="16"/>
        <v>2563.5</v>
      </c>
      <c r="R75" s="55">
        <f t="shared" si="26"/>
        <v>24900</v>
      </c>
      <c r="S75" s="55">
        <f t="shared" si="17"/>
        <v>1</v>
      </c>
      <c r="T75" s="55">
        <f t="shared" si="18"/>
        <v>0</v>
      </c>
      <c r="U75" s="55">
        <f t="shared" si="24"/>
        <v>24901</v>
      </c>
      <c r="V75" s="438">
        <f t="shared" si="25"/>
        <v>-23015</v>
      </c>
      <c r="W75" s="438">
        <f>O75-S75</f>
        <v>0</v>
      </c>
      <c r="X75" s="438">
        <f t="shared" si="25"/>
        <v>677.5</v>
      </c>
      <c r="Y75" s="438">
        <f>V75+W75+X75</f>
        <v>-22337.5</v>
      </c>
    </row>
    <row r="76" spans="1:25" x14ac:dyDescent="0.2">
      <c r="A76" s="189" t="s">
        <v>51</v>
      </c>
      <c r="B76" s="58">
        <f t="shared" ref="B76:N76" si="31">SUM(B63:B75)</f>
        <v>1945.2000000000003</v>
      </c>
      <c r="C76" s="58">
        <f t="shared" si="31"/>
        <v>2188.6999999999998</v>
      </c>
      <c r="D76" s="58">
        <f t="shared" si="31"/>
        <v>754.40000000000009</v>
      </c>
      <c r="E76" s="74">
        <f t="shared" si="31"/>
        <v>4888.2999999999993</v>
      </c>
      <c r="F76" s="58">
        <f t="shared" si="31"/>
        <v>1889.7999999999997</v>
      </c>
      <c r="G76" s="58">
        <f t="shared" si="31"/>
        <v>382.59999999999997</v>
      </c>
      <c r="H76" s="58">
        <f t="shared" si="31"/>
        <v>105.59999999999998</v>
      </c>
      <c r="I76" s="74">
        <f t="shared" si="31"/>
        <v>2378</v>
      </c>
      <c r="J76" s="74">
        <f t="shared" si="31"/>
        <v>55.400000000000148</v>
      </c>
      <c r="K76" s="74">
        <f t="shared" si="31"/>
        <v>1806.1</v>
      </c>
      <c r="L76" s="74">
        <f t="shared" si="31"/>
        <v>648.79999999999995</v>
      </c>
      <c r="M76" s="74">
        <f t="shared" si="31"/>
        <v>2510.3000000000011</v>
      </c>
      <c r="N76" s="75">
        <f t="shared" si="31"/>
        <v>99358.398000000001</v>
      </c>
      <c r="O76" s="75">
        <f t="shared" ref="O76:P76" si="32">SUM(O63:O75)</f>
        <v>31465.171999999999</v>
      </c>
      <c r="P76" s="75">
        <f t="shared" si="32"/>
        <v>11408.526</v>
      </c>
      <c r="Q76" s="75">
        <f>SUM(Q63:Q75)</f>
        <v>142232.09600000002</v>
      </c>
      <c r="R76" s="75">
        <f t="shared" ref="R76:W76" si="33">SUM(R63:R75)</f>
        <v>110223.482</v>
      </c>
      <c r="S76" s="75">
        <f t="shared" si="33"/>
        <v>2915.1059999999993</v>
      </c>
      <c r="T76" s="75">
        <f t="shared" si="33"/>
        <v>897.24599999999975</v>
      </c>
      <c r="U76" s="75">
        <f>SUM(U63:U75)</f>
        <v>114035.834</v>
      </c>
      <c r="V76" s="439">
        <f t="shared" si="33"/>
        <v>-10865.08399999999</v>
      </c>
      <c r="W76" s="439">
        <f t="shared" si="33"/>
        <v>28550.065999999995</v>
      </c>
      <c r="X76" s="439">
        <f>SUM(X63:X75)</f>
        <v>10511.279999999997</v>
      </c>
      <c r="Y76" s="439">
        <f>SUM(Y63:Y75)</f>
        <v>28196.26200000001</v>
      </c>
    </row>
    <row r="77" spans="1:25" x14ac:dyDescent="0.2">
      <c r="A77" s="7"/>
      <c r="B77" s="286"/>
      <c r="C77" s="286"/>
      <c r="D77" s="286"/>
      <c r="E77" s="287"/>
      <c r="F77" s="286"/>
      <c r="G77" s="286"/>
      <c r="H77" s="286"/>
      <c r="I77" s="287"/>
      <c r="J77" s="286"/>
      <c r="K77" s="286"/>
      <c r="L77" s="286"/>
      <c r="M77" s="286"/>
      <c r="N77" s="288"/>
      <c r="O77" s="288"/>
      <c r="P77" s="288"/>
      <c r="Q77" s="288"/>
      <c r="R77" s="288"/>
      <c r="S77" s="288" t="s">
        <v>24</v>
      </c>
    </row>
    <row r="78" spans="1:25" ht="15.75" x14ac:dyDescent="0.25">
      <c r="A78" s="592" t="s">
        <v>251</v>
      </c>
      <c r="B78" s="592"/>
      <c r="C78" s="289"/>
      <c r="D78" s="289"/>
      <c r="F78" s="290"/>
      <c r="G78" s="269"/>
      <c r="H78" s="269"/>
      <c r="I78" s="267"/>
      <c r="J78" s="289"/>
    </row>
    <row r="79" spans="1:25" x14ac:dyDescent="0.2">
      <c r="A79" s="593" t="s">
        <v>3</v>
      </c>
      <c r="B79" s="595" t="s">
        <v>241</v>
      </c>
      <c r="C79" s="595"/>
      <c r="D79" s="595"/>
      <c r="E79" s="595" t="s">
        <v>252</v>
      </c>
      <c r="F79" s="595"/>
      <c r="G79" s="595"/>
      <c r="H79" s="595"/>
      <c r="I79" s="38"/>
      <c r="J79" s="59"/>
    </row>
    <row r="80" spans="1:25" ht="63.75" x14ac:dyDescent="0.2">
      <c r="A80" s="594"/>
      <c r="B80" s="475" t="s">
        <v>293</v>
      </c>
      <c r="C80" s="166" t="s">
        <v>317</v>
      </c>
      <c r="D80" s="166" t="s">
        <v>294</v>
      </c>
      <c r="E80" s="475" t="s">
        <v>293</v>
      </c>
      <c r="F80" s="166" t="s">
        <v>317</v>
      </c>
      <c r="G80" s="166" t="s">
        <v>294</v>
      </c>
      <c r="H80" s="343" t="s">
        <v>163</v>
      </c>
      <c r="I80" s="475" t="s">
        <v>253</v>
      </c>
      <c r="J80" s="475" t="s">
        <v>254</v>
      </c>
    </row>
    <row r="81" spans="1:11" x14ac:dyDescent="0.2">
      <c r="A81" s="189" t="s">
        <v>47</v>
      </c>
      <c r="B81" s="53">
        <f>N29-N30-N37-N39</f>
        <v>0</v>
      </c>
      <c r="C81" s="53">
        <f>O29-O30-O37-O39</f>
        <v>0</v>
      </c>
      <c r="D81" s="53">
        <f>P29-P30-P37-P39</f>
        <v>0</v>
      </c>
      <c r="E81" s="33">
        <f t="shared" ref="E81:E93" si="34">B81*D5</f>
        <v>0</v>
      </c>
      <c r="F81" s="33">
        <f t="shared" ref="F81:F93" si="35">C81*F5</f>
        <v>0</v>
      </c>
      <c r="G81" s="33">
        <f t="shared" ref="G81:G93" si="36">D81*H5</f>
        <v>0</v>
      </c>
      <c r="H81" s="33">
        <f>E81+F81+G81</f>
        <v>0</v>
      </c>
      <c r="I81" s="33">
        <v>0</v>
      </c>
      <c r="J81" s="33">
        <v>0</v>
      </c>
    </row>
    <row r="82" spans="1:11" x14ac:dyDescent="0.2">
      <c r="A82" s="189" t="s">
        <v>50</v>
      </c>
      <c r="B82" s="53">
        <f>N30-N31-N32-N41</f>
        <v>0</v>
      </c>
      <c r="C82" s="53">
        <f>O30-O31-O32-O41</f>
        <v>0</v>
      </c>
      <c r="D82" s="53">
        <f>P30-P31-P32-P41</f>
        <v>0</v>
      </c>
      <c r="E82" s="33">
        <f>B82*D6</f>
        <v>0</v>
      </c>
      <c r="F82" s="33">
        <f t="shared" si="35"/>
        <v>0</v>
      </c>
      <c r="G82" s="33">
        <f t="shared" si="36"/>
        <v>0</v>
      </c>
      <c r="H82" s="33">
        <f>E82+F82+G82</f>
        <v>0</v>
      </c>
      <c r="I82" s="33">
        <v>0</v>
      </c>
      <c r="J82" s="33">
        <f>H82</f>
        <v>0</v>
      </c>
      <c r="K82" s="4" t="s">
        <v>24</v>
      </c>
    </row>
    <row r="83" spans="1:11" x14ac:dyDescent="0.2">
      <c r="A83" s="189" t="s">
        <v>49</v>
      </c>
      <c r="B83" s="53">
        <f>N31-N33-N35</f>
        <v>0</v>
      </c>
      <c r="C83" s="53">
        <f>O31-O33-O35</f>
        <v>0</v>
      </c>
      <c r="D83" s="53">
        <f>P31-P33-P35</f>
        <v>0</v>
      </c>
      <c r="E83" s="33">
        <f t="shared" si="34"/>
        <v>0</v>
      </c>
      <c r="F83" s="33">
        <f t="shared" si="35"/>
        <v>0</v>
      </c>
      <c r="G83" s="33">
        <f t="shared" si="36"/>
        <v>0</v>
      </c>
      <c r="H83" s="33">
        <f>E83+F83+G83</f>
        <v>0</v>
      </c>
      <c r="I83" s="33">
        <v>0</v>
      </c>
      <c r="J83" s="33">
        <v>0</v>
      </c>
    </row>
    <row r="84" spans="1:11" x14ac:dyDescent="0.2">
      <c r="A84" s="189" t="s">
        <v>48</v>
      </c>
      <c r="B84" s="53">
        <f>N32-N36-N40</f>
        <v>0</v>
      </c>
      <c r="C84" s="53">
        <f>O32-O36-O40</f>
        <v>0</v>
      </c>
      <c r="D84" s="53">
        <f>P32-P36-P40</f>
        <v>0</v>
      </c>
      <c r="E84" s="33">
        <f t="shared" si="34"/>
        <v>0</v>
      </c>
      <c r="F84" s="33">
        <f t="shared" si="35"/>
        <v>0</v>
      </c>
      <c r="G84" s="33">
        <f t="shared" si="36"/>
        <v>0</v>
      </c>
      <c r="H84" s="33">
        <f t="shared" ref="H84:H89" si="37">E84+F84+G84</f>
        <v>0</v>
      </c>
      <c r="I84" s="33">
        <v>0</v>
      </c>
      <c r="J84" s="33">
        <v>0</v>
      </c>
    </row>
    <row r="85" spans="1:11" x14ac:dyDescent="0.2">
      <c r="A85" s="189" t="s">
        <v>40</v>
      </c>
      <c r="B85" s="53">
        <f>N33-N34</f>
        <v>0</v>
      </c>
      <c r="C85" s="53">
        <f>O33-O34</f>
        <v>0</v>
      </c>
      <c r="D85" s="53">
        <f>P33-P34</f>
        <v>0</v>
      </c>
      <c r="E85" s="33">
        <f t="shared" si="34"/>
        <v>0</v>
      </c>
      <c r="F85" s="33">
        <f t="shared" si="35"/>
        <v>0</v>
      </c>
      <c r="G85" s="33">
        <f t="shared" si="36"/>
        <v>0</v>
      </c>
      <c r="H85" s="33">
        <f t="shared" si="37"/>
        <v>0</v>
      </c>
      <c r="I85" s="33">
        <v>0</v>
      </c>
      <c r="J85" s="33">
        <v>0</v>
      </c>
    </row>
    <row r="86" spans="1:11" x14ac:dyDescent="0.2">
      <c r="A86" s="189" t="s">
        <v>37</v>
      </c>
      <c r="B86" s="53">
        <f t="shared" ref="B86:D88" si="38">N34</f>
        <v>0</v>
      </c>
      <c r="C86" s="53">
        <f t="shared" si="38"/>
        <v>0</v>
      </c>
      <c r="D86" s="53">
        <f t="shared" si="38"/>
        <v>0</v>
      </c>
      <c r="E86" s="33">
        <f t="shared" si="34"/>
        <v>0</v>
      </c>
      <c r="F86" s="33">
        <f t="shared" si="35"/>
        <v>0</v>
      </c>
      <c r="G86" s="33">
        <f t="shared" si="36"/>
        <v>0</v>
      </c>
      <c r="H86" s="33">
        <f t="shared" si="37"/>
        <v>0</v>
      </c>
      <c r="I86" s="33">
        <v>0</v>
      </c>
      <c r="J86" s="33">
        <v>0</v>
      </c>
    </row>
    <row r="87" spans="1:11" x14ac:dyDescent="0.2">
      <c r="A87" s="189" t="s">
        <v>38</v>
      </c>
      <c r="B87" s="53">
        <f t="shared" si="38"/>
        <v>0</v>
      </c>
      <c r="C87" s="53">
        <f t="shared" si="38"/>
        <v>0</v>
      </c>
      <c r="D87" s="53">
        <f t="shared" si="38"/>
        <v>0</v>
      </c>
      <c r="E87" s="33">
        <f t="shared" si="34"/>
        <v>0</v>
      </c>
      <c r="F87" s="33">
        <f t="shared" si="35"/>
        <v>0</v>
      </c>
      <c r="G87" s="33">
        <f t="shared" si="36"/>
        <v>0</v>
      </c>
      <c r="H87" s="33">
        <f t="shared" si="37"/>
        <v>0</v>
      </c>
      <c r="I87" s="33">
        <v>0</v>
      </c>
      <c r="J87" s="33">
        <v>0</v>
      </c>
    </row>
    <row r="88" spans="1:11" x14ac:dyDescent="0.2">
      <c r="A88" s="189" t="s">
        <v>15</v>
      </c>
      <c r="B88" s="53">
        <f t="shared" si="38"/>
        <v>0</v>
      </c>
      <c r="C88" s="53">
        <f t="shared" si="38"/>
        <v>0</v>
      </c>
      <c r="D88" s="53">
        <f t="shared" si="38"/>
        <v>0</v>
      </c>
      <c r="E88" s="33">
        <f t="shared" si="34"/>
        <v>0</v>
      </c>
      <c r="F88" s="33">
        <f t="shared" si="35"/>
        <v>0</v>
      </c>
      <c r="G88" s="33">
        <f t="shared" si="36"/>
        <v>0</v>
      </c>
      <c r="H88" s="33">
        <f t="shared" si="37"/>
        <v>0</v>
      </c>
      <c r="I88" s="33">
        <v>0</v>
      </c>
      <c r="J88" s="33">
        <v>0</v>
      </c>
    </row>
    <row r="89" spans="1:11" x14ac:dyDescent="0.2">
      <c r="A89" s="189" t="s">
        <v>130</v>
      </c>
      <c r="B89" s="53">
        <f>N37-N38</f>
        <v>0</v>
      </c>
      <c r="C89" s="53">
        <f>O37-O38</f>
        <v>0</v>
      </c>
      <c r="D89" s="53">
        <f>P37-P38</f>
        <v>0</v>
      </c>
      <c r="E89" s="33">
        <f t="shared" si="34"/>
        <v>0</v>
      </c>
      <c r="F89" s="33">
        <f t="shared" si="35"/>
        <v>0</v>
      </c>
      <c r="G89" s="33">
        <f t="shared" si="36"/>
        <v>0</v>
      </c>
      <c r="H89" s="33">
        <f t="shared" si="37"/>
        <v>0</v>
      </c>
      <c r="I89" s="33">
        <f>H89*0</f>
        <v>0</v>
      </c>
      <c r="J89" s="33">
        <f>H89*1</f>
        <v>0</v>
      </c>
    </row>
    <row r="90" spans="1:11" x14ac:dyDescent="0.2">
      <c r="A90" s="24" t="s">
        <v>129</v>
      </c>
      <c r="B90" s="53">
        <f t="shared" ref="B90:D93" si="39">N38</f>
        <v>0</v>
      </c>
      <c r="C90" s="53">
        <f t="shared" si="39"/>
        <v>0</v>
      </c>
      <c r="D90" s="53">
        <f t="shared" si="39"/>
        <v>0</v>
      </c>
      <c r="E90" s="33">
        <f t="shared" si="34"/>
        <v>0</v>
      </c>
      <c r="F90" s="33">
        <f t="shared" si="35"/>
        <v>0</v>
      </c>
      <c r="G90" s="33">
        <f t="shared" si="36"/>
        <v>0</v>
      </c>
      <c r="H90" s="33">
        <f>E90+F90+G90</f>
        <v>0</v>
      </c>
      <c r="I90" s="33">
        <f>H90*0</f>
        <v>0</v>
      </c>
      <c r="J90" s="33">
        <f>H90*1</f>
        <v>0</v>
      </c>
    </row>
    <row r="91" spans="1:11" x14ac:dyDescent="0.2">
      <c r="A91" s="24" t="s">
        <v>20</v>
      </c>
      <c r="B91" s="53">
        <f t="shared" si="39"/>
        <v>0</v>
      </c>
      <c r="C91" s="53">
        <f t="shared" si="39"/>
        <v>0</v>
      </c>
      <c r="D91" s="53">
        <f t="shared" si="39"/>
        <v>0</v>
      </c>
      <c r="E91" s="33">
        <f t="shared" si="34"/>
        <v>0</v>
      </c>
      <c r="F91" s="33">
        <f t="shared" si="35"/>
        <v>0</v>
      </c>
      <c r="G91" s="33">
        <f t="shared" si="36"/>
        <v>0</v>
      </c>
      <c r="H91" s="33">
        <f>E91+F91+G91</f>
        <v>0</v>
      </c>
      <c r="I91" s="33">
        <f>H91*0</f>
        <v>0</v>
      </c>
      <c r="J91" s="33">
        <f>H91*1</f>
        <v>0</v>
      </c>
    </row>
    <row r="92" spans="1:11" x14ac:dyDescent="0.2">
      <c r="A92" s="24" t="s">
        <v>11</v>
      </c>
      <c r="B92" s="53">
        <f t="shared" si="39"/>
        <v>0</v>
      </c>
      <c r="C92" s="53">
        <f t="shared" si="39"/>
        <v>0</v>
      </c>
      <c r="D92" s="53">
        <f t="shared" si="39"/>
        <v>0</v>
      </c>
      <c r="E92" s="33">
        <f t="shared" si="34"/>
        <v>0</v>
      </c>
      <c r="F92" s="33">
        <f t="shared" si="35"/>
        <v>0</v>
      </c>
      <c r="G92" s="33">
        <f t="shared" si="36"/>
        <v>0</v>
      </c>
      <c r="H92" s="33">
        <f>E92+F92+G92</f>
        <v>0</v>
      </c>
      <c r="I92" s="33">
        <f>H92*0</f>
        <v>0</v>
      </c>
      <c r="J92" s="33">
        <f>H92*1</f>
        <v>0</v>
      </c>
    </row>
    <row r="93" spans="1:11" x14ac:dyDescent="0.2">
      <c r="A93" s="24" t="s">
        <v>10</v>
      </c>
      <c r="B93" s="53">
        <f t="shared" si="39"/>
        <v>0</v>
      </c>
      <c r="C93" s="53">
        <f t="shared" si="39"/>
        <v>0</v>
      </c>
      <c r="D93" s="53">
        <f t="shared" si="39"/>
        <v>0</v>
      </c>
      <c r="E93" s="33">
        <f t="shared" si="34"/>
        <v>0</v>
      </c>
      <c r="F93" s="33">
        <f t="shared" si="35"/>
        <v>0</v>
      </c>
      <c r="G93" s="33">
        <f t="shared" si="36"/>
        <v>0</v>
      </c>
      <c r="H93" s="33">
        <f>E93+F93+G93</f>
        <v>0</v>
      </c>
      <c r="I93" s="33">
        <f>H93*0</f>
        <v>0</v>
      </c>
      <c r="J93" s="33">
        <f>H93*1</f>
        <v>0</v>
      </c>
    </row>
    <row r="94" spans="1:11" x14ac:dyDescent="0.2">
      <c r="A94" s="189" t="s">
        <v>51</v>
      </c>
      <c r="B94" s="58">
        <f t="shared" ref="B94:J94" si="40">SUM(B81:B93)</f>
        <v>0</v>
      </c>
      <c r="C94" s="58">
        <f t="shared" si="40"/>
        <v>0</v>
      </c>
      <c r="D94" s="58">
        <f t="shared" si="40"/>
        <v>0</v>
      </c>
      <c r="E94" s="44">
        <f t="shared" si="40"/>
        <v>0</v>
      </c>
      <c r="F94" s="44">
        <f t="shared" si="40"/>
        <v>0</v>
      </c>
      <c r="G94" s="44">
        <f t="shared" si="40"/>
        <v>0</v>
      </c>
      <c r="H94" s="44">
        <f t="shared" si="40"/>
        <v>0</v>
      </c>
      <c r="I94" s="75">
        <f>SUM(I81:I93)</f>
        <v>0</v>
      </c>
      <c r="J94" s="44">
        <f t="shared" si="40"/>
        <v>0</v>
      </c>
    </row>
  </sheetData>
  <mergeCells count="25">
    <mergeCell ref="A3:B3"/>
    <mergeCell ref="A24:H24"/>
    <mergeCell ref="A26:D26"/>
    <mergeCell ref="A27:A28"/>
    <mergeCell ref="B27:E27"/>
    <mergeCell ref="F27:I27"/>
    <mergeCell ref="J27:M27"/>
    <mergeCell ref="N27:Q27"/>
    <mergeCell ref="A43:C43"/>
    <mergeCell ref="A44:A45"/>
    <mergeCell ref="B44:E44"/>
    <mergeCell ref="F44:I44"/>
    <mergeCell ref="J44:M44"/>
    <mergeCell ref="A60:B60"/>
    <mergeCell ref="A61:A62"/>
    <mergeCell ref="B61:E61"/>
    <mergeCell ref="F61:I61"/>
    <mergeCell ref="J61:M61"/>
    <mergeCell ref="R61:U61"/>
    <mergeCell ref="V61:Y61"/>
    <mergeCell ref="A78:B78"/>
    <mergeCell ref="A79:A80"/>
    <mergeCell ref="B79:D79"/>
    <mergeCell ref="E79:H79"/>
    <mergeCell ref="N61:Q61"/>
  </mergeCells>
  <pageMargins left="0.5" right="0.5" top="0.5" bottom="0.5" header="0" footer="0"/>
  <pageSetup paperSize="17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/>
  </sheetViews>
  <sheetFormatPr defaultRowHeight="12.75" x14ac:dyDescent="0.2"/>
  <cols>
    <col min="1" max="1" width="40.7109375" customWidth="1"/>
    <col min="2" max="14" width="16.7109375" customWidth="1"/>
  </cols>
  <sheetData>
    <row r="1" spans="1:12" ht="18.75" x14ac:dyDescent="0.3">
      <c r="A1" s="104" t="s">
        <v>328</v>
      </c>
      <c r="B1" s="4"/>
      <c r="C1" s="4"/>
      <c r="D1" s="4"/>
      <c r="G1" s="16" t="s">
        <v>24</v>
      </c>
      <c r="H1" s="4"/>
      <c r="I1" s="4"/>
      <c r="J1" s="4"/>
      <c r="K1" s="4"/>
      <c r="L1" s="4"/>
    </row>
    <row r="2" spans="1:12" ht="13.5" thickBot="1" x14ac:dyDescent="0.25">
      <c r="A2" s="291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9.5" thickBot="1" x14ac:dyDescent="0.35">
      <c r="A3" s="443" t="s">
        <v>0</v>
      </c>
      <c r="B3" s="4"/>
      <c r="C3" s="4"/>
      <c r="D3" s="1" t="s">
        <v>24</v>
      </c>
      <c r="E3" s="4"/>
      <c r="F3" s="4"/>
      <c r="G3" s="4"/>
      <c r="H3" s="4"/>
      <c r="I3" s="4"/>
      <c r="J3" s="4"/>
      <c r="K3" s="4"/>
      <c r="L3" s="4"/>
    </row>
    <row r="4" spans="1:12" x14ac:dyDescent="0.2">
      <c r="A4" s="345" t="s">
        <v>1</v>
      </c>
      <c r="B4" s="346">
        <v>0.16700000000000001</v>
      </c>
      <c r="C4" s="4"/>
      <c r="D4" s="292" t="s">
        <v>24</v>
      </c>
      <c r="E4" s="278" t="s">
        <v>24</v>
      </c>
      <c r="F4" s="278" t="s">
        <v>24</v>
      </c>
      <c r="G4" s="278" t="s">
        <v>24</v>
      </c>
      <c r="H4" s="278" t="s">
        <v>24</v>
      </c>
      <c r="I4" s="278" t="s">
        <v>24</v>
      </c>
      <c r="J4" s="278" t="s">
        <v>24</v>
      </c>
      <c r="K4" s="4"/>
      <c r="L4" s="278" t="s">
        <v>24</v>
      </c>
    </row>
    <row r="5" spans="1:12" x14ac:dyDescent="0.2">
      <c r="A5" s="347" t="s">
        <v>2</v>
      </c>
      <c r="B5" s="348">
        <v>6.59E-2</v>
      </c>
      <c r="C5" s="4"/>
      <c r="D5" s="293" t="s">
        <v>24</v>
      </c>
      <c r="E5" s="294" t="s">
        <v>24</v>
      </c>
      <c r="F5" s="295" t="s">
        <v>24</v>
      </c>
      <c r="G5" s="295" t="s">
        <v>24</v>
      </c>
      <c r="H5" s="295" t="s">
        <v>24</v>
      </c>
      <c r="I5" s="295" t="s">
        <v>24</v>
      </c>
      <c r="J5" s="278" t="s">
        <v>24</v>
      </c>
      <c r="K5" s="278" t="s">
        <v>24</v>
      </c>
      <c r="L5" s="294" t="s">
        <v>24</v>
      </c>
    </row>
    <row r="6" spans="1:12" x14ac:dyDescent="0.2">
      <c r="A6" s="52" t="s">
        <v>4</v>
      </c>
      <c r="B6" s="349">
        <v>1.0901000000000001</v>
      </c>
      <c r="C6" s="4"/>
      <c r="D6" s="296" t="s">
        <v>24</v>
      </c>
      <c r="E6" s="297" t="s">
        <v>24</v>
      </c>
      <c r="F6" s="298" t="s">
        <v>24</v>
      </c>
      <c r="G6" s="299" t="s">
        <v>24</v>
      </c>
      <c r="H6" s="300" t="s">
        <v>24</v>
      </c>
      <c r="I6" s="300" t="s">
        <v>24</v>
      </c>
      <c r="J6" s="300" t="s">
        <v>24</v>
      </c>
      <c r="K6" s="301" t="s">
        <v>24</v>
      </c>
      <c r="L6" s="302" t="s">
        <v>24</v>
      </c>
    </row>
    <row r="7" spans="1:12" x14ac:dyDescent="0.2">
      <c r="A7" s="52" t="s">
        <v>35</v>
      </c>
      <c r="B7" s="350">
        <v>154043.4</v>
      </c>
      <c r="C7" s="4"/>
      <c r="D7" s="7" t="s">
        <v>24</v>
      </c>
      <c r="E7" s="294" t="s">
        <v>24</v>
      </c>
      <c r="F7" s="519" t="s">
        <v>24</v>
      </c>
      <c r="G7" s="298" t="s">
        <v>24</v>
      </c>
      <c r="H7" s="298" t="s">
        <v>24</v>
      </c>
      <c r="I7" s="298" t="s">
        <v>24</v>
      </c>
      <c r="J7" s="299" t="s">
        <v>24</v>
      </c>
      <c r="K7" s="300"/>
      <c r="L7" s="294" t="s">
        <v>24</v>
      </c>
    </row>
    <row r="8" spans="1:12" ht="13.5" thickBot="1" x14ac:dyDescent="0.25">
      <c r="A8" s="351" t="s">
        <v>23</v>
      </c>
      <c r="B8" s="352">
        <f>B13/(G60*B6)</f>
        <v>1.0679203957959797</v>
      </c>
      <c r="C8" s="304" t="s">
        <v>24</v>
      </c>
      <c r="D8" s="305" t="s">
        <v>24</v>
      </c>
      <c r="E8" s="294" t="s">
        <v>24</v>
      </c>
      <c r="F8" s="303" t="s">
        <v>24</v>
      </c>
      <c r="G8" s="299" t="s">
        <v>24</v>
      </c>
      <c r="H8" s="299" t="s">
        <v>24</v>
      </c>
      <c r="I8" s="299" t="s">
        <v>24</v>
      </c>
      <c r="J8" s="299" t="s">
        <v>24</v>
      </c>
      <c r="K8" s="300" t="s">
        <v>24</v>
      </c>
      <c r="L8" s="294" t="s">
        <v>24</v>
      </c>
    </row>
    <row r="9" spans="1:12" x14ac:dyDescent="0.2">
      <c r="A9" s="4"/>
      <c r="B9" s="5"/>
      <c r="C9" s="4"/>
      <c r="D9" s="9" t="s">
        <v>24</v>
      </c>
      <c r="E9" s="5" t="s">
        <v>24</v>
      </c>
      <c r="F9" s="306" t="s">
        <v>24</v>
      </c>
      <c r="G9" s="8" t="s">
        <v>24</v>
      </c>
      <c r="H9" s="12" t="s">
        <v>24</v>
      </c>
      <c r="I9" s="4"/>
      <c r="J9" s="4"/>
      <c r="K9" s="4"/>
      <c r="L9" s="4" t="s">
        <v>24</v>
      </c>
    </row>
    <row r="10" spans="1:12" x14ac:dyDescent="0.2">
      <c r="A10" s="9"/>
      <c r="B10" s="307"/>
      <c r="C10" s="307" t="s">
        <v>24</v>
      </c>
      <c r="D10" s="518" t="s">
        <v>24</v>
      </c>
      <c r="E10" s="478" t="s">
        <v>24</v>
      </c>
      <c r="F10" s="271"/>
      <c r="G10" s="479" t="s">
        <v>24</v>
      </c>
      <c r="H10" s="271"/>
      <c r="I10" s="333" t="s">
        <v>24</v>
      </c>
      <c r="J10" s="268"/>
      <c r="K10" s="268"/>
      <c r="L10" s="276"/>
    </row>
    <row r="11" spans="1:12" ht="15.75" x14ac:dyDescent="0.25">
      <c r="A11" s="444" t="s">
        <v>256</v>
      </c>
      <c r="B11" s="269"/>
      <c r="C11" s="269"/>
      <c r="D11" s="269"/>
      <c r="E11" s="309" t="s">
        <v>24</v>
      </c>
      <c r="F11" s="310"/>
      <c r="G11" s="310"/>
      <c r="H11" s="310"/>
      <c r="I11" s="333" t="s">
        <v>24</v>
      </c>
      <c r="J11" s="268"/>
      <c r="K11" s="268"/>
      <c r="L11" s="276"/>
    </row>
    <row r="12" spans="1:12" ht="63.75" x14ac:dyDescent="0.2">
      <c r="A12" s="475" t="s">
        <v>3</v>
      </c>
      <c r="B12" s="475" t="s">
        <v>257</v>
      </c>
      <c r="C12" s="475" t="s">
        <v>258</v>
      </c>
      <c r="D12" s="475" t="s">
        <v>259</v>
      </c>
      <c r="E12" s="475" t="s">
        <v>192</v>
      </c>
      <c r="F12" s="475" t="s">
        <v>189</v>
      </c>
      <c r="G12" s="475" t="s">
        <v>230</v>
      </c>
      <c r="H12" s="475" t="s">
        <v>231</v>
      </c>
      <c r="I12" s="475" t="s">
        <v>325</v>
      </c>
      <c r="J12" s="475" t="s">
        <v>193</v>
      </c>
      <c r="K12" s="475" t="s">
        <v>260</v>
      </c>
      <c r="L12" s="311"/>
    </row>
    <row r="13" spans="1:12" x14ac:dyDescent="0.2">
      <c r="A13" s="189" t="s">
        <v>6</v>
      </c>
      <c r="B13" s="353">
        <f>'BRA Resource Clearing Results'!E69-'1stIA Resource Clearing Results'!M29-'2ndIA Resource Clearing Results'!M29</f>
        <v>164506.1</v>
      </c>
      <c r="C13" s="157">
        <f>('BRA Resource Clearing Results'!E69*'BRA Resource Clearing Results'!B5-'1stIA Resource Clearing Results'!M29*'1stIA Resource Clearing Results'!B5-'2ndIA Resource Clearing Results'!M29*'2ndIA Resource Clearing Results'!B5)/('BRA Resource Clearing Results'!E69-'1stIA Resource Clearing Results'!M29-'2ndIA Resource Clearing Results'!M29)</f>
        <v>166.37118281936048</v>
      </c>
      <c r="D13" s="157">
        <f>('BRA Resource Clearing Results'!E69*'BRA Resource Clearing Results'!C5-'1stIA Resource Clearing Results'!M29*'1stIA Resource Clearing Results'!C5-'2ndIA Resource Clearing Results'!M29*'2ndIA Resource Clearing Results'!C5)/('BRA Resource Clearing Results'!E69-'1stIA Resource Clearing Results'!M29-'2ndIA Resource Clearing Results'!M29)</f>
        <v>0</v>
      </c>
      <c r="E13" s="105">
        <f>('BRA Resource Clearing Results'!C29+'BRA Resource Clearing Results'!D29)*'BRA Resource Clearing Results'!E5-('1stIA Resource Clearing Results'!K29+'1stIA Resource Clearing Results'!L29)*'1stIA Resource Clearing Results'!E5-('2ndIA Resource Clearing Results'!K29+'2ndIA Resource Clearing Results'!L29)*'2ndIA Resource Clearing Results'!E5</f>
        <v>-277599.35099999997</v>
      </c>
      <c r="F13" s="157">
        <f>E13/B13</f>
        <v>-1.6874714737021907</v>
      </c>
      <c r="G13" s="105">
        <f>'BRA Resource Clearing Results'!D29*'BRA Resource Clearing Results'!G5-'1stIA Resource Clearing Results'!L29*'1stIA Resource Clearing Results'!G5-'2ndIA Resource Clearing Results'!L29*'2ndIA Resource Clearing Results'!G5</f>
        <v>0</v>
      </c>
      <c r="H13" s="157">
        <f>G13/B13</f>
        <v>0</v>
      </c>
      <c r="I13" s="37">
        <f>'BRA Resource Clearing Results'!J73+'1stIA Resource Clearing Results'!I81+'2ndIA Resource Clearing Results'!I81</f>
        <v>0</v>
      </c>
      <c r="J13" s="156">
        <f>I13/B13</f>
        <v>0</v>
      </c>
      <c r="K13" s="158">
        <f>C13+D13+F13+H13+J13</f>
        <v>164.68371134565828</v>
      </c>
      <c r="L13" s="312"/>
    </row>
    <row r="14" spans="1:12" x14ac:dyDescent="0.2">
      <c r="A14" s="189" t="s">
        <v>29</v>
      </c>
      <c r="B14" s="353">
        <f>J40+J44+J50+(SUM(J52:J59))</f>
        <v>65520.128800217986</v>
      </c>
      <c r="C14" s="157">
        <f t="shared" ref="C14:C20" si="0">$C$13</f>
        <v>166.37118281936048</v>
      </c>
      <c r="D14" s="157">
        <f>D13+('BRA Resource Clearing Results'!E30*'BRA Resource Clearing Results'!C6-'1stIA Resource Clearing Results'!M30*'1stIA Resource Clearing Results'!C6-'2ndIA Resource Clearing Results'!M30*'2ndIA Resource Clearing Results'!C6)/('BRA Resource Clearing Results'!E30-'1stIA Resource Clearing Results'!M30-'2ndIA Resource Clearing Results'!M30)</f>
        <v>0</v>
      </c>
      <c r="E14" s="105">
        <f>('BRA Resource Clearing Results'!C30+'BRA Resource Clearing Results'!D30)*('BRA Resource Clearing Results'!E6-'BRA Resource Clearing Results'!E5)-('1stIA Resource Clearing Results'!K30+'1stIA Resource Clearing Results'!L30)*('1stIA Resource Clearing Results'!E6-'1stIA Resource Clearing Results'!E5)-('2ndIA Resource Clearing Results'!K30+'2ndIA Resource Clearing Results'!L30)*('2ndIA Resource Clearing Results'!E6-'2ndIA Resource Clearing Results'!E5)</f>
        <v>0</v>
      </c>
      <c r="F14" s="157">
        <f>F13+(E14/B14)</f>
        <v>-1.6874714737021907</v>
      </c>
      <c r="G14" s="37">
        <f>'BRA Resource Clearing Results'!D30*('BRA Resource Clearing Results'!G6-'BRA Resource Clearing Results'!G5)-'1stIA Resource Clearing Results'!L30*('1stIA Resource Clearing Results'!G6-'1stIA Resource Clearing Results'!G5)-'2ndIA Resource Clearing Results'!L30*('2ndIA Resource Clearing Results'!G6-'2ndIA Resource Clearing Results'!G5)</f>
        <v>0</v>
      </c>
      <c r="H14" s="157">
        <f>H13+(G14/B14)</f>
        <v>0</v>
      </c>
      <c r="I14" s="37">
        <f>'BRA Resource Clearing Results'!J74+'1stIA Resource Clearing Results'!I82+'2ndIA Resource Clearing Results'!I82</f>
        <v>0</v>
      </c>
      <c r="J14" s="156">
        <f>J13+I14/B14</f>
        <v>0</v>
      </c>
      <c r="K14" s="158">
        <f t="shared" ref="K14:K20" si="1">C14+D14+F14+H14+J14</f>
        <v>164.68371134565828</v>
      </c>
      <c r="L14" s="312"/>
    </row>
    <row r="15" spans="1:12" x14ac:dyDescent="0.2">
      <c r="A15" s="189" t="s">
        <v>36</v>
      </c>
      <c r="B15" s="353">
        <f>J40+J50+J52+J54+J58+J59</f>
        <v>35587.760517086528</v>
      </c>
      <c r="C15" s="157">
        <f t="shared" si="0"/>
        <v>166.37118281936048</v>
      </c>
      <c r="D15" s="157">
        <f>D14+('BRA Resource Clearing Results'!E31*'BRA Resource Clearing Results'!C7-'1stIA Resource Clearing Results'!M31*'1stIA Resource Clearing Results'!C7-'2ndIA Resource Clearing Results'!M31*'2ndIA Resource Clearing Results'!C7)/('BRA Resource Clearing Results'!E31-'1stIA Resource Clearing Results'!M31-'2ndIA Resource Clearing Results'!M31)</f>
        <v>61.080807201477818</v>
      </c>
      <c r="E15" s="105">
        <f>('BRA Resource Clearing Results'!C31+'BRA Resource Clearing Results'!D31)*('BRA Resource Clearing Results'!E7-'BRA Resource Clearing Results'!E6)-('1stIA Resource Clearing Results'!K31+'1stIA Resource Clearing Results'!L31)*('1stIA Resource Clearing Results'!E7-'1stIA Resource Clearing Results'!E6)-('2ndIA Resource Clearing Results'!K31+'2ndIA Resource Clearing Results'!L31)*('2ndIA Resource Clearing Results'!E7-'2ndIA Resource Clearing Results'!E6)</f>
        <v>0</v>
      </c>
      <c r="F15" s="157">
        <f>F14+(E15/B15)</f>
        <v>-1.6874714737021907</v>
      </c>
      <c r="G15" s="37">
        <f>'BRA Resource Clearing Results'!D31*('BRA Resource Clearing Results'!G7-'BRA Resource Clearing Results'!G6)-'1stIA Resource Clearing Results'!L31*('1stIA Resource Clearing Results'!G7-'1stIA Resource Clearing Results'!G6)-'2ndIA Resource Clearing Results'!L31*('2ndIA Resource Clearing Results'!G7-'2ndIA Resource Clearing Results'!G6)</f>
        <v>0</v>
      </c>
      <c r="H15" s="157">
        <f>H14+(G15/B15)</f>
        <v>0</v>
      </c>
      <c r="I15" s="37">
        <f>'BRA Resource Clearing Results'!J75+'1stIA Resource Clearing Results'!I83+'2ndIA Resource Clearing Results'!I83</f>
        <v>0</v>
      </c>
      <c r="J15" s="156">
        <f>J14+I15/B15</f>
        <v>0</v>
      </c>
      <c r="K15" s="158">
        <f t="shared" si="1"/>
        <v>225.76451854713611</v>
      </c>
      <c r="L15" s="312"/>
    </row>
    <row r="16" spans="1:12" x14ac:dyDescent="0.2">
      <c r="A16" s="189" t="s">
        <v>5</v>
      </c>
      <c r="B16" s="353">
        <f>J44+J56</f>
        <v>15129.163744849739</v>
      </c>
      <c r="C16" s="157">
        <f t="shared" si="0"/>
        <v>166.37118281936048</v>
      </c>
      <c r="D16" s="157">
        <f>D14+('BRA Resource Clearing Results'!E32*'BRA Resource Clearing Results'!C8-'1stIA Resource Clearing Results'!M32*'1stIA Resource Clearing Results'!C8-'2ndIA Resource Clearing Results'!M32*'2ndIA Resource Clearing Results'!C8)/('BRA Resource Clearing Results'!E32-'1stIA Resource Clearing Results'!M32-'2ndIA Resource Clearing Results'!M32)</f>
        <v>0</v>
      </c>
      <c r="E16" s="105">
        <f>('BRA Resource Clearing Results'!C32+'BRA Resource Clearing Results'!D32)*('BRA Resource Clearing Results'!E8-'BRA Resource Clearing Results'!E6)-('1stIA Resource Clearing Results'!K32+'1stIA Resource Clearing Results'!L32)*('1stIA Resource Clearing Results'!E8-'1stIA Resource Clearing Results'!E6)-('2ndIA Resource Clearing Results'!K32+'2ndIA Resource Clearing Results'!L32)*('2ndIA Resource Clearing Results'!E8-'2ndIA Resource Clearing Results'!E6)</f>
        <v>0</v>
      </c>
      <c r="F16" s="157">
        <f>F14+(E16/B16)</f>
        <v>-1.6874714737021907</v>
      </c>
      <c r="G16" s="105">
        <f>'BRA Resource Clearing Results'!D32*('BRA Resource Clearing Results'!G8-'BRA Resource Clearing Results'!G6)-'1stIA Resource Clearing Results'!L32*('1stIA Resource Clearing Results'!G8-'1stIA Resource Clearing Results'!G6)-'2ndIA Resource Clearing Results'!L32*('2ndIA Resource Clearing Results'!G8-'2ndIA Resource Clearing Results'!G6)</f>
        <v>-97898.622000000003</v>
      </c>
      <c r="H16" s="157">
        <f>H14+(G16/B16)</f>
        <v>-6.4708548106848669</v>
      </c>
      <c r="I16" s="37">
        <f>'BRA Resource Clearing Results'!J76+'1stIA Resource Clearing Results'!I84+'2ndIA Resource Clearing Results'!I84</f>
        <v>0</v>
      </c>
      <c r="J16" s="156">
        <f>J14+I16/B16</f>
        <v>0</v>
      </c>
      <c r="K16" s="158">
        <f t="shared" si="1"/>
        <v>158.21285653497341</v>
      </c>
      <c r="L16" s="312"/>
    </row>
    <row r="17" spans="1:12" x14ac:dyDescent="0.2">
      <c r="A17" s="189" t="s">
        <v>15</v>
      </c>
      <c r="B17" s="353">
        <f>J56</f>
        <v>7393.4532889766624</v>
      </c>
      <c r="C17" s="157">
        <f t="shared" si="0"/>
        <v>166.37118281936048</v>
      </c>
      <c r="D17" s="157">
        <f>D16+('BRA Resource Clearing Results'!E36*'BRA Resource Clearing Results'!C12-'1stIA Resource Clearing Results'!M36*'1stIA Resource Clearing Results'!C12-'2ndIA Resource Clearing Results'!M36*'2ndIA Resource Clearing Results'!C12)/('BRA Resource Clearing Results'!E36-'1stIA Resource Clearing Results'!M36-'2ndIA Resource Clearing Results'!M36)</f>
        <v>0</v>
      </c>
      <c r="E17" s="105">
        <f>('BRA Resource Clearing Results'!C36+'BRA Resource Clearing Results'!D36)*('BRA Resource Clearing Results'!E12-'BRA Resource Clearing Results'!E8)-('1stIA Resource Clearing Results'!K36+'1stIA Resource Clearing Results'!L36)*('1stIA Resource Clearing Results'!E12-'1stIA Resource Clearing Results'!E8)-('2ndIA Resource Clearing Results'!K36+'2ndIA Resource Clearing Results'!L36)*('2ndIA Resource Clearing Results'!E12-'2ndIA Resource Clearing Results'!E8)</f>
        <v>0</v>
      </c>
      <c r="F17" s="157">
        <f>F16+(E17/B17)</f>
        <v>-1.6874714737021907</v>
      </c>
      <c r="G17" s="105">
        <f>'BRA Resource Clearing Results'!D36*('BRA Resource Clearing Results'!G12-'BRA Resource Clearing Results'!G8)-'1stIA Resource Clearing Results'!L36*('1stIA Resource Clearing Results'!G12-'1stIA Resource Clearing Results'!G8)-'2ndIA Resource Clearing Results'!L36*('2ndIA Resource Clearing Results'!G12-'2ndIA Resource Clearing Results'!G8)</f>
        <v>-9430</v>
      </c>
      <c r="H17" s="157">
        <f>H16+(G17/B17)</f>
        <v>-7.7463075161289856</v>
      </c>
      <c r="I17" s="37">
        <f>'BRA Resource Clearing Results'!J80+'1stIA Resource Clearing Results'!I88+'2ndIA Resource Clearing Results'!I88</f>
        <v>0</v>
      </c>
      <c r="J17" s="156">
        <f>J16+I17/B17</f>
        <v>0</v>
      </c>
      <c r="K17" s="158">
        <f t="shared" si="1"/>
        <v>156.9374038295293</v>
      </c>
      <c r="L17" s="312"/>
    </row>
    <row r="18" spans="1:12" x14ac:dyDescent="0.2">
      <c r="A18" s="189" t="s">
        <v>20</v>
      </c>
      <c r="B18" s="353">
        <f>J45</f>
        <v>24800.002079293095</v>
      </c>
      <c r="C18" s="157">
        <f t="shared" si="0"/>
        <v>166.37118281936048</v>
      </c>
      <c r="D18" s="157">
        <f>D13+('BRA Resource Clearing Results'!E39*'BRA Resource Clearing Results'!C15-'1stIA Resource Clearing Results'!M39*'1stIA Resource Clearing Results'!C15-'2ndIA Resource Clearing Results'!M39*'2ndIA Resource Clearing Results'!C15)/('BRA Resource Clearing Results'!E39-'1stIA Resource Clearing Results'!M39-'2ndIA Resource Clearing Results'!M39)</f>
        <v>51.543129323242098</v>
      </c>
      <c r="E18" s="105">
        <f>('BRA Resource Clearing Results'!C39+'BRA Resource Clearing Results'!D39)*('BRA Resource Clearing Results'!E15-'BRA Resource Clearing Results'!E5)-('1stIA Resource Clearing Results'!K39+'1stIA Resource Clearing Results'!L39)*('1stIA Resource Clearing Results'!E15-'1stIA Resource Clearing Results'!E5)-('2ndIA Resource Clearing Results'!K39+'2ndIA Resource Clearing Results'!L39)*('2ndIA Resource Clearing Results'!E15-'2ndIA Resource Clearing Results'!E5)</f>
        <v>0</v>
      </c>
      <c r="F18" s="157">
        <f>F13+(E18/B18)</f>
        <v>-1.6874714737021907</v>
      </c>
      <c r="G18" s="37">
        <f>'BRA Resource Clearing Results'!D39*('BRA Resource Clearing Results'!G15-'BRA Resource Clearing Results'!G5)-'1stIA Resource Clearing Results'!L39*('1stIA Resource Clearing Results'!G15-'1stIA Resource Clearing Results'!G5)-'2ndIA Resource Clearing Results'!L39*('2ndIA Resource Clearing Results'!G15-'2ndIA Resource Clearing Results'!G5)</f>
        <v>0</v>
      </c>
      <c r="H18" s="157">
        <f>H13+(G18/B18)</f>
        <v>0</v>
      </c>
      <c r="I18" s="37">
        <f>'BRA Resource Clearing Results'!J83+'1stIA Resource Clearing Results'!I91+'2ndIA Resource Clearing Results'!I91</f>
        <v>0</v>
      </c>
      <c r="J18" s="156">
        <f>J13+I18/B18</f>
        <v>0</v>
      </c>
      <c r="K18" s="158">
        <f t="shared" si="1"/>
        <v>216.22684066890037</v>
      </c>
      <c r="L18" s="312"/>
    </row>
    <row r="19" spans="1:12" x14ac:dyDescent="0.2">
      <c r="A19" s="189" t="s">
        <v>11</v>
      </c>
      <c r="B19" s="353">
        <f>J44</f>
        <v>7735.7104558730771</v>
      </c>
      <c r="C19" s="157">
        <f t="shared" si="0"/>
        <v>166.37118281936048</v>
      </c>
      <c r="D19" s="157">
        <f>D16+('BRA Resource Clearing Results'!E40*'BRA Resource Clearing Results'!C16-'1stIA Resource Clearing Results'!M40*'1stIA Resource Clearing Results'!C16-'2ndIA Resource Clearing Results'!M40*'2ndIA Resource Clearing Results'!C16)/('BRA Resource Clearing Results'!E40-'1stIA Resource Clearing Results'!M40-'2ndIA Resource Clearing Results'!M40)</f>
        <v>0</v>
      </c>
      <c r="E19" s="105">
        <f>('BRA Resource Clearing Results'!C40+'BRA Resource Clearing Results'!D40)*('BRA Resource Clearing Results'!E16-'BRA Resource Clearing Results'!E8)-('1stIA Resource Clearing Results'!K40+'1stIA Resource Clearing Results'!L40)*('1stIA Resource Clearing Results'!E16-'1stIA Resource Clearing Results'!E8)-('2ndIA Resource Clearing Results'!K40+'2ndIA Resource Clearing Results'!L40)*('2ndIA Resource Clearing Results'!E16-'2ndIA Resource Clearing Results'!E8)</f>
        <v>0</v>
      </c>
      <c r="F19" s="157">
        <f>F16+(E19/B19)</f>
        <v>-1.6874714737021907</v>
      </c>
      <c r="G19" s="37">
        <f>'BRA Resource Clearing Results'!D40*('BRA Resource Clearing Results'!G16-'BRA Resource Clearing Results'!G8)-'1stIA Resource Clearing Results'!L40*('1stIA Resource Clearing Results'!G16-'1stIA Resource Clearing Results'!G8)-'2ndIA Resource Clearing Results'!L40*('2ndIA Resource Clearing Results'!G16-'2ndIA Resource Clearing Results'!G8)</f>
        <v>0</v>
      </c>
      <c r="H19" s="157">
        <f>H16+(G19/B19)</f>
        <v>-6.4708548106848669</v>
      </c>
      <c r="I19" s="37">
        <f>'BRA Resource Clearing Results'!J84+'1stIA Resource Clearing Results'!I92+'2ndIA Resource Clearing Results'!I92</f>
        <v>0</v>
      </c>
      <c r="J19" s="156">
        <f>J16+I19/B19</f>
        <v>0</v>
      </c>
      <c r="K19" s="158">
        <f t="shared" si="1"/>
        <v>158.21285653497341</v>
      </c>
      <c r="L19" s="312"/>
    </row>
    <row r="20" spans="1:12" x14ac:dyDescent="0.2">
      <c r="A20" s="189" t="s">
        <v>10</v>
      </c>
      <c r="B20" s="353">
        <f>J57</f>
        <v>8244.4396461238739</v>
      </c>
      <c r="C20" s="157">
        <f t="shared" si="0"/>
        <v>166.37118281936048</v>
      </c>
      <c r="D20" s="157">
        <f>D14+('BRA Resource Clearing Results'!E41*'BRA Resource Clearing Results'!C17-'1stIA Resource Clearing Results'!M41*'1stIA Resource Clearing Results'!C17-'2ndIA Resource Clearing Results'!M41*'2ndIA Resource Clearing Results'!C17)/('BRA Resource Clearing Results'!E41-'1stIA Resource Clearing Results'!M41-'2ndIA Resource Clearing Results'!M41)</f>
        <v>0</v>
      </c>
      <c r="E20" s="105">
        <f>('BRA Resource Clearing Results'!C41+'BRA Resource Clearing Results'!D41)*('BRA Resource Clearing Results'!E17-'BRA Resource Clearing Results'!E6)-('1stIA Resource Clearing Results'!K41+'1stIA Resource Clearing Results'!L41)*('1stIA Resource Clearing Results'!E17-'1stIA Resource Clearing Results'!E6)-('2ndIA Resource Clearing Results'!K41+'2ndIA Resource Clearing Results'!L41)*('2ndIA Resource Clearing Results'!E17-'2ndIA Resource Clearing Results'!E6)</f>
        <v>-85964.569999999992</v>
      </c>
      <c r="F20" s="157">
        <f>F14+(E20/B20)</f>
        <v>-12.114446949278177</v>
      </c>
      <c r="G20" s="37">
        <f>'BRA Resource Clearing Results'!D41*('BRA Resource Clearing Results'!G17-'BRA Resource Clearing Results'!G6)-'1stIA Resource Clearing Results'!L41*('1stIA Resource Clearing Results'!G17-'1stIA Resource Clearing Results'!G6)-'2ndIA Resource Clearing Results'!L41*('2ndIA Resource Clearing Results'!G17-'2ndIA Resource Clearing Results'!G6)</f>
        <v>0</v>
      </c>
      <c r="H20" s="157">
        <f>H13+(G20/B20)</f>
        <v>0</v>
      </c>
      <c r="I20" s="37">
        <f>'BRA Resource Clearing Results'!J85+'1stIA Resource Clearing Results'!I93+'2ndIA Resource Clearing Results'!I93</f>
        <v>6360.1220000000003</v>
      </c>
      <c r="J20" s="156">
        <f>J14+I20/B20</f>
        <v>0.77144381825758335</v>
      </c>
      <c r="K20" s="158">
        <f t="shared" si="1"/>
        <v>155.02817968833989</v>
      </c>
      <c r="L20" s="312"/>
    </row>
    <row r="21" spans="1:12" x14ac:dyDescent="0.2">
      <c r="A21" s="25" t="s">
        <v>92</v>
      </c>
      <c r="B21" s="36"/>
      <c r="C21" s="59"/>
      <c r="D21" s="354" t="s">
        <v>24</v>
      </c>
      <c r="E21" s="355" t="s">
        <v>24</v>
      </c>
      <c r="F21" s="61"/>
      <c r="G21" s="57" t="s">
        <v>24</v>
      </c>
      <c r="H21" s="35"/>
      <c r="I21" s="35"/>
      <c r="J21" s="356"/>
      <c r="K21" s="35"/>
      <c r="L21" s="298"/>
    </row>
    <row r="22" spans="1:12" x14ac:dyDescent="0.2">
      <c r="A22" s="313" t="s">
        <v>24</v>
      </c>
      <c r="B22" s="269"/>
      <c r="C22" s="289"/>
      <c r="D22" s="477" t="s">
        <v>32</v>
      </c>
      <c r="E22" s="289"/>
      <c r="F22" s="290"/>
      <c r="H22" s="269"/>
      <c r="I22" s="269"/>
      <c r="J22" s="289"/>
      <c r="K22" s="269"/>
      <c r="L22" s="298"/>
    </row>
    <row r="23" spans="1:12" x14ac:dyDescent="0.2">
      <c r="A23" s="313"/>
      <c r="B23" s="269"/>
      <c r="C23" s="289"/>
      <c r="D23" s="289"/>
      <c r="E23" s="289"/>
      <c r="F23" s="290"/>
      <c r="H23" s="269"/>
      <c r="I23" s="269"/>
      <c r="J23" s="289"/>
      <c r="K23" s="269"/>
      <c r="L23" s="298"/>
    </row>
    <row r="24" spans="1:12" ht="31.5" x14ac:dyDescent="0.25">
      <c r="A24" s="445" t="s">
        <v>135</v>
      </c>
      <c r="B24" s="4"/>
      <c r="C24" s="4" t="s">
        <v>24</v>
      </c>
      <c r="D24" s="314" t="s">
        <v>24</v>
      </c>
      <c r="E24" s="315" t="s">
        <v>24</v>
      </c>
      <c r="F24" s="4"/>
      <c r="G24" s="4"/>
      <c r="H24" s="4"/>
      <c r="I24" s="4"/>
      <c r="J24" s="14" t="s">
        <v>24</v>
      </c>
      <c r="K24" s="316" t="s">
        <v>24</v>
      </c>
      <c r="L24" s="4"/>
    </row>
    <row r="25" spans="1:12" ht="102" x14ac:dyDescent="0.2">
      <c r="A25" s="194" t="s">
        <v>61</v>
      </c>
      <c r="B25" s="475" t="s">
        <v>261</v>
      </c>
      <c r="C25" s="475" t="s">
        <v>346</v>
      </c>
      <c r="D25" s="166" t="s">
        <v>263</v>
      </c>
      <c r="E25" s="475" t="s">
        <v>195</v>
      </c>
      <c r="F25" s="475" t="s">
        <v>196</v>
      </c>
      <c r="G25" s="475" t="s">
        <v>232</v>
      </c>
      <c r="H25" s="475" t="s">
        <v>233</v>
      </c>
      <c r="I25" s="166" t="s">
        <v>197</v>
      </c>
      <c r="J25" s="166" t="s">
        <v>172</v>
      </c>
      <c r="K25" s="166" t="s">
        <v>264</v>
      </c>
      <c r="L25" s="4"/>
    </row>
    <row r="26" spans="1:12" x14ac:dyDescent="0.2">
      <c r="A26" s="189" t="s">
        <v>40</v>
      </c>
      <c r="B26" s="189"/>
      <c r="C26" s="353">
        <f>'BRA Resource Clearing Results'!E55-'1stIA Resource Clearing Results'!M67-'2ndIA Resource Clearing Results'!M67</f>
        <v>2141.1999999999998</v>
      </c>
      <c r="D26" s="33">
        <f>('BRA Resource Clearing Results'!E33*'BRA Resource Clearing Results'!C9-'1stIA Resource Clearing Results'!M33*'1stIA Resource Clearing Results'!C9-'2ndIA Resource Clearing Results'!M33*'2ndIA Resource Clearing Results'!C9)/('BRA Resource Clearing Results'!E33-'1stIA Resource Clearing Results'!M33-'2ndIA Resource Clearing Results'!M33)</f>
        <v>0</v>
      </c>
      <c r="E26" s="33">
        <f>('BRA Resource Clearing Results'!C55+'BRA Resource Clearing Results'!D55)*('BRA Resource Clearing Results'!E9-'BRA Resource Clearing Results'!E7)-('1stIA Resource Clearing Results'!K67+'1stIA Resource Clearing Results'!L67)*('1stIA Resource Clearing Results'!E9-'1stIA Resource Clearing Results'!E7)-('2ndIA Resource Clearing Results'!K67+'2ndIA Resource Clearing Results'!L67)*('2ndIA Resource Clearing Results'!E9-'2ndIA Resource Clearing Results'!E7)</f>
        <v>0</v>
      </c>
      <c r="F26" s="33"/>
      <c r="G26" s="33">
        <f>'BRA Resource Clearing Results'!D55*('BRA Resource Clearing Results'!G9-'BRA Resource Clearing Results'!G7)-'1stIA Resource Clearing Results'!L67*('1stIA Resource Clearing Results'!G9-'1stIA Resource Clearing Results'!G7)-'2ndIA Resource Clearing Results'!L67*('2ndIA Resource Clearing Results'!G9-'2ndIA Resource Clearing Results'!G7)</f>
        <v>0</v>
      </c>
      <c r="H26" s="33"/>
      <c r="I26" s="37">
        <f>'BRA Resource Clearing Results'!J77+'1stIA Resource Clearing Results'!I85+'2ndIA Resource Clearing Results'!I85</f>
        <v>0</v>
      </c>
      <c r="J26" s="189"/>
      <c r="K26" s="189"/>
      <c r="L26" s="4"/>
    </row>
    <row r="27" spans="1:12" x14ac:dyDescent="0.2">
      <c r="A27" s="189" t="s">
        <v>37</v>
      </c>
      <c r="B27" s="189"/>
      <c r="C27" s="353">
        <f>'BRA Resource Clearing Results'!E56-'1stIA Resource Clearing Results'!M68-'2ndIA Resource Clearing Results'!M68</f>
        <v>3195.3999999999996</v>
      </c>
      <c r="D27" s="33">
        <f>D26+('BRA Resource Clearing Results'!E34*'BRA Resource Clearing Results'!C10-'1stIA Resource Clearing Results'!M34*'1stIA Resource Clearing Results'!C10-'2ndIA Resource Clearing Results'!M34*'2ndIA Resource Clearing Results'!C10)/('BRA Resource Clearing Results'!E34-'1stIA Resource Clearing Results'!M34-'2ndIA Resource Clearing Results'!M34)</f>
        <v>0</v>
      </c>
      <c r="E27" s="33">
        <f>('BRA Resource Clearing Results'!C56+'BRA Resource Clearing Results'!D56)*('BRA Resource Clearing Results'!E10-'BRA Resource Clearing Results'!E7)-('1stIA Resource Clearing Results'!K68+'1stIA Resource Clearing Results'!L68)*('1stIA Resource Clearing Results'!E10-'1stIA Resource Clearing Results'!E7)-('2ndIA Resource Clearing Results'!K68+'2ndIA Resource Clearing Results'!L68)*('2ndIA Resource Clearing Results'!E10-'2ndIA Resource Clearing Results'!E7)</f>
        <v>0</v>
      </c>
      <c r="F27" s="33"/>
      <c r="G27" s="33">
        <f>'BRA Resource Clearing Results'!D56*('BRA Resource Clearing Results'!G10-'BRA Resource Clearing Results'!G7)-'1stIA Resource Clearing Results'!L68*('1stIA Resource Clearing Results'!G10-'1stIA Resource Clearing Results'!G7)-'2ndIA Resource Clearing Results'!L68*('2ndIA Resource Clearing Results'!G10-'2ndIA Resource Clearing Results'!G7)</f>
        <v>0</v>
      </c>
      <c r="H27" s="33"/>
      <c r="I27" s="37">
        <f>'BRA Resource Clearing Results'!J78+'1stIA Resource Clearing Results'!I86+'2ndIA Resource Clearing Results'!I86</f>
        <v>0</v>
      </c>
      <c r="J27" s="189"/>
      <c r="K27" s="189"/>
      <c r="L27" s="4"/>
    </row>
    <row r="28" spans="1:12" x14ac:dyDescent="0.2">
      <c r="A28" s="73" t="s">
        <v>8</v>
      </c>
      <c r="B28" s="155">
        <f>K15</f>
        <v>225.76451854713611</v>
      </c>
      <c r="C28" s="47">
        <f>C27+C26</f>
        <v>5336.5999999999995</v>
      </c>
      <c r="D28" s="446">
        <f>(C27*D27+C26*D26)/C28</f>
        <v>0</v>
      </c>
      <c r="E28" s="357">
        <f>E26+E27</f>
        <v>0</v>
      </c>
      <c r="F28" s="446">
        <f>E28/J58</f>
        <v>0</v>
      </c>
      <c r="G28" s="357">
        <f>G26+G27</f>
        <v>0</v>
      </c>
      <c r="H28" s="446">
        <f>G28/J58</f>
        <v>0</v>
      </c>
      <c r="I28" s="358">
        <f>I26+I27</f>
        <v>0</v>
      </c>
      <c r="J28" s="447">
        <f>I28/J58</f>
        <v>0</v>
      </c>
      <c r="K28" s="448">
        <f>B28+D28+F28+H28+J28</f>
        <v>225.76451854713611</v>
      </c>
      <c r="L28" s="317"/>
    </row>
    <row r="29" spans="1:12" x14ac:dyDescent="0.2">
      <c r="A29" s="189" t="s">
        <v>39</v>
      </c>
      <c r="B29" s="189"/>
      <c r="C29" s="47">
        <v>3928.8</v>
      </c>
      <c r="D29" s="33">
        <v>0</v>
      </c>
      <c r="E29" s="33">
        <v>0</v>
      </c>
      <c r="F29" s="33"/>
      <c r="G29" s="33">
        <v>0</v>
      </c>
      <c r="H29" s="33"/>
      <c r="I29" s="37">
        <v>0</v>
      </c>
      <c r="J29" s="189"/>
      <c r="K29" s="55"/>
      <c r="L29" s="4"/>
    </row>
    <row r="30" spans="1:12" x14ac:dyDescent="0.2">
      <c r="A30" s="189" t="s">
        <v>38</v>
      </c>
      <c r="B30" s="189"/>
      <c r="C30" s="353">
        <f>'BRA Resource Clearing Results'!E57-'1stIA Resource Clearing Results'!M69-'2ndIA Resource Clearing Results'!M69</f>
        <v>1700.2999999999997</v>
      </c>
      <c r="D30" s="33">
        <f>('BRA Resource Clearing Results'!E35*'BRA Resource Clearing Results'!C11-'1stIA Resource Clearing Results'!M35*'1stIA Resource Clearing Results'!C11-'2ndIA Resource Clearing Results'!M35*'2ndIA Resource Clearing Results'!C11)/('BRA Resource Clearing Results'!E35-'1stIA Resource Clearing Results'!M35-'2ndIA Resource Clearing Results'!M35)</f>
        <v>0</v>
      </c>
      <c r="E30" s="33">
        <f>('BRA Resource Clearing Results'!C57+'BRA Resource Clearing Results'!D57)*('BRA Resource Clearing Results'!E11-'BRA Resource Clearing Results'!E7)-('1stIA Resource Clearing Results'!K69+'1stIA Resource Clearing Results'!L69)*('1stIA Resource Clearing Results'!E11-'1stIA Resource Clearing Results'!E7)-('2ndIA Resource Clearing Results'!K69+'2ndIA Resource Clearing Results'!L69)*('2ndIA Resource Clearing Results'!E11-'2ndIA Resource Clearing Results'!E7)</f>
        <v>181.87599999999998</v>
      </c>
      <c r="F30" s="92"/>
      <c r="G30" s="33">
        <f>'BRA Resource Clearing Results'!D57*('BRA Resource Clearing Results'!G11-'BRA Resource Clearing Results'!G7)-'1stIA Resource Clearing Results'!L69*('1stIA Resource Clearing Results'!G11-'1stIA Resource Clearing Results'!G7)-'2ndIA Resource Clearing Results'!L69*('2ndIA Resource Clearing Results'!G11-'2ndIA Resource Clearing Results'!G7)</f>
        <v>0</v>
      </c>
      <c r="H30" s="92"/>
      <c r="I30" s="37">
        <f>'BRA Resource Clearing Results'!J79+'1stIA Resource Clearing Results'!I87+'2ndIA Resource Clearing Results'!I87</f>
        <v>0</v>
      </c>
      <c r="J30" s="189"/>
      <c r="K30" s="55"/>
      <c r="L30" s="4"/>
    </row>
    <row r="31" spans="1:12" x14ac:dyDescent="0.2">
      <c r="A31" s="73" t="s">
        <v>17</v>
      </c>
      <c r="B31" s="155">
        <f>K15</f>
        <v>225.76451854713611</v>
      </c>
      <c r="C31" s="47">
        <f>C29+C30</f>
        <v>5629.1</v>
      </c>
      <c r="D31" s="446">
        <f>(C30*D30+C29*D29)/C31</f>
        <v>0</v>
      </c>
      <c r="E31" s="357">
        <f>E29+E30</f>
        <v>181.87599999999998</v>
      </c>
      <c r="F31" s="446">
        <f>E31/J50</f>
        <v>4.0193482161021178E-2</v>
      </c>
      <c r="G31" s="357">
        <f>G29+G30</f>
        <v>0</v>
      </c>
      <c r="H31" s="446">
        <f>G31/J50</f>
        <v>0</v>
      </c>
      <c r="I31" s="358">
        <f>I29+I30</f>
        <v>0</v>
      </c>
      <c r="J31" s="447">
        <f>I31/J50</f>
        <v>0</v>
      </c>
      <c r="K31" s="448">
        <f>B31+D31+F31+H31+J31</f>
        <v>225.80471202929712</v>
      </c>
      <c r="L31" s="317"/>
    </row>
    <row r="32" spans="1:12" x14ac:dyDescent="0.2">
      <c r="A32" s="189" t="s">
        <v>130</v>
      </c>
      <c r="B32" s="189"/>
      <c r="C32" s="353">
        <f>'BRA Resource Clearing Results'!E59-'1stIA Resource Clearing Results'!M71-'2ndIA Resource Clearing Results'!M71</f>
        <v>8508.2000000000007</v>
      </c>
      <c r="D32" s="33">
        <f>('BRA Resource Clearing Results'!E37*'BRA Resource Clearing Results'!C13-'1stIA Resource Clearing Results'!M37*'1stIA Resource Clearing Results'!C13-'2ndIA Resource Clearing Results'!M37*'2ndIA Resource Clearing Results'!C13)/('BRA Resource Clearing Results'!E37-'1stIA Resource Clearing Results'!M37-'2ndIA Resource Clearing Results'!M37)</f>
        <v>0</v>
      </c>
      <c r="E32" s="33">
        <f>('BRA Resource Clearing Results'!C59+'BRA Resource Clearing Results'!D59)*('BRA Resource Clearing Results'!E13-'BRA Resource Clearing Results'!E5)-('1stIA Resource Clearing Results'!K71+'1stIA Resource Clearing Results'!L71)*('1stIA Resource Clearing Results'!E13-'1stIA Resource Clearing Results'!E5)-('2ndIA Resource Clearing Results'!K71+'2ndIA Resource Clearing Results'!L71)*('2ndIA Resource Clearing Results'!E13-'2ndIA Resource Clearing Results'!E5)</f>
        <v>0</v>
      </c>
      <c r="F32" s="33"/>
      <c r="G32" s="33">
        <f>'BRA Resource Clearing Results'!D59*('BRA Resource Clearing Results'!G13-'BRA Resource Clearing Results'!G5)-'1stIA Resource Clearing Results'!L71*('1stIA Resource Clearing Results'!G13-'1stIA Resource Clearing Results'!G5)-'2ndIA Resource Clearing Results'!L71*('2ndIA Resource Clearing Results'!G13-'2ndIA Resource Clearing Results'!G5)</f>
        <v>0</v>
      </c>
      <c r="H32" s="33"/>
      <c r="I32" s="37">
        <f>'BRA Resource Clearing Results'!J81+'1stIA Resource Clearing Results'!I89+'2ndIA Resource Clearing Results'!I89</f>
        <v>0</v>
      </c>
      <c r="J32" s="189"/>
      <c r="K32" s="55"/>
      <c r="L32" s="317"/>
    </row>
    <row r="33" spans="1:12" x14ac:dyDescent="0.2">
      <c r="A33" s="189" t="s">
        <v>129</v>
      </c>
      <c r="B33" s="189"/>
      <c r="C33" s="353">
        <f>'BRA Resource Clearing Results'!E60-'1stIA Resource Clearing Results'!M72-'2ndIA Resource Clearing Results'!M72</f>
        <v>2266.1999999999998</v>
      </c>
      <c r="D33" s="33">
        <f>D32+('BRA Resource Clearing Results'!E38*'BRA Resource Clearing Results'!C14-'1stIA Resource Clearing Results'!M38*'1stIA Resource Clearing Results'!C14-'2ndIA Resource Clearing Results'!M38*'2ndIA Resource Clearing Results'!C14)/('BRA Resource Clearing Results'!E38-'1stIA Resource Clearing Results'!M38-'2ndIA Resource Clearing Results'!M38)</f>
        <v>0</v>
      </c>
      <c r="E33" s="33">
        <f>('BRA Resource Clearing Results'!C60+'BRA Resource Clearing Results'!D60)*('BRA Resource Clearing Results'!E14-'BRA Resource Clearing Results'!E5)-('1stIA Resource Clearing Results'!K72+'1stIA Resource Clearing Results'!L72)*('1stIA Resource Clearing Results'!E14-'1stIA Resource Clearing Results'!E5)-('2ndIA Resource Clearing Results'!K72+'2ndIA Resource Clearing Results'!L72)*('2ndIA Resource Clearing Results'!E14-'2ndIA Resource Clearing Results'!E5)</f>
        <v>0</v>
      </c>
      <c r="F33" s="92"/>
      <c r="G33" s="33">
        <f>'BRA Resource Clearing Results'!D60*('BRA Resource Clearing Results'!G14-'BRA Resource Clearing Results'!G5)-'1stIA Resource Clearing Results'!L72*('1stIA Resource Clearing Results'!G14-'1stIA Resource Clearing Results'!G5)-'2ndIA Resource Clearing Results'!L72*('2ndIA Resource Clearing Results'!G14-'2ndIA Resource Clearing Results'!G5)</f>
        <v>0</v>
      </c>
      <c r="H33" s="92"/>
      <c r="I33" s="37">
        <f>'BRA Resource Clearing Results'!J82+'1stIA Resource Clearing Results'!I90+'2ndIA Resource Clearing Results'!I90</f>
        <v>0</v>
      </c>
      <c r="J33" s="189"/>
      <c r="K33" s="55"/>
      <c r="L33" s="317"/>
    </row>
    <row r="34" spans="1:12" x14ac:dyDescent="0.2">
      <c r="A34" s="73" t="s">
        <v>46</v>
      </c>
      <c r="B34" s="155">
        <f>K13</f>
        <v>164.68371134565828</v>
      </c>
      <c r="C34" s="47">
        <f>C32+C33</f>
        <v>10774.400000000001</v>
      </c>
      <c r="D34" s="446">
        <f>(C33*D33+C32*D32)/C34</f>
        <v>0</v>
      </c>
      <c r="E34" s="357">
        <f>E32+E33</f>
        <v>0</v>
      </c>
      <c r="F34" s="446">
        <f>E34/J43</f>
        <v>0</v>
      </c>
      <c r="G34" s="357">
        <f>G32+G33</f>
        <v>0</v>
      </c>
      <c r="H34" s="446">
        <f>G34/J43</f>
        <v>0</v>
      </c>
      <c r="I34" s="358">
        <f>I32+I33</f>
        <v>0</v>
      </c>
      <c r="J34" s="447">
        <f>I34/J43</f>
        <v>0</v>
      </c>
      <c r="K34" s="448">
        <f>B34+D34+F34+H34+J34</f>
        <v>164.68371134565828</v>
      </c>
      <c r="L34" s="317"/>
    </row>
    <row r="35" spans="1:12" x14ac:dyDescent="0.2">
      <c r="A35" s="601" t="s">
        <v>265</v>
      </c>
      <c r="B35" s="601"/>
      <c r="C35" s="356"/>
      <c r="D35" s="359"/>
      <c r="E35" s="360" t="s">
        <v>24</v>
      </c>
      <c r="F35" s="359"/>
      <c r="G35" s="359"/>
      <c r="H35" s="359"/>
      <c r="I35" s="361"/>
      <c r="J35" s="361"/>
      <c r="K35" s="362"/>
      <c r="L35" s="317"/>
    </row>
    <row r="36" spans="1:12" x14ac:dyDescent="0.2">
      <c r="A36" s="313" t="s">
        <v>24</v>
      </c>
      <c r="B36" s="313"/>
      <c r="C36" s="313"/>
      <c r="D36" s="313"/>
      <c r="E36" s="313" t="s">
        <v>24</v>
      </c>
      <c r="F36" s="313" t="s">
        <v>24</v>
      </c>
      <c r="G36" s="313" t="s">
        <v>24</v>
      </c>
      <c r="H36" s="16"/>
      <c r="I36" s="16"/>
      <c r="J36" s="16"/>
      <c r="K36" s="16"/>
      <c r="L36" s="4"/>
    </row>
    <row r="37" spans="1:12" x14ac:dyDescent="0.2">
      <c r="A37" s="7"/>
      <c r="B37" s="267"/>
      <c r="C37" s="267" t="s">
        <v>24</v>
      </c>
      <c r="D37" s="267" t="s">
        <v>24</v>
      </c>
      <c r="E37" s="296" t="s">
        <v>24</v>
      </c>
      <c r="F37" s="318" t="s">
        <v>24</v>
      </c>
      <c r="G37" s="319"/>
      <c r="H37" s="319"/>
      <c r="I37" s="319"/>
      <c r="J37" s="319"/>
      <c r="K37" s="319"/>
      <c r="L37" s="320"/>
    </row>
    <row r="38" spans="1:12" ht="18.75" x14ac:dyDescent="0.3">
      <c r="A38" s="449" t="s">
        <v>266</v>
      </c>
      <c r="B38" s="3"/>
      <c r="C38" s="2"/>
      <c r="D38" s="2"/>
      <c r="E38" s="321"/>
      <c r="F38" s="321"/>
      <c r="G38" s="322"/>
      <c r="H38" s="321"/>
      <c r="I38" s="321"/>
      <c r="J38" s="321"/>
      <c r="K38" s="321"/>
      <c r="L38" s="323"/>
    </row>
    <row r="39" spans="1:12" ht="51" x14ac:dyDescent="0.2">
      <c r="A39" s="212" t="s">
        <v>7</v>
      </c>
      <c r="B39" s="212" t="s">
        <v>28</v>
      </c>
      <c r="C39" s="212" t="s">
        <v>27</v>
      </c>
      <c r="D39" s="212" t="s">
        <v>33</v>
      </c>
      <c r="E39" s="212" t="s">
        <v>331</v>
      </c>
      <c r="F39" s="212" t="s">
        <v>22</v>
      </c>
      <c r="G39" s="212" t="s">
        <v>332</v>
      </c>
      <c r="H39" s="363" t="s">
        <v>23</v>
      </c>
      <c r="I39" s="363" t="s">
        <v>267</v>
      </c>
      <c r="J39" s="451" t="s">
        <v>268</v>
      </c>
      <c r="K39" s="450" t="s">
        <v>269</v>
      </c>
      <c r="L39" s="212" t="s">
        <v>7</v>
      </c>
    </row>
    <row r="40" spans="1:12" x14ac:dyDescent="0.2">
      <c r="A40" s="189" t="s">
        <v>16</v>
      </c>
      <c r="B40" s="97" t="s">
        <v>29</v>
      </c>
      <c r="C40" s="97" t="s">
        <v>36</v>
      </c>
      <c r="D40" s="97"/>
      <c r="E40" s="483">
        <v>2460</v>
      </c>
      <c r="F40" s="365">
        <f>G40/E40</f>
        <v>0.97642276422764229</v>
      </c>
      <c r="G40" s="366">
        <v>2402</v>
      </c>
      <c r="H40" s="98">
        <f>$B$8</f>
        <v>1.0679203957959797</v>
      </c>
      <c r="I40" s="98">
        <f>H40*F40</f>
        <v>1.0427417848381884</v>
      </c>
      <c r="J40" s="452">
        <f>E40*I40*$B$6</f>
        <v>2796.2643363441885</v>
      </c>
      <c r="K40" s="182">
        <f>K15</f>
        <v>225.76451854713611</v>
      </c>
      <c r="L40" s="213" t="s">
        <v>16</v>
      </c>
    </row>
    <row r="41" spans="1:12" x14ac:dyDescent="0.2">
      <c r="A41" s="189" t="s">
        <v>270</v>
      </c>
      <c r="B41" s="97"/>
      <c r="C41" s="97"/>
      <c r="D41" s="97"/>
      <c r="E41" s="483">
        <v>10677.5</v>
      </c>
      <c r="F41" s="365">
        <v>0.99856630824372761</v>
      </c>
      <c r="G41" s="369">
        <f>E41*F41</f>
        <v>10662.191756272401</v>
      </c>
      <c r="H41" s="98">
        <f t="shared" ref="H41:H59" si="2">$B$8</f>
        <v>1.0679203957959797</v>
      </c>
      <c r="I41" s="98">
        <f t="shared" ref="I41:I59" si="3">H41*F41</f>
        <v>1.0663893271281719</v>
      </c>
      <c r="J41" s="452">
        <f t="shared" ref="J41:J59" si="4">E41*I41*$B$6</f>
        <v>12412.284161252092</v>
      </c>
      <c r="K41" s="182">
        <f>K13</f>
        <v>164.68371134565828</v>
      </c>
      <c r="L41" s="213" t="s">
        <v>30</v>
      </c>
    </row>
    <row r="42" spans="1:12" x14ac:dyDescent="0.2">
      <c r="A42" s="189" t="s">
        <v>19</v>
      </c>
      <c r="B42" s="97" t="s">
        <v>24</v>
      </c>
      <c r="C42" s="97"/>
      <c r="D42" s="97"/>
      <c r="E42" s="483">
        <v>8440</v>
      </c>
      <c r="F42" s="365">
        <f t="shared" ref="F42:F59" si="5">G42/E42</f>
        <v>1.0140995260663508</v>
      </c>
      <c r="G42" s="369">
        <v>8559</v>
      </c>
      <c r="H42" s="98">
        <f t="shared" si="2"/>
        <v>1.0679203957959797</v>
      </c>
      <c r="I42" s="98">
        <f t="shared" si="3"/>
        <v>1.0829775672532929</v>
      </c>
      <c r="J42" s="452">
        <f t="shared" si="4"/>
        <v>9963.8744607701556</v>
      </c>
      <c r="K42" s="182">
        <f>K13</f>
        <v>164.68371134565828</v>
      </c>
      <c r="L42" s="213" t="s">
        <v>19</v>
      </c>
    </row>
    <row r="43" spans="1:12" x14ac:dyDescent="0.2">
      <c r="A43" s="189" t="s">
        <v>46</v>
      </c>
      <c r="B43" s="97"/>
      <c r="C43" s="97"/>
      <c r="D43" s="97" t="s">
        <v>46</v>
      </c>
      <c r="E43" s="483">
        <v>12660</v>
      </c>
      <c r="F43" s="365">
        <f t="shared" si="5"/>
        <v>0.99044233807266979</v>
      </c>
      <c r="G43" s="369">
        <v>12539</v>
      </c>
      <c r="H43" s="98">
        <f t="shared" si="2"/>
        <v>1.0679203957959797</v>
      </c>
      <c r="I43" s="98">
        <f t="shared" si="3"/>
        <v>1.0577135736876611</v>
      </c>
      <c r="J43" s="452">
        <f t="shared" si="4"/>
        <v>14597.1517541298</v>
      </c>
      <c r="K43" s="182">
        <f>K34</f>
        <v>164.68371134565828</v>
      </c>
      <c r="L43" s="213" t="s">
        <v>46</v>
      </c>
    </row>
    <row r="44" spans="1:12" x14ac:dyDescent="0.2">
      <c r="A44" s="189" t="s">
        <v>11</v>
      </c>
      <c r="B44" s="97" t="s">
        <v>29</v>
      </c>
      <c r="C44" s="97" t="s">
        <v>5</v>
      </c>
      <c r="D44" s="213" t="s">
        <v>11</v>
      </c>
      <c r="E44" s="483">
        <v>6330</v>
      </c>
      <c r="F44" s="365">
        <f t="shared" si="5"/>
        <v>1.0497630331753554</v>
      </c>
      <c r="G44" s="369">
        <v>6645</v>
      </c>
      <c r="H44" s="98">
        <f t="shared" si="2"/>
        <v>1.0679203957959797</v>
      </c>
      <c r="I44" s="98">
        <f t="shared" si="3"/>
        <v>1.1210633538806136</v>
      </c>
      <c r="J44" s="452">
        <f t="shared" si="4"/>
        <v>7735.7104558730771</v>
      </c>
      <c r="K44" s="182">
        <f>K19</f>
        <v>158.21285653497341</v>
      </c>
      <c r="L44" s="213" t="s">
        <v>11</v>
      </c>
    </row>
    <row r="45" spans="1:12" x14ac:dyDescent="0.2">
      <c r="A45" s="189" t="s">
        <v>271</v>
      </c>
      <c r="B45" s="97"/>
      <c r="C45" s="97"/>
      <c r="D45" s="213" t="s">
        <v>20</v>
      </c>
      <c r="E45" s="483">
        <v>20227</v>
      </c>
      <c r="F45" s="365">
        <v>1.0532101167315175</v>
      </c>
      <c r="G45" s="369">
        <f>E45*F45</f>
        <v>21303.281031128405</v>
      </c>
      <c r="H45" s="98">
        <f t="shared" si="2"/>
        <v>1.0679203957959797</v>
      </c>
      <c r="I45" s="98">
        <f t="shared" si="3"/>
        <v>1.1247445647162522</v>
      </c>
      <c r="J45" s="452">
        <f t="shared" si="4"/>
        <v>24800.002079293095</v>
      </c>
      <c r="K45" s="182">
        <f>K18</f>
        <v>216.22684066890037</v>
      </c>
      <c r="L45" s="213" t="s">
        <v>20</v>
      </c>
    </row>
    <row r="46" spans="1:12" x14ac:dyDescent="0.2">
      <c r="A46" s="189" t="s">
        <v>21</v>
      </c>
      <c r="B46" s="97"/>
      <c r="C46" s="97"/>
      <c r="D46" s="97"/>
      <c r="E46" s="483">
        <v>3270</v>
      </c>
      <c r="F46" s="365">
        <f t="shared" si="5"/>
        <v>1.0146788990825688</v>
      </c>
      <c r="G46" s="366">
        <v>3318</v>
      </c>
      <c r="H46" s="98">
        <f t="shared" si="2"/>
        <v>1.0679203957959797</v>
      </c>
      <c r="I46" s="98">
        <f t="shared" si="3"/>
        <v>1.083596291514086</v>
      </c>
      <c r="J46" s="452">
        <f t="shared" si="4"/>
        <v>3862.6165978309823</v>
      </c>
      <c r="K46" s="182">
        <f>K13</f>
        <v>164.68371134565828</v>
      </c>
      <c r="L46" s="213" t="s">
        <v>21</v>
      </c>
    </row>
    <row r="47" spans="1:12" x14ac:dyDescent="0.2">
      <c r="A47" s="189" t="s">
        <v>272</v>
      </c>
      <c r="B47" s="97"/>
      <c r="C47" s="97"/>
      <c r="D47" s="97"/>
      <c r="E47" s="483">
        <v>4197.3999999999996</v>
      </c>
      <c r="F47" s="365">
        <v>1.0609561752988048</v>
      </c>
      <c r="G47" s="369">
        <f>E47*F47</f>
        <v>4453.257450199203</v>
      </c>
      <c r="H47" s="98">
        <f t="shared" si="2"/>
        <v>1.0679203957959797</v>
      </c>
      <c r="I47" s="98">
        <f t="shared" si="3"/>
        <v>1.1330167386472885</v>
      </c>
      <c r="J47" s="452">
        <f t="shared" si="4"/>
        <v>5184.2152325358402</v>
      </c>
      <c r="K47" s="182">
        <f>K13</f>
        <v>164.68371134565828</v>
      </c>
      <c r="L47" s="213" t="s">
        <v>56</v>
      </c>
    </row>
    <row r="48" spans="1:12" x14ac:dyDescent="0.2">
      <c r="A48" s="189" t="s">
        <v>45</v>
      </c>
      <c r="B48" s="97"/>
      <c r="C48" s="97"/>
      <c r="D48" s="97"/>
      <c r="E48" s="483">
        <v>2750</v>
      </c>
      <c r="F48" s="365">
        <f t="shared" si="5"/>
        <v>1.0098181818181817</v>
      </c>
      <c r="G48" s="366">
        <v>2777</v>
      </c>
      <c r="H48" s="98">
        <f t="shared" si="2"/>
        <v>1.0679203957959797</v>
      </c>
      <c r="I48" s="98">
        <f t="shared" si="3"/>
        <v>1.0784054324092494</v>
      </c>
      <c r="J48" s="452">
        <f t="shared" si="4"/>
        <v>3232.8168451406377</v>
      </c>
      <c r="K48" s="182">
        <f>K13</f>
        <v>164.68371134565828</v>
      </c>
      <c r="L48" s="213" t="s">
        <v>45</v>
      </c>
    </row>
    <row r="49" spans="1:12" x14ac:dyDescent="0.2">
      <c r="A49" s="189" t="s">
        <v>31</v>
      </c>
      <c r="B49" s="97"/>
      <c r="C49" s="97"/>
      <c r="D49" s="97"/>
      <c r="E49" s="483">
        <v>18450</v>
      </c>
      <c r="F49" s="365">
        <f t="shared" si="5"/>
        <v>1.0468834688346884</v>
      </c>
      <c r="G49" s="366">
        <v>19315</v>
      </c>
      <c r="H49" s="98">
        <f t="shared" si="2"/>
        <v>1.0679203957959797</v>
      </c>
      <c r="I49" s="98">
        <f t="shared" si="3"/>
        <v>1.1179882083902086</v>
      </c>
      <c r="J49" s="452">
        <f t="shared" si="4"/>
        <v>22485.364553075771</v>
      </c>
      <c r="K49" s="182">
        <f>K13</f>
        <v>164.68371134565828</v>
      </c>
      <c r="L49" s="213" t="s">
        <v>31</v>
      </c>
    </row>
    <row r="50" spans="1:12" x14ac:dyDescent="0.2">
      <c r="A50" s="189" t="s">
        <v>17</v>
      </c>
      <c r="B50" s="97" t="s">
        <v>29</v>
      </c>
      <c r="C50" s="97" t="s">
        <v>36</v>
      </c>
      <c r="D50" s="97" t="s">
        <v>17</v>
      </c>
      <c r="E50" s="483">
        <v>3740</v>
      </c>
      <c r="F50" s="365">
        <f t="shared" si="5"/>
        <v>1.0393048128342246</v>
      </c>
      <c r="G50" s="366">
        <v>3887</v>
      </c>
      <c r="H50" s="98">
        <f t="shared" si="2"/>
        <v>1.0679203957959797</v>
      </c>
      <c r="I50" s="98">
        <f t="shared" si="3"/>
        <v>1.1098948070745918</v>
      </c>
      <c r="J50" s="452">
        <f t="shared" si="4"/>
        <v>4525.0122711781269</v>
      </c>
      <c r="K50" s="182">
        <f>K31</f>
        <v>225.80471202929712</v>
      </c>
      <c r="L50" s="213" t="s">
        <v>17</v>
      </c>
    </row>
    <row r="51" spans="1:12" x14ac:dyDescent="0.2">
      <c r="A51" s="189" t="s">
        <v>273</v>
      </c>
      <c r="B51" s="97"/>
      <c r="C51" s="97"/>
      <c r="D51" s="97"/>
      <c r="E51" s="483">
        <v>2089.1999999999998</v>
      </c>
      <c r="F51" s="365">
        <v>1.0063829787234042</v>
      </c>
      <c r="G51" s="369">
        <f>E51*F51</f>
        <v>2102.5353191489357</v>
      </c>
      <c r="H51" s="98">
        <f t="shared" si="2"/>
        <v>1.0679203957959797</v>
      </c>
      <c r="I51" s="98">
        <f t="shared" si="3"/>
        <v>1.0747369089606349</v>
      </c>
      <c r="J51" s="452">
        <f t="shared" si="4"/>
        <v>2447.6455157536284</v>
      </c>
      <c r="K51" s="182">
        <f>K13</f>
        <v>164.68371134565828</v>
      </c>
      <c r="L51" s="213" t="s">
        <v>133</v>
      </c>
    </row>
    <row r="52" spans="1:12" x14ac:dyDescent="0.2">
      <c r="A52" s="189" t="s">
        <v>12</v>
      </c>
      <c r="B52" s="97" t="s">
        <v>29</v>
      </c>
      <c r="C52" s="97" t="s">
        <v>36</v>
      </c>
      <c r="D52" s="97"/>
      <c r="E52" s="483">
        <v>5650</v>
      </c>
      <c r="F52" s="365">
        <f t="shared" si="5"/>
        <v>1.0380530973451327</v>
      </c>
      <c r="G52" s="366">
        <v>5865</v>
      </c>
      <c r="H52" s="98">
        <f t="shared" si="2"/>
        <v>1.0679203957959797</v>
      </c>
      <c r="I52" s="98">
        <f t="shared" si="3"/>
        <v>1.1085580745740569</v>
      </c>
      <c r="J52" s="452">
        <f t="shared" si="4"/>
        <v>6827.6812375764648</v>
      </c>
      <c r="K52" s="182">
        <f>K15</f>
        <v>225.76451854713611</v>
      </c>
      <c r="L52" s="213" t="s">
        <v>12</v>
      </c>
    </row>
    <row r="53" spans="1:12" x14ac:dyDescent="0.2">
      <c r="A53" s="189" t="s">
        <v>13</v>
      </c>
      <c r="B53" s="97" t="s">
        <v>29</v>
      </c>
      <c r="C53" s="97"/>
      <c r="D53" s="97"/>
      <c r="E53" s="483">
        <v>2850</v>
      </c>
      <c r="F53" s="365">
        <f t="shared" si="5"/>
        <v>1.0042105263157894</v>
      </c>
      <c r="G53" s="366">
        <v>2862</v>
      </c>
      <c r="H53" s="98">
        <f t="shared" si="2"/>
        <v>1.0679203957959797</v>
      </c>
      <c r="I53" s="98">
        <f t="shared" si="3"/>
        <v>1.0724169027256469</v>
      </c>
      <c r="J53" s="452">
        <f t="shared" si="4"/>
        <v>3331.7687471344993</v>
      </c>
      <c r="K53" s="182">
        <f>K14</f>
        <v>164.68371134565828</v>
      </c>
      <c r="L53" s="213" t="s">
        <v>13</v>
      </c>
    </row>
    <row r="54" spans="1:12" x14ac:dyDescent="0.2">
      <c r="A54" s="189" t="s">
        <v>9</v>
      </c>
      <c r="B54" s="97" t="s">
        <v>29</v>
      </c>
      <c r="C54" s="97" t="s">
        <v>36</v>
      </c>
      <c r="D54" s="97"/>
      <c r="E54" s="483">
        <v>8120</v>
      </c>
      <c r="F54" s="365">
        <f t="shared" si="5"/>
        <v>1.0257389162561577</v>
      </c>
      <c r="G54" s="366">
        <v>8329</v>
      </c>
      <c r="H54" s="98">
        <f t="shared" si="2"/>
        <v>1.0679203957959797</v>
      </c>
      <c r="I54" s="98">
        <f t="shared" si="3"/>
        <v>1.0954075094316151</v>
      </c>
      <c r="J54" s="452">
        <f t="shared" si="4"/>
        <v>9696.1222553749976</v>
      </c>
      <c r="K54" s="182">
        <f>K15</f>
        <v>225.76451854713611</v>
      </c>
      <c r="L54" s="213" t="s">
        <v>9</v>
      </c>
    </row>
    <row r="55" spans="1:12" x14ac:dyDescent="0.2">
      <c r="A55" s="189" t="s">
        <v>14</v>
      </c>
      <c r="B55" s="97" t="s">
        <v>29</v>
      </c>
      <c r="C55" s="97"/>
      <c r="D55" s="97"/>
      <c r="E55" s="483">
        <v>2770</v>
      </c>
      <c r="F55" s="365">
        <f t="shared" si="5"/>
        <v>1.0007220216606498</v>
      </c>
      <c r="G55" s="366">
        <v>2772</v>
      </c>
      <c r="H55" s="98">
        <f t="shared" si="2"/>
        <v>1.0679203957959797</v>
      </c>
      <c r="I55" s="98">
        <f t="shared" si="3"/>
        <v>1.0686914574535942</v>
      </c>
      <c r="J55" s="452">
        <f t="shared" si="4"/>
        <v>3226.9961450233518</v>
      </c>
      <c r="K55" s="182">
        <f>K14</f>
        <v>164.68371134565828</v>
      </c>
      <c r="L55" s="213" t="s">
        <v>14</v>
      </c>
    </row>
    <row r="56" spans="1:12" x14ac:dyDescent="0.2">
      <c r="A56" s="189" t="s">
        <v>15</v>
      </c>
      <c r="B56" s="97" t="s">
        <v>29</v>
      </c>
      <c r="C56" s="97" t="s">
        <v>5</v>
      </c>
      <c r="D56" s="97" t="s">
        <v>15</v>
      </c>
      <c r="E56" s="483">
        <v>6030</v>
      </c>
      <c r="F56" s="365">
        <f t="shared" si="5"/>
        <v>1.0532338308457712</v>
      </c>
      <c r="G56" s="366">
        <v>6351</v>
      </c>
      <c r="H56" s="98">
        <f t="shared" si="2"/>
        <v>1.0679203957959797</v>
      </c>
      <c r="I56" s="98">
        <f t="shared" si="3"/>
        <v>1.124769889502532</v>
      </c>
      <c r="J56" s="452">
        <f t="shared" si="4"/>
        <v>7393.4532889766624</v>
      </c>
      <c r="K56" s="182">
        <f>K17</f>
        <v>156.9374038295293</v>
      </c>
      <c r="L56" s="213" t="s">
        <v>15</v>
      </c>
    </row>
    <row r="57" spans="1:12" x14ac:dyDescent="0.2">
      <c r="A57" s="189" t="s">
        <v>10</v>
      </c>
      <c r="B57" s="97" t="s">
        <v>29</v>
      </c>
      <c r="C57" s="97"/>
      <c r="D57" s="213" t="s">
        <v>10</v>
      </c>
      <c r="E57" s="483">
        <f>6680+190</f>
        <v>6870</v>
      </c>
      <c r="F57" s="365">
        <f t="shared" si="5"/>
        <v>1.030858806404658</v>
      </c>
      <c r="G57" s="366">
        <v>7082</v>
      </c>
      <c r="H57" s="98">
        <f t="shared" si="2"/>
        <v>1.0679203957959797</v>
      </c>
      <c r="I57" s="98">
        <f t="shared" si="3"/>
        <v>1.1008751445454337</v>
      </c>
      <c r="J57" s="452">
        <f t="shared" si="4"/>
        <v>8244.4396461238739</v>
      </c>
      <c r="K57" s="182">
        <f>K20</f>
        <v>155.02817968833989</v>
      </c>
      <c r="L57" s="213" t="s">
        <v>10</v>
      </c>
    </row>
    <row r="58" spans="1:12" x14ac:dyDescent="0.2">
      <c r="A58" s="189" t="s">
        <v>8</v>
      </c>
      <c r="B58" s="97" t="s">
        <v>29</v>
      </c>
      <c r="C58" s="97" t="s">
        <v>36</v>
      </c>
      <c r="D58" s="97" t="s">
        <v>8</v>
      </c>
      <c r="E58" s="483">
        <v>9530</v>
      </c>
      <c r="F58" s="365">
        <f t="shared" si="5"/>
        <v>1.0179433368310598</v>
      </c>
      <c r="G58" s="366">
        <v>9701</v>
      </c>
      <c r="H58" s="98">
        <f t="shared" si="2"/>
        <v>1.0679203957959797</v>
      </c>
      <c r="I58" s="98">
        <f t="shared" si="3"/>
        <v>1.0870824511665056</v>
      </c>
      <c r="J58" s="452">
        <f t="shared" si="4"/>
        <v>11293.322367558272</v>
      </c>
      <c r="K58" s="182">
        <f>K28</f>
        <v>225.76451854713611</v>
      </c>
      <c r="L58" s="213" t="s">
        <v>8</v>
      </c>
    </row>
    <row r="59" spans="1:12" x14ac:dyDescent="0.2">
      <c r="A59" s="189" t="s">
        <v>18</v>
      </c>
      <c r="B59" s="97" t="s">
        <v>29</v>
      </c>
      <c r="C59" s="97" t="s">
        <v>36</v>
      </c>
      <c r="D59" s="97"/>
      <c r="E59" s="483">
        <v>385</v>
      </c>
      <c r="F59" s="365">
        <f t="shared" si="5"/>
        <v>1.0025974025974025</v>
      </c>
      <c r="G59" s="366">
        <v>386</v>
      </c>
      <c r="H59" s="98">
        <f t="shared" si="2"/>
        <v>1.0679203957959797</v>
      </c>
      <c r="I59" s="98">
        <f t="shared" si="3"/>
        <v>1.0706942150058394</v>
      </c>
      <c r="J59" s="452">
        <f t="shared" si="4"/>
        <v>449.35804905447827</v>
      </c>
      <c r="K59" s="182">
        <f>K15</f>
        <v>225.76451854713611</v>
      </c>
      <c r="L59" s="213" t="s">
        <v>18</v>
      </c>
    </row>
    <row r="60" spans="1:12" x14ac:dyDescent="0.2">
      <c r="A60" s="374" t="s">
        <v>74</v>
      </c>
      <c r="B60" s="25"/>
      <c r="C60" s="23"/>
      <c r="D60" s="23"/>
      <c r="E60" s="370">
        <f>SUM(E40:E59)</f>
        <v>137496.09999999998</v>
      </c>
      <c r="F60" s="371"/>
      <c r="G60" s="370">
        <f>SUM(G40:G59)</f>
        <v>141311.26555674896</v>
      </c>
      <c r="H60" s="372"/>
      <c r="I60" s="372"/>
      <c r="J60" s="373">
        <f>SUM(J40:J59)</f>
        <v>164506.1</v>
      </c>
      <c r="K60" s="396" t="s">
        <v>24</v>
      </c>
      <c r="L60" s="396"/>
    </row>
    <row r="61" spans="1:12" x14ac:dyDescent="0.2">
      <c r="A61" s="436" t="s">
        <v>274</v>
      </c>
      <c r="B61" s="25"/>
      <c r="C61" s="23"/>
      <c r="D61" s="23"/>
      <c r="E61" s="375" t="s">
        <v>24</v>
      </c>
      <c r="F61" s="376"/>
      <c r="G61" s="377" t="s">
        <v>24</v>
      </c>
      <c r="H61" s="377"/>
      <c r="I61" s="64"/>
      <c r="J61" s="64"/>
      <c r="K61" s="378"/>
      <c r="L61" s="379"/>
    </row>
    <row r="62" spans="1:12" x14ac:dyDescent="0.2">
      <c r="J62" t="s">
        <v>24</v>
      </c>
    </row>
  </sheetData>
  <mergeCells count="1">
    <mergeCell ref="A35:B35"/>
  </mergeCells>
  <pageMargins left="0.5" right="0.5" top="0.5" bottom="0.5" header="0" footer="0"/>
  <pageSetup paperSize="17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workbookViewId="0"/>
  </sheetViews>
  <sheetFormatPr defaultRowHeight="12.75" x14ac:dyDescent="0.2"/>
  <cols>
    <col min="1" max="30" width="16.7109375" customWidth="1"/>
  </cols>
  <sheetData>
    <row r="1" spans="1:25" ht="18.75" x14ac:dyDescent="0.3">
      <c r="A1" s="112" t="s">
        <v>327</v>
      </c>
      <c r="B1" s="4"/>
      <c r="C1" s="4"/>
      <c r="D1" s="4"/>
      <c r="E1" s="4"/>
      <c r="F1" s="324" t="s">
        <v>24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8.75" x14ac:dyDescent="0.3">
      <c r="A2" s="1" t="s">
        <v>24</v>
      </c>
      <c r="B2" s="4"/>
      <c r="C2" s="4" t="s">
        <v>24</v>
      </c>
      <c r="D2" s="14" t="s">
        <v>24</v>
      </c>
      <c r="E2" s="325" t="s">
        <v>24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.75" x14ac:dyDescent="0.3">
      <c r="A3" s="453" t="s">
        <v>69</v>
      </c>
      <c r="B3" s="1"/>
      <c r="C3" s="326" t="s">
        <v>24</v>
      </c>
      <c r="D3" s="263" t="s">
        <v>24</v>
      </c>
      <c r="F3" s="263"/>
      <c r="G3" s="4"/>
      <c r="H3" s="4"/>
      <c r="I3" s="4" t="s">
        <v>24</v>
      </c>
      <c r="J3" s="4"/>
      <c r="K3" s="315"/>
      <c r="L3" s="315"/>
      <c r="Y3" s="315"/>
    </row>
    <row r="4" spans="1:25" ht="89.25" x14ac:dyDescent="0.2">
      <c r="A4" s="166" t="s">
        <v>3</v>
      </c>
      <c r="B4" s="475" t="s">
        <v>257</v>
      </c>
      <c r="C4" s="475" t="s">
        <v>276</v>
      </c>
      <c r="D4" s="475" t="s">
        <v>277</v>
      </c>
      <c r="E4" s="166" t="s">
        <v>72</v>
      </c>
      <c r="F4" s="166" t="s">
        <v>278</v>
      </c>
      <c r="G4" s="166" t="s">
        <v>80</v>
      </c>
      <c r="H4" s="166" t="s">
        <v>279</v>
      </c>
      <c r="I4" s="457" t="s">
        <v>351</v>
      </c>
      <c r="J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5" x14ac:dyDescent="0.2">
      <c r="A5" s="381" t="s">
        <v>29</v>
      </c>
      <c r="B5" s="382">
        <f>'2nd IA Load Pricing Results'!B14</f>
        <v>65520.128800217986</v>
      </c>
      <c r="C5" s="367">
        <f>'BRA Resource Clearing Results'!E30-'1stIA Resource Clearing Results'!M30-'2ndIA Resource Clearing Results'!M30</f>
        <v>65774.3</v>
      </c>
      <c r="D5" s="384">
        <f>MAX(0,B5-C5)</f>
        <v>0</v>
      </c>
      <c r="E5" s="117">
        <v>0</v>
      </c>
      <c r="F5" s="53">
        <f t="shared" ref="F5:F14" si="0">D5-E5</f>
        <v>0</v>
      </c>
      <c r="G5" s="53">
        <f>'2nd IA ICTRs'!C26</f>
        <v>0</v>
      </c>
      <c r="H5" s="53">
        <f>'2nd IA ICTRs'!C13+'2nd IA ICTRs'!C20</f>
        <v>0</v>
      </c>
      <c r="I5" s="469">
        <f t="shared" ref="I5:I14" si="1">F5-G5-H5</f>
        <v>0</v>
      </c>
      <c r="J5" s="327" t="s">
        <v>24</v>
      </c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</row>
    <row r="6" spans="1:25" x14ac:dyDescent="0.2">
      <c r="A6" s="381" t="s">
        <v>36</v>
      </c>
      <c r="B6" s="382">
        <f>'2nd IA Load Pricing Results'!B15</f>
        <v>35587.760517086528</v>
      </c>
      <c r="C6" s="367">
        <f>'BRA Resource Clearing Results'!E31-'1stIA Resource Clearing Results'!M31-'2ndIA Resource Clearing Results'!M31</f>
        <v>30693.7</v>
      </c>
      <c r="D6" s="384">
        <f>B6-C6-29.7884079036201</f>
        <v>4864.2721091829071</v>
      </c>
      <c r="E6" s="117">
        <v>0</v>
      </c>
      <c r="F6" s="383">
        <f t="shared" si="0"/>
        <v>4864.2721091829071</v>
      </c>
      <c r="G6" s="53">
        <v>0</v>
      </c>
      <c r="H6" s="53">
        <f>'2nd IA ICTRs'!D13+'2nd IA ICTRs'!D20</f>
        <v>898</v>
      </c>
      <c r="I6" s="470">
        <f t="shared" si="1"/>
        <v>3966.2721091829071</v>
      </c>
      <c r="J6" s="327" t="s">
        <v>24</v>
      </c>
      <c r="M6" s="267" t="s">
        <v>24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</row>
    <row r="7" spans="1:25" x14ac:dyDescent="0.2">
      <c r="A7" s="381" t="s">
        <v>5</v>
      </c>
      <c r="B7" s="382">
        <f>'2nd IA Load Pricing Results'!B16</f>
        <v>15129.163744849739</v>
      </c>
      <c r="C7" s="367">
        <f>'BRA Resource Clearing Results'!E32-'1stIA Resource Clearing Results'!M32-'2ndIA Resource Clearing Results'!M32</f>
        <v>11235.899999999998</v>
      </c>
      <c r="D7" s="384">
        <f>B7-C7</f>
        <v>3893.2637448497408</v>
      </c>
      <c r="E7" s="117">
        <v>0</v>
      </c>
      <c r="F7" s="383">
        <f t="shared" si="0"/>
        <v>3893.2637448497408</v>
      </c>
      <c r="G7" s="53">
        <v>0</v>
      </c>
      <c r="H7" s="53">
        <f>'2nd IA ICTRs'!E13+'2nd IA ICTRs'!E20</f>
        <v>1044</v>
      </c>
      <c r="I7" s="470">
        <f t="shared" si="1"/>
        <v>2849.2637448497408</v>
      </c>
      <c r="J7" s="327" t="s">
        <v>24</v>
      </c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</row>
    <row r="8" spans="1:25" x14ac:dyDescent="0.2">
      <c r="A8" s="381" t="s">
        <v>43</v>
      </c>
      <c r="B8" s="382">
        <f>'2nd IA Load Pricing Results'!J58</f>
        <v>11293.322367558272</v>
      </c>
      <c r="C8" s="367">
        <f>'2nd IA Load Pricing Results'!C28</f>
        <v>5336.5999999999995</v>
      </c>
      <c r="D8" s="385">
        <f>B8-C8</f>
        <v>5956.7223675582727</v>
      </c>
      <c r="E8" s="117">
        <v>0</v>
      </c>
      <c r="F8" s="383">
        <f t="shared" si="0"/>
        <v>5956.7223675582727</v>
      </c>
      <c r="G8" s="53">
        <v>0</v>
      </c>
      <c r="H8" s="53">
        <v>0</v>
      </c>
      <c r="I8" s="470">
        <f t="shared" si="1"/>
        <v>5956.7223675582727</v>
      </c>
      <c r="J8" s="327" t="s">
        <v>24</v>
      </c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</row>
    <row r="9" spans="1:25" x14ac:dyDescent="0.2">
      <c r="A9" s="381" t="s">
        <v>41</v>
      </c>
      <c r="B9" s="382">
        <f>'2nd IA Load Pricing Results'!J50</f>
        <v>4525.0122711781269</v>
      </c>
      <c r="C9" s="367">
        <f>'2nd IA Load Pricing Results'!C31</f>
        <v>5629.1</v>
      </c>
      <c r="D9" s="384">
        <f>MAX(0,B9-C9)</f>
        <v>0</v>
      </c>
      <c r="E9" s="117">
        <v>0</v>
      </c>
      <c r="F9" s="342">
        <f t="shared" si="0"/>
        <v>0</v>
      </c>
      <c r="G9" s="53">
        <f>'2nd IA ICTRs'!I26</f>
        <v>0</v>
      </c>
      <c r="H9" s="53">
        <v>0</v>
      </c>
      <c r="I9" s="471">
        <f t="shared" si="1"/>
        <v>0</v>
      </c>
      <c r="J9" s="327" t="s">
        <v>24</v>
      </c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</row>
    <row r="10" spans="1:25" x14ac:dyDescent="0.2">
      <c r="A10" s="381" t="s">
        <v>15</v>
      </c>
      <c r="B10" s="382">
        <f>'2nd IA Load Pricing Results'!B17</f>
        <v>7393.4532889766624</v>
      </c>
      <c r="C10" s="367">
        <f>'BRA Resource Clearing Results'!E36-'1stIA Resource Clearing Results'!M36-'2ndIA Resource Clearing Results'!M36</f>
        <v>5574.2</v>
      </c>
      <c r="D10" s="384">
        <f>B10-C10</f>
        <v>1819.2532889766626</v>
      </c>
      <c r="E10" s="117">
        <v>0</v>
      </c>
      <c r="F10" s="53">
        <f t="shared" si="0"/>
        <v>1819.2532889766626</v>
      </c>
      <c r="G10" s="53">
        <v>0</v>
      </c>
      <c r="H10" s="53">
        <f>'2nd IA ICTRs'!J13+'2nd IA ICTRs'!J20</f>
        <v>315</v>
      </c>
      <c r="I10" s="470">
        <f t="shared" si="1"/>
        <v>1504.2532889766626</v>
      </c>
      <c r="J10" s="327" t="s">
        <v>24</v>
      </c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</row>
    <row r="11" spans="1:25" x14ac:dyDescent="0.2">
      <c r="A11" s="381" t="s">
        <v>46</v>
      </c>
      <c r="B11" s="382">
        <f>'2nd IA Load Pricing Results'!J43</f>
        <v>14597.1517541298</v>
      </c>
      <c r="C11" s="367">
        <f>'2nd IA Load Pricing Results'!C34</f>
        <v>10774.400000000001</v>
      </c>
      <c r="D11" s="385">
        <f>B11-C11</f>
        <v>3822.7517541297984</v>
      </c>
      <c r="E11" s="117">
        <v>0</v>
      </c>
      <c r="F11" s="53">
        <f t="shared" si="0"/>
        <v>3822.7517541297984</v>
      </c>
      <c r="G11" s="53">
        <v>0</v>
      </c>
      <c r="H11" s="53">
        <v>0</v>
      </c>
      <c r="I11" s="470">
        <f t="shared" si="1"/>
        <v>3822.7517541297984</v>
      </c>
      <c r="J11" s="327" t="s">
        <v>24</v>
      </c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</row>
    <row r="12" spans="1:25" x14ac:dyDescent="0.2">
      <c r="A12" s="381" t="s">
        <v>20</v>
      </c>
      <c r="B12" s="382">
        <f>'2nd IA Load Pricing Results'!B18</f>
        <v>24800.002079293095</v>
      </c>
      <c r="C12" s="367">
        <f>'BRA Resource Clearing Results'!E39-'1stIA Resource Clearing Results'!M39-'2ndIA Resource Clearing Results'!M39</f>
        <v>22726.000000000004</v>
      </c>
      <c r="D12" s="384">
        <f>B12-C12</f>
        <v>2074.0020792930918</v>
      </c>
      <c r="E12" s="117">
        <v>0</v>
      </c>
      <c r="F12" s="53">
        <f t="shared" si="0"/>
        <v>2074.0020792930918</v>
      </c>
      <c r="G12" s="53">
        <v>0</v>
      </c>
      <c r="H12" s="53">
        <v>0</v>
      </c>
      <c r="I12" s="470">
        <f t="shared" si="1"/>
        <v>2074.0020792930918</v>
      </c>
      <c r="J12" s="327" t="s">
        <v>24</v>
      </c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</row>
    <row r="13" spans="1:25" x14ac:dyDescent="0.2">
      <c r="A13" s="381" t="s">
        <v>11</v>
      </c>
      <c r="B13" s="382">
        <f>'2nd IA Load Pricing Results'!B19</f>
        <v>7735.7104558730771</v>
      </c>
      <c r="C13" s="367">
        <f>'BRA Resource Clearing Results'!E40-'1stIA Resource Clearing Results'!M40-'2ndIA Resource Clearing Results'!M40</f>
        <v>3256.6</v>
      </c>
      <c r="D13" s="385">
        <f>B13-C13</f>
        <v>4479.1104558730767</v>
      </c>
      <c r="E13" s="117">
        <v>0</v>
      </c>
      <c r="F13" s="53">
        <f t="shared" si="0"/>
        <v>4479.1104558730767</v>
      </c>
      <c r="G13" s="53">
        <v>0</v>
      </c>
      <c r="H13" s="53">
        <f>'2nd IA ICTRs'!K13+'2nd IA ICTRs'!K20</f>
        <v>306</v>
      </c>
      <c r="I13" s="470">
        <f t="shared" si="1"/>
        <v>4173.1104558730767</v>
      </c>
      <c r="J13" s="327" t="s">
        <v>24</v>
      </c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</row>
    <row r="14" spans="1:25" x14ac:dyDescent="0.2">
      <c r="A14" s="381" t="s">
        <v>10</v>
      </c>
      <c r="B14" s="382">
        <f>'2nd IA Load Pricing Results'!B20</f>
        <v>8244.4396461238739</v>
      </c>
      <c r="C14" s="367">
        <f>'BRA Resource Clearing Results'!E41-'1stIA Resource Clearing Results'!M41-'2ndIA Resource Clearing Results'!M41</f>
        <v>9857.4</v>
      </c>
      <c r="D14" s="384">
        <f>MAX(0,B14-C14)</f>
        <v>0</v>
      </c>
      <c r="E14" s="117">
        <v>0</v>
      </c>
      <c r="F14" s="53">
        <f t="shared" si="0"/>
        <v>0</v>
      </c>
      <c r="G14" s="53">
        <v>0</v>
      </c>
      <c r="H14" s="53">
        <v>0</v>
      </c>
      <c r="I14" s="471">
        <f t="shared" si="1"/>
        <v>0</v>
      </c>
      <c r="J14" s="327" t="s">
        <v>24</v>
      </c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</row>
    <row r="15" spans="1:25" x14ac:dyDescent="0.2">
      <c r="A15" s="23" t="s">
        <v>281</v>
      </c>
      <c r="B15" s="34"/>
      <c r="C15" s="34"/>
      <c r="D15" s="59"/>
      <c r="E15" s="25"/>
      <c r="F15" s="59"/>
      <c r="G15" s="60"/>
      <c r="H15" s="386"/>
      <c r="I15" s="60"/>
      <c r="J15" s="271"/>
      <c r="K15" s="288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</row>
    <row r="16" spans="1:25" x14ac:dyDescent="0.2">
      <c r="A16" s="313"/>
      <c r="B16" s="15"/>
      <c r="C16" s="15"/>
      <c r="D16" s="289"/>
      <c r="E16" s="15"/>
      <c r="F16" s="289"/>
      <c r="G16" s="328"/>
      <c r="H16" s="300"/>
      <c r="I16" s="328"/>
      <c r="J16" s="271"/>
      <c r="K16" s="288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</row>
    <row r="17" spans="1:29" ht="14.25" x14ac:dyDescent="0.2">
      <c r="A17" s="603" t="s">
        <v>90</v>
      </c>
      <c r="B17" s="603"/>
      <c r="C17" s="603"/>
      <c r="D17" s="603"/>
      <c r="E17" s="329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</row>
    <row r="18" spans="1:29" ht="15" x14ac:dyDescent="0.25">
      <c r="A18" s="603"/>
      <c r="B18" s="603"/>
      <c r="C18" s="603"/>
      <c r="D18" s="603"/>
      <c r="E18" s="602" t="s">
        <v>29</v>
      </c>
      <c r="F18" s="602"/>
      <c r="G18" s="602" t="s">
        <v>36</v>
      </c>
      <c r="H18" s="602"/>
      <c r="I18" s="602" t="s">
        <v>5</v>
      </c>
      <c r="J18" s="602"/>
      <c r="K18" s="602" t="s">
        <v>43</v>
      </c>
      <c r="L18" s="602"/>
      <c r="M18" s="602" t="s">
        <v>41</v>
      </c>
      <c r="N18" s="602"/>
      <c r="O18" s="602" t="s">
        <v>15</v>
      </c>
      <c r="P18" s="602"/>
      <c r="Q18" s="602" t="s">
        <v>131</v>
      </c>
      <c r="R18" s="602"/>
      <c r="S18" s="602" t="s">
        <v>20</v>
      </c>
      <c r="T18" s="602"/>
      <c r="U18" s="602" t="s">
        <v>11</v>
      </c>
      <c r="V18" s="602"/>
      <c r="W18" s="602" t="s">
        <v>10</v>
      </c>
      <c r="X18" s="602"/>
      <c r="Y18" s="387"/>
      <c r="Z18" s="387"/>
      <c r="AA18" s="387"/>
      <c r="AB18" s="23"/>
    </row>
    <row r="19" spans="1:29" ht="45" x14ac:dyDescent="0.25">
      <c r="A19" s="604"/>
      <c r="B19" s="604"/>
      <c r="C19" s="604"/>
      <c r="D19" s="604"/>
      <c r="E19" s="388" t="s">
        <v>282</v>
      </c>
      <c r="F19" s="389">
        <f>'2nd IA Load Pricing Results'!D14</f>
        <v>0</v>
      </c>
      <c r="G19" s="388" t="s">
        <v>282</v>
      </c>
      <c r="H19" s="389">
        <f>'2nd IA Load Pricing Results'!D15-'2nd IA Load Pricing Results'!D14</f>
        <v>61.080807201477818</v>
      </c>
      <c r="I19" s="388" t="s">
        <v>282</v>
      </c>
      <c r="J19" s="390">
        <f>'2nd IA Load Pricing Results'!D16-'2nd IA Load Pricing Results'!D14</f>
        <v>0</v>
      </c>
      <c r="K19" s="388" t="s">
        <v>282</v>
      </c>
      <c r="L19" s="389">
        <f>'2nd IA Load Pricing Results'!D28</f>
        <v>0</v>
      </c>
      <c r="M19" s="388" t="s">
        <v>282</v>
      </c>
      <c r="N19" s="389">
        <f>'2nd IA Load Pricing Results'!D31</f>
        <v>0</v>
      </c>
      <c r="O19" s="388" t="s">
        <v>282</v>
      </c>
      <c r="P19" s="390">
        <f>'2nd IA Load Pricing Results'!D17-'2nd IA Load Pricing Results'!D16</f>
        <v>0</v>
      </c>
      <c r="Q19" s="388" t="s">
        <v>282</v>
      </c>
      <c r="R19" s="390">
        <f>'2nd IA Load Pricing Results'!D34</f>
        <v>0</v>
      </c>
      <c r="S19" s="388" t="s">
        <v>282</v>
      </c>
      <c r="T19" s="390">
        <f>'2nd IA Load Pricing Results'!D18</f>
        <v>51.543129323242098</v>
      </c>
      <c r="U19" s="388" t="s">
        <v>282</v>
      </c>
      <c r="V19" s="390">
        <f>'2nd IA Load Pricing Results'!D19-'2nd IA Load Pricing Results'!D16</f>
        <v>0</v>
      </c>
      <c r="W19" s="388" t="s">
        <v>282</v>
      </c>
      <c r="X19" s="390">
        <f>'2nd IA Load Pricing Results'!D20-'2nd IA Load Pricing Results'!D14</f>
        <v>0</v>
      </c>
      <c r="Y19" s="387"/>
      <c r="Z19" s="387"/>
      <c r="AA19" s="387"/>
      <c r="AB19" s="23"/>
    </row>
    <row r="20" spans="1:29" ht="63.75" x14ac:dyDescent="0.2">
      <c r="A20" s="391" t="s">
        <v>7</v>
      </c>
      <c r="B20" s="212" t="s">
        <v>28</v>
      </c>
      <c r="C20" s="212" t="s">
        <v>27</v>
      </c>
      <c r="D20" s="212" t="s">
        <v>33</v>
      </c>
      <c r="E20" s="212" t="s">
        <v>352</v>
      </c>
      <c r="F20" s="212" t="s">
        <v>353</v>
      </c>
      <c r="G20" s="212" t="s">
        <v>352</v>
      </c>
      <c r="H20" s="212" t="s">
        <v>353</v>
      </c>
      <c r="I20" s="212" t="s">
        <v>352</v>
      </c>
      <c r="J20" s="212" t="s">
        <v>353</v>
      </c>
      <c r="K20" s="212" t="s">
        <v>356</v>
      </c>
      <c r="L20" s="212" t="s">
        <v>355</v>
      </c>
      <c r="M20" s="212" t="s">
        <v>356</v>
      </c>
      <c r="N20" s="212" t="s">
        <v>355</v>
      </c>
      <c r="O20" s="212" t="s">
        <v>356</v>
      </c>
      <c r="P20" s="212" t="s">
        <v>353</v>
      </c>
      <c r="Q20" s="212" t="s">
        <v>356</v>
      </c>
      <c r="R20" s="212" t="s">
        <v>355</v>
      </c>
      <c r="S20" s="212" t="s">
        <v>356</v>
      </c>
      <c r="T20" s="212" t="s">
        <v>355</v>
      </c>
      <c r="U20" s="212" t="s">
        <v>356</v>
      </c>
      <c r="V20" s="212" t="s">
        <v>355</v>
      </c>
      <c r="W20" s="212" t="s">
        <v>356</v>
      </c>
      <c r="X20" s="212" t="s">
        <v>355</v>
      </c>
      <c r="Y20" s="212" t="s">
        <v>284</v>
      </c>
      <c r="Z20" s="212" t="s">
        <v>354</v>
      </c>
      <c r="AA20" s="454" t="s">
        <v>286</v>
      </c>
      <c r="AB20" s="454" t="s">
        <v>287</v>
      </c>
      <c r="AC20" s="391" t="s">
        <v>7</v>
      </c>
    </row>
    <row r="21" spans="1:29" x14ac:dyDescent="0.2">
      <c r="A21" s="24" t="s">
        <v>16</v>
      </c>
      <c r="B21" s="97" t="s">
        <v>29</v>
      </c>
      <c r="C21" s="97" t="s">
        <v>36</v>
      </c>
      <c r="D21" s="97"/>
      <c r="E21" s="137">
        <f>IF(B21="MAAC",$I$5*'2nd IA Load Pricing Results'!J40/'2nd IA Load Pricing Results'!$B$14,0)</f>
        <v>0</v>
      </c>
      <c r="F21" s="392">
        <f>E21*$F$19</f>
        <v>0</v>
      </c>
      <c r="G21" s="137">
        <f>IF(C21="EMAAC",$I$6*'2nd IA Load Pricing Results'!J40/'2nd IA Load Pricing Results'!$B$15,0)</f>
        <v>311.64493314548065</v>
      </c>
      <c r="H21" s="392">
        <f>G21*$H$19</f>
        <v>19035.524076776546</v>
      </c>
      <c r="I21" s="137">
        <f>IF(C21="SWMAAC",$I$7*'2nd IA Load Pricing Results'!J40/'2nd IA Load Pricing Results'!$B$16,0)</f>
        <v>0</v>
      </c>
      <c r="J21" s="392">
        <f>I21*$J$19</f>
        <v>0</v>
      </c>
      <c r="K21" s="137">
        <f>IF(D21="PS",$I$8*'2nd IA Load Pricing Results'!J40/'2nd IA Load Pricing Results'!$J$58,0)</f>
        <v>0</v>
      </c>
      <c r="L21" s="392">
        <f>K21*$L$19</f>
        <v>0</v>
      </c>
      <c r="M21" s="137">
        <f>IF(D21="DPL",$I$9*'2nd IA Load Pricing Results'!J40/'2nd IA Load Pricing Results'!$J$50,0)</f>
        <v>0</v>
      </c>
      <c r="N21" s="392">
        <f>M21*$N$19</f>
        <v>0</v>
      </c>
      <c r="O21" s="137">
        <f>IF(D21="PEPCO",$I$10*'2nd IA Load Pricing Results'!J40/'2nd IA Load Pricing Results'!$J$56,0)</f>
        <v>0</v>
      </c>
      <c r="P21" s="392">
        <f>O21*$P$19</f>
        <v>0</v>
      </c>
      <c r="Q21" s="137">
        <f>IF(D21="ATSI",$I$11*'2nd IA Load Pricing Results'!J40/'2nd IA Load Pricing Results'!$J$43,0)</f>
        <v>0</v>
      </c>
      <c r="R21" s="392">
        <f>Q21*$R$19</f>
        <v>0</v>
      </c>
      <c r="S21" s="137">
        <f>IF(D21="COMED",$I$12*'2nd IA Load Pricing Results'!J40/'2nd IA Load Pricing Results'!$J$45,0)</f>
        <v>0</v>
      </c>
      <c r="T21" s="392">
        <f>S21*$T$19</f>
        <v>0</v>
      </c>
      <c r="U21" s="137">
        <f>IF(D21="BGE",$I$13*'2nd IA Load Pricing Results'!J40/'2nd IA Load Pricing Results'!$J$44,0)</f>
        <v>0</v>
      </c>
      <c r="V21" s="392">
        <f>U21*$V$19</f>
        <v>0</v>
      </c>
      <c r="W21" s="137">
        <f>IF(D21="PL",$I$14*'2nd IA Load Pricing Results'!J40/'2nd IA Load Pricing Results'!$J$57,0)</f>
        <v>0</v>
      </c>
      <c r="X21" s="392">
        <f>W21*$X$19</f>
        <v>0</v>
      </c>
      <c r="Y21" s="53">
        <f>MAX(E21,G21,I21,K21,M21,O21,Q21,S21,U21,W21)</f>
        <v>311.64493314548065</v>
      </c>
      <c r="Z21" s="33">
        <f>F21+H21+J21+L21+N21+P21+R21+T21+V21+X21</f>
        <v>19035.524076776546</v>
      </c>
      <c r="AA21" s="156">
        <f>Z21/'2nd IA Load Pricing Results'!J40</f>
        <v>6.8074837665967678</v>
      </c>
      <c r="AB21" s="156">
        <f>IF(Y21=0,0,Z21/Y21)</f>
        <v>61.080807201477811</v>
      </c>
      <c r="AC21" s="97" t="s">
        <v>16</v>
      </c>
    </row>
    <row r="22" spans="1:29" x14ac:dyDescent="0.2">
      <c r="A22" s="24" t="s">
        <v>30</v>
      </c>
      <c r="B22" s="97"/>
      <c r="C22" s="97"/>
      <c r="D22" s="97"/>
      <c r="E22" s="137">
        <f>IF(B22="MAAC",$I$5*'2nd IA Load Pricing Results'!J41/'2nd IA Load Pricing Results'!$B$14,0)</f>
        <v>0</v>
      </c>
      <c r="F22" s="392">
        <f>E22*$F$19</f>
        <v>0</v>
      </c>
      <c r="G22" s="137">
        <f>IF(C22="EMAAC",$I$6*'2nd IA Load Pricing Results'!J41/'2nd IA Load Pricing Results'!$B$15,0)</f>
        <v>0</v>
      </c>
      <c r="H22" s="392">
        <f>G22*$H$19</f>
        <v>0</v>
      </c>
      <c r="I22" s="137">
        <f>IF(C22="SWMAAC",$I$7*'2nd IA Load Pricing Results'!J41/'2nd IA Load Pricing Results'!$B$16,0)</f>
        <v>0</v>
      </c>
      <c r="J22" s="392">
        <f>I22*$J$19</f>
        <v>0</v>
      </c>
      <c r="K22" s="137">
        <f>IF(D22="PS",$I$8*'2nd IA Load Pricing Results'!J41/'2nd IA Load Pricing Results'!$J$58,0)</f>
        <v>0</v>
      </c>
      <c r="L22" s="392">
        <f>K22*$L$19</f>
        <v>0</v>
      </c>
      <c r="M22" s="137">
        <f>IF(D22="DPL",$I$9*'2nd IA Load Pricing Results'!J41/'2nd IA Load Pricing Results'!$J$50,0)</f>
        <v>0</v>
      </c>
      <c r="N22" s="392">
        <f t="shared" ref="N22:N40" si="2">M22*$N$19</f>
        <v>0</v>
      </c>
      <c r="O22" s="137">
        <f>IF(D22="PEPCO",$I$10*'2nd IA Load Pricing Results'!J41/'2nd IA Load Pricing Results'!$J$56,0)</f>
        <v>0</v>
      </c>
      <c r="P22" s="392">
        <f>O22*$P$19</f>
        <v>0</v>
      </c>
      <c r="Q22" s="137">
        <f>IF(D22="ATSI",$I$11*'2nd IA Load Pricing Results'!J41/'2nd IA Load Pricing Results'!$J$43,0)</f>
        <v>0</v>
      </c>
      <c r="R22" s="392">
        <f>Q22*$R$19</f>
        <v>0</v>
      </c>
      <c r="S22" s="137">
        <f>IF(D22="COMED",$I$12*'2nd IA Load Pricing Results'!J41/'2nd IA Load Pricing Results'!$J$45,0)</f>
        <v>0</v>
      </c>
      <c r="T22" s="392">
        <f t="shared" ref="T22:T40" si="3">S22*$T$19</f>
        <v>0</v>
      </c>
      <c r="U22" s="137">
        <f>IF(D22="BGE",$I$13*'2nd IA Load Pricing Results'!J41/'2nd IA Load Pricing Results'!$J$44,0)</f>
        <v>0</v>
      </c>
      <c r="V22" s="392">
        <f t="shared" ref="V22:V40" si="4">U22*$V$19</f>
        <v>0</v>
      </c>
      <c r="W22" s="137">
        <f>IF(D22="PL",$I$14*'2nd IA Load Pricing Results'!J41/'2nd IA Load Pricing Results'!$J$57,0)</f>
        <v>0</v>
      </c>
      <c r="X22" s="392">
        <f t="shared" ref="X22:X40" si="5">W22*$X$19</f>
        <v>0</v>
      </c>
      <c r="Y22" s="53">
        <f t="shared" ref="Y22:Y40" si="6">MAX(E22,G22,I22,K22,M22,O22,Q22,S22,U22,W22)</f>
        <v>0</v>
      </c>
      <c r="Z22" s="33">
        <f t="shared" ref="Z22:Z40" si="7">F22+H22+J22+L22+N22+P22+R22+T22+V22+X22</f>
        <v>0</v>
      </c>
      <c r="AA22" s="156">
        <f>Z22/'2nd IA Load Pricing Results'!J41</f>
        <v>0</v>
      </c>
      <c r="AB22" s="156">
        <f>IF(Y22=0,0,Z22/Y22)</f>
        <v>0</v>
      </c>
      <c r="AC22" s="97" t="s">
        <v>30</v>
      </c>
    </row>
    <row r="23" spans="1:29" x14ac:dyDescent="0.2">
      <c r="A23" s="24" t="s">
        <v>19</v>
      </c>
      <c r="B23" s="97" t="s">
        <v>24</v>
      </c>
      <c r="C23" s="97"/>
      <c r="D23" s="97"/>
      <c r="E23" s="137">
        <f>IF(B23="MAAC",$I$5*'2nd IA Load Pricing Results'!J42/'2nd IA Load Pricing Results'!$B$14,0)</f>
        <v>0</v>
      </c>
      <c r="F23" s="392">
        <f>E23*$F$19</f>
        <v>0</v>
      </c>
      <c r="G23" s="137">
        <f>IF(C23="EMAAC",$I$6*'2nd IA Load Pricing Results'!J42/'2nd IA Load Pricing Results'!$B$15,0)</f>
        <v>0</v>
      </c>
      <c r="H23" s="392">
        <f t="shared" ref="H23:H38" si="8">G23*$H$19</f>
        <v>0</v>
      </c>
      <c r="I23" s="137">
        <f>IF(C23="SWMAAC",$I$7*'2nd IA Load Pricing Results'!J42/'2nd IA Load Pricing Results'!$B$16,0)</f>
        <v>0</v>
      </c>
      <c r="J23" s="392">
        <f>I23*$J$19</f>
        <v>0</v>
      </c>
      <c r="K23" s="137">
        <f>IF(D23="PS",$I$8*'2nd IA Load Pricing Results'!J42/'2nd IA Load Pricing Results'!$J$58,0)</f>
        <v>0</v>
      </c>
      <c r="L23" s="392">
        <f>K23*$L$19</f>
        <v>0</v>
      </c>
      <c r="M23" s="137">
        <f>IF(D23="DPL",$I$9*'2nd IA Load Pricing Results'!J42/'2nd IA Load Pricing Results'!$J$50,0)</f>
        <v>0</v>
      </c>
      <c r="N23" s="392">
        <f t="shared" si="2"/>
        <v>0</v>
      </c>
      <c r="O23" s="137">
        <f>IF(D23="PEPCO",$I$10*'2nd IA Load Pricing Results'!J42/'2nd IA Load Pricing Results'!$J$56,0)</f>
        <v>0</v>
      </c>
      <c r="P23" s="392">
        <f t="shared" ref="P23:P36" si="9">O23*$P$19</f>
        <v>0</v>
      </c>
      <c r="Q23" s="137">
        <f>IF(D23="ATSI",$I$11*'2nd IA Load Pricing Results'!J42/'2nd IA Load Pricing Results'!$J$43,0)</f>
        <v>0</v>
      </c>
      <c r="R23" s="392">
        <f t="shared" ref="R23:R40" si="10">Q23*$R$19</f>
        <v>0</v>
      </c>
      <c r="S23" s="137">
        <f>IF(D23="COMED",$I$12*'2nd IA Load Pricing Results'!J42/'2nd IA Load Pricing Results'!$J$45,0)</f>
        <v>0</v>
      </c>
      <c r="T23" s="392">
        <f t="shared" si="3"/>
        <v>0</v>
      </c>
      <c r="U23" s="137">
        <f>IF(D23="BGE",$I$13*'2nd IA Load Pricing Results'!J42/'2nd IA Load Pricing Results'!$J$44,0)</f>
        <v>0</v>
      </c>
      <c r="V23" s="392">
        <f t="shared" si="4"/>
        <v>0</v>
      </c>
      <c r="W23" s="137">
        <f>IF(D23="PL",$I$14*'2nd IA Load Pricing Results'!J42/'2nd IA Load Pricing Results'!$J$57,0)</f>
        <v>0</v>
      </c>
      <c r="X23" s="392">
        <f t="shared" si="5"/>
        <v>0</v>
      </c>
      <c r="Y23" s="53">
        <f t="shared" si="6"/>
        <v>0</v>
      </c>
      <c r="Z23" s="33">
        <f t="shared" si="7"/>
        <v>0</v>
      </c>
      <c r="AA23" s="156">
        <f>Z23/'2nd IA Load Pricing Results'!J42</f>
        <v>0</v>
      </c>
      <c r="AB23" s="156">
        <f>IF(Y23=0,0,Z23/Y23)</f>
        <v>0</v>
      </c>
      <c r="AC23" s="97" t="s">
        <v>19</v>
      </c>
    </row>
    <row r="24" spans="1:29" x14ac:dyDescent="0.2">
      <c r="A24" s="24" t="s">
        <v>46</v>
      </c>
      <c r="B24" s="97"/>
      <c r="C24" s="97"/>
      <c r="D24" s="97" t="s">
        <v>46</v>
      </c>
      <c r="E24" s="137">
        <f>IF(B24="MAAC",$I$5*'2nd IA Load Pricing Results'!J43/'2nd IA Load Pricing Results'!$B$14,0)</f>
        <v>0</v>
      </c>
      <c r="F24" s="392">
        <f>E24*$F$19</f>
        <v>0</v>
      </c>
      <c r="G24" s="137">
        <f>IF(C24="EMAAC",$I$6*'2nd IA Load Pricing Results'!J43/'2nd IA Load Pricing Results'!$B$15,0)</f>
        <v>0</v>
      </c>
      <c r="H24" s="392">
        <f t="shared" si="8"/>
        <v>0</v>
      </c>
      <c r="I24" s="137">
        <f>IF(C24="SWMAAC",$I$7*'2nd IA Load Pricing Results'!J43/'2nd IA Load Pricing Results'!$B$16,0)</f>
        <v>0</v>
      </c>
      <c r="J24" s="392">
        <f>I24*$J$19</f>
        <v>0</v>
      </c>
      <c r="K24" s="137">
        <f>IF(D24="PS",$I$8*'2nd IA Load Pricing Results'!J43/'2nd IA Load Pricing Results'!$J$58,0)</f>
        <v>0</v>
      </c>
      <c r="L24" s="392">
        <f t="shared" ref="L24:L38" si="11">K24*$L$19</f>
        <v>0</v>
      </c>
      <c r="M24" s="137">
        <f>IF(D24="DPL",$I$9*'2nd IA Load Pricing Results'!J43/'2nd IA Load Pricing Results'!$J$50,0)</f>
        <v>0</v>
      </c>
      <c r="N24" s="392">
        <f t="shared" si="2"/>
        <v>0</v>
      </c>
      <c r="O24" s="137">
        <f>IF(D24="PEPCO",$I$10*'2nd IA Load Pricing Results'!J43/'2nd IA Load Pricing Results'!$J$56,0)</f>
        <v>0</v>
      </c>
      <c r="P24" s="392">
        <f t="shared" si="9"/>
        <v>0</v>
      </c>
      <c r="Q24" s="137">
        <f>IF(D24="ATSI",$I$11*'2nd IA Load Pricing Results'!J43/'2nd IA Load Pricing Results'!$J$43,0)</f>
        <v>3822.7517541297984</v>
      </c>
      <c r="R24" s="392">
        <f>Q24*$R$19</f>
        <v>0</v>
      </c>
      <c r="S24" s="137">
        <f>IF(D24="COMED",$I$12*'2nd IA Load Pricing Results'!J43/'2nd IA Load Pricing Results'!$J$45,0)</f>
        <v>0</v>
      </c>
      <c r="T24" s="392">
        <f t="shared" si="3"/>
        <v>0</v>
      </c>
      <c r="U24" s="137">
        <f>IF(D24="BGE",$I$13*'2nd IA Load Pricing Results'!J43/'2nd IA Load Pricing Results'!$J$44,0)</f>
        <v>0</v>
      </c>
      <c r="V24" s="392">
        <f t="shared" si="4"/>
        <v>0</v>
      </c>
      <c r="W24" s="137">
        <f>IF(D24="PL",$I$14*'2nd IA Load Pricing Results'!J43/'2nd IA Load Pricing Results'!$J$57,0)</f>
        <v>0</v>
      </c>
      <c r="X24" s="392">
        <f t="shared" si="5"/>
        <v>0</v>
      </c>
      <c r="Y24" s="53">
        <f t="shared" si="6"/>
        <v>3822.7517541297984</v>
      </c>
      <c r="Z24" s="33">
        <f t="shared" si="7"/>
        <v>0</v>
      </c>
      <c r="AA24" s="156">
        <f>Z24/'2nd IA Load Pricing Results'!J43</f>
        <v>0</v>
      </c>
      <c r="AB24" s="156">
        <f>IF(Y24=0,0,Z24/Y24)</f>
        <v>0</v>
      </c>
      <c r="AC24" s="97" t="s">
        <v>46</v>
      </c>
    </row>
    <row r="25" spans="1:29" x14ac:dyDescent="0.2">
      <c r="A25" s="24" t="s">
        <v>11</v>
      </c>
      <c r="B25" s="97" t="s">
        <v>29</v>
      </c>
      <c r="C25" s="97" t="s">
        <v>5</v>
      </c>
      <c r="D25" s="97" t="s">
        <v>11</v>
      </c>
      <c r="E25" s="137">
        <f>IF(B25="MAAC",$I$5*'2nd IA Load Pricing Results'!J44/'2nd IA Load Pricing Results'!$B$14,0)</f>
        <v>0</v>
      </c>
      <c r="F25" s="392">
        <f t="shared" ref="F25:F39" si="12">E25*$F$19</f>
        <v>0</v>
      </c>
      <c r="G25" s="137">
        <f>IF(C25="EMAAC",$I$6*'2nd IA Load Pricing Results'!J44/'2nd IA Load Pricing Results'!$B$15,0)</f>
        <v>0</v>
      </c>
      <c r="H25" s="392">
        <f t="shared" si="8"/>
        <v>0</v>
      </c>
      <c r="I25" s="137">
        <f>IF(C25="SWMAAC",$I$7*'2nd IA Load Pricing Results'!J44/'2nd IA Load Pricing Results'!$B$16,0)</f>
        <v>1456.860386621001</v>
      </c>
      <c r="J25" s="392">
        <f>I25*$J$19</f>
        <v>0</v>
      </c>
      <c r="K25" s="137">
        <f>IF(D25="PS",$I$8*'2nd IA Load Pricing Results'!J44/'2nd IA Load Pricing Results'!$J$58,0)</f>
        <v>0</v>
      </c>
      <c r="L25" s="392">
        <f t="shared" si="11"/>
        <v>0</v>
      </c>
      <c r="M25" s="137">
        <f>IF(D25="DPL",$I$9*'2nd IA Load Pricing Results'!J44/'2nd IA Load Pricing Results'!$J$50,0)</f>
        <v>0</v>
      </c>
      <c r="N25" s="392">
        <f t="shared" si="2"/>
        <v>0</v>
      </c>
      <c r="O25" s="137">
        <f>IF(D25="PEPCO",$I$10*'2nd IA Load Pricing Results'!J44/'2nd IA Load Pricing Results'!$J$56,0)</f>
        <v>0</v>
      </c>
      <c r="P25" s="392">
        <f>O25*$P$19</f>
        <v>0</v>
      </c>
      <c r="Q25" s="137">
        <f>IF(D25="ATSI",$I$11*'2nd IA Load Pricing Results'!J44/'2nd IA Load Pricing Results'!$J$43,0)</f>
        <v>0</v>
      </c>
      <c r="R25" s="392">
        <f t="shared" si="10"/>
        <v>0</v>
      </c>
      <c r="S25" s="137">
        <f>IF(D25="COMED",$I$12*'2nd IA Load Pricing Results'!J44/'2nd IA Load Pricing Results'!$J$45,0)</f>
        <v>0</v>
      </c>
      <c r="T25" s="392">
        <f t="shared" si="3"/>
        <v>0</v>
      </c>
      <c r="U25" s="137">
        <f>IF(D25="BGE",$I$13*'2nd IA Load Pricing Results'!J44/'2nd IA Load Pricing Results'!$J$44,0)</f>
        <v>4173.1104558730767</v>
      </c>
      <c r="V25" s="392">
        <f t="shared" si="4"/>
        <v>0</v>
      </c>
      <c r="W25" s="137">
        <f>IF(D25="PL",$I$14*'2nd IA Load Pricing Results'!J44/'2nd IA Load Pricing Results'!$J$57,0)</f>
        <v>0</v>
      </c>
      <c r="X25" s="392">
        <f t="shared" si="5"/>
        <v>0</v>
      </c>
      <c r="Y25" s="53">
        <f t="shared" si="6"/>
        <v>4173.1104558730767</v>
      </c>
      <c r="Z25" s="33">
        <f t="shared" si="7"/>
        <v>0</v>
      </c>
      <c r="AA25" s="156">
        <f>Z25/'2nd IA Load Pricing Results'!J44</f>
        <v>0</v>
      </c>
      <c r="AB25" s="156">
        <f t="shared" ref="AB25:AB38" si="13">IF(Y25=0,0,Z25/Y25)</f>
        <v>0</v>
      </c>
      <c r="AC25" s="97" t="s">
        <v>11</v>
      </c>
    </row>
    <row r="26" spans="1:29" x14ac:dyDescent="0.2">
      <c r="A26" s="24" t="s">
        <v>20</v>
      </c>
      <c r="B26" s="97"/>
      <c r="C26" s="97"/>
      <c r="D26" s="97" t="s">
        <v>20</v>
      </c>
      <c r="E26" s="137">
        <f>IF(B26="MAAC",$I$5*'2nd IA Load Pricing Results'!J45/'2nd IA Load Pricing Results'!$B$14,0)</f>
        <v>0</v>
      </c>
      <c r="F26" s="392">
        <f t="shared" si="12"/>
        <v>0</v>
      </c>
      <c r="G26" s="137">
        <f>IF(C26="EMAAC",$I$6*'2nd IA Load Pricing Results'!J45/'2nd IA Load Pricing Results'!$B$15,0)</f>
        <v>0</v>
      </c>
      <c r="H26" s="392">
        <f t="shared" si="8"/>
        <v>0</v>
      </c>
      <c r="I26" s="137">
        <f>IF(C26="SWMAAC",$I$7*'2nd IA Load Pricing Results'!J45/'2nd IA Load Pricing Results'!$B$16,0)</f>
        <v>0</v>
      </c>
      <c r="J26" s="392">
        <f t="shared" ref="J26:J38" si="14">I26*$J$19</f>
        <v>0</v>
      </c>
      <c r="K26" s="137">
        <f>IF(D26="PS",$I$8*'2nd IA Load Pricing Results'!J45/'2nd IA Load Pricing Results'!$J$58,0)</f>
        <v>0</v>
      </c>
      <c r="L26" s="392">
        <f t="shared" si="11"/>
        <v>0</v>
      </c>
      <c r="M26" s="137">
        <f>IF(D26="DPL",$I$9*'2nd IA Load Pricing Results'!J45/'2nd IA Load Pricing Results'!$J$50,0)</f>
        <v>0</v>
      </c>
      <c r="N26" s="392">
        <f t="shared" si="2"/>
        <v>0</v>
      </c>
      <c r="O26" s="137">
        <f>IF(D26="PEPCO",$I$10*'2nd IA Load Pricing Results'!J45/'2nd IA Load Pricing Results'!$J$56,0)</f>
        <v>0</v>
      </c>
      <c r="P26" s="392">
        <f t="shared" si="9"/>
        <v>0</v>
      </c>
      <c r="Q26" s="137">
        <f>IF(D26="ATSI",$I$11*'2nd IA Load Pricing Results'!J45/'2nd IA Load Pricing Results'!$J$43,0)</f>
        <v>0</v>
      </c>
      <c r="R26" s="392">
        <f t="shared" si="10"/>
        <v>0</v>
      </c>
      <c r="S26" s="137">
        <f>IF(D26="COMED",$I$12*'2nd IA Load Pricing Results'!J45/'2nd IA Load Pricing Results'!$J$45,0)</f>
        <v>2074.0020792930918</v>
      </c>
      <c r="T26" s="392">
        <f>S26*$T$19</f>
        <v>106900.55738967685</v>
      </c>
      <c r="U26" s="137">
        <f>IF(D26="BGE",$I$13*'2nd IA Load Pricing Results'!J45/'2nd IA Load Pricing Results'!$J$44,0)</f>
        <v>0</v>
      </c>
      <c r="V26" s="392">
        <f t="shared" si="4"/>
        <v>0</v>
      </c>
      <c r="W26" s="137">
        <f>IF(D26="PL",$I$14*'2nd IA Load Pricing Results'!J45/'2nd IA Load Pricing Results'!$J$57,0)</f>
        <v>0</v>
      </c>
      <c r="X26" s="392">
        <f t="shared" si="5"/>
        <v>0</v>
      </c>
      <c r="Y26" s="53">
        <f t="shared" si="6"/>
        <v>2074.0020792930918</v>
      </c>
      <c r="Z26" s="33">
        <f t="shared" si="7"/>
        <v>106900.55738967685</v>
      </c>
      <c r="AA26" s="156">
        <f>Z26/'2nd IA Load Pricing Results'!J45</f>
        <v>4.3105059849544967</v>
      </c>
      <c r="AB26" s="156">
        <f t="shared" si="13"/>
        <v>51.543129323242098</v>
      </c>
      <c r="AC26" s="97" t="s">
        <v>20</v>
      </c>
    </row>
    <row r="27" spans="1:29" x14ac:dyDescent="0.2">
      <c r="A27" s="24" t="s">
        <v>21</v>
      </c>
      <c r="B27" s="97"/>
      <c r="C27" s="97"/>
      <c r="D27" s="97"/>
      <c r="E27" s="137">
        <f>IF(B27="MAAC",$I$5*'2nd IA Load Pricing Results'!J46/'2nd IA Load Pricing Results'!$B$14,0)</f>
        <v>0</v>
      </c>
      <c r="F27" s="392">
        <f t="shared" si="12"/>
        <v>0</v>
      </c>
      <c r="G27" s="137">
        <f>IF(C27="EMAAC",$I$6*'2nd IA Load Pricing Results'!J46/'2nd IA Load Pricing Results'!$B$15,0)</f>
        <v>0</v>
      </c>
      <c r="H27" s="392">
        <f t="shared" si="8"/>
        <v>0</v>
      </c>
      <c r="I27" s="137">
        <f>IF(C27="SWMAAC",$I$7*'2nd IA Load Pricing Results'!J46/'2nd IA Load Pricing Results'!$B$16,0)</f>
        <v>0</v>
      </c>
      <c r="J27" s="392">
        <f>I27*$J$19</f>
        <v>0</v>
      </c>
      <c r="K27" s="137">
        <f>IF(D27="PS",$I$8*'2nd IA Load Pricing Results'!J46/'2nd IA Load Pricing Results'!$J$58,0)</f>
        <v>0</v>
      </c>
      <c r="L27" s="392">
        <f t="shared" si="11"/>
        <v>0</v>
      </c>
      <c r="M27" s="137">
        <f>IF(D27="DPL",$I$9*'2nd IA Load Pricing Results'!J46/'2nd IA Load Pricing Results'!$J$50,0)</f>
        <v>0</v>
      </c>
      <c r="N27" s="392">
        <f t="shared" si="2"/>
        <v>0</v>
      </c>
      <c r="O27" s="137">
        <f>IF(D27="PEPCO",$I$10*'2nd IA Load Pricing Results'!J46/'2nd IA Load Pricing Results'!$J$56,0)</f>
        <v>0</v>
      </c>
      <c r="P27" s="392">
        <f t="shared" si="9"/>
        <v>0</v>
      </c>
      <c r="Q27" s="137">
        <f>IF(D27="ATSI",$I$11*'2nd IA Load Pricing Results'!J46/'2nd IA Load Pricing Results'!$J$43,0)</f>
        <v>0</v>
      </c>
      <c r="R27" s="392">
        <f t="shared" si="10"/>
        <v>0</v>
      </c>
      <c r="S27" s="137">
        <f>IF(D27="COMED",$I$12*'2nd IA Load Pricing Results'!J46/'2nd IA Load Pricing Results'!$J$45,0)</f>
        <v>0</v>
      </c>
      <c r="T27" s="392">
        <f t="shared" si="3"/>
        <v>0</v>
      </c>
      <c r="U27" s="137">
        <f>IF(D27="BGE",$I$13*'2nd IA Load Pricing Results'!J46/'2nd IA Load Pricing Results'!$J$44,0)</f>
        <v>0</v>
      </c>
      <c r="V27" s="392">
        <f t="shared" si="4"/>
        <v>0</v>
      </c>
      <c r="W27" s="137">
        <f>IF(D27="PL",$I$14*'2nd IA Load Pricing Results'!J46/'2nd IA Load Pricing Results'!$J$57,0)</f>
        <v>0</v>
      </c>
      <c r="X27" s="392">
        <f t="shared" si="5"/>
        <v>0</v>
      </c>
      <c r="Y27" s="53">
        <f t="shared" si="6"/>
        <v>0</v>
      </c>
      <c r="Z27" s="33">
        <f t="shared" si="7"/>
        <v>0</v>
      </c>
      <c r="AA27" s="156">
        <f>Z27/'2nd IA Load Pricing Results'!J46</f>
        <v>0</v>
      </c>
      <c r="AB27" s="156">
        <f t="shared" si="13"/>
        <v>0</v>
      </c>
      <c r="AC27" s="97" t="s">
        <v>21</v>
      </c>
    </row>
    <row r="28" spans="1:29" x14ac:dyDescent="0.2">
      <c r="A28" s="24" t="s">
        <v>56</v>
      </c>
      <c r="B28" s="97"/>
      <c r="C28" s="97"/>
      <c r="D28" s="97"/>
      <c r="E28" s="137">
        <f>IF(B28="MAAC",$I$5*'2nd IA Load Pricing Results'!J47/'2nd IA Load Pricing Results'!$B$14,0)</f>
        <v>0</v>
      </c>
      <c r="F28" s="392">
        <f>E28*$F$19</f>
        <v>0</v>
      </c>
      <c r="G28" s="137">
        <f>IF(C28="EMAAC",$I$6*'2nd IA Load Pricing Results'!J47/'2nd IA Load Pricing Results'!$B$15,0)</f>
        <v>0</v>
      </c>
      <c r="H28" s="392">
        <f t="shared" si="8"/>
        <v>0</v>
      </c>
      <c r="I28" s="137">
        <f>IF(C28="SWMAAC",$I$7*'2nd IA Load Pricing Results'!J47/'2nd IA Load Pricing Results'!$B$16,0)</f>
        <v>0</v>
      </c>
      <c r="J28" s="392">
        <f>I28*$J$19</f>
        <v>0</v>
      </c>
      <c r="K28" s="137">
        <f>IF(D28="PS",$I$8*'2nd IA Load Pricing Results'!J47/'2nd IA Load Pricing Results'!$J$58,0)</f>
        <v>0</v>
      </c>
      <c r="L28" s="392">
        <f t="shared" si="11"/>
        <v>0</v>
      </c>
      <c r="M28" s="137">
        <f>IF(D28="DPL",$I$9*'2nd IA Load Pricing Results'!J47/'2nd IA Load Pricing Results'!$J$50,0)</f>
        <v>0</v>
      </c>
      <c r="N28" s="392">
        <f t="shared" si="2"/>
        <v>0</v>
      </c>
      <c r="O28" s="137">
        <f>IF(D28="PEPCO",$I$10*'2nd IA Load Pricing Results'!J47/'2nd IA Load Pricing Results'!$J$56,0)</f>
        <v>0</v>
      </c>
      <c r="P28" s="392">
        <f t="shared" si="9"/>
        <v>0</v>
      </c>
      <c r="Q28" s="137">
        <f>IF(D28="ATSI",$I$11*'2nd IA Load Pricing Results'!J47/'2nd IA Load Pricing Results'!$J$43,0)</f>
        <v>0</v>
      </c>
      <c r="R28" s="392">
        <f t="shared" si="10"/>
        <v>0</v>
      </c>
      <c r="S28" s="137">
        <f>IF(D28="COMED",$I$12*'2nd IA Load Pricing Results'!J47/'2nd IA Load Pricing Results'!$J$45,0)</f>
        <v>0</v>
      </c>
      <c r="T28" s="392">
        <f t="shared" si="3"/>
        <v>0</v>
      </c>
      <c r="U28" s="137">
        <f>IF(D28="BGE",$I$13*'2nd IA Load Pricing Results'!J47/'2nd IA Load Pricing Results'!$J$44,0)</f>
        <v>0</v>
      </c>
      <c r="V28" s="392">
        <f t="shared" si="4"/>
        <v>0</v>
      </c>
      <c r="W28" s="137">
        <f>IF(D28="PL",$I$14*'2nd IA Load Pricing Results'!J47/'2nd IA Load Pricing Results'!$J$57,0)</f>
        <v>0</v>
      </c>
      <c r="X28" s="392">
        <f t="shared" si="5"/>
        <v>0</v>
      </c>
      <c r="Y28" s="53">
        <f t="shared" si="6"/>
        <v>0</v>
      </c>
      <c r="Z28" s="33">
        <f t="shared" si="7"/>
        <v>0</v>
      </c>
      <c r="AA28" s="156">
        <f>Z28/'2nd IA Load Pricing Results'!J47</f>
        <v>0</v>
      </c>
      <c r="AB28" s="156">
        <f>IF(Y28=0,0,Z28/Y28)</f>
        <v>0</v>
      </c>
      <c r="AC28" s="97" t="s">
        <v>56</v>
      </c>
    </row>
    <row r="29" spans="1:29" x14ac:dyDescent="0.2">
      <c r="A29" s="24" t="s">
        <v>45</v>
      </c>
      <c r="B29" s="97"/>
      <c r="C29" s="97"/>
      <c r="D29" s="97"/>
      <c r="E29" s="137">
        <f>IF(B29="MAAC",$I$5*'2nd IA Load Pricing Results'!J48/'2nd IA Load Pricing Results'!$B$14,0)</f>
        <v>0</v>
      </c>
      <c r="F29" s="392">
        <f>E29*$F$19</f>
        <v>0</v>
      </c>
      <c r="G29" s="137">
        <f>IF(C29="EMAAC",$I$6*'2nd IA Load Pricing Results'!J48/'2nd IA Load Pricing Results'!$B$15,0)</f>
        <v>0</v>
      </c>
      <c r="H29" s="392">
        <f t="shared" si="8"/>
        <v>0</v>
      </c>
      <c r="I29" s="137">
        <f>IF(C29="SWMAAC",$I$7*'2nd IA Load Pricing Results'!J48/'2nd IA Load Pricing Results'!$B$16,0)</f>
        <v>0</v>
      </c>
      <c r="J29" s="392">
        <f>I29*$J$19</f>
        <v>0</v>
      </c>
      <c r="K29" s="137">
        <f>IF(D29="PS",$I$8*'2nd IA Load Pricing Results'!J48/'2nd IA Load Pricing Results'!$J$58,0)</f>
        <v>0</v>
      </c>
      <c r="L29" s="392">
        <f t="shared" si="11"/>
        <v>0</v>
      </c>
      <c r="M29" s="137">
        <f>IF(D29="DPL",$I$9*'2nd IA Load Pricing Results'!J48/'2nd IA Load Pricing Results'!$J$50,0)</f>
        <v>0</v>
      </c>
      <c r="N29" s="392">
        <f t="shared" si="2"/>
        <v>0</v>
      </c>
      <c r="O29" s="137">
        <f>IF(D29="PEPCO",$I$10*'2nd IA Load Pricing Results'!J48/'2nd IA Load Pricing Results'!$J$56,0)</f>
        <v>0</v>
      </c>
      <c r="P29" s="392">
        <f t="shared" si="9"/>
        <v>0</v>
      </c>
      <c r="Q29" s="137">
        <f>IF(D29="ATSI",$I$11*'2nd IA Load Pricing Results'!J48/'2nd IA Load Pricing Results'!$J$43,0)</f>
        <v>0</v>
      </c>
      <c r="R29" s="392">
        <f t="shared" si="10"/>
        <v>0</v>
      </c>
      <c r="S29" s="137">
        <f>IF(D29="COMED",$I$12*'2nd IA Load Pricing Results'!J48/'2nd IA Load Pricing Results'!$J$45,0)</f>
        <v>0</v>
      </c>
      <c r="T29" s="392">
        <f t="shared" si="3"/>
        <v>0</v>
      </c>
      <c r="U29" s="137">
        <f>IF(D29="BGE",$I$13*'2nd IA Load Pricing Results'!J48/'2nd IA Load Pricing Results'!$J$44,0)</f>
        <v>0</v>
      </c>
      <c r="V29" s="392">
        <f t="shared" si="4"/>
        <v>0</v>
      </c>
      <c r="W29" s="137">
        <f>IF(D29="PL",$I$14*'2nd IA Load Pricing Results'!J48/'2nd IA Load Pricing Results'!$J$57,0)</f>
        <v>0</v>
      </c>
      <c r="X29" s="392">
        <f t="shared" si="5"/>
        <v>0</v>
      </c>
      <c r="Y29" s="53">
        <f t="shared" si="6"/>
        <v>0</v>
      </c>
      <c r="Z29" s="33">
        <f t="shared" si="7"/>
        <v>0</v>
      </c>
      <c r="AA29" s="156">
        <f>Z29/'2nd IA Load Pricing Results'!J48</f>
        <v>0</v>
      </c>
      <c r="AB29" s="156">
        <f t="shared" si="13"/>
        <v>0</v>
      </c>
      <c r="AC29" s="97" t="s">
        <v>45</v>
      </c>
    </row>
    <row r="30" spans="1:29" x14ac:dyDescent="0.2">
      <c r="A30" s="24" t="s">
        <v>31</v>
      </c>
      <c r="B30" s="97"/>
      <c r="C30" s="97"/>
      <c r="D30" s="97"/>
      <c r="E30" s="137">
        <f>IF(B30="MAAC",$I$5*'2nd IA Load Pricing Results'!J49/'2nd IA Load Pricing Results'!$B$14,0)</f>
        <v>0</v>
      </c>
      <c r="F30" s="392">
        <f t="shared" si="12"/>
        <v>0</v>
      </c>
      <c r="G30" s="137">
        <f>IF(C30="EMAAC",$I$6*'2nd IA Load Pricing Results'!J49/'2nd IA Load Pricing Results'!$B$15,0)</f>
        <v>0</v>
      </c>
      <c r="H30" s="392">
        <f t="shared" si="8"/>
        <v>0</v>
      </c>
      <c r="I30" s="137">
        <f>IF(C30="SWMAAC",$I$7*'2nd IA Load Pricing Results'!J49/'2nd IA Load Pricing Results'!$B$16,0)</f>
        <v>0</v>
      </c>
      <c r="J30" s="392">
        <f>I30*$J$19</f>
        <v>0</v>
      </c>
      <c r="K30" s="137">
        <f>IF(D30="PS",$I$8*'2nd IA Load Pricing Results'!J49/'2nd IA Load Pricing Results'!$J$58,0)</f>
        <v>0</v>
      </c>
      <c r="L30" s="392">
        <f t="shared" si="11"/>
        <v>0</v>
      </c>
      <c r="M30" s="137">
        <f>IF(D30="DPL",$I$9*'2nd IA Load Pricing Results'!J49/'2nd IA Load Pricing Results'!$J$50,0)</f>
        <v>0</v>
      </c>
      <c r="N30" s="392">
        <f t="shared" si="2"/>
        <v>0</v>
      </c>
      <c r="O30" s="137">
        <f>IF(D30="PEPCO",$I$10*'2nd IA Load Pricing Results'!J49/'2nd IA Load Pricing Results'!$J$56,0)</f>
        <v>0</v>
      </c>
      <c r="P30" s="392">
        <f t="shared" si="9"/>
        <v>0</v>
      </c>
      <c r="Q30" s="137">
        <f>IF(D30="ATSI",$I$11*'2nd IA Load Pricing Results'!J49/'2nd IA Load Pricing Results'!$J$43,0)</f>
        <v>0</v>
      </c>
      <c r="R30" s="392">
        <f t="shared" si="10"/>
        <v>0</v>
      </c>
      <c r="S30" s="137">
        <f>IF(D30="COMED",$I$12*'2nd IA Load Pricing Results'!J49/'2nd IA Load Pricing Results'!$J$45,0)</f>
        <v>0</v>
      </c>
      <c r="T30" s="392">
        <f t="shared" si="3"/>
        <v>0</v>
      </c>
      <c r="U30" s="137">
        <f>IF(D30="BGE",$I$13*'2nd IA Load Pricing Results'!J49/'2nd IA Load Pricing Results'!$J$44,0)</f>
        <v>0</v>
      </c>
      <c r="V30" s="392">
        <f t="shared" si="4"/>
        <v>0</v>
      </c>
      <c r="W30" s="137">
        <f>IF(D30="PL",$I$14*'2nd IA Load Pricing Results'!J49/'2nd IA Load Pricing Results'!$J$57,0)</f>
        <v>0</v>
      </c>
      <c r="X30" s="392">
        <f t="shared" si="5"/>
        <v>0</v>
      </c>
      <c r="Y30" s="53">
        <f t="shared" si="6"/>
        <v>0</v>
      </c>
      <c r="Z30" s="33">
        <f t="shared" si="7"/>
        <v>0</v>
      </c>
      <c r="AA30" s="156">
        <f>Z30/'2nd IA Load Pricing Results'!J49</f>
        <v>0</v>
      </c>
      <c r="AB30" s="156">
        <f t="shared" si="13"/>
        <v>0</v>
      </c>
      <c r="AC30" s="97" t="s">
        <v>31</v>
      </c>
    </row>
    <row r="31" spans="1:29" x14ac:dyDescent="0.2">
      <c r="A31" s="24" t="s">
        <v>17</v>
      </c>
      <c r="B31" s="97" t="s">
        <v>29</v>
      </c>
      <c r="C31" s="97" t="s">
        <v>36</v>
      </c>
      <c r="D31" s="97" t="s">
        <v>17</v>
      </c>
      <c r="E31" s="137">
        <f>IF(B31="MAAC",$I$5*'2nd IA Load Pricing Results'!J50/'2nd IA Load Pricing Results'!$B$14,0)</f>
        <v>0</v>
      </c>
      <c r="F31" s="392">
        <f t="shared" si="12"/>
        <v>0</v>
      </c>
      <c r="G31" s="137">
        <f>IF(C31="EMAAC",$I$6*'2nd IA Load Pricing Results'!J50/'2nd IA Load Pricing Results'!$B$15,0)</f>
        <v>504.31467740902718</v>
      </c>
      <c r="H31" s="392">
        <f>G31*$H$19</f>
        <v>30803.947579696269</v>
      </c>
      <c r="I31" s="137">
        <f>IF(C31="SWMAAC",$I$7*'2nd IA Load Pricing Results'!J50/'2nd IA Load Pricing Results'!$B$16,0)</f>
        <v>0</v>
      </c>
      <c r="J31" s="392">
        <f t="shared" si="14"/>
        <v>0</v>
      </c>
      <c r="K31" s="137">
        <f>IF(D31="PS",$I$8*'2nd IA Load Pricing Results'!J50/'2nd IA Load Pricing Results'!$J$58,0)</f>
        <v>0</v>
      </c>
      <c r="L31" s="392">
        <f t="shared" si="11"/>
        <v>0</v>
      </c>
      <c r="M31" s="137">
        <f>IF(D31="DPL",$I$9*'2nd IA Load Pricing Results'!J50/'2nd IA Load Pricing Results'!$J$50,0)</f>
        <v>0</v>
      </c>
      <c r="N31" s="392">
        <f t="shared" si="2"/>
        <v>0</v>
      </c>
      <c r="O31" s="137">
        <f>IF(D31="PEPCO",$I$10*'2nd IA Load Pricing Results'!J50/'2nd IA Load Pricing Results'!$J$56,0)</f>
        <v>0</v>
      </c>
      <c r="P31" s="392">
        <f t="shared" si="9"/>
        <v>0</v>
      </c>
      <c r="Q31" s="137">
        <f>IF(D31="ATSI",$I$11*'2nd IA Load Pricing Results'!J50/'2nd IA Load Pricing Results'!$J$43,0)</f>
        <v>0</v>
      </c>
      <c r="R31" s="392">
        <f t="shared" si="10"/>
        <v>0</v>
      </c>
      <c r="S31" s="137">
        <f>IF(D31="COMED",$I$12*'2nd IA Load Pricing Results'!J50/'2nd IA Load Pricing Results'!$J$45,0)</f>
        <v>0</v>
      </c>
      <c r="T31" s="392">
        <f t="shared" si="3"/>
        <v>0</v>
      </c>
      <c r="U31" s="137">
        <f>IF(D31="BGE",$I$13*'2nd IA Load Pricing Results'!J50/'2nd IA Load Pricing Results'!$J$44,0)</f>
        <v>0</v>
      </c>
      <c r="V31" s="392">
        <f t="shared" si="4"/>
        <v>0</v>
      </c>
      <c r="W31" s="137">
        <f>IF(D31="PL",$I$14*'2nd IA Load Pricing Results'!J50/'2nd IA Load Pricing Results'!$J$57,0)</f>
        <v>0</v>
      </c>
      <c r="X31" s="392">
        <f t="shared" si="5"/>
        <v>0</v>
      </c>
      <c r="Y31" s="53">
        <f t="shared" si="6"/>
        <v>504.31467740902718</v>
      </c>
      <c r="Z31" s="33">
        <f t="shared" si="7"/>
        <v>30803.947579696269</v>
      </c>
      <c r="AA31" s="156">
        <f>Z31/'2nd IA Load Pricing Results'!J50</f>
        <v>6.8074837665967678</v>
      </c>
      <c r="AB31" s="156">
        <f t="shared" si="13"/>
        <v>61.080807201477818</v>
      </c>
      <c r="AC31" s="97" t="s">
        <v>17</v>
      </c>
    </row>
    <row r="32" spans="1:29" x14ac:dyDescent="0.2">
      <c r="A32" s="24" t="s">
        <v>133</v>
      </c>
      <c r="B32" s="97"/>
      <c r="C32" s="97"/>
      <c r="D32" s="97"/>
      <c r="E32" s="137">
        <f>IF(B32="MAAC",$I$5*'2nd IA Load Pricing Results'!J51/'2nd IA Load Pricing Results'!$B$14,0)</f>
        <v>0</v>
      </c>
      <c r="F32" s="392">
        <f>E32*$F$19</f>
        <v>0</v>
      </c>
      <c r="G32" s="137">
        <f>IF(C32="EMAAC",$I$6*'2nd IA Load Pricing Results'!J51/'2nd IA Load Pricing Results'!$B$15,0)</f>
        <v>0</v>
      </c>
      <c r="H32" s="392">
        <f t="shared" si="8"/>
        <v>0</v>
      </c>
      <c r="I32" s="137">
        <f>IF(C32="SWMAAC",$I$7*'2nd IA Load Pricing Results'!J51/'2nd IA Load Pricing Results'!$B$16,0)</f>
        <v>0</v>
      </c>
      <c r="J32" s="392">
        <f>I32*$J$19</f>
        <v>0</v>
      </c>
      <c r="K32" s="137">
        <f>IF(D32="PS",$I$8*'2nd IA Load Pricing Results'!J51/'2nd IA Load Pricing Results'!$J$58,0)</f>
        <v>0</v>
      </c>
      <c r="L32" s="392">
        <f>K32*$L$19</f>
        <v>0</v>
      </c>
      <c r="M32" s="137">
        <f>IF(D32="DPL",$I$9*'2nd IA Load Pricing Results'!J51/'2nd IA Load Pricing Results'!$J$50,0)</f>
        <v>0</v>
      </c>
      <c r="N32" s="392">
        <f t="shared" si="2"/>
        <v>0</v>
      </c>
      <c r="O32" s="137">
        <f>IF(D32="PEPCO",$I$10*'2nd IA Load Pricing Results'!J51/'2nd IA Load Pricing Results'!$J$56,0)</f>
        <v>0</v>
      </c>
      <c r="P32" s="392">
        <f>O32*$P$19</f>
        <v>0</v>
      </c>
      <c r="Q32" s="137">
        <f>IF(D32="ATSI",$I$11*'2nd IA Load Pricing Results'!J51/'2nd IA Load Pricing Results'!$J$43,0)</f>
        <v>0</v>
      </c>
      <c r="R32" s="392">
        <f>Q32*$R$19</f>
        <v>0</v>
      </c>
      <c r="S32" s="137">
        <f>IF(D32="COMED",$I$12*'2nd IA Load Pricing Results'!J51/'2nd IA Load Pricing Results'!$J$45,0)</f>
        <v>0</v>
      </c>
      <c r="T32" s="392">
        <f t="shared" si="3"/>
        <v>0</v>
      </c>
      <c r="U32" s="137">
        <f>IF(D32="BGE",$I$13*'2nd IA Load Pricing Results'!J51/'2nd IA Load Pricing Results'!$J$44,0)</f>
        <v>0</v>
      </c>
      <c r="V32" s="392">
        <f t="shared" si="4"/>
        <v>0</v>
      </c>
      <c r="W32" s="137">
        <f>IF(D32="PL",$I$14*'2nd IA Load Pricing Results'!J51/'2nd IA Load Pricing Results'!$J$57,0)</f>
        <v>0</v>
      </c>
      <c r="X32" s="392">
        <f t="shared" si="5"/>
        <v>0</v>
      </c>
      <c r="Y32" s="53">
        <f t="shared" si="6"/>
        <v>0</v>
      </c>
      <c r="Z32" s="33">
        <f t="shared" si="7"/>
        <v>0</v>
      </c>
      <c r="AA32" s="156">
        <f>Z32/'2nd IA Load Pricing Results'!J51</f>
        <v>0</v>
      </c>
      <c r="AB32" s="156">
        <f>IF(Y32=0,0,Z32/Y32)</f>
        <v>0</v>
      </c>
      <c r="AC32" s="97" t="s">
        <v>133</v>
      </c>
    </row>
    <row r="33" spans="1:29" x14ac:dyDescent="0.2">
      <c r="A33" s="24" t="s">
        <v>12</v>
      </c>
      <c r="B33" s="97" t="s">
        <v>29</v>
      </c>
      <c r="C33" s="97" t="s">
        <v>36</v>
      </c>
      <c r="D33" s="97"/>
      <c r="E33" s="137">
        <f>IF(B33="MAAC",$I$5*'2nd IA Load Pricing Results'!J52/'2nd IA Load Pricing Results'!$B$14,0)</f>
        <v>0</v>
      </c>
      <c r="F33" s="392">
        <f t="shared" si="12"/>
        <v>0</v>
      </c>
      <c r="G33" s="137">
        <f>IF(C33="EMAAC",$I$6*'2nd IA Load Pricing Results'!J52/'2nd IA Load Pricing Results'!$B$15,0)</f>
        <v>760.94818188936063</v>
      </c>
      <c r="H33" s="392">
        <f>G33*$H$19</f>
        <v>46479.329188299111</v>
      </c>
      <c r="I33" s="137">
        <f>IF(C33="SWMAAC",$I$7*'2nd IA Load Pricing Results'!J52/'2nd IA Load Pricing Results'!$B$16,0)</f>
        <v>0</v>
      </c>
      <c r="J33" s="392">
        <f t="shared" si="14"/>
        <v>0</v>
      </c>
      <c r="K33" s="137">
        <f>IF(D33="PS",$I$8*'2nd IA Load Pricing Results'!J52/'2nd IA Load Pricing Results'!$J$58,0)</f>
        <v>0</v>
      </c>
      <c r="L33" s="392">
        <f>K33*$L$19</f>
        <v>0</v>
      </c>
      <c r="M33" s="137">
        <f>IF(D33="DPL",$I$9*'2nd IA Load Pricing Results'!J52/'2nd IA Load Pricing Results'!$J$50,0)</f>
        <v>0</v>
      </c>
      <c r="N33" s="392">
        <f t="shared" si="2"/>
        <v>0</v>
      </c>
      <c r="O33" s="137">
        <f>IF(D33="PEPCO",$I$10*'2nd IA Load Pricing Results'!J52/'2nd IA Load Pricing Results'!$J$56,0)</f>
        <v>0</v>
      </c>
      <c r="P33" s="392">
        <f t="shared" si="9"/>
        <v>0</v>
      </c>
      <c r="Q33" s="137">
        <f>IF(D33="ATSI",$I$11*'2nd IA Load Pricing Results'!J52/'2nd IA Load Pricing Results'!$J$43,0)</f>
        <v>0</v>
      </c>
      <c r="R33" s="392">
        <f t="shared" si="10"/>
        <v>0</v>
      </c>
      <c r="S33" s="137">
        <f>IF(D33="COMED",$I$12*'2nd IA Load Pricing Results'!J52/'2nd IA Load Pricing Results'!$J$45,0)</f>
        <v>0</v>
      </c>
      <c r="T33" s="392">
        <f t="shared" si="3"/>
        <v>0</v>
      </c>
      <c r="U33" s="137">
        <f>IF(D33="BGE",$I$13*'2nd IA Load Pricing Results'!J52/'2nd IA Load Pricing Results'!$J$44,0)</f>
        <v>0</v>
      </c>
      <c r="V33" s="392">
        <f t="shared" si="4"/>
        <v>0</v>
      </c>
      <c r="W33" s="137">
        <f>IF(D33="PL",$I$14*'2nd IA Load Pricing Results'!J52/'2nd IA Load Pricing Results'!$J$57,0)</f>
        <v>0</v>
      </c>
      <c r="X33" s="392">
        <f t="shared" si="5"/>
        <v>0</v>
      </c>
      <c r="Y33" s="53">
        <f t="shared" si="6"/>
        <v>760.94818188936063</v>
      </c>
      <c r="Z33" s="33">
        <f t="shared" si="7"/>
        <v>46479.329188299111</v>
      </c>
      <c r="AA33" s="156">
        <f>Z33/'2nd IA Load Pricing Results'!J52</f>
        <v>6.8074837665967678</v>
      </c>
      <c r="AB33" s="156">
        <f t="shared" si="13"/>
        <v>61.080807201477818</v>
      </c>
      <c r="AC33" s="97" t="s">
        <v>12</v>
      </c>
    </row>
    <row r="34" spans="1:29" x14ac:dyDescent="0.2">
      <c r="A34" s="24" t="s">
        <v>13</v>
      </c>
      <c r="B34" s="97" t="s">
        <v>29</v>
      </c>
      <c r="C34" s="97"/>
      <c r="D34" s="97"/>
      <c r="E34" s="137">
        <f>IF(B34="MAAC",$I$5*'2nd IA Load Pricing Results'!J53/'2nd IA Load Pricing Results'!$B$14,0)</f>
        <v>0</v>
      </c>
      <c r="F34" s="392">
        <f t="shared" si="12"/>
        <v>0</v>
      </c>
      <c r="G34" s="137">
        <f>IF(C34="EMAAC",$I$6*'2nd IA Load Pricing Results'!J53/'2nd IA Load Pricing Results'!$B$15,0)</f>
        <v>0</v>
      </c>
      <c r="H34" s="392">
        <f t="shared" si="8"/>
        <v>0</v>
      </c>
      <c r="I34" s="137">
        <f>IF(C34="SWMAAC",$I$7*'2nd IA Load Pricing Results'!J53/'2nd IA Load Pricing Results'!$B$16,0)</f>
        <v>0</v>
      </c>
      <c r="J34" s="392">
        <f t="shared" si="14"/>
        <v>0</v>
      </c>
      <c r="K34" s="137">
        <f>IF(D34="PS",$I$8*'2nd IA Load Pricing Results'!J53/'2nd IA Load Pricing Results'!$J$58,0)</f>
        <v>0</v>
      </c>
      <c r="L34" s="392">
        <f t="shared" si="11"/>
        <v>0</v>
      </c>
      <c r="M34" s="137">
        <f>IF(D34="DPL",$I$9*'2nd IA Load Pricing Results'!J53/'2nd IA Load Pricing Results'!$J$50,0)</f>
        <v>0</v>
      </c>
      <c r="N34" s="392">
        <f t="shared" si="2"/>
        <v>0</v>
      </c>
      <c r="O34" s="137">
        <f>IF(D34="PEPCO",$I$10*'2nd IA Load Pricing Results'!J53/'2nd IA Load Pricing Results'!$J$56,0)</f>
        <v>0</v>
      </c>
      <c r="P34" s="392">
        <f t="shared" si="9"/>
        <v>0</v>
      </c>
      <c r="Q34" s="137">
        <f>IF(D34="ATSI",$I$11*'2nd IA Load Pricing Results'!J53/'2nd IA Load Pricing Results'!$J$43,0)</f>
        <v>0</v>
      </c>
      <c r="R34" s="392">
        <f t="shared" si="10"/>
        <v>0</v>
      </c>
      <c r="S34" s="137">
        <f>IF(D34="COMED",$I$12*'2nd IA Load Pricing Results'!J53/'2nd IA Load Pricing Results'!$J$45,0)</f>
        <v>0</v>
      </c>
      <c r="T34" s="392">
        <f t="shared" si="3"/>
        <v>0</v>
      </c>
      <c r="U34" s="137">
        <f>IF(D34="BGE",$I$13*'2nd IA Load Pricing Results'!J53/'2nd IA Load Pricing Results'!$J$44,0)</f>
        <v>0</v>
      </c>
      <c r="V34" s="392">
        <f t="shared" si="4"/>
        <v>0</v>
      </c>
      <c r="W34" s="137">
        <f>IF(D34="PL",$I$14*'2nd IA Load Pricing Results'!J53/'2nd IA Load Pricing Results'!$J$57,0)</f>
        <v>0</v>
      </c>
      <c r="X34" s="392">
        <f t="shared" si="5"/>
        <v>0</v>
      </c>
      <c r="Y34" s="53">
        <f t="shared" si="6"/>
        <v>0</v>
      </c>
      <c r="Z34" s="33">
        <f t="shared" si="7"/>
        <v>0</v>
      </c>
      <c r="AA34" s="156">
        <f>Z34/'2nd IA Load Pricing Results'!J53</f>
        <v>0</v>
      </c>
      <c r="AB34" s="156">
        <f t="shared" si="13"/>
        <v>0</v>
      </c>
      <c r="AC34" s="97" t="s">
        <v>13</v>
      </c>
    </row>
    <row r="35" spans="1:29" x14ac:dyDescent="0.2">
      <c r="A35" s="24" t="s">
        <v>9</v>
      </c>
      <c r="B35" s="97" t="s">
        <v>29</v>
      </c>
      <c r="C35" s="97" t="s">
        <v>36</v>
      </c>
      <c r="D35" s="97"/>
      <c r="E35" s="137">
        <f>IF(B35="MAAC",$I$5*'2nd IA Load Pricing Results'!J54/'2nd IA Load Pricing Results'!$B$14,0)</f>
        <v>0</v>
      </c>
      <c r="F35" s="392">
        <f t="shared" si="12"/>
        <v>0</v>
      </c>
      <c r="G35" s="137">
        <f>IF(C35="EMAAC",$I$6*'2nd IA Load Pricing Results'!J54/'2nd IA Load Pricing Results'!$B$15,0)</f>
        <v>1080.6372390377637</v>
      </c>
      <c r="H35" s="392">
        <f>G35*$H$19</f>
        <v>66006.194852402943</v>
      </c>
      <c r="I35" s="137">
        <f>IF(C35="SWMAAC",$I$7*'2nd IA Load Pricing Results'!J54/'2nd IA Load Pricing Results'!$B$16,0)</f>
        <v>0</v>
      </c>
      <c r="J35" s="392">
        <f t="shared" si="14"/>
        <v>0</v>
      </c>
      <c r="K35" s="137">
        <f>IF(D35="PS",$I$8*'2nd IA Load Pricing Results'!J54/'2nd IA Load Pricing Results'!$J$58,0)</f>
        <v>0</v>
      </c>
      <c r="L35" s="392">
        <f t="shared" si="11"/>
        <v>0</v>
      </c>
      <c r="M35" s="137">
        <f>IF(D35="DPL",$I$9*'2nd IA Load Pricing Results'!J54/'2nd IA Load Pricing Results'!$J$50,0)</f>
        <v>0</v>
      </c>
      <c r="N35" s="392">
        <f t="shared" si="2"/>
        <v>0</v>
      </c>
      <c r="O35" s="137">
        <f>IF(D35="PEPCO",$I$10*'2nd IA Load Pricing Results'!J54/'2nd IA Load Pricing Results'!$J$56,0)</f>
        <v>0</v>
      </c>
      <c r="P35" s="392">
        <f t="shared" si="9"/>
        <v>0</v>
      </c>
      <c r="Q35" s="137">
        <f>IF(D35="ATSI",$I$11*'2nd IA Load Pricing Results'!J54/'2nd IA Load Pricing Results'!$J$43,0)</f>
        <v>0</v>
      </c>
      <c r="R35" s="392">
        <f t="shared" si="10"/>
        <v>0</v>
      </c>
      <c r="S35" s="137">
        <f>IF(D35="COMED",$I$12*'2nd IA Load Pricing Results'!J54/'2nd IA Load Pricing Results'!$J$45,0)</f>
        <v>0</v>
      </c>
      <c r="T35" s="392">
        <f t="shared" si="3"/>
        <v>0</v>
      </c>
      <c r="U35" s="137">
        <f>IF(D35="BGE",$I$13*'2nd IA Load Pricing Results'!J54/'2nd IA Load Pricing Results'!$J$44,0)</f>
        <v>0</v>
      </c>
      <c r="V35" s="392">
        <f t="shared" si="4"/>
        <v>0</v>
      </c>
      <c r="W35" s="137">
        <f>IF(D35="PL",$I$14*'2nd IA Load Pricing Results'!J54/'2nd IA Load Pricing Results'!$J$57,0)</f>
        <v>0</v>
      </c>
      <c r="X35" s="392">
        <f t="shared" si="5"/>
        <v>0</v>
      </c>
      <c r="Y35" s="53">
        <f t="shared" si="6"/>
        <v>1080.6372390377637</v>
      </c>
      <c r="Z35" s="33">
        <f t="shared" si="7"/>
        <v>66006.194852402943</v>
      </c>
      <c r="AA35" s="156">
        <f>Z35/'2nd IA Load Pricing Results'!J54</f>
        <v>6.8074837665967687</v>
      </c>
      <c r="AB35" s="156">
        <f t="shared" si="13"/>
        <v>61.080807201477818</v>
      </c>
      <c r="AC35" s="97" t="s">
        <v>9</v>
      </c>
    </row>
    <row r="36" spans="1:29" x14ac:dyDescent="0.2">
      <c r="A36" s="24" t="s">
        <v>14</v>
      </c>
      <c r="B36" s="97" t="s">
        <v>29</v>
      </c>
      <c r="C36" s="97"/>
      <c r="D36" s="97"/>
      <c r="E36" s="137">
        <f>IF(B36="MAAC",$I$5*'2nd IA Load Pricing Results'!J55/'2nd IA Load Pricing Results'!$B$14,0)</f>
        <v>0</v>
      </c>
      <c r="F36" s="392">
        <f t="shared" si="12"/>
        <v>0</v>
      </c>
      <c r="G36" s="137">
        <f>IF(C36="EMAAC",$I$6*'2nd IA Load Pricing Results'!J55/'2nd IA Load Pricing Results'!$B$15,0)</f>
        <v>0</v>
      </c>
      <c r="H36" s="392">
        <f t="shared" si="8"/>
        <v>0</v>
      </c>
      <c r="I36" s="137">
        <f>IF(C36="SWMAAC",$I$7*'2nd IA Load Pricing Results'!J55/'2nd IA Load Pricing Results'!$B$16,0)</f>
        <v>0</v>
      </c>
      <c r="J36" s="392">
        <f t="shared" si="14"/>
        <v>0</v>
      </c>
      <c r="K36" s="137">
        <f>IF(D36="PS",$I$8*'2nd IA Load Pricing Results'!J55/'2nd IA Load Pricing Results'!$J$58,0)</f>
        <v>0</v>
      </c>
      <c r="L36" s="392">
        <f t="shared" si="11"/>
        <v>0</v>
      </c>
      <c r="M36" s="137">
        <f>IF(D36="DPL",$I$9*'2nd IA Load Pricing Results'!J55/'2nd IA Load Pricing Results'!$J$50,0)</f>
        <v>0</v>
      </c>
      <c r="N36" s="392">
        <f t="shared" si="2"/>
        <v>0</v>
      </c>
      <c r="O36" s="137">
        <f>IF(D36="PEPCO",$I$10*'2nd IA Load Pricing Results'!J55/'2nd IA Load Pricing Results'!$J$56,0)</f>
        <v>0</v>
      </c>
      <c r="P36" s="392">
        <f t="shared" si="9"/>
        <v>0</v>
      </c>
      <c r="Q36" s="137">
        <f>IF(D36="ATSI",$I$11*'2nd IA Load Pricing Results'!J55/'2nd IA Load Pricing Results'!$J$43,0)</f>
        <v>0</v>
      </c>
      <c r="R36" s="392">
        <f t="shared" si="10"/>
        <v>0</v>
      </c>
      <c r="S36" s="137">
        <f>IF(D36="COMED",$I$12*'2nd IA Load Pricing Results'!J55/'2nd IA Load Pricing Results'!$J$45,0)</f>
        <v>0</v>
      </c>
      <c r="T36" s="392">
        <f t="shared" si="3"/>
        <v>0</v>
      </c>
      <c r="U36" s="137">
        <f>IF(D36="BGE",$I$13*'2nd IA Load Pricing Results'!J55/'2nd IA Load Pricing Results'!$J$44,0)</f>
        <v>0</v>
      </c>
      <c r="V36" s="392">
        <f t="shared" si="4"/>
        <v>0</v>
      </c>
      <c r="W36" s="137">
        <f>IF(D36="PL",$I$14*'2nd IA Load Pricing Results'!J55/'2nd IA Load Pricing Results'!$J$57,0)</f>
        <v>0</v>
      </c>
      <c r="X36" s="392">
        <f t="shared" si="5"/>
        <v>0</v>
      </c>
      <c r="Y36" s="53">
        <f t="shared" si="6"/>
        <v>0</v>
      </c>
      <c r="Z36" s="33">
        <f t="shared" si="7"/>
        <v>0</v>
      </c>
      <c r="AA36" s="156">
        <f>Z36/'2nd IA Load Pricing Results'!J55</f>
        <v>0</v>
      </c>
      <c r="AB36" s="156">
        <f t="shared" si="13"/>
        <v>0</v>
      </c>
      <c r="AC36" s="97" t="s">
        <v>14</v>
      </c>
    </row>
    <row r="37" spans="1:29" x14ac:dyDescent="0.2">
      <c r="A37" s="24" t="s">
        <v>15</v>
      </c>
      <c r="B37" s="97" t="s">
        <v>29</v>
      </c>
      <c r="C37" s="97" t="s">
        <v>5</v>
      </c>
      <c r="D37" s="97" t="s">
        <v>15</v>
      </c>
      <c r="E37" s="137">
        <f>IF(B37="MAAC",$I$5*'2nd IA Load Pricing Results'!J56/'2nd IA Load Pricing Results'!$B$14,0)</f>
        <v>0</v>
      </c>
      <c r="F37" s="392">
        <f t="shared" si="12"/>
        <v>0</v>
      </c>
      <c r="G37" s="137">
        <f>IF(C37="EMAAC",$I$6*'2nd IA Load Pricing Results'!J56/'2nd IA Load Pricing Results'!$B$15,0)</f>
        <v>0</v>
      </c>
      <c r="H37" s="392">
        <f t="shared" si="8"/>
        <v>0</v>
      </c>
      <c r="I37" s="137">
        <f>IF(C37="SWMAAC",$I$7*'2nd IA Load Pricing Results'!J56/'2nd IA Load Pricing Results'!$B$16,0)</f>
        <v>1392.40335822874</v>
      </c>
      <c r="J37" s="392">
        <f t="shared" si="14"/>
        <v>0</v>
      </c>
      <c r="K37" s="137">
        <f>IF(D37="PS",$I$8*'2nd IA Load Pricing Results'!J56/'2nd IA Load Pricing Results'!$J$58,0)</f>
        <v>0</v>
      </c>
      <c r="L37" s="392">
        <f t="shared" si="11"/>
        <v>0</v>
      </c>
      <c r="M37" s="137">
        <f>IF(D37="DPL",$I$9*'2nd IA Load Pricing Results'!J56/'2nd IA Load Pricing Results'!$J$50,0)</f>
        <v>0</v>
      </c>
      <c r="N37" s="392">
        <f>M37*$N$19</f>
        <v>0</v>
      </c>
      <c r="O37" s="137">
        <f>IF(D37="PEPCO",$I$10*'2nd IA Load Pricing Results'!J56/'2nd IA Load Pricing Results'!$J$56,0)</f>
        <v>1504.2532889766624</v>
      </c>
      <c r="P37" s="392">
        <f>O37*$P$19</f>
        <v>0</v>
      </c>
      <c r="Q37" s="137">
        <f>IF(D37="ATSI",$I$11*'2nd IA Load Pricing Results'!J56/'2nd IA Load Pricing Results'!$J$43,0)</f>
        <v>0</v>
      </c>
      <c r="R37" s="392">
        <f t="shared" si="10"/>
        <v>0</v>
      </c>
      <c r="S37" s="137">
        <f>IF(D37="COMED",$I$12*'2nd IA Load Pricing Results'!J56/'2nd IA Load Pricing Results'!$J$45,0)</f>
        <v>0</v>
      </c>
      <c r="T37" s="392">
        <f t="shared" si="3"/>
        <v>0</v>
      </c>
      <c r="U37" s="137">
        <f>IF(D37="BGE",$I$13*'2nd IA Load Pricing Results'!J56/'2nd IA Load Pricing Results'!$J$44,0)</f>
        <v>0</v>
      </c>
      <c r="V37" s="392">
        <f t="shared" si="4"/>
        <v>0</v>
      </c>
      <c r="W37" s="137">
        <f>IF(D37="PL",$I$14*'2nd IA Load Pricing Results'!J56/'2nd IA Load Pricing Results'!$J$57,0)</f>
        <v>0</v>
      </c>
      <c r="X37" s="392">
        <f t="shared" si="5"/>
        <v>0</v>
      </c>
      <c r="Y37" s="53">
        <f t="shared" si="6"/>
        <v>1504.2532889766624</v>
      </c>
      <c r="Z37" s="33">
        <f t="shared" si="7"/>
        <v>0</v>
      </c>
      <c r="AA37" s="156">
        <f>Z37/'2nd IA Load Pricing Results'!J56</f>
        <v>0</v>
      </c>
      <c r="AB37" s="156">
        <f t="shared" si="13"/>
        <v>0</v>
      </c>
      <c r="AC37" s="97" t="s">
        <v>15</v>
      </c>
    </row>
    <row r="38" spans="1:29" x14ac:dyDescent="0.2">
      <c r="A38" s="24" t="s">
        <v>10</v>
      </c>
      <c r="B38" s="97" t="s">
        <v>29</v>
      </c>
      <c r="C38" s="97"/>
      <c r="D38" s="97" t="s">
        <v>10</v>
      </c>
      <c r="E38" s="137">
        <f>IF(B38="MAAC",$I$5*'2nd IA Load Pricing Results'!J57/'2nd IA Load Pricing Results'!$B$14,0)</f>
        <v>0</v>
      </c>
      <c r="F38" s="392">
        <f t="shared" si="12"/>
        <v>0</v>
      </c>
      <c r="G38" s="137">
        <f>IF(C38="EMAAC",$I$6*'2nd IA Load Pricing Results'!J57/'2nd IA Load Pricing Results'!$B$15,0)</f>
        <v>0</v>
      </c>
      <c r="H38" s="392">
        <f t="shared" si="8"/>
        <v>0</v>
      </c>
      <c r="I38" s="137">
        <f>IF(C38="SWMAAC",$I$7*'2nd IA Load Pricing Results'!J57/'2nd IA Load Pricing Results'!$B$16,0)</f>
        <v>0</v>
      </c>
      <c r="J38" s="392">
        <f t="shared" si="14"/>
        <v>0</v>
      </c>
      <c r="K38" s="137">
        <f>IF(D38="PS",$I$8*'2nd IA Load Pricing Results'!J57/'2nd IA Load Pricing Results'!$J$58,0)</f>
        <v>0</v>
      </c>
      <c r="L38" s="392">
        <f t="shared" si="11"/>
        <v>0</v>
      </c>
      <c r="M38" s="137">
        <f>IF(D38="DPL",$I$9*'2nd IA Load Pricing Results'!J57/'2nd IA Load Pricing Results'!$J$50,0)</f>
        <v>0</v>
      </c>
      <c r="N38" s="392">
        <f t="shared" si="2"/>
        <v>0</v>
      </c>
      <c r="O38" s="137">
        <f>IF(D38="PEPCO",$I$10*'2nd IA Load Pricing Results'!J57/'2nd IA Load Pricing Results'!$J$56,0)</f>
        <v>0</v>
      </c>
      <c r="P38" s="392">
        <f>O38*$P$19</f>
        <v>0</v>
      </c>
      <c r="Q38" s="137">
        <f>IF(D38="ATSI",$I$11*'2nd IA Load Pricing Results'!J57/'2nd IA Load Pricing Results'!$J$43,0)</f>
        <v>0</v>
      </c>
      <c r="R38" s="392">
        <f t="shared" si="10"/>
        <v>0</v>
      </c>
      <c r="S38" s="137">
        <f>IF(D38="COMED",$I$12*'2nd IA Load Pricing Results'!J57/'2nd IA Load Pricing Results'!$J$45,0)</f>
        <v>0</v>
      </c>
      <c r="T38" s="392">
        <f t="shared" si="3"/>
        <v>0</v>
      </c>
      <c r="U38" s="137">
        <f>IF(D38="BGE",$I$13*'2nd IA Load Pricing Results'!J57/'2nd IA Load Pricing Results'!$J$44,0)</f>
        <v>0</v>
      </c>
      <c r="V38" s="392">
        <f t="shared" si="4"/>
        <v>0</v>
      </c>
      <c r="W38" s="137">
        <f>IF(D38="PL",$I$14*'2nd IA Load Pricing Results'!J57/'2nd IA Load Pricing Results'!$J$57,0)</f>
        <v>0</v>
      </c>
      <c r="X38" s="392">
        <f t="shared" si="5"/>
        <v>0</v>
      </c>
      <c r="Y38" s="53">
        <f t="shared" si="6"/>
        <v>0</v>
      </c>
      <c r="Z38" s="33">
        <f t="shared" si="7"/>
        <v>0</v>
      </c>
      <c r="AA38" s="156">
        <f>Z38/'2nd IA Load Pricing Results'!J57</f>
        <v>0</v>
      </c>
      <c r="AB38" s="156">
        <f t="shared" si="13"/>
        <v>0</v>
      </c>
      <c r="AC38" s="97" t="s">
        <v>10</v>
      </c>
    </row>
    <row r="39" spans="1:29" x14ac:dyDescent="0.2">
      <c r="A39" s="24" t="s">
        <v>8</v>
      </c>
      <c r="B39" s="97" t="s">
        <v>29</v>
      </c>
      <c r="C39" s="97" t="s">
        <v>36</v>
      </c>
      <c r="D39" s="97" t="s">
        <v>8</v>
      </c>
      <c r="E39" s="137">
        <f>IF(B39="MAAC",$I$5*'2nd IA Load Pricing Results'!J58/'2nd IA Load Pricing Results'!$B$14,0)</f>
        <v>0</v>
      </c>
      <c r="F39" s="392">
        <f t="shared" si="12"/>
        <v>0</v>
      </c>
      <c r="G39" s="137">
        <f>IF(C39="EMAAC",$I$6*'2nd IA Load Pricing Results'!J58/'2nd IA Load Pricing Results'!$B$15,0)</f>
        <v>1258.6459185863062</v>
      </c>
      <c r="H39" s="392">
        <f>G39*$H$19</f>
        <v>76879.108688097112</v>
      </c>
      <c r="I39" s="137">
        <f>IF(C39="SWMAAC",$I$7*'2nd IA Load Pricing Results'!J58/'2nd IA Load Pricing Results'!$B$16,0)</f>
        <v>0</v>
      </c>
      <c r="J39" s="392">
        <f>I39*$J$19</f>
        <v>0</v>
      </c>
      <c r="K39" s="137">
        <f>IF(D39="PS",$I$8*'2nd IA Load Pricing Results'!J58/'2nd IA Load Pricing Results'!$J$58,0)</f>
        <v>5956.7223675582727</v>
      </c>
      <c r="L39" s="392">
        <f>K39*$L$19</f>
        <v>0</v>
      </c>
      <c r="M39" s="137">
        <f>IF(D39="DPL",$I$9*'2nd IA Load Pricing Results'!J58/'2nd IA Load Pricing Results'!$J$50,0)</f>
        <v>0</v>
      </c>
      <c r="N39" s="392">
        <f t="shared" si="2"/>
        <v>0</v>
      </c>
      <c r="O39" s="137">
        <f>IF(D39="PEPCO",$I$10*'2nd IA Load Pricing Results'!J58/'2nd IA Load Pricing Results'!$J$56,0)</f>
        <v>0</v>
      </c>
      <c r="P39" s="392">
        <f>O39*$P$19</f>
        <v>0</v>
      </c>
      <c r="Q39" s="137">
        <f>IF(D39="ATSI",$I$11*'2nd IA Load Pricing Results'!J58/'2nd IA Load Pricing Results'!$J$43,0)</f>
        <v>0</v>
      </c>
      <c r="R39" s="392">
        <f t="shared" si="10"/>
        <v>0</v>
      </c>
      <c r="S39" s="137">
        <f>IF(D39="COMED",$I$12*'2nd IA Load Pricing Results'!J58/'2nd IA Load Pricing Results'!$J$45,0)</f>
        <v>0</v>
      </c>
      <c r="T39" s="392">
        <f t="shared" si="3"/>
        <v>0</v>
      </c>
      <c r="U39" s="137">
        <f>IF(D39="BGE",$I$13*'2nd IA Load Pricing Results'!J58/'2nd IA Load Pricing Results'!$J$44,0)</f>
        <v>0</v>
      </c>
      <c r="V39" s="392">
        <f t="shared" si="4"/>
        <v>0</v>
      </c>
      <c r="W39" s="137">
        <f>IF(D39="PL",$I$14*'2nd IA Load Pricing Results'!J58/'2nd IA Load Pricing Results'!$J$57,0)</f>
        <v>0</v>
      </c>
      <c r="X39" s="392">
        <f t="shared" si="5"/>
        <v>0</v>
      </c>
      <c r="Y39" s="53">
        <f t="shared" si="6"/>
        <v>5956.7223675582727</v>
      </c>
      <c r="Z39" s="33">
        <f t="shared" si="7"/>
        <v>76879.108688097112</v>
      </c>
      <c r="AA39" s="156">
        <f>Z39/'2nd IA Load Pricing Results'!J58</f>
        <v>6.8074837665967678</v>
      </c>
      <c r="AB39" s="156">
        <f>IF(Y39=0,0,Z39/Y39)</f>
        <v>12.906276966473884</v>
      </c>
      <c r="AC39" s="97" t="s">
        <v>8</v>
      </c>
    </row>
    <row r="40" spans="1:29" x14ac:dyDescent="0.2">
      <c r="A40" s="24" t="s">
        <v>18</v>
      </c>
      <c r="B40" s="97" t="s">
        <v>29</v>
      </c>
      <c r="C40" s="97" t="s">
        <v>36</v>
      </c>
      <c r="D40" s="97"/>
      <c r="E40" s="137">
        <f>IF(B40="MAAC",$I$5*'2nd IA Load Pricing Results'!J59/'2nd IA Load Pricing Results'!$B$14,0)</f>
        <v>0</v>
      </c>
      <c r="F40" s="392">
        <f>E40*$F$19</f>
        <v>0</v>
      </c>
      <c r="G40" s="137">
        <f>IF(C40="EMAAC",$I$6*'2nd IA Load Pricing Results'!J59/'2nd IA Load Pricing Results'!$B$15,0)</f>
        <v>50.081159114968997</v>
      </c>
      <c r="H40" s="392">
        <f>G40*$H$19</f>
        <v>3058.9976243279548</v>
      </c>
      <c r="I40" s="137">
        <f>IF(C40="SWMAAC",$I$7*'2nd IA Load Pricing Results'!J59/'2nd IA Load Pricing Results'!$B$16,0)</f>
        <v>0</v>
      </c>
      <c r="J40" s="392">
        <f>I40*$J$19</f>
        <v>0</v>
      </c>
      <c r="K40" s="137">
        <f>IF(D40="PS",$I$8*'2nd IA Load Pricing Results'!J59/'2nd IA Load Pricing Results'!$J$58,0)</f>
        <v>0</v>
      </c>
      <c r="L40" s="392">
        <f>K40*$L$19</f>
        <v>0</v>
      </c>
      <c r="M40" s="137">
        <f>IF(D40="DPL",$I$9*'2nd IA Load Pricing Results'!J59/'2nd IA Load Pricing Results'!$J$50,0)</f>
        <v>0</v>
      </c>
      <c r="N40" s="392">
        <f t="shared" si="2"/>
        <v>0</v>
      </c>
      <c r="O40" s="137">
        <f>IF(D40="PEPCO",$I$10*'2nd IA Load Pricing Results'!J59/'2nd IA Load Pricing Results'!$J$56,0)</f>
        <v>0</v>
      </c>
      <c r="P40" s="392">
        <f>O40*$P$19</f>
        <v>0</v>
      </c>
      <c r="Q40" s="137">
        <f>IF(D40="ATSI",$I$11*'2nd IA Load Pricing Results'!J59/'2nd IA Load Pricing Results'!$J$43,0)</f>
        <v>0</v>
      </c>
      <c r="R40" s="392">
        <f t="shared" si="10"/>
        <v>0</v>
      </c>
      <c r="S40" s="137">
        <f>IF(D40="COMED",$I$12*'2nd IA Load Pricing Results'!J59/'2nd IA Load Pricing Results'!$J$45,0)</f>
        <v>0</v>
      </c>
      <c r="T40" s="392">
        <f t="shared" si="3"/>
        <v>0</v>
      </c>
      <c r="U40" s="137">
        <f>IF(D40="BGE",$I$13*'2nd IA Load Pricing Results'!J59/'2nd IA Load Pricing Results'!$J$44,0)</f>
        <v>0</v>
      </c>
      <c r="V40" s="392">
        <f t="shared" si="4"/>
        <v>0</v>
      </c>
      <c r="W40" s="137">
        <f>IF(D40="PL",$I$14*'2nd IA Load Pricing Results'!J59/'2nd IA Load Pricing Results'!$J$57,0)</f>
        <v>0</v>
      </c>
      <c r="X40" s="392">
        <f t="shared" si="5"/>
        <v>0</v>
      </c>
      <c r="Y40" s="53">
        <f t="shared" si="6"/>
        <v>50.081159114968997</v>
      </c>
      <c r="Z40" s="33">
        <f t="shared" si="7"/>
        <v>3058.9976243279548</v>
      </c>
      <c r="AA40" s="156">
        <f>Z40/'2nd IA Load Pricing Results'!J59</f>
        <v>6.8074837665967678</v>
      </c>
      <c r="AB40" s="156">
        <f>IF(Y40=0,0,Z40/Y40)</f>
        <v>61.080807201477818</v>
      </c>
      <c r="AC40" s="97" t="s">
        <v>18</v>
      </c>
    </row>
    <row r="41" spans="1:29" x14ac:dyDescent="0.2">
      <c r="A41" s="558" t="s">
        <v>73</v>
      </c>
      <c r="B41" s="558"/>
      <c r="C41" s="558"/>
      <c r="D41" s="558"/>
      <c r="E41" s="393">
        <f t="shared" ref="E41:X41" si="15">SUM(E21:E40)</f>
        <v>0</v>
      </c>
      <c r="F41" s="394">
        <f>SUM(F21:F40)</f>
        <v>0</v>
      </c>
      <c r="G41" s="393">
        <f>SUM(G21:G40)</f>
        <v>3966.2721091829076</v>
      </c>
      <c r="H41" s="394">
        <f>SUM(H21:H40)</f>
        <v>242263.10200959991</v>
      </c>
      <c r="I41" s="393">
        <f t="shared" si="15"/>
        <v>2849.2637448497408</v>
      </c>
      <c r="J41" s="394">
        <f>SUM(J21:J40)</f>
        <v>0</v>
      </c>
      <c r="K41" s="393">
        <f t="shared" si="15"/>
        <v>5956.7223675582727</v>
      </c>
      <c r="L41" s="394">
        <f>SUM(L21:L40)</f>
        <v>0</v>
      </c>
      <c r="M41" s="393">
        <f>SUM(M21:M40)</f>
        <v>0</v>
      </c>
      <c r="N41" s="394">
        <f>SUM(N21:N40)</f>
        <v>0</v>
      </c>
      <c r="O41" s="393">
        <f t="shared" si="15"/>
        <v>1504.2532889766624</v>
      </c>
      <c r="P41" s="394">
        <f t="shared" si="15"/>
        <v>0</v>
      </c>
      <c r="Q41" s="393">
        <f t="shared" si="15"/>
        <v>3822.7517541297984</v>
      </c>
      <c r="R41" s="394">
        <f t="shared" si="15"/>
        <v>0</v>
      </c>
      <c r="S41" s="393">
        <f t="shared" si="15"/>
        <v>2074.0020792930918</v>
      </c>
      <c r="T41" s="394">
        <f>SUM(T21:T40)</f>
        <v>106900.55738967685</v>
      </c>
      <c r="U41" s="393">
        <f t="shared" si="15"/>
        <v>4173.1104558730767</v>
      </c>
      <c r="V41" s="394">
        <f>SUM(V21:V40)</f>
        <v>0</v>
      </c>
      <c r="W41" s="393">
        <f t="shared" si="15"/>
        <v>0</v>
      </c>
      <c r="X41" s="394">
        <f t="shared" si="15"/>
        <v>0</v>
      </c>
      <c r="Y41" s="53"/>
      <c r="Z41" s="394">
        <f>SUM(Z21:Z40)</f>
        <v>349163.65939927677</v>
      </c>
      <c r="AA41" s="395"/>
      <c r="AB41" s="395"/>
    </row>
    <row r="42" spans="1:29" x14ac:dyDescent="0.2">
      <c r="A42" s="25" t="s">
        <v>74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57"/>
      <c r="AA42" s="23"/>
      <c r="AB42" s="23"/>
    </row>
    <row r="43" spans="1:29" x14ac:dyDescent="0.2">
      <c r="A43" s="25" t="s">
        <v>288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9" x14ac:dyDescent="0.2">
      <c r="A44" s="25" t="s">
        <v>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9" x14ac:dyDescent="0.2">
      <c r="A45" s="25" t="s">
        <v>289</v>
      </c>
    </row>
  </sheetData>
  <mergeCells count="12">
    <mergeCell ref="K18:L18"/>
    <mergeCell ref="M18:N18"/>
    <mergeCell ref="A41:D41"/>
    <mergeCell ref="A17:D19"/>
    <mergeCell ref="E18:F18"/>
    <mergeCell ref="G18:H18"/>
    <mergeCell ref="I18:J18"/>
    <mergeCell ref="O18:P18"/>
    <mergeCell ref="Q18:R18"/>
    <mergeCell ref="S18:T18"/>
    <mergeCell ref="U18:V18"/>
    <mergeCell ref="W18:X18"/>
  </mergeCells>
  <pageMargins left="0.5" right="0.5" top="0.5" bottom="0.5" header="0" footer="0"/>
  <pageSetup paperSize="17" scale="4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5"/>
  <sheetViews>
    <sheetView workbookViewId="0"/>
  </sheetViews>
  <sheetFormatPr defaultRowHeight="12.75" x14ac:dyDescent="0.2"/>
  <cols>
    <col min="1" max="1" width="55.7109375" customWidth="1"/>
    <col min="2" max="27" width="15.7109375" customWidth="1"/>
    <col min="28" max="28" width="19" customWidth="1"/>
    <col min="29" max="34" width="15.7109375" customWidth="1"/>
  </cols>
  <sheetData>
    <row r="1" spans="1:22" ht="18.75" x14ac:dyDescent="0.3">
      <c r="A1" s="104" t="s">
        <v>326</v>
      </c>
      <c r="B1" s="11" t="s">
        <v>24</v>
      </c>
    </row>
    <row r="2" spans="1:22" ht="19.5" thickBot="1" x14ac:dyDescent="0.35">
      <c r="A2" s="3"/>
      <c r="C2" s="18"/>
    </row>
    <row r="3" spans="1:22" ht="13.5" thickBot="1" x14ac:dyDescent="0.25">
      <c r="A3" s="559" t="s">
        <v>65</v>
      </c>
      <c r="B3" s="23"/>
      <c r="C3" s="127" t="s">
        <v>141</v>
      </c>
      <c r="D3" s="23"/>
      <c r="E3" s="23"/>
      <c r="F3" s="23"/>
      <c r="G3" s="23"/>
      <c r="H3" s="23"/>
      <c r="I3" s="127" t="s">
        <v>141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3.5" thickBot="1" x14ac:dyDescent="0.25">
      <c r="A4" s="560"/>
      <c r="B4" s="249" t="s">
        <v>29</v>
      </c>
      <c r="C4" s="249" t="s">
        <v>29</v>
      </c>
      <c r="D4" s="250" t="s">
        <v>36</v>
      </c>
      <c r="E4" s="250" t="s">
        <v>5</v>
      </c>
      <c r="F4" s="250" t="s">
        <v>8</v>
      </c>
      <c r="G4" s="250" t="s">
        <v>37</v>
      </c>
      <c r="H4" s="250" t="s">
        <v>38</v>
      </c>
      <c r="I4" s="250" t="s">
        <v>38</v>
      </c>
      <c r="J4" s="250" t="s">
        <v>15</v>
      </c>
      <c r="K4" s="250" t="s">
        <v>11</v>
      </c>
      <c r="L4" s="147"/>
      <c r="M4" s="147"/>
      <c r="N4" s="147"/>
      <c r="O4" s="147"/>
      <c r="P4" s="147"/>
      <c r="Q4" s="23"/>
      <c r="R4" s="23"/>
      <c r="S4" s="23"/>
      <c r="T4" s="23"/>
      <c r="U4" s="23"/>
      <c r="V4" s="23"/>
    </row>
    <row r="5" spans="1:22" ht="25.5" x14ac:dyDescent="0.2">
      <c r="A5" s="251" t="s">
        <v>105</v>
      </c>
      <c r="B5" s="252" t="s">
        <v>116</v>
      </c>
      <c r="C5" s="252" t="s">
        <v>142</v>
      </c>
      <c r="D5" s="253" t="s">
        <v>151</v>
      </c>
      <c r="E5" s="253" t="s">
        <v>151</v>
      </c>
      <c r="F5" s="253" t="s">
        <v>151</v>
      </c>
      <c r="G5" s="253" t="s">
        <v>151</v>
      </c>
      <c r="H5" s="253" t="s">
        <v>116</v>
      </c>
      <c r="I5" s="253" t="s">
        <v>142</v>
      </c>
      <c r="J5" s="253" t="s">
        <v>151</v>
      </c>
      <c r="K5" s="253" t="s">
        <v>151</v>
      </c>
      <c r="L5" s="147"/>
      <c r="M5" s="147"/>
      <c r="N5" s="147"/>
      <c r="O5" s="147"/>
      <c r="P5" s="147"/>
      <c r="Q5" s="34"/>
      <c r="R5" s="23"/>
      <c r="S5" s="23"/>
      <c r="T5" s="23"/>
      <c r="U5" s="23"/>
      <c r="V5" s="23"/>
    </row>
    <row r="6" spans="1:22" x14ac:dyDescent="0.2">
      <c r="A6" s="134" t="s">
        <v>201</v>
      </c>
      <c r="B6" s="195"/>
      <c r="C6" s="195"/>
      <c r="D6" s="196"/>
      <c r="E6" s="196"/>
      <c r="F6" s="196"/>
      <c r="G6" s="196"/>
      <c r="H6" s="196"/>
      <c r="I6" s="196"/>
      <c r="J6" s="196"/>
      <c r="K6" s="196"/>
      <c r="L6" s="147"/>
      <c r="M6" s="147"/>
      <c r="N6" s="147"/>
      <c r="O6" s="147"/>
      <c r="P6" s="147"/>
      <c r="Q6" s="34"/>
      <c r="R6" s="23"/>
      <c r="S6" s="23"/>
      <c r="T6" s="23"/>
      <c r="U6" s="23"/>
      <c r="V6" s="23"/>
    </row>
    <row r="7" spans="1:22" x14ac:dyDescent="0.2">
      <c r="A7" s="254" t="s">
        <v>97</v>
      </c>
      <c r="B7" s="197">
        <v>160</v>
      </c>
      <c r="C7" s="198">
        <f>B7*'2nd IA CTRs'!$F$5/$B$28</f>
        <v>0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40"/>
      <c r="M7" s="40"/>
      <c r="N7" s="40"/>
      <c r="O7" s="40"/>
      <c r="P7" s="40"/>
      <c r="Q7" s="34"/>
      <c r="R7" s="23"/>
      <c r="S7" s="23"/>
      <c r="T7" s="23"/>
      <c r="U7" s="23"/>
      <c r="V7" s="23"/>
    </row>
    <row r="8" spans="1:22" ht="25.5" x14ac:dyDescent="0.2">
      <c r="A8" s="254" t="s">
        <v>98</v>
      </c>
      <c r="B8" s="197">
        <v>106</v>
      </c>
      <c r="C8" s="198">
        <f>B8*'2nd IA CTRs'!$F$5/$B$28</f>
        <v>0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40"/>
      <c r="M8" s="40"/>
      <c r="N8" s="40"/>
      <c r="O8" s="40"/>
      <c r="P8" s="40"/>
      <c r="Q8" s="34"/>
      <c r="R8" s="23"/>
      <c r="S8" s="23"/>
      <c r="T8" s="23"/>
      <c r="U8" s="23"/>
      <c r="V8" s="23"/>
    </row>
    <row r="9" spans="1:22" x14ac:dyDescent="0.2">
      <c r="A9" s="254" t="s">
        <v>101</v>
      </c>
      <c r="B9" s="197">
        <v>117</v>
      </c>
      <c r="C9" s="198">
        <f>B9*'2nd IA CTRs'!$F$5/$B$28</f>
        <v>0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40"/>
      <c r="M9" s="40"/>
      <c r="N9" s="40"/>
      <c r="O9" s="40"/>
      <c r="P9" s="40"/>
      <c r="Q9" s="34"/>
      <c r="R9" s="23"/>
      <c r="S9" s="23"/>
      <c r="T9" s="23"/>
      <c r="U9" s="23"/>
      <c r="V9" s="23"/>
    </row>
    <row r="10" spans="1:22" ht="25.5" x14ac:dyDescent="0.2">
      <c r="A10" s="254" t="s">
        <v>102</v>
      </c>
      <c r="B10" s="197">
        <v>0</v>
      </c>
      <c r="C10" s="198">
        <f>B10*'2nd IA CTRs'!$F$5/$B$28</f>
        <v>0</v>
      </c>
      <c r="D10" s="198">
        <v>898</v>
      </c>
      <c r="E10" s="198">
        <v>0</v>
      </c>
      <c r="F10" s="198">
        <v>68.900000000000006</v>
      </c>
      <c r="G10" s="198">
        <v>105.5</v>
      </c>
      <c r="H10" s="198">
        <v>0</v>
      </c>
      <c r="I10" s="198">
        <v>0</v>
      </c>
      <c r="J10" s="198">
        <v>0</v>
      </c>
      <c r="K10" s="198">
        <v>0</v>
      </c>
      <c r="L10" s="40"/>
      <c r="M10" s="40"/>
      <c r="N10" s="40"/>
      <c r="O10" s="40"/>
      <c r="P10" s="40"/>
      <c r="Q10" s="34"/>
      <c r="R10" s="23"/>
      <c r="S10" s="23"/>
      <c r="T10" s="23"/>
      <c r="U10" s="23"/>
      <c r="V10" s="23"/>
    </row>
    <row r="11" spans="1:22" x14ac:dyDescent="0.2">
      <c r="A11" s="254" t="s">
        <v>134</v>
      </c>
      <c r="B11" s="197">
        <v>339</v>
      </c>
      <c r="C11" s="198">
        <f>B11*'2nd IA CTRs'!$F$5/$B$28</f>
        <v>0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40"/>
      <c r="M11" s="40"/>
      <c r="N11" s="40"/>
      <c r="O11" s="40"/>
      <c r="P11" s="40"/>
      <c r="Q11" s="34"/>
      <c r="R11" s="23"/>
      <c r="S11" s="23"/>
      <c r="T11" s="23"/>
      <c r="U11" s="23"/>
      <c r="V11" s="23"/>
    </row>
    <row r="12" spans="1:22" ht="25.5" x14ac:dyDescent="0.2">
      <c r="A12" s="254" t="s">
        <v>203</v>
      </c>
      <c r="B12" s="197">
        <v>0</v>
      </c>
      <c r="C12" s="198">
        <f>B12*'2nd IA CTRs'!$F$5/$B$28</f>
        <v>0</v>
      </c>
      <c r="D12" s="198">
        <v>0</v>
      </c>
      <c r="E12" s="198">
        <v>256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40"/>
      <c r="M12" s="40"/>
      <c r="N12" s="40"/>
      <c r="O12" s="40"/>
      <c r="P12" s="40"/>
      <c r="Q12" s="34"/>
      <c r="R12" s="23"/>
      <c r="S12" s="23"/>
      <c r="T12" s="23"/>
      <c r="U12" s="23"/>
      <c r="V12" s="23"/>
    </row>
    <row r="13" spans="1:22" x14ac:dyDescent="0.2">
      <c r="A13" s="255" t="s">
        <v>202</v>
      </c>
      <c r="B13" s="199">
        <f t="shared" ref="B13:H13" si="0">SUM(B7:B12)</f>
        <v>722</v>
      </c>
      <c r="C13" s="199">
        <f>SUM(C7:C12)</f>
        <v>0</v>
      </c>
      <c r="D13" s="200">
        <f t="shared" si="0"/>
        <v>898</v>
      </c>
      <c r="E13" s="200">
        <f t="shared" si="0"/>
        <v>256</v>
      </c>
      <c r="F13" s="200">
        <f t="shared" si="0"/>
        <v>68.900000000000006</v>
      </c>
      <c r="G13" s="200">
        <f t="shared" si="0"/>
        <v>105.5</v>
      </c>
      <c r="H13" s="200">
        <f t="shared" si="0"/>
        <v>0</v>
      </c>
      <c r="I13" s="200">
        <f>SUM(I7:I12)</f>
        <v>0</v>
      </c>
      <c r="J13" s="200">
        <f>SUM(J7:J12)</f>
        <v>0</v>
      </c>
      <c r="K13" s="200">
        <f>SUM(K7:K12)</f>
        <v>0</v>
      </c>
      <c r="L13" s="40"/>
      <c r="M13" s="40"/>
      <c r="N13" s="40"/>
      <c r="O13" s="40"/>
      <c r="P13" s="40"/>
      <c r="Q13" s="34"/>
      <c r="R13" s="23"/>
      <c r="S13" s="23"/>
      <c r="T13" s="23"/>
      <c r="U13" s="23"/>
      <c r="V13" s="23"/>
    </row>
    <row r="14" spans="1:22" x14ac:dyDescent="0.2">
      <c r="A14" s="134" t="s">
        <v>174</v>
      </c>
      <c r="B14" s="197" t="s">
        <v>24</v>
      </c>
      <c r="C14" s="197" t="s">
        <v>24</v>
      </c>
      <c r="D14" s="198"/>
      <c r="E14" s="198"/>
      <c r="F14" s="198"/>
      <c r="G14" s="198"/>
      <c r="H14" s="198"/>
      <c r="I14" s="198"/>
      <c r="J14" s="198"/>
      <c r="K14" s="198"/>
      <c r="L14" s="148"/>
      <c r="M14" s="68"/>
      <c r="N14" s="68"/>
      <c r="O14" s="68"/>
      <c r="P14" s="148"/>
      <c r="Q14" s="34"/>
      <c r="R14" s="23"/>
      <c r="S14" s="23"/>
      <c r="T14" s="23"/>
      <c r="U14" s="23"/>
      <c r="V14" s="23"/>
    </row>
    <row r="15" spans="1:22" ht="25.5" x14ac:dyDescent="0.2">
      <c r="A15" s="254" t="s">
        <v>234</v>
      </c>
      <c r="B15" s="197">
        <v>16</v>
      </c>
      <c r="C15" s="198">
        <f>B15*'2nd IA CTRs'!$F$5/$B$28</f>
        <v>0</v>
      </c>
      <c r="D15" s="198">
        <v>0</v>
      </c>
      <c r="E15" s="198">
        <v>237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124</v>
      </c>
      <c r="L15" s="206" t="s">
        <v>24</v>
      </c>
      <c r="M15" s="68"/>
      <c r="N15" s="68"/>
      <c r="O15" s="68"/>
      <c r="P15" s="148"/>
      <c r="Q15" s="34"/>
      <c r="R15" s="23"/>
      <c r="S15" s="23"/>
      <c r="T15" s="23"/>
      <c r="U15" s="23"/>
      <c r="V15" s="23"/>
    </row>
    <row r="16" spans="1:22" ht="25.5" x14ac:dyDescent="0.2">
      <c r="A16" s="254" t="s">
        <v>128</v>
      </c>
      <c r="B16" s="197">
        <v>0</v>
      </c>
      <c r="C16" s="198">
        <f>B16*'2nd IA CTRs'!$F$5/$B$28</f>
        <v>0</v>
      </c>
      <c r="D16" s="198">
        <v>0</v>
      </c>
      <c r="E16" s="198">
        <v>0</v>
      </c>
      <c r="F16" s="198">
        <v>340.2</v>
      </c>
      <c r="G16" s="198">
        <v>494.5</v>
      </c>
      <c r="H16" s="198">
        <v>0</v>
      </c>
      <c r="I16" s="198">
        <v>0</v>
      </c>
      <c r="J16" s="198">
        <v>0</v>
      </c>
      <c r="K16" s="198">
        <v>0</v>
      </c>
      <c r="L16" s="148"/>
      <c r="M16" s="68"/>
      <c r="N16" s="68"/>
      <c r="O16" s="68"/>
      <c r="P16" s="148"/>
      <c r="Q16" s="34"/>
      <c r="R16" s="23"/>
      <c r="S16" s="23"/>
      <c r="T16" s="23"/>
      <c r="U16" s="23"/>
      <c r="V16" s="23"/>
    </row>
    <row r="17" spans="1:29" ht="25.5" x14ac:dyDescent="0.2">
      <c r="A17" s="254" t="s">
        <v>99</v>
      </c>
      <c r="B17" s="197">
        <v>0</v>
      </c>
      <c r="C17" s="198">
        <f>B17*'2nd IA CTRs'!$F$5/$B$28</f>
        <v>0</v>
      </c>
      <c r="D17" s="198">
        <v>0</v>
      </c>
      <c r="E17" s="198">
        <v>0</v>
      </c>
      <c r="F17" s="198">
        <v>90.3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48"/>
      <c r="M17" s="68"/>
      <c r="N17" s="68"/>
      <c r="O17" s="68"/>
      <c r="P17" s="148"/>
      <c r="Q17" s="34"/>
      <c r="R17" s="23"/>
      <c r="S17" s="23"/>
      <c r="T17" s="23"/>
      <c r="U17" s="23"/>
      <c r="V17" s="23"/>
    </row>
    <row r="18" spans="1:29" ht="25.5" x14ac:dyDescent="0.2">
      <c r="A18" s="254" t="s">
        <v>204</v>
      </c>
      <c r="B18" s="197">
        <v>0</v>
      </c>
      <c r="C18" s="198">
        <f>B18*'2nd IA CTRs'!$F$5/$B$28</f>
        <v>0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182</v>
      </c>
      <c r="L18" s="148"/>
      <c r="M18" s="68"/>
      <c r="N18" s="68"/>
      <c r="O18" s="68"/>
      <c r="P18" s="148"/>
      <c r="Q18" s="34"/>
      <c r="R18" s="23"/>
      <c r="S18" s="23"/>
      <c r="T18" s="23"/>
      <c r="U18" s="23"/>
      <c r="V18" s="23"/>
    </row>
    <row r="19" spans="1:29" ht="25.5" x14ac:dyDescent="0.2">
      <c r="A19" s="254" t="s">
        <v>205</v>
      </c>
      <c r="B19" s="197">
        <v>0</v>
      </c>
      <c r="C19" s="198">
        <f>B19*'2nd IA CTRs'!$F$5/$B$28</f>
        <v>0</v>
      </c>
      <c r="D19" s="198">
        <v>0</v>
      </c>
      <c r="E19" s="198">
        <v>551</v>
      </c>
      <c r="F19" s="198">
        <v>0</v>
      </c>
      <c r="G19" s="198">
        <v>0</v>
      </c>
      <c r="H19" s="198">
        <v>0</v>
      </c>
      <c r="I19" s="198">
        <v>0</v>
      </c>
      <c r="J19" s="198">
        <v>315</v>
      </c>
      <c r="K19" s="198">
        <v>0</v>
      </c>
      <c r="L19" s="148"/>
      <c r="M19" s="68"/>
      <c r="N19" s="68"/>
      <c r="O19" s="68"/>
      <c r="P19" s="148"/>
      <c r="Q19" s="34"/>
      <c r="R19" s="23"/>
      <c r="S19" s="23"/>
      <c r="T19" s="23"/>
      <c r="U19" s="23"/>
      <c r="V19" s="23"/>
    </row>
    <row r="20" spans="1:29" x14ac:dyDescent="0.2">
      <c r="A20" s="255" t="s">
        <v>106</v>
      </c>
      <c r="B20" s="199">
        <f t="shared" ref="B20:H20" si="1">SUM(B15:B19)</f>
        <v>16</v>
      </c>
      <c r="C20" s="199">
        <f>SUM(C15:C19)</f>
        <v>0</v>
      </c>
      <c r="D20" s="200">
        <f t="shared" si="1"/>
        <v>0</v>
      </c>
      <c r="E20" s="200">
        <f>SUM(E15:E19)</f>
        <v>788</v>
      </c>
      <c r="F20" s="200">
        <f>SUM(F15:F19)</f>
        <v>430.5</v>
      </c>
      <c r="G20" s="200">
        <f>SUM(G15:G19)</f>
        <v>494.5</v>
      </c>
      <c r="H20" s="200">
        <f t="shared" si="1"/>
        <v>0</v>
      </c>
      <c r="I20" s="200">
        <f>SUM(I15:I19)</f>
        <v>0</v>
      </c>
      <c r="J20" s="200">
        <f>SUM(J15:J19)</f>
        <v>315</v>
      </c>
      <c r="K20" s="200">
        <f>SUM(K15:K19)</f>
        <v>306</v>
      </c>
      <c r="L20" s="148"/>
      <c r="M20" s="68"/>
      <c r="N20" s="68"/>
      <c r="O20" s="68"/>
      <c r="P20" s="148"/>
      <c r="Q20" s="34"/>
      <c r="R20" s="23"/>
      <c r="S20" s="23"/>
      <c r="T20" s="23"/>
      <c r="U20" s="23"/>
      <c r="V20" s="23"/>
    </row>
    <row r="21" spans="1:29" x14ac:dyDescent="0.2">
      <c r="A21" s="134" t="s">
        <v>81</v>
      </c>
      <c r="B21" s="201"/>
      <c r="C21" s="201"/>
      <c r="D21" s="202"/>
      <c r="E21" s="202"/>
      <c r="F21" s="202"/>
      <c r="G21" s="202"/>
      <c r="H21" s="202"/>
      <c r="I21" s="202"/>
      <c r="J21" s="202"/>
      <c r="K21" s="202"/>
      <c r="L21" s="148"/>
      <c r="M21" s="68"/>
      <c r="N21" s="68"/>
      <c r="O21" s="68"/>
      <c r="P21" s="148"/>
      <c r="Q21" s="34"/>
      <c r="R21" s="23"/>
      <c r="S21" s="23"/>
      <c r="T21" s="23"/>
      <c r="U21" s="23"/>
      <c r="V21" s="23"/>
    </row>
    <row r="22" spans="1:29" ht="25.5" x14ac:dyDescent="0.2">
      <c r="A22" s="254" t="s">
        <v>100</v>
      </c>
      <c r="B22" s="197">
        <v>159</v>
      </c>
      <c r="C22" s="198">
        <f>B22*'2nd IA CTRs'!$F$5/$B$28</f>
        <v>0</v>
      </c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48"/>
      <c r="M22" s="68"/>
      <c r="N22" s="68"/>
      <c r="O22" s="68"/>
      <c r="P22" s="148"/>
      <c r="Q22" s="34"/>
      <c r="R22" s="23"/>
      <c r="S22" s="23"/>
      <c r="T22" s="23"/>
      <c r="U22" s="23"/>
      <c r="V22" s="23"/>
    </row>
    <row r="23" spans="1:29" ht="25.5" x14ac:dyDescent="0.2">
      <c r="A23" s="254" t="s">
        <v>206</v>
      </c>
      <c r="B23" s="197">
        <v>0</v>
      </c>
      <c r="C23" s="198">
        <f>B23*'2nd IA CTRs'!$F$5/$B$28</f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37</v>
      </c>
      <c r="I23" s="198">
        <f>H23*'2nd IA CTRs'!$F$9/$H$28</f>
        <v>0</v>
      </c>
      <c r="J23" s="198">
        <v>0</v>
      </c>
      <c r="K23" s="198">
        <v>0</v>
      </c>
      <c r="L23" s="148"/>
      <c r="M23" s="68"/>
      <c r="N23" s="68"/>
      <c r="O23" s="68"/>
      <c r="P23" s="148"/>
      <c r="Q23" s="34"/>
      <c r="R23" s="23"/>
      <c r="S23" s="23"/>
      <c r="T23" s="23"/>
      <c r="U23" s="23"/>
      <c r="V23" s="23"/>
    </row>
    <row r="24" spans="1:29" ht="25.5" x14ac:dyDescent="0.2">
      <c r="A24" s="254" t="s">
        <v>207</v>
      </c>
      <c r="B24" s="197">
        <v>0</v>
      </c>
      <c r="C24" s="198">
        <f>B24*'2nd IA CTRs'!$F$5/$B$28</f>
        <v>0</v>
      </c>
      <c r="D24" s="198">
        <v>0</v>
      </c>
      <c r="E24" s="203">
        <v>0</v>
      </c>
      <c r="F24" s="203">
        <v>0</v>
      </c>
      <c r="G24" s="203">
        <v>0</v>
      </c>
      <c r="H24" s="203">
        <v>35</v>
      </c>
      <c r="I24" s="198">
        <f>H24*'2nd IA CTRs'!$F$9/$H$28</f>
        <v>0</v>
      </c>
      <c r="J24" s="203">
        <v>0</v>
      </c>
      <c r="K24" s="198">
        <v>0</v>
      </c>
      <c r="L24" s="148"/>
      <c r="M24" s="68"/>
      <c r="N24" s="68"/>
      <c r="O24" s="68"/>
      <c r="P24" s="148"/>
      <c r="Q24" s="34"/>
      <c r="R24" s="23"/>
      <c r="S24" s="23"/>
      <c r="T24" s="23"/>
      <c r="U24" s="23"/>
      <c r="V24" s="23"/>
    </row>
    <row r="25" spans="1:29" x14ac:dyDescent="0.2">
      <c r="A25" s="254" t="s">
        <v>208</v>
      </c>
      <c r="B25" s="197">
        <v>733</v>
      </c>
      <c r="C25" s="198">
        <f>B25*'2nd IA CTRs'!$F$5/$B$28</f>
        <v>0</v>
      </c>
      <c r="D25" s="198">
        <v>0</v>
      </c>
      <c r="E25" s="203">
        <v>0</v>
      </c>
      <c r="F25" s="203">
        <v>0</v>
      </c>
      <c r="G25" s="203">
        <v>0</v>
      </c>
      <c r="H25" s="203">
        <v>0</v>
      </c>
      <c r="I25" s="198">
        <v>0</v>
      </c>
      <c r="J25" s="203">
        <v>0</v>
      </c>
      <c r="K25" s="198">
        <v>0</v>
      </c>
      <c r="L25" s="148"/>
      <c r="M25" s="68"/>
      <c r="N25" s="68"/>
      <c r="O25" s="68"/>
      <c r="P25" s="148"/>
      <c r="Q25" s="34"/>
      <c r="R25" s="23"/>
      <c r="S25" s="23"/>
      <c r="T25" s="23"/>
      <c r="U25" s="23"/>
      <c r="V25" s="23"/>
    </row>
    <row r="26" spans="1:29" x14ac:dyDescent="0.2">
      <c r="A26" s="255" t="s">
        <v>88</v>
      </c>
      <c r="B26" s="199">
        <f>SUM(B22:B25)</f>
        <v>892</v>
      </c>
      <c r="C26" s="199">
        <f>SUM(C22:C25)</f>
        <v>0</v>
      </c>
      <c r="D26" s="204">
        <f t="shared" ref="D26:K26" si="2">SUM(D22:D25)</f>
        <v>0</v>
      </c>
      <c r="E26" s="199">
        <f t="shared" si="2"/>
        <v>0</v>
      </c>
      <c r="F26" s="199">
        <f t="shared" si="2"/>
        <v>0</v>
      </c>
      <c r="G26" s="199">
        <f t="shared" si="2"/>
        <v>0</v>
      </c>
      <c r="H26" s="199">
        <f t="shared" si="2"/>
        <v>72</v>
      </c>
      <c r="I26" s="199">
        <f t="shared" si="2"/>
        <v>0</v>
      </c>
      <c r="J26" s="199">
        <f t="shared" si="2"/>
        <v>0</v>
      </c>
      <c r="K26" s="204">
        <f t="shared" si="2"/>
        <v>0</v>
      </c>
      <c r="L26" s="148"/>
      <c r="M26" s="68"/>
      <c r="N26" s="68"/>
      <c r="O26" s="68"/>
      <c r="P26" s="148"/>
      <c r="Q26" s="34"/>
      <c r="R26" s="23"/>
      <c r="S26" s="23"/>
      <c r="T26" s="23"/>
      <c r="U26" s="23"/>
      <c r="V26" s="23"/>
    </row>
    <row r="27" spans="1:29" x14ac:dyDescent="0.2">
      <c r="A27" s="256"/>
      <c r="B27" s="197"/>
      <c r="C27" s="197"/>
      <c r="D27" s="196"/>
      <c r="E27" s="196"/>
      <c r="F27" s="196"/>
      <c r="G27" s="196"/>
      <c r="H27" s="196"/>
      <c r="I27" s="196"/>
      <c r="J27" s="196"/>
      <c r="K27" s="196"/>
      <c r="L27" s="148"/>
      <c r="M27" s="68"/>
      <c r="N27" s="68"/>
      <c r="O27" s="68"/>
      <c r="P27" s="148"/>
      <c r="Q27" s="34"/>
      <c r="R27" s="23"/>
      <c r="S27" s="23"/>
      <c r="T27" s="23"/>
      <c r="U27" s="23"/>
      <c r="V27" s="23"/>
    </row>
    <row r="28" spans="1:29" ht="13.5" thickBot="1" x14ac:dyDescent="0.25">
      <c r="A28" s="257" t="s">
        <v>89</v>
      </c>
      <c r="B28" s="258">
        <f>B13+B20+B26</f>
        <v>1630</v>
      </c>
      <c r="C28" s="258">
        <f>C13+C20+C26</f>
        <v>0</v>
      </c>
      <c r="D28" s="205">
        <f t="shared" ref="D28:J28" si="3">D13+D20+D26</f>
        <v>898</v>
      </c>
      <c r="E28" s="205">
        <f t="shared" si="3"/>
        <v>1044</v>
      </c>
      <c r="F28" s="205">
        <f t="shared" si="3"/>
        <v>499.4</v>
      </c>
      <c r="G28" s="205">
        <f t="shared" si="3"/>
        <v>600</v>
      </c>
      <c r="H28" s="205">
        <f t="shared" si="3"/>
        <v>72</v>
      </c>
      <c r="I28" s="205">
        <f t="shared" si="3"/>
        <v>0</v>
      </c>
      <c r="J28" s="205">
        <f t="shared" si="3"/>
        <v>315</v>
      </c>
      <c r="K28" s="205">
        <f>K13+K20+K26</f>
        <v>306</v>
      </c>
      <c r="L28" s="40"/>
      <c r="M28" s="149"/>
      <c r="N28" s="149"/>
      <c r="O28" s="149"/>
      <c r="P28" s="40"/>
      <c r="Q28" s="34"/>
      <c r="R28" s="23"/>
      <c r="S28" s="23"/>
      <c r="T28" s="23"/>
      <c r="U28" s="23"/>
      <c r="V28" s="23"/>
    </row>
    <row r="29" spans="1:29" x14ac:dyDescent="0.2">
      <c r="A29" s="584" t="s">
        <v>119</v>
      </c>
      <c r="B29" s="585"/>
      <c r="C29" s="585"/>
      <c r="D29" s="585"/>
      <c r="E29" s="585"/>
      <c r="F29" s="585"/>
      <c r="G29" s="585"/>
      <c r="H29" s="585"/>
      <c r="I29" s="585"/>
      <c r="J29" s="585"/>
      <c r="K29" s="585"/>
      <c r="L29" s="473"/>
      <c r="M29" s="150"/>
      <c r="N29" s="36"/>
      <c r="O29" s="34"/>
      <c r="P29" s="34"/>
      <c r="Q29" s="34"/>
      <c r="R29" s="34"/>
      <c r="S29" s="34"/>
      <c r="T29" s="34"/>
      <c r="U29" s="34"/>
      <c r="V29" s="34"/>
      <c r="W29" s="34"/>
      <c r="X29" s="15"/>
      <c r="Y29" s="15"/>
      <c r="Z29" s="15"/>
      <c r="AA29" s="15"/>
      <c r="AB29" s="15"/>
      <c r="AC29" s="15"/>
    </row>
    <row r="30" spans="1:29" x14ac:dyDescent="0.2">
      <c r="A30" s="25"/>
      <c r="B30" s="151"/>
      <c r="C30" s="151"/>
      <c r="D30" s="42"/>
      <c r="E30" s="150"/>
      <c r="F30" s="150"/>
      <c r="G30" s="150"/>
      <c r="H30" s="150"/>
      <c r="I30" s="150"/>
      <c r="J30" s="36"/>
      <c r="K30" s="150"/>
      <c r="L30" s="150"/>
      <c r="M30" s="150"/>
      <c r="N30" s="36"/>
      <c r="O30" s="34"/>
      <c r="P30" s="34"/>
      <c r="Q30" s="34"/>
      <c r="R30" s="34"/>
      <c r="S30" s="34"/>
      <c r="T30" s="34"/>
      <c r="U30" s="34"/>
      <c r="V30" s="34"/>
      <c r="W30" s="34"/>
      <c r="X30" s="15"/>
      <c r="Y30" s="15"/>
      <c r="Z30" s="15"/>
      <c r="AA30" s="15"/>
      <c r="AB30" s="15"/>
      <c r="AC30" s="15"/>
    </row>
    <row r="31" spans="1:29" x14ac:dyDescent="0.2">
      <c r="A31" s="152"/>
      <c r="B31" s="151"/>
      <c r="C31" s="151"/>
      <c r="D31" s="42"/>
      <c r="E31" s="150"/>
      <c r="F31" s="150"/>
      <c r="G31" s="150"/>
      <c r="H31" s="150"/>
      <c r="I31" s="150"/>
      <c r="J31" s="36"/>
      <c r="K31" s="150"/>
      <c r="L31" s="150"/>
      <c r="M31" s="150"/>
      <c r="N31" s="36"/>
      <c r="O31" s="34"/>
      <c r="P31" s="34"/>
      <c r="Q31" s="34"/>
      <c r="R31" s="34"/>
      <c r="S31" s="34"/>
      <c r="T31" s="34"/>
      <c r="U31" s="34"/>
      <c r="V31" s="34"/>
      <c r="W31" s="34"/>
      <c r="X31" s="15"/>
      <c r="Y31" s="15"/>
      <c r="Z31" s="15"/>
      <c r="AA31" s="15"/>
      <c r="AB31" s="15"/>
      <c r="AC31" s="15"/>
    </row>
    <row r="32" spans="1:29" ht="31.5" x14ac:dyDescent="0.25">
      <c r="A32" s="211" t="s">
        <v>107</v>
      </c>
      <c r="B32" s="153" t="s">
        <v>24</v>
      </c>
      <c r="C32" s="153" t="s">
        <v>24</v>
      </c>
      <c r="D32" s="72"/>
      <c r="E32" s="150"/>
      <c r="F32" s="150"/>
      <c r="G32" s="150"/>
      <c r="H32" s="150"/>
      <c r="I32" s="150"/>
      <c r="J32" s="36"/>
      <c r="K32" s="150"/>
      <c r="L32" s="150"/>
      <c r="M32" s="150"/>
      <c r="N32" s="36"/>
      <c r="O32" s="23"/>
      <c r="P32" s="23"/>
      <c r="Q32" s="23"/>
      <c r="R32" s="23"/>
      <c r="S32" s="23"/>
      <c r="T32" s="23"/>
      <c r="U32" s="23"/>
      <c r="V32" s="23"/>
      <c r="W32" s="23"/>
    </row>
    <row r="33" spans="1:29" ht="38.25" x14ac:dyDescent="0.2">
      <c r="A33" s="212" t="s">
        <v>63</v>
      </c>
      <c r="B33" s="475" t="s">
        <v>210</v>
      </c>
      <c r="C33" s="128" t="s">
        <v>108</v>
      </c>
      <c r="D33" s="128" t="s">
        <v>109</v>
      </c>
      <c r="E33" s="128" t="s">
        <v>110</v>
      </c>
      <c r="F33" s="128" t="s">
        <v>152</v>
      </c>
      <c r="G33" s="128" t="s">
        <v>209</v>
      </c>
      <c r="H33" s="488"/>
      <c r="I33" s="331"/>
      <c r="J33" s="489"/>
      <c r="K33" s="490"/>
      <c r="L33" s="490"/>
      <c r="M33" s="489"/>
      <c r="N33" s="489"/>
      <c r="O33" s="489"/>
      <c r="P33" s="23"/>
      <c r="Q33" s="23"/>
      <c r="R33" s="23"/>
      <c r="S33" s="23"/>
      <c r="T33" s="23"/>
      <c r="U33" s="23"/>
      <c r="V33" s="23"/>
      <c r="W33" s="23"/>
    </row>
    <row r="34" spans="1:29" x14ac:dyDescent="0.2">
      <c r="A34" s="485" t="s">
        <v>16</v>
      </c>
      <c r="B34" s="486">
        <v>1.7000000000000001E-2</v>
      </c>
      <c r="C34" s="484">
        <v>0.09</v>
      </c>
      <c r="D34" s="484">
        <v>2.3E-3</v>
      </c>
      <c r="E34" s="484">
        <v>0</v>
      </c>
      <c r="F34" s="484">
        <v>0</v>
      </c>
      <c r="G34" s="334">
        <v>0</v>
      </c>
      <c r="H34" s="491"/>
      <c r="I34" s="492"/>
      <c r="J34" s="493"/>
      <c r="K34" s="493"/>
      <c r="L34" s="493"/>
      <c r="M34" s="493"/>
      <c r="N34" s="494"/>
      <c r="O34" s="494"/>
      <c r="P34" s="23"/>
      <c r="Q34" s="23"/>
      <c r="R34" s="23"/>
      <c r="S34" s="23"/>
      <c r="T34" s="23"/>
      <c r="U34" s="23"/>
      <c r="V34" s="23"/>
      <c r="W34" s="23"/>
    </row>
    <row r="35" spans="1:29" x14ac:dyDescent="0.2">
      <c r="A35" s="485" t="s">
        <v>30</v>
      </c>
      <c r="B35" s="486">
        <v>0.14249999999999999</v>
      </c>
      <c r="C35" s="484">
        <v>0</v>
      </c>
      <c r="D35" s="484">
        <v>0</v>
      </c>
      <c r="E35" s="484">
        <v>0</v>
      </c>
      <c r="F35" s="484">
        <v>0</v>
      </c>
      <c r="G35" s="334">
        <v>0</v>
      </c>
      <c r="H35" s="491"/>
      <c r="I35" s="492"/>
      <c r="J35" s="493"/>
      <c r="K35" s="493"/>
      <c r="L35" s="493"/>
      <c r="M35" s="493"/>
      <c r="N35" s="494"/>
      <c r="O35" s="494"/>
      <c r="P35" s="23"/>
      <c r="Q35" s="23"/>
      <c r="R35" s="23"/>
      <c r="S35" s="23"/>
      <c r="T35" s="23"/>
      <c r="U35" s="23"/>
      <c r="V35" s="23"/>
      <c r="W35" s="23"/>
    </row>
    <row r="36" spans="1:29" x14ac:dyDescent="0.2">
      <c r="A36" s="485" t="s">
        <v>19</v>
      </c>
      <c r="B36" s="486">
        <v>5.5300000000000002E-2</v>
      </c>
      <c r="C36" s="484">
        <v>0</v>
      </c>
      <c r="D36" s="484">
        <v>0</v>
      </c>
      <c r="E36" s="484">
        <v>0</v>
      </c>
      <c r="F36" s="484">
        <v>4.4200000000000003E-2</v>
      </c>
      <c r="G36" s="334">
        <v>0</v>
      </c>
      <c r="H36" s="491"/>
      <c r="I36" s="492"/>
      <c r="J36" s="493"/>
      <c r="K36" s="493"/>
      <c r="L36" s="493"/>
      <c r="M36" s="493"/>
      <c r="N36" s="494"/>
      <c r="O36" s="494"/>
      <c r="P36" s="23"/>
      <c r="Q36" s="23"/>
      <c r="R36" s="23"/>
      <c r="S36" s="23"/>
      <c r="T36" s="23"/>
      <c r="U36" s="23"/>
      <c r="V36" s="23"/>
      <c r="W36" s="23"/>
    </row>
    <row r="37" spans="1:29" x14ac:dyDescent="0.2">
      <c r="A37" s="485" t="s">
        <v>46</v>
      </c>
      <c r="B37" s="486">
        <v>8.09E-2</v>
      </c>
      <c r="C37" s="484">
        <v>0</v>
      </c>
      <c r="D37" s="484">
        <v>0</v>
      </c>
      <c r="E37" s="484">
        <v>0</v>
      </c>
      <c r="F37" s="484">
        <v>0</v>
      </c>
      <c r="G37" s="334">
        <v>0</v>
      </c>
      <c r="H37" s="491"/>
      <c r="I37" s="492"/>
      <c r="J37" s="493"/>
      <c r="K37" s="493"/>
      <c r="L37" s="493"/>
      <c r="M37" s="493"/>
      <c r="N37" s="494"/>
      <c r="O37" s="494"/>
      <c r="P37" s="34"/>
      <c r="Q37" s="34"/>
      <c r="R37" s="34"/>
      <c r="S37" s="34"/>
      <c r="T37" s="34"/>
      <c r="U37" s="34"/>
      <c r="V37" s="34"/>
      <c r="W37" s="34"/>
      <c r="X37" s="15"/>
      <c r="Y37" s="15"/>
      <c r="Z37" s="15"/>
      <c r="AA37" s="15"/>
      <c r="AB37" s="15"/>
      <c r="AC37" s="15"/>
    </row>
    <row r="38" spans="1:29" x14ac:dyDescent="0.2">
      <c r="A38" s="485" t="s">
        <v>11</v>
      </c>
      <c r="B38" s="486">
        <v>4.19E-2</v>
      </c>
      <c r="C38" s="484">
        <v>0</v>
      </c>
      <c r="D38" s="484">
        <v>9.7000000000000003E-3</v>
      </c>
      <c r="E38" s="484">
        <v>0</v>
      </c>
      <c r="F38" s="484">
        <v>0.66949999999999998</v>
      </c>
      <c r="G38" s="334">
        <v>0</v>
      </c>
      <c r="H38" s="491"/>
      <c r="I38" s="492"/>
      <c r="J38" s="493"/>
      <c r="K38" s="493"/>
      <c r="L38" s="493"/>
      <c r="M38" s="493"/>
      <c r="N38" s="494"/>
      <c r="O38" s="494"/>
      <c r="P38" s="34"/>
      <c r="Q38" s="34"/>
      <c r="R38" s="34"/>
      <c r="S38" s="34"/>
      <c r="T38" s="34"/>
      <c r="U38" s="34"/>
      <c r="V38" s="34"/>
      <c r="W38" s="34"/>
      <c r="X38" s="15"/>
      <c r="Y38" s="15"/>
      <c r="Z38" s="15"/>
      <c r="AA38" s="15"/>
      <c r="AB38" s="15"/>
      <c r="AC38" s="15"/>
    </row>
    <row r="39" spans="1:29" x14ac:dyDescent="0.2">
      <c r="A39" s="485" t="s">
        <v>333</v>
      </c>
      <c r="B39" s="486">
        <v>0.1343</v>
      </c>
      <c r="C39" s="484">
        <v>0</v>
      </c>
      <c r="D39" s="484">
        <v>2.3199999999999998E-2</v>
      </c>
      <c r="E39" s="484">
        <v>0</v>
      </c>
      <c r="F39" s="484">
        <v>4.1200000000000001E-2</v>
      </c>
      <c r="G39" s="334">
        <v>0</v>
      </c>
      <c r="H39" s="491"/>
      <c r="I39" s="492"/>
      <c r="J39" s="493"/>
      <c r="K39" s="493"/>
      <c r="L39" s="493"/>
      <c r="M39" s="493"/>
      <c r="N39" s="494"/>
      <c r="O39" s="494"/>
      <c r="P39" s="34"/>
      <c r="Q39" s="34"/>
      <c r="R39" s="34"/>
      <c r="S39" s="34"/>
      <c r="T39" s="34"/>
      <c r="U39" s="34"/>
      <c r="V39" s="34"/>
      <c r="W39" s="34"/>
      <c r="X39" s="15"/>
      <c r="Y39" s="15"/>
      <c r="Z39" s="15"/>
      <c r="AA39" s="15"/>
      <c r="AB39" s="15"/>
      <c r="AC39" s="15"/>
    </row>
    <row r="40" spans="1:29" x14ac:dyDescent="0.2">
      <c r="A40" s="485" t="s">
        <v>120</v>
      </c>
      <c r="B40" s="486">
        <v>0</v>
      </c>
      <c r="C40" s="484">
        <v>0</v>
      </c>
      <c r="D40" s="484">
        <v>0</v>
      </c>
      <c r="E40" s="484">
        <v>0</v>
      </c>
      <c r="F40" s="484">
        <v>0</v>
      </c>
      <c r="G40" s="334">
        <v>0</v>
      </c>
      <c r="H40" s="491"/>
      <c r="I40" s="492"/>
      <c r="J40" s="493"/>
      <c r="K40" s="493"/>
      <c r="L40" s="493"/>
      <c r="M40" s="493"/>
      <c r="N40" s="494"/>
      <c r="O40" s="494"/>
      <c r="P40" s="23"/>
      <c r="Q40" s="23"/>
      <c r="R40" s="23"/>
      <c r="S40" s="23"/>
      <c r="T40" s="23"/>
      <c r="U40" s="23"/>
      <c r="V40" s="23"/>
      <c r="W40" s="23"/>
    </row>
    <row r="41" spans="1:29" x14ac:dyDescent="0.2">
      <c r="A41" s="485" t="s">
        <v>334</v>
      </c>
      <c r="B41" s="486">
        <v>2.12E-2</v>
      </c>
      <c r="C41" s="484">
        <v>0</v>
      </c>
      <c r="D41" s="484">
        <v>1.2999999999999999E-3</v>
      </c>
      <c r="E41" s="484">
        <v>0</v>
      </c>
      <c r="F41" s="484">
        <v>4.8999999999999998E-3</v>
      </c>
      <c r="G41" s="334">
        <v>0</v>
      </c>
      <c r="H41" s="491"/>
      <c r="I41" s="492"/>
      <c r="J41" s="493"/>
      <c r="K41" s="493"/>
      <c r="L41" s="493"/>
      <c r="M41" s="493"/>
      <c r="N41" s="494"/>
      <c r="O41" s="494"/>
      <c r="P41" s="23"/>
      <c r="Q41" s="23"/>
      <c r="R41" s="23"/>
      <c r="S41" s="23"/>
      <c r="T41" s="23"/>
      <c r="U41" s="23"/>
      <c r="V41" s="23"/>
      <c r="W41" s="23"/>
    </row>
    <row r="42" spans="1:29" x14ac:dyDescent="0.2">
      <c r="A42" s="485" t="s">
        <v>335</v>
      </c>
      <c r="B42" s="486">
        <v>3.3700000000000001E-2</v>
      </c>
      <c r="C42" s="484">
        <v>0</v>
      </c>
      <c r="D42" s="484">
        <v>0</v>
      </c>
      <c r="E42" s="484">
        <v>0</v>
      </c>
      <c r="F42" s="484">
        <v>0</v>
      </c>
      <c r="G42" s="334">
        <v>0</v>
      </c>
      <c r="H42" s="491"/>
      <c r="I42" s="492"/>
      <c r="J42" s="493"/>
      <c r="K42" s="493"/>
      <c r="L42" s="493"/>
      <c r="M42" s="493"/>
      <c r="N42" s="494"/>
      <c r="O42" s="494"/>
      <c r="P42" s="23"/>
      <c r="Q42" s="23"/>
      <c r="R42" s="23"/>
      <c r="S42" s="23"/>
      <c r="T42" s="23"/>
      <c r="U42" s="23"/>
      <c r="V42" s="23"/>
      <c r="W42" s="23"/>
    </row>
    <row r="43" spans="1:29" x14ac:dyDescent="0.2">
      <c r="A43" s="485" t="s">
        <v>336</v>
      </c>
      <c r="B43" s="486">
        <v>1.77E-2</v>
      </c>
      <c r="C43" s="484">
        <v>0</v>
      </c>
      <c r="D43" s="484">
        <v>0</v>
      </c>
      <c r="E43" s="484">
        <v>0</v>
      </c>
      <c r="F43" s="484">
        <v>0</v>
      </c>
      <c r="G43" s="334">
        <v>0</v>
      </c>
      <c r="H43" s="491"/>
      <c r="I43" s="492"/>
      <c r="J43" s="493"/>
      <c r="K43" s="493"/>
      <c r="L43" s="493"/>
      <c r="M43" s="493"/>
      <c r="N43" s="494"/>
      <c r="O43" s="494"/>
      <c r="P43" s="23"/>
      <c r="Q43" s="23"/>
      <c r="R43" s="23"/>
      <c r="S43" s="23"/>
      <c r="T43" s="23"/>
      <c r="U43" s="23"/>
      <c r="V43" s="23"/>
      <c r="W43" s="23"/>
    </row>
    <row r="44" spans="1:29" x14ac:dyDescent="0.2">
      <c r="A44" s="485" t="s">
        <v>337</v>
      </c>
      <c r="B44" s="486">
        <v>2.6200000000000001E-2</v>
      </c>
      <c r="C44" s="484">
        <v>0.16850000000000001</v>
      </c>
      <c r="D44" s="484">
        <v>0</v>
      </c>
      <c r="E44" s="484">
        <v>0</v>
      </c>
      <c r="F44" s="484">
        <v>0</v>
      </c>
      <c r="G44" s="334">
        <v>0</v>
      </c>
      <c r="H44" s="491"/>
      <c r="I44" s="492"/>
      <c r="J44" s="493"/>
      <c r="K44" s="493"/>
      <c r="L44" s="493"/>
      <c r="M44" s="493"/>
      <c r="N44" s="494"/>
      <c r="O44" s="494"/>
      <c r="P44" s="23"/>
      <c r="Q44" s="23"/>
      <c r="R44" s="23"/>
      <c r="S44" s="23"/>
      <c r="T44" s="23"/>
      <c r="U44" s="23"/>
      <c r="V44" s="23"/>
      <c r="W44" s="23"/>
    </row>
    <row r="45" spans="1:29" x14ac:dyDescent="0.2">
      <c r="A45" s="485" t="s">
        <v>338</v>
      </c>
      <c r="B45" s="486">
        <v>0.1239</v>
      </c>
      <c r="C45" s="484">
        <v>0</v>
      </c>
      <c r="D45" s="484">
        <v>0</v>
      </c>
      <c r="E45" s="484">
        <v>0</v>
      </c>
      <c r="F45" s="484">
        <v>0.18759999999999999</v>
      </c>
      <c r="G45" s="334">
        <v>0.97109999999999996</v>
      </c>
      <c r="H45" s="491"/>
      <c r="I45" s="492"/>
      <c r="J45" s="493"/>
      <c r="K45" s="493"/>
      <c r="L45" s="493"/>
      <c r="M45" s="493"/>
      <c r="N45" s="494"/>
      <c r="O45" s="494"/>
      <c r="P45" s="23"/>
      <c r="Q45" s="23"/>
      <c r="R45" s="23"/>
      <c r="S45" s="23"/>
      <c r="T45" s="23"/>
      <c r="U45" s="23"/>
      <c r="V45" s="23"/>
      <c r="W45" s="23"/>
    </row>
    <row r="46" spans="1:29" x14ac:dyDescent="0.2">
      <c r="A46" s="485" t="s">
        <v>133</v>
      </c>
      <c r="B46" s="486">
        <v>1.8200000000000001E-2</v>
      </c>
      <c r="C46" s="484">
        <v>0</v>
      </c>
      <c r="D46" s="484">
        <v>0</v>
      </c>
      <c r="E46" s="484">
        <v>0</v>
      </c>
      <c r="F46" s="484">
        <v>0</v>
      </c>
      <c r="G46" s="334">
        <v>0</v>
      </c>
      <c r="H46" s="491"/>
      <c r="I46" s="492"/>
      <c r="J46" s="493"/>
      <c r="K46" s="493"/>
      <c r="L46" s="493"/>
      <c r="M46" s="493"/>
      <c r="N46" s="494"/>
      <c r="O46" s="494"/>
      <c r="P46" s="23"/>
      <c r="Q46" s="23"/>
      <c r="R46" s="23"/>
      <c r="S46" s="23"/>
      <c r="T46" s="23"/>
      <c r="U46" s="23"/>
      <c r="V46" s="23"/>
      <c r="W46" s="23"/>
    </row>
    <row r="47" spans="1:29" x14ac:dyDescent="0.2">
      <c r="A47" s="485" t="s">
        <v>339</v>
      </c>
      <c r="B47" s="486">
        <v>2E-3</v>
      </c>
      <c r="C47" s="484">
        <v>0</v>
      </c>
      <c r="D47" s="484">
        <v>0.1605</v>
      </c>
      <c r="E47" s="484">
        <v>7.9000000000000008E-3</v>
      </c>
      <c r="F47" s="484">
        <v>0</v>
      </c>
      <c r="G47" s="334">
        <v>0</v>
      </c>
      <c r="H47" s="491"/>
      <c r="I47" s="492"/>
      <c r="J47" s="493"/>
      <c r="K47" s="493"/>
      <c r="L47" s="493"/>
      <c r="M47" s="493"/>
      <c r="N47" s="494"/>
      <c r="O47" s="494"/>
      <c r="P47" s="23"/>
      <c r="Q47" s="23"/>
      <c r="R47" s="23"/>
      <c r="S47" s="23"/>
      <c r="T47" s="23"/>
      <c r="U47" s="23"/>
      <c r="V47" s="23"/>
      <c r="W47" s="23"/>
    </row>
    <row r="48" spans="1:29" x14ac:dyDescent="0.2">
      <c r="A48" s="485" t="s">
        <v>12</v>
      </c>
      <c r="B48" s="486">
        <v>3.78E-2</v>
      </c>
      <c r="C48" s="484">
        <v>9.64E-2</v>
      </c>
      <c r="D48" s="484">
        <v>1.17E-2</v>
      </c>
      <c r="E48" s="484">
        <v>0.12820000000000001</v>
      </c>
      <c r="F48" s="484">
        <v>0</v>
      </c>
      <c r="G48" s="334">
        <v>0</v>
      </c>
      <c r="H48" s="491"/>
      <c r="I48" s="492"/>
      <c r="J48" s="493"/>
      <c r="K48" s="493"/>
      <c r="L48" s="493"/>
      <c r="M48" s="493"/>
      <c r="N48" s="494"/>
      <c r="O48" s="494"/>
      <c r="P48" s="23"/>
      <c r="Q48" s="23"/>
      <c r="R48" s="23"/>
      <c r="S48" s="23"/>
      <c r="T48" s="23"/>
      <c r="U48" s="23"/>
      <c r="V48" s="23"/>
      <c r="W48" s="23"/>
    </row>
    <row r="49" spans="1:29" x14ac:dyDescent="0.2">
      <c r="A49" s="485" t="s">
        <v>340</v>
      </c>
      <c r="B49" s="486">
        <v>1.8700000000000001E-2</v>
      </c>
      <c r="C49" s="484">
        <v>1.4800000000000001E-2</v>
      </c>
      <c r="D49" s="484">
        <v>0</v>
      </c>
      <c r="E49" s="484">
        <v>0</v>
      </c>
      <c r="F49" s="484">
        <v>0</v>
      </c>
      <c r="G49" s="334">
        <v>1.8E-3</v>
      </c>
      <c r="H49" s="491"/>
      <c r="I49" s="492"/>
      <c r="J49" s="493"/>
      <c r="K49" s="493"/>
      <c r="L49" s="493"/>
      <c r="M49" s="493"/>
      <c r="N49" s="494"/>
      <c r="O49" s="494"/>
      <c r="P49" s="23"/>
      <c r="Q49" s="23"/>
      <c r="R49" s="23"/>
      <c r="S49" s="23"/>
      <c r="T49" s="23"/>
      <c r="U49" s="23"/>
      <c r="V49" s="23"/>
      <c r="W49" s="23"/>
    </row>
    <row r="50" spans="1:29" x14ac:dyDescent="0.2">
      <c r="A50" s="485" t="s">
        <v>121</v>
      </c>
      <c r="B50" s="486">
        <v>4.1999999999999997E-3</v>
      </c>
      <c r="C50" s="484">
        <v>9.4999999999999998E-3</v>
      </c>
      <c r="D50" s="484">
        <v>6.9999999999999999E-4</v>
      </c>
      <c r="E50" s="484">
        <v>1.18E-2</v>
      </c>
      <c r="F50" s="484">
        <v>5.21E-2</v>
      </c>
      <c r="G50" s="334">
        <v>0</v>
      </c>
      <c r="H50" s="491"/>
      <c r="I50" s="492"/>
      <c r="J50" s="493"/>
      <c r="K50" s="493"/>
      <c r="L50" s="493"/>
      <c r="M50" s="493"/>
      <c r="N50" s="494"/>
      <c r="O50" s="494"/>
      <c r="P50" s="23"/>
      <c r="Q50" s="23"/>
      <c r="R50" s="23"/>
      <c r="S50" s="23"/>
      <c r="T50" s="23"/>
      <c r="U50" s="23"/>
      <c r="V50" s="23"/>
      <c r="W50" s="23"/>
    </row>
    <row r="51" spans="1:29" x14ac:dyDescent="0.2">
      <c r="A51" s="485" t="s">
        <v>9</v>
      </c>
      <c r="B51" s="486">
        <v>5.2999999999999999E-2</v>
      </c>
      <c r="C51" s="484">
        <v>0.30790000000000001</v>
      </c>
      <c r="D51" s="484">
        <v>0</v>
      </c>
      <c r="E51" s="484">
        <v>0.51080000000000003</v>
      </c>
      <c r="F51" s="484">
        <v>0</v>
      </c>
      <c r="G51" s="334">
        <v>0</v>
      </c>
      <c r="H51" s="491"/>
      <c r="I51" s="492"/>
      <c r="J51" s="493"/>
      <c r="K51" s="493"/>
      <c r="L51" s="493"/>
      <c r="M51" s="493"/>
      <c r="N51" s="494"/>
      <c r="O51" s="494"/>
      <c r="P51" s="23"/>
      <c r="Q51" s="23"/>
      <c r="R51" s="23"/>
      <c r="S51" s="23"/>
      <c r="T51" s="23"/>
      <c r="U51" s="23"/>
      <c r="V51" s="23"/>
      <c r="W51" s="23"/>
    </row>
    <row r="52" spans="1:29" x14ac:dyDescent="0.2">
      <c r="A52" s="485" t="s">
        <v>341</v>
      </c>
      <c r="B52" s="486">
        <v>1.84E-2</v>
      </c>
      <c r="C52" s="484">
        <v>0</v>
      </c>
      <c r="D52" s="484">
        <v>2.9700000000000001E-2</v>
      </c>
      <c r="E52" s="484">
        <v>0</v>
      </c>
      <c r="F52" s="484">
        <v>5.0000000000000001E-4</v>
      </c>
      <c r="G52" s="334">
        <v>0</v>
      </c>
      <c r="H52" s="491"/>
      <c r="I52" s="492"/>
      <c r="J52" s="493"/>
      <c r="K52" s="493"/>
      <c r="L52" s="493"/>
      <c r="M52" s="493"/>
      <c r="N52" s="494"/>
      <c r="O52" s="494"/>
      <c r="P52" s="23"/>
      <c r="Q52" s="23"/>
      <c r="R52" s="23"/>
      <c r="S52" s="23"/>
      <c r="T52" s="23"/>
      <c r="U52" s="23"/>
      <c r="V52" s="23"/>
      <c r="W52" s="23"/>
    </row>
    <row r="53" spans="1:29" x14ac:dyDescent="0.2">
      <c r="A53" s="485" t="s">
        <v>15</v>
      </c>
      <c r="B53" s="486">
        <v>4.1799999999999997E-2</v>
      </c>
      <c r="C53" s="484">
        <v>0</v>
      </c>
      <c r="D53" s="484">
        <v>1.04E-2</v>
      </c>
      <c r="E53" s="484">
        <v>5.7000000000000002E-3</v>
      </c>
      <c r="F53" s="484">
        <v>0</v>
      </c>
      <c r="G53" s="334">
        <v>2.7099999999999999E-2</v>
      </c>
      <c r="H53" s="491"/>
      <c r="I53" s="492"/>
      <c r="J53" s="493"/>
      <c r="K53" s="493"/>
      <c r="L53" s="493"/>
      <c r="M53" s="493"/>
      <c r="N53" s="494"/>
      <c r="O53" s="494"/>
      <c r="P53" s="23"/>
      <c r="Q53" s="23"/>
      <c r="R53" s="23"/>
      <c r="S53" s="23"/>
      <c r="T53" s="23"/>
      <c r="U53" s="23"/>
      <c r="V53" s="23"/>
      <c r="W53" s="23"/>
    </row>
    <row r="54" spans="1:29" x14ac:dyDescent="0.2">
      <c r="A54" s="485" t="s">
        <v>321</v>
      </c>
      <c r="B54" s="486">
        <v>4.4600000000000001E-2</v>
      </c>
      <c r="C54" s="484">
        <v>0.1641</v>
      </c>
      <c r="D54" s="484">
        <v>0</v>
      </c>
      <c r="E54" s="484">
        <v>0</v>
      </c>
      <c r="F54" s="484">
        <v>0</v>
      </c>
      <c r="G54" s="334">
        <v>0</v>
      </c>
      <c r="H54" s="491"/>
      <c r="I54" s="492"/>
      <c r="J54" s="493"/>
      <c r="K54" s="493"/>
      <c r="L54" s="493"/>
      <c r="M54" s="493"/>
      <c r="N54" s="494"/>
      <c r="O54" s="494"/>
      <c r="P54" s="34"/>
      <c r="Q54" s="34"/>
      <c r="R54" s="34"/>
      <c r="S54" s="34"/>
      <c r="T54" s="34"/>
      <c r="U54" s="34"/>
      <c r="V54" s="34"/>
      <c r="W54" s="34"/>
      <c r="X54" s="15"/>
      <c r="Y54" s="15"/>
      <c r="Z54" s="15"/>
      <c r="AA54" s="15"/>
      <c r="AB54" s="15"/>
      <c r="AC54" s="15"/>
    </row>
    <row r="55" spans="1:29" x14ac:dyDescent="0.2">
      <c r="A55" s="485" t="s">
        <v>320</v>
      </c>
      <c r="B55" s="486">
        <v>6.2199999999999998E-2</v>
      </c>
      <c r="C55" s="484">
        <v>0.14069999999999999</v>
      </c>
      <c r="D55" s="484">
        <v>0.7016</v>
      </c>
      <c r="E55" s="484">
        <v>0.31459999999999999</v>
      </c>
      <c r="F55" s="484">
        <v>0</v>
      </c>
      <c r="G55" s="334">
        <v>0</v>
      </c>
      <c r="H55" s="491"/>
      <c r="I55" s="492"/>
      <c r="J55" s="493"/>
      <c r="K55" s="493"/>
      <c r="L55" s="493"/>
      <c r="M55" s="493"/>
      <c r="N55" s="494"/>
      <c r="O55" s="494"/>
      <c r="P55" s="23"/>
      <c r="Q55" s="23"/>
      <c r="R55" s="23"/>
      <c r="S55" s="23"/>
      <c r="T55" s="23"/>
      <c r="U55" s="23"/>
      <c r="V55" s="23"/>
      <c r="W55" s="23"/>
    </row>
    <row r="56" spans="1:29" x14ac:dyDescent="0.2">
      <c r="A56" s="485" t="s">
        <v>342</v>
      </c>
      <c r="B56" s="486">
        <v>2.5000000000000001E-3</v>
      </c>
      <c r="C56" s="484">
        <v>5.1999999999999998E-3</v>
      </c>
      <c r="D56" s="484">
        <v>2.7799999999999998E-2</v>
      </c>
      <c r="E56" s="484">
        <v>1.2500000000000001E-2</v>
      </c>
      <c r="F56" s="484">
        <v>0</v>
      </c>
      <c r="G56" s="334">
        <v>0</v>
      </c>
      <c r="H56" s="491"/>
      <c r="I56" s="492"/>
      <c r="J56" s="493"/>
      <c r="K56" s="493"/>
      <c r="L56" s="493"/>
      <c r="M56" s="493"/>
      <c r="N56" s="494"/>
      <c r="O56" s="494"/>
      <c r="P56" s="23"/>
      <c r="Q56" s="23"/>
      <c r="R56" s="23"/>
      <c r="S56" s="23"/>
      <c r="T56" s="23"/>
      <c r="U56" s="23"/>
      <c r="V56" s="23"/>
      <c r="W56" s="23"/>
    </row>
    <row r="57" spans="1:29" x14ac:dyDescent="0.2">
      <c r="A57" s="485" t="s">
        <v>343</v>
      </c>
      <c r="B57" s="487">
        <v>2E-3</v>
      </c>
      <c r="C57" s="484">
        <v>2.8999999999999998E-3</v>
      </c>
      <c r="D57" s="484">
        <v>2.1100000000000001E-2</v>
      </c>
      <c r="E57" s="484">
        <v>8.5000000000000006E-3</v>
      </c>
      <c r="F57" s="484">
        <v>0</v>
      </c>
      <c r="G57" s="334">
        <v>0</v>
      </c>
      <c r="H57" s="491"/>
      <c r="I57" s="495"/>
      <c r="J57" s="493"/>
      <c r="K57" s="493"/>
      <c r="L57" s="493"/>
      <c r="M57" s="493"/>
      <c r="N57" s="494"/>
      <c r="O57" s="494"/>
      <c r="P57" s="23"/>
      <c r="Q57" s="23"/>
      <c r="R57" s="23"/>
      <c r="S57" s="23"/>
      <c r="T57" s="23"/>
      <c r="U57" s="23"/>
      <c r="V57" s="23"/>
      <c r="W57" s="23"/>
    </row>
    <row r="58" spans="1:29" x14ac:dyDescent="0.2">
      <c r="A58" s="213"/>
      <c r="B58" s="214">
        <f t="shared" ref="B58:G58" si="4">SUM(B34:B57)</f>
        <v>0.99999999999999989</v>
      </c>
      <c r="C58" s="214">
        <f t="shared" si="4"/>
        <v>1</v>
      </c>
      <c r="D58" s="214">
        <f t="shared" si="4"/>
        <v>1</v>
      </c>
      <c r="E58" s="214">
        <f t="shared" si="4"/>
        <v>1</v>
      </c>
      <c r="F58" s="214">
        <f t="shared" si="4"/>
        <v>1</v>
      </c>
      <c r="G58" s="214">
        <f t="shared" si="4"/>
        <v>1</v>
      </c>
      <c r="H58" s="496"/>
      <c r="I58" s="130"/>
      <c r="J58" s="130"/>
      <c r="K58" s="130"/>
      <c r="L58" s="130"/>
      <c r="M58" s="130"/>
      <c r="N58" s="130"/>
      <c r="O58" s="130"/>
      <c r="P58" s="23"/>
      <c r="Q58" s="23"/>
      <c r="R58" s="23"/>
      <c r="S58" s="23"/>
      <c r="T58" s="23"/>
      <c r="U58" s="23"/>
      <c r="V58" s="23"/>
      <c r="W58" s="23"/>
    </row>
    <row r="59" spans="1:29" x14ac:dyDescent="0.2">
      <c r="A59" s="570" t="s">
        <v>347</v>
      </c>
      <c r="B59" s="571"/>
      <c r="C59" s="571"/>
      <c r="D59" s="571"/>
      <c r="E59" s="571"/>
      <c r="F59" s="571"/>
      <c r="G59" s="571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9" ht="13.5" thickBot="1" x14ac:dyDescent="0.25">
      <c r="A60" s="25"/>
      <c r="B60" s="130"/>
      <c r="C60" s="130"/>
      <c r="D60" s="13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9" ht="13.5" thickBot="1" x14ac:dyDescent="0.25">
      <c r="A61" s="567" t="s">
        <v>173</v>
      </c>
      <c r="B61" s="151"/>
      <c r="C61" s="151"/>
      <c r="D61" s="42"/>
      <c r="E61" s="23"/>
      <c r="F61" s="113" t="s">
        <v>24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9" ht="13.5" thickBot="1" x14ac:dyDescent="0.25">
      <c r="A62" s="568"/>
      <c r="B62" s="561" t="s">
        <v>29</v>
      </c>
      <c r="C62" s="562"/>
      <c r="D62" s="562"/>
      <c r="E62" s="563"/>
      <c r="F62" s="572" t="s">
        <v>36</v>
      </c>
      <c r="G62" s="573"/>
      <c r="H62" s="577" t="s">
        <v>5</v>
      </c>
      <c r="I62" s="578"/>
      <c r="J62" s="578"/>
      <c r="K62" s="578"/>
      <c r="L62" s="579"/>
      <c r="M62" s="561" t="s">
        <v>8</v>
      </c>
      <c r="N62" s="562"/>
      <c r="O62" s="562"/>
      <c r="P62" s="562"/>
      <c r="Q62" s="563"/>
      <c r="R62" s="577" t="s">
        <v>37</v>
      </c>
      <c r="S62" s="578"/>
      <c r="T62" s="578"/>
      <c r="U62" s="579"/>
      <c r="V62" s="561" t="s">
        <v>15</v>
      </c>
      <c r="W62" s="563"/>
      <c r="X62" s="561" t="s">
        <v>11</v>
      </c>
      <c r="Y62" s="562"/>
      <c r="Z62" s="562"/>
      <c r="AA62" s="563"/>
      <c r="AB62" s="561" t="s">
        <v>38</v>
      </c>
      <c r="AC62" s="563"/>
    </row>
    <row r="63" spans="1:29" ht="26.25" thickBot="1" x14ac:dyDescent="0.25">
      <c r="A63" s="569"/>
      <c r="B63" s="564" t="s">
        <v>44</v>
      </c>
      <c r="C63" s="565"/>
      <c r="D63" s="566"/>
      <c r="E63" s="131">
        <f>'2nd IA CTRs'!F19</f>
        <v>0</v>
      </c>
      <c r="F63" s="474" t="s">
        <v>44</v>
      </c>
      <c r="G63" s="238">
        <f>'2nd IA CTRs'!H19</f>
        <v>61.080807201477818</v>
      </c>
      <c r="H63" s="580" t="s">
        <v>44</v>
      </c>
      <c r="I63" s="581"/>
      <c r="J63" s="581"/>
      <c r="K63" s="581"/>
      <c r="L63" s="239">
        <f>'2nd IA CTRs'!J19</f>
        <v>0</v>
      </c>
      <c r="M63" s="574" t="s">
        <v>44</v>
      </c>
      <c r="N63" s="575"/>
      <c r="O63" s="575"/>
      <c r="P63" s="576"/>
      <c r="Q63" s="236">
        <f>'2nd IA Load Pricing Results'!D26</f>
        <v>0</v>
      </c>
      <c r="R63" s="582" t="s">
        <v>44</v>
      </c>
      <c r="S63" s="583"/>
      <c r="T63" s="583"/>
      <c r="U63" s="239">
        <f>'2nd IA Load Pricing Results'!D27-'2nd IA Load Pricing Results'!D26</f>
        <v>0</v>
      </c>
      <c r="V63" s="241" t="s">
        <v>44</v>
      </c>
      <c r="W63" s="242">
        <f>'2nd IA CTRs'!P19</f>
        <v>0</v>
      </c>
      <c r="X63" s="588" t="s">
        <v>44</v>
      </c>
      <c r="Y63" s="589"/>
      <c r="Z63" s="590"/>
      <c r="AA63" s="217">
        <f>'2nd IA CTRs'!V19</f>
        <v>0</v>
      </c>
      <c r="AB63" s="244" t="s">
        <v>44</v>
      </c>
      <c r="AC63" s="242">
        <f>'2nd IA Load Pricing Results'!D30</f>
        <v>0</v>
      </c>
    </row>
    <row r="64" spans="1:29" ht="64.5" thickBot="1" x14ac:dyDescent="0.25">
      <c r="A64" s="133" t="s">
        <v>63</v>
      </c>
      <c r="B64" s="134" t="s">
        <v>111</v>
      </c>
      <c r="C64" s="128" t="s">
        <v>112</v>
      </c>
      <c r="D64" s="135" t="s">
        <v>64</v>
      </c>
      <c r="E64" s="136" t="s">
        <v>78</v>
      </c>
      <c r="F64" s="134" t="s">
        <v>111</v>
      </c>
      <c r="G64" s="136" t="s">
        <v>78</v>
      </c>
      <c r="H64" s="232" t="s">
        <v>111</v>
      </c>
      <c r="I64" s="215" t="s">
        <v>112</v>
      </c>
      <c r="J64" s="215" t="s">
        <v>211</v>
      </c>
      <c r="K64" s="237" t="s">
        <v>64</v>
      </c>
      <c r="L64" s="229" t="s">
        <v>78</v>
      </c>
      <c r="M64" s="134" t="s">
        <v>111</v>
      </c>
      <c r="N64" s="128" t="s">
        <v>113</v>
      </c>
      <c r="O64" s="128" t="s">
        <v>114</v>
      </c>
      <c r="P64" s="135" t="s">
        <v>64</v>
      </c>
      <c r="Q64" s="136" t="s">
        <v>78</v>
      </c>
      <c r="R64" s="232" t="s">
        <v>111</v>
      </c>
      <c r="S64" s="215" t="s">
        <v>113</v>
      </c>
      <c r="T64" s="237" t="s">
        <v>64</v>
      </c>
      <c r="U64" s="240" t="s">
        <v>78</v>
      </c>
      <c r="V64" s="222" t="s">
        <v>211</v>
      </c>
      <c r="W64" s="136" t="s">
        <v>78</v>
      </c>
      <c r="X64" s="215" t="s">
        <v>112</v>
      </c>
      <c r="Y64" s="243" t="s">
        <v>153</v>
      </c>
      <c r="Z64" s="237" t="s">
        <v>64</v>
      </c>
      <c r="AA64" s="216" t="s">
        <v>78</v>
      </c>
      <c r="AB64" s="586" t="s">
        <v>143</v>
      </c>
      <c r="AC64" s="587"/>
    </row>
    <row r="65" spans="1:29" x14ac:dyDescent="0.2">
      <c r="A65" s="485" t="s">
        <v>16</v>
      </c>
      <c r="B65" s="124">
        <f>B34*$C$13</f>
        <v>0</v>
      </c>
      <c r="C65" s="137">
        <f>C34*$C$15</f>
        <v>0</v>
      </c>
      <c r="D65" s="137">
        <f>B65+C65</f>
        <v>0</v>
      </c>
      <c r="E65" s="56">
        <f>D65*$E$63</f>
        <v>0</v>
      </c>
      <c r="F65" s="124">
        <f>B34*$D$13</f>
        <v>15.266000000000002</v>
      </c>
      <c r="G65" s="125">
        <f>F65*$G$63</f>
        <v>932.45960273776052</v>
      </c>
      <c r="H65" s="124">
        <f>B34*$E$13</f>
        <v>4.3520000000000003</v>
      </c>
      <c r="I65" s="137">
        <f>C34*$E$15</f>
        <v>21.33</v>
      </c>
      <c r="J65" s="234">
        <f>G34*$E$19</f>
        <v>0</v>
      </c>
      <c r="K65" s="137">
        <f t="shared" ref="K65:K88" si="5">H65+I65+J65</f>
        <v>25.681999999999999</v>
      </c>
      <c r="L65" s="230">
        <f>K65*$L$63</f>
        <v>0</v>
      </c>
      <c r="M65" s="124">
        <f>B34*$F$13</f>
        <v>1.1713000000000002</v>
      </c>
      <c r="N65" s="137">
        <f>D34*$F$16</f>
        <v>0.78245999999999993</v>
      </c>
      <c r="O65" s="137">
        <f>E34*$F$17</f>
        <v>0</v>
      </c>
      <c r="P65" s="137">
        <f>M65+N65+O65</f>
        <v>1.9537600000000002</v>
      </c>
      <c r="Q65" s="56">
        <f t="shared" ref="Q65:Q88" si="6">P65*$Q$63</f>
        <v>0</v>
      </c>
      <c r="R65" s="124">
        <f>B34*$G$13</f>
        <v>1.7935000000000001</v>
      </c>
      <c r="S65" s="137">
        <f>D34*$G$16</f>
        <v>1.1373500000000001</v>
      </c>
      <c r="T65" s="137">
        <f>R65+S65</f>
        <v>2.9308500000000004</v>
      </c>
      <c r="U65" s="218">
        <f t="shared" ref="U65:U88" si="7">T65*$U$63</f>
        <v>0</v>
      </c>
      <c r="V65" s="124">
        <f>G34*$J$19</f>
        <v>0</v>
      </c>
      <c r="W65" s="125">
        <f t="shared" ref="W65:W88" si="8">V65*$W$63</f>
        <v>0</v>
      </c>
      <c r="X65" s="137">
        <f>C34*$K$15</f>
        <v>11.16</v>
      </c>
      <c r="Y65" s="220">
        <f>F34*$K$18</f>
        <v>0</v>
      </c>
      <c r="Z65" s="233">
        <f>X65+Y65</f>
        <v>11.16</v>
      </c>
      <c r="AA65" s="125">
        <f t="shared" ref="AA65:AA88" si="9">Y65*$AA$63</f>
        <v>0</v>
      </c>
      <c r="AB65" s="4"/>
      <c r="AC65" s="4"/>
    </row>
    <row r="66" spans="1:29" x14ac:dyDescent="0.2">
      <c r="A66" s="485" t="s">
        <v>30</v>
      </c>
      <c r="B66" s="124">
        <f t="shared" ref="B66:B88" si="10">B35*$C$13</f>
        <v>0</v>
      </c>
      <c r="C66" s="137">
        <f t="shared" ref="C66:C88" si="11">C35*$C$15</f>
        <v>0</v>
      </c>
      <c r="D66" s="137">
        <f>B66+C66</f>
        <v>0</v>
      </c>
      <c r="E66" s="56">
        <f>D66*$E$63</f>
        <v>0</v>
      </c>
      <c r="F66" s="124">
        <f>B35*$D$13</f>
        <v>127.96499999999999</v>
      </c>
      <c r="G66" s="125">
        <f t="shared" ref="G66:G88" si="12">F66*$G$63</f>
        <v>7816.2054935371079</v>
      </c>
      <c r="H66" s="124">
        <f>B35*$E$13</f>
        <v>36.479999999999997</v>
      </c>
      <c r="I66" s="137">
        <f t="shared" ref="I66:I88" si="13">C35*$E$15</f>
        <v>0</v>
      </c>
      <c r="J66" s="234">
        <f t="shared" ref="J66:J88" si="14">G35*$E$19</f>
        <v>0</v>
      </c>
      <c r="K66" s="137">
        <f t="shared" si="5"/>
        <v>36.479999999999997</v>
      </c>
      <c r="L66" s="230">
        <f>K66*$L$63</f>
        <v>0</v>
      </c>
      <c r="M66" s="124">
        <f t="shared" ref="M66:M88" si="15">B35*$F$13</f>
        <v>9.8182500000000008</v>
      </c>
      <c r="N66" s="137">
        <f>D35*$F$16</f>
        <v>0</v>
      </c>
      <c r="O66" s="137">
        <f t="shared" ref="O66:O88" si="16">E35*$F$17</f>
        <v>0</v>
      </c>
      <c r="P66" s="137">
        <f>M66+N66+O66</f>
        <v>9.8182500000000008</v>
      </c>
      <c r="Q66" s="56">
        <f t="shared" si="6"/>
        <v>0</v>
      </c>
      <c r="R66" s="124">
        <f>B35*$G$13</f>
        <v>15.03375</v>
      </c>
      <c r="S66" s="137">
        <f t="shared" ref="S66:S88" si="17">D35*$G$16</f>
        <v>0</v>
      </c>
      <c r="T66" s="137">
        <f>R66+S66</f>
        <v>15.03375</v>
      </c>
      <c r="U66" s="218">
        <f t="shared" si="7"/>
        <v>0</v>
      </c>
      <c r="V66" s="124">
        <f t="shared" ref="V66:V88" si="18">G35*$J$19</f>
        <v>0</v>
      </c>
      <c r="W66" s="125">
        <f t="shared" si="8"/>
        <v>0</v>
      </c>
      <c r="X66" s="137">
        <f t="shared" ref="X66:X88" si="19">C35*$K$15</f>
        <v>0</v>
      </c>
      <c r="Y66" s="220">
        <f t="shared" ref="Y66:Y88" si="20">F35*$K$18</f>
        <v>0</v>
      </c>
      <c r="Z66" s="233">
        <f t="shared" ref="Z66:Z88" si="21">X66+Y66</f>
        <v>0</v>
      </c>
      <c r="AA66" s="125">
        <f t="shared" si="9"/>
        <v>0</v>
      </c>
      <c r="AB66" s="4"/>
      <c r="AC66" s="4"/>
    </row>
    <row r="67" spans="1:29" x14ac:dyDescent="0.2">
      <c r="A67" s="485" t="s">
        <v>19</v>
      </c>
      <c r="B67" s="124">
        <f t="shared" si="10"/>
        <v>0</v>
      </c>
      <c r="C67" s="137">
        <f t="shared" si="11"/>
        <v>0</v>
      </c>
      <c r="D67" s="137">
        <f>B67+C67</f>
        <v>0</v>
      </c>
      <c r="E67" s="56">
        <f>D67*$E$63</f>
        <v>0</v>
      </c>
      <c r="F67" s="124">
        <f>B36*$D$13</f>
        <v>49.659400000000005</v>
      </c>
      <c r="G67" s="125">
        <f>F67*$G$63</f>
        <v>3033.2362371410677</v>
      </c>
      <c r="H67" s="124">
        <f t="shared" ref="H67:H88" si="22">B36*$E$13</f>
        <v>14.1568</v>
      </c>
      <c r="I67" s="137">
        <f t="shared" si="13"/>
        <v>0</v>
      </c>
      <c r="J67" s="234">
        <f t="shared" si="14"/>
        <v>0</v>
      </c>
      <c r="K67" s="137">
        <f t="shared" si="5"/>
        <v>14.1568</v>
      </c>
      <c r="L67" s="230">
        <f>K67*$L$63</f>
        <v>0</v>
      </c>
      <c r="M67" s="124">
        <f t="shared" si="15"/>
        <v>3.8101700000000003</v>
      </c>
      <c r="N67" s="137">
        <f>D36*$F$16</f>
        <v>0</v>
      </c>
      <c r="O67" s="137">
        <f t="shared" si="16"/>
        <v>0</v>
      </c>
      <c r="P67" s="137">
        <f>M67+N67+O67</f>
        <v>3.8101700000000003</v>
      </c>
      <c r="Q67" s="56">
        <f t="shared" si="6"/>
        <v>0</v>
      </c>
      <c r="R67" s="124">
        <f t="shared" ref="R67:R88" si="23">B36*$G$13</f>
        <v>5.8341500000000002</v>
      </c>
      <c r="S67" s="137">
        <f t="shared" si="17"/>
        <v>0</v>
      </c>
      <c r="T67" s="137">
        <f>R67+S67</f>
        <v>5.8341500000000002</v>
      </c>
      <c r="U67" s="218">
        <f t="shared" si="7"/>
        <v>0</v>
      </c>
      <c r="V67" s="124">
        <f t="shared" si="18"/>
        <v>0</v>
      </c>
      <c r="W67" s="125">
        <f t="shared" si="8"/>
        <v>0</v>
      </c>
      <c r="X67" s="137">
        <f t="shared" si="19"/>
        <v>0</v>
      </c>
      <c r="Y67" s="220">
        <f t="shared" si="20"/>
        <v>8.0444000000000013</v>
      </c>
      <c r="Z67" s="233">
        <f t="shared" si="21"/>
        <v>8.0444000000000013</v>
      </c>
      <c r="AA67" s="125">
        <f t="shared" si="9"/>
        <v>0</v>
      </c>
      <c r="AB67" s="4"/>
      <c r="AC67" s="4"/>
    </row>
    <row r="68" spans="1:29" x14ac:dyDescent="0.2">
      <c r="A68" s="485" t="s">
        <v>46</v>
      </c>
      <c r="B68" s="124">
        <f t="shared" si="10"/>
        <v>0</v>
      </c>
      <c r="C68" s="137">
        <f t="shared" si="11"/>
        <v>0</v>
      </c>
      <c r="D68" s="137">
        <f t="shared" ref="D68:D87" si="24">B68+C68</f>
        <v>0</v>
      </c>
      <c r="E68" s="56">
        <f t="shared" ref="E68:E87" si="25">D68*$E$63</f>
        <v>0</v>
      </c>
      <c r="F68" s="124">
        <f t="shared" ref="F68:F88" si="26">B37*$D$13</f>
        <v>72.648200000000003</v>
      </c>
      <c r="G68" s="125">
        <f t="shared" si="12"/>
        <v>4437.4106977344009</v>
      </c>
      <c r="H68" s="124">
        <f t="shared" si="22"/>
        <v>20.7104</v>
      </c>
      <c r="I68" s="137">
        <f t="shared" si="13"/>
        <v>0</v>
      </c>
      <c r="J68" s="234">
        <f t="shared" si="14"/>
        <v>0</v>
      </c>
      <c r="K68" s="137">
        <f t="shared" si="5"/>
        <v>20.7104</v>
      </c>
      <c r="L68" s="230">
        <f>K68*$L$63</f>
        <v>0</v>
      </c>
      <c r="M68" s="124">
        <f t="shared" si="15"/>
        <v>5.5740100000000004</v>
      </c>
      <c r="N68" s="137">
        <f t="shared" ref="N68:N88" si="27">D37*$F$16</f>
        <v>0</v>
      </c>
      <c r="O68" s="137">
        <f t="shared" si="16"/>
        <v>0</v>
      </c>
      <c r="P68" s="137">
        <f t="shared" ref="P68:P88" si="28">M68+N68+O68</f>
        <v>5.5740100000000004</v>
      </c>
      <c r="Q68" s="56">
        <f t="shared" si="6"/>
        <v>0</v>
      </c>
      <c r="R68" s="124">
        <f t="shared" si="23"/>
        <v>8.5349500000000003</v>
      </c>
      <c r="S68" s="137">
        <f t="shared" si="17"/>
        <v>0</v>
      </c>
      <c r="T68" s="137">
        <f>R68+S68</f>
        <v>8.5349500000000003</v>
      </c>
      <c r="U68" s="218">
        <f t="shared" si="7"/>
        <v>0</v>
      </c>
      <c r="V68" s="124">
        <f t="shared" si="18"/>
        <v>0</v>
      </c>
      <c r="W68" s="125">
        <f t="shared" si="8"/>
        <v>0</v>
      </c>
      <c r="X68" s="137">
        <f t="shared" si="19"/>
        <v>0</v>
      </c>
      <c r="Y68" s="220">
        <f t="shared" si="20"/>
        <v>0</v>
      </c>
      <c r="Z68" s="233">
        <f t="shared" si="21"/>
        <v>0</v>
      </c>
      <c r="AA68" s="125">
        <f t="shared" si="9"/>
        <v>0</v>
      </c>
      <c r="AB68" s="4"/>
      <c r="AC68" s="4"/>
    </row>
    <row r="69" spans="1:29" x14ac:dyDescent="0.2">
      <c r="A69" s="485" t="s">
        <v>11</v>
      </c>
      <c r="B69" s="124">
        <f t="shared" si="10"/>
        <v>0</v>
      </c>
      <c r="C69" s="137">
        <f t="shared" si="11"/>
        <v>0</v>
      </c>
      <c r="D69" s="137">
        <f t="shared" si="24"/>
        <v>0</v>
      </c>
      <c r="E69" s="56">
        <f t="shared" si="25"/>
        <v>0</v>
      </c>
      <c r="F69" s="124">
        <f t="shared" si="26"/>
        <v>37.626199999999997</v>
      </c>
      <c r="G69" s="125">
        <f t="shared" si="12"/>
        <v>2298.2386679242445</v>
      </c>
      <c r="H69" s="124">
        <f t="shared" si="22"/>
        <v>10.7264</v>
      </c>
      <c r="I69" s="137">
        <f t="shared" si="13"/>
        <v>0</v>
      </c>
      <c r="J69" s="234">
        <f t="shared" si="14"/>
        <v>0</v>
      </c>
      <c r="K69" s="137">
        <f t="shared" si="5"/>
        <v>10.7264</v>
      </c>
      <c r="L69" s="230">
        <f t="shared" ref="L69:L83" si="29">K69*$L$63</f>
        <v>0</v>
      </c>
      <c r="M69" s="124">
        <f t="shared" si="15"/>
        <v>2.8869100000000003</v>
      </c>
      <c r="N69" s="137">
        <f t="shared" si="27"/>
        <v>3.2999399999999999</v>
      </c>
      <c r="O69" s="137">
        <f t="shared" si="16"/>
        <v>0</v>
      </c>
      <c r="P69" s="137">
        <f t="shared" si="28"/>
        <v>6.1868499999999997</v>
      </c>
      <c r="Q69" s="56">
        <f t="shared" si="6"/>
        <v>0</v>
      </c>
      <c r="R69" s="124">
        <f t="shared" si="23"/>
        <v>4.4204499999999998</v>
      </c>
      <c r="S69" s="137">
        <f t="shared" si="17"/>
        <v>4.7966500000000005</v>
      </c>
      <c r="T69" s="137">
        <f t="shared" ref="T69:T87" si="30">R69+S69</f>
        <v>9.2171000000000003</v>
      </c>
      <c r="U69" s="218">
        <f t="shared" si="7"/>
        <v>0</v>
      </c>
      <c r="V69" s="124">
        <f t="shared" si="18"/>
        <v>0</v>
      </c>
      <c r="W69" s="125">
        <f t="shared" si="8"/>
        <v>0</v>
      </c>
      <c r="X69" s="137">
        <f t="shared" si="19"/>
        <v>0</v>
      </c>
      <c r="Y69" s="220">
        <f t="shared" si="20"/>
        <v>121.849</v>
      </c>
      <c r="Z69" s="233">
        <f t="shared" si="21"/>
        <v>121.849</v>
      </c>
      <c r="AA69" s="125">
        <f t="shared" si="9"/>
        <v>0</v>
      </c>
      <c r="AB69" s="4"/>
      <c r="AC69" s="4"/>
    </row>
    <row r="70" spans="1:29" x14ac:dyDescent="0.2">
      <c r="A70" s="485" t="s">
        <v>333</v>
      </c>
      <c r="B70" s="124">
        <f t="shared" si="10"/>
        <v>0</v>
      </c>
      <c r="C70" s="137">
        <f t="shared" si="11"/>
        <v>0</v>
      </c>
      <c r="D70" s="137">
        <f t="shared" si="24"/>
        <v>0</v>
      </c>
      <c r="E70" s="56">
        <f t="shared" si="25"/>
        <v>0</v>
      </c>
      <c r="F70" s="124">
        <f t="shared" si="26"/>
        <v>120.6014</v>
      </c>
      <c r="G70" s="125">
        <f t="shared" si="12"/>
        <v>7366.430861628307</v>
      </c>
      <c r="H70" s="124">
        <f t="shared" si="22"/>
        <v>34.380800000000001</v>
      </c>
      <c r="I70" s="137">
        <f t="shared" si="13"/>
        <v>0</v>
      </c>
      <c r="J70" s="234">
        <f t="shared" si="14"/>
        <v>0</v>
      </c>
      <c r="K70" s="137">
        <f t="shared" si="5"/>
        <v>34.380800000000001</v>
      </c>
      <c r="L70" s="230">
        <f t="shared" si="29"/>
        <v>0</v>
      </c>
      <c r="M70" s="124">
        <f>B39*$F$13</f>
        <v>9.2532700000000006</v>
      </c>
      <c r="N70" s="137">
        <f t="shared" si="27"/>
        <v>7.8926399999999992</v>
      </c>
      <c r="O70" s="137">
        <f t="shared" si="16"/>
        <v>0</v>
      </c>
      <c r="P70" s="137">
        <f t="shared" si="28"/>
        <v>17.145910000000001</v>
      </c>
      <c r="Q70" s="56">
        <f t="shared" si="6"/>
        <v>0</v>
      </c>
      <c r="R70" s="124">
        <f t="shared" si="23"/>
        <v>14.16865</v>
      </c>
      <c r="S70" s="137">
        <f t="shared" si="17"/>
        <v>11.472399999999999</v>
      </c>
      <c r="T70" s="137">
        <f t="shared" si="30"/>
        <v>25.64105</v>
      </c>
      <c r="U70" s="218">
        <f t="shared" si="7"/>
        <v>0</v>
      </c>
      <c r="V70" s="124">
        <f t="shared" si="18"/>
        <v>0</v>
      </c>
      <c r="W70" s="125">
        <f t="shared" si="8"/>
        <v>0</v>
      </c>
      <c r="X70" s="137">
        <f t="shared" si="19"/>
        <v>0</v>
      </c>
      <c r="Y70" s="220">
        <f t="shared" si="20"/>
        <v>7.4984000000000002</v>
      </c>
      <c r="Z70" s="233">
        <f t="shared" si="21"/>
        <v>7.4984000000000002</v>
      </c>
      <c r="AA70" s="125">
        <f t="shared" si="9"/>
        <v>0</v>
      </c>
      <c r="AB70" s="4"/>
      <c r="AC70" s="4"/>
    </row>
    <row r="71" spans="1:29" x14ac:dyDescent="0.2">
      <c r="A71" s="485" t="s">
        <v>120</v>
      </c>
      <c r="B71" s="124">
        <f t="shared" si="10"/>
        <v>0</v>
      </c>
      <c r="C71" s="137">
        <f t="shared" si="11"/>
        <v>0</v>
      </c>
      <c r="D71" s="137">
        <f t="shared" si="24"/>
        <v>0</v>
      </c>
      <c r="E71" s="56">
        <f t="shared" si="25"/>
        <v>0</v>
      </c>
      <c r="F71" s="124">
        <f t="shared" si="26"/>
        <v>0</v>
      </c>
      <c r="G71" s="125">
        <f t="shared" si="12"/>
        <v>0</v>
      </c>
      <c r="H71" s="124">
        <f t="shared" si="22"/>
        <v>0</v>
      </c>
      <c r="I71" s="137">
        <f t="shared" si="13"/>
        <v>0</v>
      </c>
      <c r="J71" s="234">
        <f t="shared" si="14"/>
        <v>0</v>
      </c>
      <c r="K71" s="137">
        <f t="shared" si="5"/>
        <v>0</v>
      </c>
      <c r="L71" s="230">
        <f t="shared" si="29"/>
        <v>0</v>
      </c>
      <c r="M71" s="124">
        <f>B40*$F$13</f>
        <v>0</v>
      </c>
      <c r="N71" s="137">
        <f t="shared" si="27"/>
        <v>0</v>
      </c>
      <c r="O71" s="137">
        <f t="shared" si="16"/>
        <v>0</v>
      </c>
      <c r="P71" s="137">
        <f t="shared" si="28"/>
        <v>0</v>
      </c>
      <c r="Q71" s="56">
        <f t="shared" si="6"/>
        <v>0</v>
      </c>
      <c r="R71" s="124">
        <f t="shared" si="23"/>
        <v>0</v>
      </c>
      <c r="S71" s="137">
        <f t="shared" si="17"/>
        <v>0</v>
      </c>
      <c r="T71" s="137">
        <f t="shared" si="30"/>
        <v>0</v>
      </c>
      <c r="U71" s="218">
        <f t="shared" si="7"/>
        <v>0</v>
      </c>
      <c r="V71" s="124">
        <f t="shared" si="18"/>
        <v>0</v>
      </c>
      <c r="W71" s="125">
        <f t="shared" si="8"/>
        <v>0</v>
      </c>
      <c r="X71" s="137">
        <f t="shared" si="19"/>
        <v>0</v>
      </c>
      <c r="Y71" s="220">
        <f t="shared" si="20"/>
        <v>0</v>
      </c>
      <c r="Z71" s="233">
        <f t="shared" si="21"/>
        <v>0</v>
      </c>
      <c r="AA71" s="125">
        <f t="shared" si="9"/>
        <v>0</v>
      </c>
      <c r="AB71" s="4"/>
      <c r="AC71" s="4"/>
    </row>
    <row r="72" spans="1:29" x14ac:dyDescent="0.2">
      <c r="A72" s="485" t="s">
        <v>334</v>
      </c>
      <c r="B72" s="124">
        <f t="shared" si="10"/>
        <v>0</v>
      </c>
      <c r="C72" s="137">
        <f t="shared" si="11"/>
        <v>0</v>
      </c>
      <c r="D72" s="137">
        <f t="shared" si="24"/>
        <v>0</v>
      </c>
      <c r="E72" s="56">
        <f t="shared" si="25"/>
        <v>0</v>
      </c>
      <c r="F72" s="124">
        <f t="shared" si="26"/>
        <v>19.037600000000001</v>
      </c>
      <c r="G72" s="125">
        <f t="shared" si="12"/>
        <v>1162.8319751788542</v>
      </c>
      <c r="H72" s="124">
        <f t="shared" si="22"/>
        <v>5.4272</v>
      </c>
      <c r="I72" s="137">
        <f t="shared" si="13"/>
        <v>0</v>
      </c>
      <c r="J72" s="234">
        <f t="shared" si="14"/>
        <v>0</v>
      </c>
      <c r="K72" s="137">
        <f t="shared" si="5"/>
        <v>5.4272</v>
      </c>
      <c r="L72" s="230">
        <f t="shared" si="29"/>
        <v>0</v>
      </c>
      <c r="M72" s="124">
        <f t="shared" si="15"/>
        <v>1.4606800000000002</v>
      </c>
      <c r="N72" s="137">
        <f t="shared" si="27"/>
        <v>0.44225999999999999</v>
      </c>
      <c r="O72" s="137">
        <f t="shared" si="16"/>
        <v>0</v>
      </c>
      <c r="P72" s="137">
        <f t="shared" si="28"/>
        <v>1.9029400000000001</v>
      </c>
      <c r="Q72" s="56">
        <f t="shared" si="6"/>
        <v>0</v>
      </c>
      <c r="R72" s="124">
        <f t="shared" si="23"/>
        <v>2.2366000000000001</v>
      </c>
      <c r="S72" s="137">
        <f t="shared" si="17"/>
        <v>0.64284999999999992</v>
      </c>
      <c r="T72" s="137">
        <f t="shared" si="30"/>
        <v>2.8794500000000003</v>
      </c>
      <c r="U72" s="218">
        <f t="shared" si="7"/>
        <v>0</v>
      </c>
      <c r="V72" s="124">
        <f t="shared" si="18"/>
        <v>0</v>
      </c>
      <c r="W72" s="125">
        <f t="shared" si="8"/>
        <v>0</v>
      </c>
      <c r="X72" s="137">
        <f t="shared" si="19"/>
        <v>0</v>
      </c>
      <c r="Y72" s="220">
        <f t="shared" si="20"/>
        <v>0.89179999999999993</v>
      </c>
      <c r="Z72" s="233">
        <f t="shared" si="21"/>
        <v>0.89179999999999993</v>
      </c>
      <c r="AA72" s="125">
        <f t="shared" si="9"/>
        <v>0</v>
      </c>
      <c r="AB72" s="4"/>
      <c r="AC72" s="4"/>
    </row>
    <row r="73" spans="1:29" x14ac:dyDescent="0.2">
      <c r="A73" s="485" t="s">
        <v>335</v>
      </c>
      <c r="B73" s="124">
        <f t="shared" si="10"/>
        <v>0</v>
      </c>
      <c r="C73" s="137">
        <f t="shared" si="11"/>
        <v>0</v>
      </c>
      <c r="D73" s="137">
        <f t="shared" si="24"/>
        <v>0</v>
      </c>
      <c r="E73" s="56">
        <f t="shared" si="25"/>
        <v>0</v>
      </c>
      <c r="F73" s="124">
        <f t="shared" si="26"/>
        <v>30.262599999999999</v>
      </c>
      <c r="G73" s="125">
        <f t="shared" si="12"/>
        <v>1848.4640360154426</v>
      </c>
      <c r="H73" s="124">
        <f t="shared" si="22"/>
        <v>8.6272000000000002</v>
      </c>
      <c r="I73" s="137">
        <f t="shared" si="13"/>
        <v>0</v>
      </c>
      <c r="J73" s="234">
        <f t="shared" si="14"/>
        <v>0</v>
      </c>
      <c r="K73" s="137">
        <f t="shared" si="5"/>
        <v>8.6272000000000002</v>
      </c>
      <c r="L73" s="230">
        <f t="shared" si="29"/>
        <v>0</v>
      </c>
      <c r="M73" s="124">
        <f t="shared" si="15"/>
        <v>2.32193</v>
      </c>
      <c r="N73" s="137">
        <f t="shared" si="27"/>
        <v>0</v>
      </c>
      <c r="O73" s="137">
        <f t="shared" si="16"/>
        <v>0</v>
      </c>
      <c r="P73" s="137">
        <f t="shared" si="28"/>
        <v>2.32193</v>
      </c>
      <c r="Q73" s="56">
        <f t="shared" si="6"/>
        <v>0</v>
      </c>
      <c r="R73" s="124">
        <f t="shared" si="23"/>
        <v>3.5553500000000002</v>
      </c>
      <c r="S73" s="137">
        <f t="shared" si="17"/>
        <v>0</v>
      </c>
      <c r="T73" s="137">
        <f t="shared" si="30"/>
        <v>3.5553500000000002</v>
      </c>
      <c r="U73" s="218">
        <f t="shared" si="7"/>
        <v>0</v>
      </c>
      <c r="V73" s="124">
        <f t="shared" si="18"/>
        <v>0</v>
      </c>
      <c r="W73" s="125">
        <f t="shared" si="8"/>
        <v>0</v>
      </c>
      <c r="X73" s="137">
        <f t="shared" si="19"/>
        <v>0</v>
      </c>
      <c r="Y73" s="220">
        <f t="shared" si="20"/>
        <v>0</v>
      </c>
      <c r="Z73" s="233">
        <f t="shared" si="21"/>
        <v>0</v>
      </c>
      <c r="AA73" s="125">
        <f t="shared" si="9"/>
        <v>0</v>
      </c>
      <c r="AB73" s="4"/>
      <c r="AC73" s="4"/>
    </row>
    <row r="74" spans="1:29" x14ac:dyDescent="0.2">
      <c r="A74" s="485" t="s">
        <v>336</v>
      </c>
      <c r="B74" s="124">
        <f t="shared" si="10"/>
        <v>0</v>
      </c>
      <c r="C74" s="137">
        <f t="shared" si="11"/>
        <v>0</v>
      </c>
      <c r="D74" s="137">
        <f t="shared" si="24"/>
        <v>0</v>
      </c>
      <c r="E74" s="56">
        <f t="shared" si="25"/>
        <v>0</v>
      </c>
      <c r="F74" s="124">
        <f t="shared" si="26"/>
        <v>15.894600000000001</v>
      </c>
      <c r="G74" s="125">
        <f t="shared" si="12"/>
        <v>970.85499814460934</v>
      </c>
      <c r="H74" s="124">
        <f t="shared" si="22"/>
        <v>4.5312000000000001</v>
      </c>
      <c r="I74" s="137">
        <f t="shared" si="13"/>
        <v>0</v>
      </c>
      <c r="J74" s="234">
        <f t="shared" si="14"/>
        <v>0</v>
      </c>
      <c r="K74" s="137">
        <f t="shared" si="5"/>
        <v>4.5312000000000001</v>
      </c>
      <c r="L74" s="230">
        <f t="shared" si="29"/>
        <v>0</v>
      </c>
      <c r="M74" s="124">
        <f t="shared" si="15"/>
        <v>1.2195300000000002</v>
      </c>
      <c r="N74" s="137">
        <f t="shared" si="27"/>
        <v>0</v>
      </c>
      <c r="O74" s="137">
        <f t="shared" si="16"/>
        <v>0</v>
      </c>
      <c r="P74" s="137">
        <f t="shared" si="28"/>
        <v>1.2195300000000002</v>
      </c>
      <c r="Q74" s="56">
        <f t="shared" si="6"/>
        <v>0</v>
      </c>
      <c r="R74" s="124">
        <f t="shared" si="23"/>
        <v>1.8673500000000001</v>
      </c>
      <c r="S74" s="137">
        <f t="shared" si="17"/>
        <v>0</v>
      </c>
      <c r="T74" s="137">
        <f t="shared" si="30"/>
        <v>1.8673500000000001</v>
      </c>
      <c r="U74" s="218">
        <f t="shared" si="7"/>
        <v>0</v>
      </c>
      <c r="V74" s="124">
        <f>G43*$J$19</f>
        <v>0</v>
      </c>
      <c r="W74" s="125">
        <f t="shared" si="8"/>
        <v>0</v>
      </c>
      <c r="X74" s="137">
        <f t="shared" si="19"/>
        <v>0</v>
      </c>
      <c r="Y74" s="220">
        <f t="shared" si="20"/>
        <v>0</v>
      </c>
      <c r="Z74" s="233">
        <f t="shared" si="21"/>
        <v>0</v>
      </c>
      <c r="AA74" s="125">
        <f t="shared" si="9"/>
        <v>0</v>
      </c>
      <c r="AB74" s="4"/>
      <c r="AC74" s="4"/>
    </row>
    <row r="75" spans="1:29" x14ac:dyDescent="0.2">
      <c r="A75" s="485" t="s">
        <v>337</v>
      </c>
      <c r="B75" s="124">
        <f t="shared" si="10"/>
        <v>0</v>
      </c>
      <c r="C75" s="137">
        <f t="shared" si="11"/>
        <v>0</v>
      </c>
      <c r="D75" s="137">
        <f t="shared" si="24"/>
        <v>0</v>
      </c>
      <c r="E75" s="56">
        <f t="shared" si="25"/>
        <v>0</v>
      </c>
      <c r="F75" s="124">
        <f t="shared" si="26"/>
        <v>23.5276</v>
      </c>
      <c r="G75" s="125">
        <f t="shared" si="12"/>
        <v>1437.0847995134895</v>
      </c>
      <c r="H75" s="124">
        <f t="shared" si="22"/>
        <v>6.7072000000000003</v>
      </c>
      <c r="I75" s="137">
        <f t="shared" si="13"/>
        <v>39.9345</v>
      </c>
      <c r="J75" s="234">
        <f t="shared" si="14"/>
        <v>0</v>
      </c>
      <c r="K75" s="137">
        <f t="shared" si="5"/>
        <v>46.6417</v>
      </c>
      <c r="L75" s="230">
        <f t="shared" si="29"/>
        <v>0</v>
      </c>
      <c r="M75" s="124">
        <f t="shared" si="15"/>
        <v>1.8051800000000002</v>
      </c>
      <c r="N75" s="137">
        <f t="shared" si="27"/>
        <v>0</v>
      </c>
      <c r="O75" s="137">
        <f t="shared" si="16"/>
        <v>0</v>
      </c>
      <c r="P75" s="137">
        <f t="shared" si="28"/>
        <v>1.8051800000000002</v>
      </c>
      <c r="Q75" s="56">
        <f t="shared" si="6"/>
        <v>0</v>
      </c>
      <c r="R75" s="124">
        <f t="shared" si="23"/>
        <v>2.7641</v>
      </c>
      <c r="S75" s="137">
        <f t="shared" si="17"/>
        <v>0</v>
      </c>
      <c r="T75" s="137">
        <f t="shared" si="30"/>
        <v>2.7641</v>
      </c>
      <c r="U75" s="218">
        <f t="shared" si="7"/>
        <v>0</v>
      </c>
      <c r="V75" s="124">
        <f t="shared" si="18"/>
        <v>0</v>
      </c>
      <c r="W75" s="125">
        <f t="shared" si="8"/>
        <v>0</v>
      </c>
      <c r="X75" s="137">
        <f t="shared" si="19"/>
        <v>20.894000000000002</v>
      </c>
      <c r="Y75" s="220">
        <f t="shared" si="20"/>
        <v>0</v>
      </c>
      <c r="Z75" s="233">
        <f t="shared" si="21"/>
        <v>20.894000000000002</v>
      </c>
      <c r="AA75" s="125">
        <f t="shared" si="9"/>
        <v>0</v>
      </c>
      <c r="AB75" s="4"/>
      <c r="AC75" s="4"/>
    </row>
    <row r="76" spans="1:29" x14ac:dyDescent="0.2">
      <c r="A76" s="485" t="s">
        <v>338</v>
      </c>
      <c r="B76" s="124">
        <f t="shared" si="10"/>
        <v>0</v>
      </c>
      <c r="C76" s="137">
        <f t="shared" si="11"/>
        <v>0</v>
      </c>
      <c r="D76" s="137">
        <f>B76+C76</f>
        <v>0</v>
      </c>
      <c r="E76" s="56">
        <f>D76*$E$63</f>
        <v>0</v>
      </c>
      <c r="F76" s="124">
        <f t="shared" si="26"/>
        <v>111.26219999999999</v>
      </c>
      <c r="G76" s="125">
        <f>F76*$G$63</f>
        <v>6795.9849870122644</v>
      </c>
      <c r="H76" s="124">
        <f t="shared" si="22"/>
        <v>31.718399999999999</v>
      </c>
      <c r="I76" s="137">
        <f t="shared" si="13"/>
        <v>0</v>
      </c>
      <c r="J76" s="234">
        <f t="shared" si="14"/>
        <v>535.0761</v>
      </c>
      <c r="K76" s="137">
        <f t="shared" si="5"/>
        <v>566.79449999999997</v>
      </c>
      <c r="L76" s="230">
        <f t="shared" si="29"/>
        <v>0</v>
      </c>
      <c r="M76" s="124">
        <f t="shared" si="15"/>
        <v>8.5367100000000011</v>
      </c>
      <c r="N76" s="137">
        <f t="shared" si="27"/>
        <v>0</v>
      </c>
      <c r="O76" s="137">
        <f t="shared" si="16"/>
        <v>0</v>
      </c>
      <c r="P76" s="137">
        <f>M76+N76+O76</f>
        <v>8.5367100000000011</v>
      </c>
      <c r="Q76" s="56">
        <f t="shared" si="6"/>
        <v>0</v>
      </c>
      <c r="R76" s="124">
        <f t="shared" si="23"/>
        <v>13.07145</v>
      </c>
      <c r="S76" s="137">
        <f t="shared" si="17"/>
        <v>0</v>
      </c>
      <c r="T76" s="137">
        <f>R76+S76</f>
        <v>13.07145</v>
      </c>
      <c r="U76" s="218">
        <f t="shared" si="7"/>
        <v>0</v>
      </c>
      <c r="V76" s="124">
        <f t="shared" si="18"/>
        <v>305.8965</v>
      </c>
      <c r="W76" s="125">
        <f t="shared" si="8"/>
        <v>0</v>
      </c>
      <c r="X76" s="137">
        <f t="shared" si="19"/>
        <v>0</v>
      </c>
      <c r="Y76" s="220">
        <f t="shared" si="20"/>
        <v>34.1432</v>
      </c>
      <c r="Z76" s="233">
        <f t="shared" si="21"/>
        <v>34.1432</v>
      </c>
      <c r="AA76" s="125">
        <f t="shared" si="9"/>
        <v>0</v>
      </c>
      <c r="AB76" s="4"/>
      <c r="AC76" s="4"/>
    </row>
    <row r="77" spans="1:29" x14ac:dyDescent="0.2">
      <c r="A77" s="485" t="s">
        <v>133</v>
      </c>
      <c r="B77" s="124">
        <f t="shared" si="10"/>
        <v>0</v>
      </c>
      <c r="C77" s="137">
        <f t="shared" si="11"/>
        <v>0</v>
      </c>
      <c r="D77" s="137">
        <f t="shared" si="24"/>
        <v>0</v>
      </c>
      <c r="E77" s="56">
        <f t="shared" si="25"/>
        <v>0</v>
      </c>
      <c r="F77" s="124">
        <f t="shared" si="26"/>
        <v>16.343600000000002</v>
      </c>
      <c r="G77" s="125">
        <f t="shared" si="12"/>
        <v>998.28028057807296</v>
      </c>
      <c r="H77" s="124">
        <f t="shared" si="22"/>
        <v>4.6592000000000002</v>
      </c>
      <c r="I77" s="137">
        <f t="shared" si="13"/>
        <v>0</v>
      </c>
      <c r="J77" s="234">
        <f t="shared" si="14"/>
        <v>0</v>
      </c>
      <c r="K77" s="137">
        <f t="shared" si="5"/>
        <v>4.6592000000000002</v>
      </c>
      <c r="L77" s="230">
        <f t="shared" si="29"/>
        <v>0</v>
      </c>
      <c r="M77" s="124">
        <f t="shared" si="15"/>
        <v>1.2539800000000001</v>
      </c>
      <c r="N77" s="137">
        <f t="shared" si="27"/>
        <v>0</v>
      </c>
      <c r="O77" s="137">
        <f t="shared" si="16"/>
        <v>0</v>
      </c>
      <c r="P77" s="137">
        <f t="shared" si="28"/>
        <v>1.2539800000000001</v>
      </c>
      <c r="Q77" s="56">
        <f t="shared" si="6"/>
        <v>0</v>
      </c>
      <c r="R77" s="124">
        <f t="shared" si="23"/>
        <v>1.9201000000000001</v>
      </c>
      <c r="S77" s="137">
        <f t="shared" si="17"/>
        <v>0</v>
      </c>
      <c r="T77" s="137">
        <f t="shared" si="30"/>
        <v>1.9201000000000001</v>
      </c>
      <c r="U77" s="218">
        <f t="shared" si="7"/>
        <v>0</v>
      </c>
      <c r="V77" s="124">
        <f t="shared" si="18"/>
        <v>0</v>
      </c>
      <c r="W77" s="125">
        <f t="shared" si="8"/>
        <v>0</v>
      </c>
      <c r="X77" s="137">
        <f t="shared" si="19"/>
        <v>0</v>
      </c>
      <c r="Y77" s="220">
        <f t="shared" si="20"/>
        <v>0</v>
      </c>
      <c r="Z77" s="233">
        <f t="shared" si="21"/>
        <v>0</v>
      </c>
      <c r="AA77" s="125">
        <f t="shared" si="9"/>
        <v>0</v>
      </c>
      <c r="AB77" s="4"/>
      <c r="AC77" s="4"/>
    </row>
    <row r="78" spans="1:29" x14ac:dyDescent="0.2">
      <c r="A78" s="485" t="s">
        <v>339</v>
      </c>
      <c r="B78" s="124">
        <f t="shared" si="10"/>
        <v>0</v>
      </c>
      <c r="C78" s="137">
        <f t="shared" si="11"/>
        <v>0</v>
      </c>
      <c r="D78" s="137">
        <f t="shared" si="24"/>
        <v>0</v>
      </c>
      <c r="E78" s="56">
        <f t="shared" si="25"/>
        <v>0</v>
      </c>
      <c r="F78" s="124">
        <f t="shared" si="26"/>
        <v>1.796</v>
      </c>
      <c r="G78" s="125">
        <f t="shared" si="12"/>
        <v>109.70112973385416</v>
      </c>
      <c r="H78" s="124">
        <f t="shared" si="22"/>
        <v>0.51200000000000001</v>
      </c>
      <c r="I78" s="137">
        <f t="shared" si="13"/>
        <v>0</v>
      </c>
      <c r="J78" s="234">
        <f t="shared" si="14"/>
        <v>0</v>
      </c>
      <c r="K78" s="137">
        <f t="shared" si="5"/>
        <v>0.51200000000000001</v>
      </c>
      <c r="L78" s="230">
        <f t="shared" si="29"/>
        <v>0</v>
      </c>
      <c r="M78" s="124">
        <f t="shared" si="15"/>
        <v>0.13780000000000001</v>
      </c>
      <c r="N78" s="137">
        <f t="shared" si="27"/>
        <v>54.6021</v>
      </c>
      <c r="O78" s="137">
        <f t="shared" si="16"/>
        <v>0.71337000000000006</v>
      </c>
      <c r="P78" s="137">
        <f t="shared" si="28"/>
        <v>55.453269999999996</v>
      </c>
      <c r="Q78" s="56">
        <f t="shared" si="6"/>
        <v>0</v>
      </c>
      <c r="R78" s="124">
        <f t="shared" si="23"/>
        <v>0.21099999999999999</v>
      </c>
      <c r="S78" s="137">
        <f t="shared" si="17"/>
        <v>79.367249999999999</v>
      </c>
      <c r="T78" s="137">
        <f t="shared" si="30"/>
        <v>79.578249999999997</v>
      </c>
      <c r="U78" s="218">
        <f t="shared" si="7"/>
        <v>0</v>
      </c>
      <c r="V78" s="124">
        <f t="shared" si="18"/>
        <v>0</v>
      </c>
      <c r="W78" s="125">
        <f t="shared" si="8"/>
        <v>0</v>
      </c>
      <c r="X78" s="137">
        <f t="shared" si="19"/>
        <v>0</v>
      </c>
      <c r="Y78" s="220">
        <f t="shared" si="20"/>
        <v>0</v>
      </c>
      <c r="Z78" s="233">
        <f t="shared" si="21"/>
        <v>0</v>
      </c>
      <c r="AA78" s="125">
        <f t="shared" si="9"/>
        <v>0</v>
      </c>
      <c r="AB78" s="4"/>
      <c r="AC78" s="4"/>
    </row>
    <row r="79" spans="1:29" x14ac:dyDescent="0.2">
      <c r="A79" s="485" t="s">
        <v>12</v>
      </c>
      <c r="B79" s="124">
        <f t="shared" si="10"/>
        <v>0</v>
      </c>
      <c r="C79" s="137">
        <f t="shared" si="11"/>
        <v>0</v>
      </c>
      <c r="D79" s="137">
        <f t="shared" si="24"/>
        <v>0</v>
      </c>
      <c r="E79" s="56">
        <f t="shared" si="25"/>
        <v>0</v>
      </c>
      <c r="F79" s="124">
        <f t="shared" si="26"/>
        <v>33.944400000000002</v>
      </c>
      <c r="G79" s="125">
        <f t="shared" si="12"/>
        <v>2073.3513519698436</v>
      </c>
      <c r="H79" s="124">
        <f t="shared" si="22"/>
        <v>9.6768000000000001</v>
      </c>
      <c r="I79" s="137">
        <f t="shared" si="13"/>
        <v>22.846799999999998</v>
      </c>
      <c r="J79" s="234">
        <f t="shared" si="14"/>
        <v>0</v>
      </c>
      <c r="K79" s="137">
        <f t="shared" si="5"/>
        <v>32.523600000000002</v>
      </c>
      <c r="L79" s="230">
        <f t="shared" si="29"/>
        <v>0</v>
      </c>
      <c r="M79" s="124">
        <f t="shared" si="15"/>
        <v>2.6044200000000002</v>
      </c>
      <c r="N79" s="137">
        <f t="shared" si="27"/>
        <v>3.98034</v>
      </c>
      <c r="O79" s="137">
        <f t="shared" si="16"/>
        <v>11.576460000000001</v>
      </c>
      <c r="P79" s="137">
        <f t="shared" si="28"/>
        <v>18.16122</v>
      </c>
      <c r="Q79" s="56">
        <f t="shared" si="6"/>
        <v>0</v>
      </c>
      <c r="R79" s="124">
        <f t="shared" si="23"/>
        <v>3.9879000000000002</v>
      </c>
      <c r="S79" s="137">
        <f t="shared" si="17"/>
        <v>5.7856500000000004</v>
      </c>
      <c r="T79" s="137">
        <f t="shared" si="30"/>
        <v>9.7735500000000002</v>
      </c>
      <c r="U79" s="218">
        <f t="shared" si="7"/>
        <v>0</v>
      </c>
      <c r="V79" s="124">
        <f t="shared" si="18"/>
        <v>0</v>
      </c>
      <c r="W79" s="125">
        <f t="shared" si="8"/>
        <v>0</v>
      </c>
      <c r="X79" s="137">
        <f t="shared" si="19"/>
        <v>11.9536</v>
      </c>
      <c r="Y79" s="220">
        <f t="shared" si="20"/>
        <v>0</v>
      </c>
      <c r="Z79" s="233">
        <f t="shared" si="21"/>
        <v>11.9536</v>
      </c>
      <c r="AA79" s="125">
        <f t="shared" si="9"/>
        <v>0</v>
      </c>
      <c r="AB79" s="4"/>
      <c r="AC79" s="4"/>
    </row>
    <row r="80" spans="1:29" x14ac:dyDescent="0.2">
      <c r="A80" s="485" t="s">
        <v>340</v>
      </c>
      <c r="B80" s="124">
        <f t="shared" si="10"/>
        <v>0</v>
      </c>
      <c r="C80" s="137">
        <f t="shared" si="11"/>
        <v>0</v>
      </c>
      <c r="D80" s="137">
        <f t="shared" si="24"/>
        <v>0</v>
      </c>
      <c r="E80" s="56">
        <f t="shared" si="25"/>
        <v>0</v>
      </c>
      <c r="F80" s="124">
        <f t="shared" si="26"/>
        <v>16.7926</v>
      </c>
      <c r="G80" s="125">
        <f t="shared" si="12"/>
        <v>1025.7055630115365</v>
      </c>
      <c r="H80" s="124">
        <f t="shared" si="22"/>
        <v>4.7872000000000003</v>
      </c>
      <c r="I80" s="137">
        <f t="shared" si="13"/>
        <v>3.5076000000000001</v>
      </c>
      <c r="J80" s="234">
        <f t="shared" si="14"/>
        <v>0.99180000000000001</v>
      </c>
      <c r="K80" s="137">
        <f t="shared" si="5"/>
        <v>9.2866</v>
      </c>
      <c r="L80" s="230">
        <f t="shared" si="29"/>
        <v>0</v>
      </c>
      <c r="M80" s="124">
        <f t="shared" si="15"/>
        <v>1.2884300000000002</v>
      </c>
      <c r="N80" s="137">
        <f t="shared" si="27"/>
        <v>0</v>
      </c>
      <c r="O80" s="137">
        <f t="shared" si="16"/>
        <v>0</v>
      </c>
      <c r="P80" s="137">
        <f t="shared" si="28"/>
        <v>1.2884300000000002</v>
      </c>
      <c r="Q80" s="56">
        <f t="shared" si="6"/>
        <v>0</v>
      </c>
      <c r="R80" s="124">
        <f t="shared" si="23"/>
        <v>1.9728500000000002</v>
      </c>
      <c r="S80" s="137">
        <f t="shared" si="17"/>
        <v>0</v>
      </c>
      <c r="T80" s="137">
        <f t="shared" si="30"/>
        <v>1.9728500000000002</v>
      </c>
      <c r="U80" s="218">
        <f t="shared" si="7"/>
        <v>0</v>
      </c>
      <c r="V80" s="124">
        <f t="shared" si="18"/>
        <v>0.56699999999999995</v>
      </c>
      <c r="W80" s="125">
        <f t="shared" si="8"/>
        <v>0</v>
      </c>
      <c r="X80" s="137">
        <f t="shared" si="19"/>
        <v>1.8352000000000002</v>
      </c>
      <c r="Y80" s="220">
        <f t="shared" si="20"/>
        <v>0</v>
      </c>
      <c r="Z80" s="233">
        <f t="shared" si="21"/>
        <v>1.8352000000000002</v>
      </c>
      <c r="AA80" s="125">
        <f t="shared" si="9"/>
        <v>0</v>
      </c>
      <c r="AB80" s="4"/>
      <c r="AC80" s="4"/>
    </row>
    <row r="81" spans="1:29" x14ac:dyDescent="0.2">
      <c r="A81" s="485" t="s">
        <v>121</v>
      </c>
      <c r="B81" s="124">
        <f t="shared" si="10"/>
        <v>0</v>
      </c>
      <c r="C81" s="137">
        <f t="shared" si="11"/>
        <v>0</v>
      </c>
      <c r="D81" s="137">
        <f t="shared" si="24"/>
        <v>0</v>
      </c>
      <c r="E81" s="56">
        <f t="shared" si="25"/>
        <v>0</v>
      </c>
      <c r="F81" s="124">
        <f t="shared" si="26"/>
        <v>3.7715999999999998</v>
      </c>
      <c r="G81" s="125">
        <f t="shared" si="12"/>
        <v>230.37237244109372</v>
      </c>
      <c r="H81" s="124">
        <f t="shared" si="22"/>
        <v>1.0751999999999999</v>
      </c>
      <c r="I81" s="137">
        <f t="shared" si="13"/>
        <v>2.2515000000000001</v>
      </c>
      <c r="J81" s="234">
        <f t="shared" si="14"/>
        <v>0</v>
      </c>
      <c r="K81" s="137">
        <f t="shared" si="5"/>
        <v>3.3266999999999998</v>
      </c>
      <c r="L81" s="230">
        <f t="shared" si="29"/>
        <v>0</v>
      </c>
      <c r="M81" s="124">
        <f t="shared" si="15"/>
        <v>0.28938000000000003</v>
      </c>
      <c r="N81" s="137">
        <f t="shared" si="27"/>
        <v>0.23813999999999999</v>
      </c>
      <c r="O81" s="137">
        <f t="shared" si="16"/>
        <v>1.0655399999999999</v>
      </c>
      <c r="P81" s="137">
        <f t="shared" si="28"/>
        <v>1.5930599999999999</v>
      </c>
      <c r="Q81" s="56">
        <f t="shared" si="6"/>
        <v>0</v>
      </c>
      <c r="R81" s="124">
        <f t="shared" si="23"/>
        <v>0.44309999999999999</v>
      </c>
      <c r="S81" s="137">
        <f t="shared" si="17"/>
        <v>0.34615000000000001</v>
      </c>
      <c r="T81" s="137">
        <f t="shared" si="30"/>
        <v>0.78925000000000001</v>
      </c>
      <c r="U81" s="218">
        <f t="shared" si="7"/>
        <v>0</v>
      </c>
      <c r="V81" s="124">
        <f t="shared" si="18"/>
        <v>0</v>
      </c>
      <c r="W81" s="125">
        <f t="shared" si="8"/>
        <v>0</v>
      </c>
      <c r="X81" s="137">
        <f t="shared" si="19"/>
        <v>1.1779999999999999</v>
      </c>
      <c r="Y81" s="220">
        <f t="shared" si="20"/>
        <v>9.4822000000000006</v>
      </c>
      <c r="Z81" s="233">
        <f t="shared" si="21"/>
        <v>10.6602</v>
      </c>
      <c r="AA81" s="125">
        <f t="shared" si="9"/>
        <v>0</v>
      </c>
      <c r="AB81" s="4"/>
      <c r="AC81" s="4"/>
    </row>
    <row r="82" spans="1:29" x14ac:dyDescent="0.2">
      <c r="A82" s="485" t="s">
        <v>9</v>
      </c>
      <c r="B82" s="124">
        <f t="shared" si="10"/>
        <v>0</v>
      </c>
      <c r="C82" s="137">
        <f t="shared" si="11"/>
        <v>0</v>
      </c>
      <c r="D82" s="137">
        <f t="shared" si="24"/>
        <v>0</v>
      </c>
      <c r="E82" s="56">
        <f t="shared" si="25"/>
        <v>0</v>
      </c>
      <c r="F82" s="124">
        <f t="shared" si="26"/>
        <v>47.594000000000001</v>
      </c>
      <c r="G82" s="125">
        <f t="shared" si="12"/>
        <v>2907.0799379471355</v>
      </c>
      <c r="H82" s="124">
        <f t="shared" si="22"/>
        <v>13.568</v>
      </c>
      <c r="I82" s="137">
        <f t="shared" si="13"/>
        <v>72.972300000000004</v>
      </c>
      <c r="J82" s="234">
        <f t="shared" si="14"/>
        <v>0</v>
      </c>
      <c r="K82" s="137">
        <f t="shared" si="5"/>
        <v>86.540300000000002</v>
      </c>
      <c r="L82" s="230">
        <f t="shared" si="29"/>
        <v>0</v>
      </c>
      <c r="M82" s="124">
        <f t="shared" si="15"/>
        <v>3.6517000000000004</v>
      </c>
      <c r="N82" s="137">
        <f t="shared" si="27"/>
        <v>0</v>
      </c>
      <c r="O82" s="137">
        <f t="shared" si="16"/>
        <v>46.125239999999998</v>
      </c>
      <c r="P82" s="137">
        <f t="shared" si="28"/>
        <v>49.776939999999996</v>
      </c>
      <c r="Q82" s="56">
        <f t="shared" si="6"/>
        <v>0</v>
      </c>
      <c r="R82" s="124">
        <f t="shared" si="23"/>
        <v>5.5914999999999999</v>
      </c>
      <c r="S82" s="137">
        <f t="shared" si="17"/>
        <v>0</v>
      </c>
      <c r="T82" s="137">
        <f t="shared" si="30"/>
        <v>5.5914999999999999</v>
      </c>
      <c r="U82" s="218">
        <f t="shared" si="7"/>
        <v>0</v>
      </c>
      <c r="V82" s="124">
        <f t="shared" si="18"/>
        <v>0</v>
      </c>
      <c r="W82" s="125">
        <f t="shared" si="8"/>
        <v>0</v>
      </c>
      <c r="X82" s="137">
        <f t="shared" si="19"/>
        <v>38.179600000000001</v>
      </c>
      <c r="Y82" s="220">
        <f t="shared" si="20"/>
        <v>0</v>
      </c>
      <c r="Z82" s="233">
        <f t="shared" si="21"/>
        <v>38.179600000000001</v>
      </c>
      <c r="AA82" s="125">
        <f t="shared" si="9"/>
        <v>0</v>
      </c>
      <c r="AB82" s="4"/>
      <c r="AC82" s="4"/>
    </row>
    <row r="83" spans="1:29" x14ac:dyDescent="0.2">
      <c r="A83" s="485" t="s">
        <v>341</v>
      </c>
      <c r="B83" s="124">
        <f t="shared" si="10"/>
        <v>0</v>
      </c>
      <c r="C83" s="137">
        <f t="shared" si="11"/>
        <v>0</v>
      </c>
      <c r="D83" s="137">
        <f t="shared" si="24"/>
        <v>0</v>
      </c>
      <c r="E83" s="56">
        <f t="shared" si="25"/>
        <v>0</v>
      </c>
      <c r="F83" s="124">
        <f t="shared" si="26"/>
        <v>16.523199999999999</v>
      </c>
      <c r="G83" s="125">
        <f t="shared" si="12"/>
        <v>1009.2503935514583</v>
      </c>
      <c r="H83" s="124">
        <f t="shared" si="22"/>
        <v>4.7103999999999999</v>
      </c>
      <c r="I83" s="137">
        <f t="shared" si="13"/>
        <v>0</v>
      </c>
      <c r="J83" s="234">
        <f t="shared" si="14"/>
        <v>0</v>
      </c>
      <c r="K83" s="137">
        <f t="shared" si="5"/>
        <v>4.7103999999999999</v>
      </c>
      <c r="L83" s="230">
        <f t="shared" si="29"/>
        <v>0</v>
      </c>
      <c r="M83" s="124">
        <f t="shared" si="15"/>
        <v>1.26776</v>
      </c>
      <c r="N83" s="137">
        <f t="shared" si="27"/>
        <v>10.10394</v>
      </c>
      <c r="O83" s="137">
        <f t="shared" si="16"/>
        <v>0</v>
      </c>
      <c r="P83" s="137">
        <f t="shared" si="28"/>
        <v>11.371700000000001</v>
      </c>
      <c r="Q83" s="56">
        <f t="shared" si="6"/>
        <v>0</v>
      </c>
      <c r="R83" s="124">
        <f t="shared" si="23"/>
        <v>1.9412</v>
      </c>
      <c r="S83" s="137">
        <f t="shared" si="17"/>
        <v>14.68665</v>
      </c>
      <c r="T83" s="137">
        <f t="shared" si="30"/>
        <v>16.627849999999999</v>
      </c>
      <c r="U83" s="218">
        <f t="shared" si="7"/>
        <v>0</v>
      </c>
      <c r="V83" s="124">
        <f t="shared" si="18"/>
        <v>0</v>
      </c>
      <c r="W83" s="125">
        <f t="shared" si="8"/>
        <v>0</v>
      </c>
      <c r="X83" s="137">
        <f t="shared" si="19"/>
        <v>0</v>
      </c>
      <c r="Y83" s="220">
        <f t="shared" si="20"/>
        <v>9.0999999999999998E-2</v>
      </c>
      <c r="Z83" s="233">
        <f t="shared" si="21"/>
        <v>9.0999999999999998E-2</v>
      </c>
      <c r="AA83" s="125">
        <f t="shared" si="9"/>
        <v>0</v>
      </c>
      <c r="AB83" s="4"/>
      <c r="AC83" s="4"/>
    </row>
    <row r="84" spans="1:29" x14ac:dyDescent="0.2">
      <c r="A84" s="485" t="s">
        <v>15</v>
      </c>
      <c r="B84" s="124">
        <f t="shared" si="10"/>
        <v>0</v>
      </c>
      <c r="C84" s="137">
        <f t="shared" si="11"/>
        <v>0</v>
      </c>
      <c r="D84" s="137">
        <f t="shared" si="24"/>
        <v>0</v>
      </c>
      <c r="E84" s="56">
        <f t="shared" si="25"/>
        <v>0</v>
      </c>
      <c r="F84" s="124">
        <f t="shared" si="26"/>
        <v>37.5364</v>
      </c>
      <c r="G84" s="125">
        <f t="shared" si="12"/>
        <v>2292.7536114375521</v>
      </c>
      <c r="H84" s="124">
        <f t="shared" si="22"/>
        <v>10.700799999999999</v>
      </c>
      <c r="I84" s="137">
        <f t="shared" si="13"/>
        <v>0</v>
      </c>
      <c r="J84" s="234">
        <f t="shared" si="14"/>
        <v>14.9321</v>
      </c>
      <c r="K84" s="137">
        <f t="shared" si="5"/>
        <v>25.632899999999999</v>
      </c>
      <c r="L84" s="230">
        <f>K84*$L$63</f>
        <v>0</v>
      </c>
      <c r="M84" s="124">
        <f t="shared" si="15"/>
        <v>2.88002</v>
      </c>
      <c r="N84" s="137">
        <f t="shared" si="27"/>
        <v>3.5380799999999999</v>
      </c>
      <c r="O84" s="137">
        <f t="shared" si="16"/>
        <v>0.51471</v>
      </c>
      <c r="P84" s="137">
        <f t="shared" si="28"/>
        <v>6.9328099999999999</v>
      </c>
      <c r="Q84" s="56">
        <f t="shared" si="6"/>
        <v>0</v>
      </c>
      <c r="R84" s="124">
        <f t="shared" si="23"/>
        <v>4.4098999999999995</v>
      </c>
      <c r="S84" s="137">
        <f t="shared" si="17"/>
        <v>5.1427999999999994</v>
      </c>
      <c r="T84" s="137">
        <f t="shared" si="30"/>
        <v>9.552699999999998</v>
      </c>
      <c r="U84" s="218">
        <f t="shared" si="7"/>
        <v>0</v>
      </c>
      <c r="V84" s="124">
        <f t="shared" si="18"/>
        <v>8.5365000000000002</v>
      </c>
      <c r="W84" s="125">
        <f t="shared" si="8"/>
        <v>0</v>
      </c>
      <c r="X84" s="137">
        <f t="shared" si="19"/>
        <v>0</v>
      </c>
      <c r="Y84" s="220">
        <f t="shared" si="20"/>
        <v>0</v>
      </c>
      <c r="Z84" s="233">
        <f t="shared" si="21"/>
        <v>0</v>
      </c>
      <c r="AA84" s="125">
        <f t="shared" si="9"/>
        <v>0</v>
      </c>
      <c r="AB84" s="4"/>
      <c r="AC84" s="4"/>
    </row>
    <row r="85" spans="1:29" x14ac:dyDescent="0.2">
      <c r="A85" s="485" t="s">
        <v>321</v>
      </c>
      <c r="B85" s="124">
        <f t="shared" si="10"/>
        <v>0</v>
      </c>
      <c r="C85" s="137">
        <f t="shared" si="11"/>
        <v>0</v>
      </c>
      <c r="D85" s="137">
        <f>B85+C85</f>
        <v>0</v>
      </c>
      <c r="E85" s="56">
        <f>D85*$E$63</f>
        <v>0</v>
      </c>
      <c r="F85" s="124">
        <f t="shared" si="26"/>
        <v>40.050800000000002</v>
      </c>
      <c r="G85" s="125">
        <f>F85*$G$63</f>
        <v>2446.3351930649478</v>
      </c>
      <c r="H85" s="124">
        <f t="shared" si="22"/>
        <v>11.4176</v>
      </c>
      <c r="I85" s="137">
        <f t="shared" si="13"/>
        <v>38.8917</v>
      </c>
      <c r="J85" s="234">
        <f t="shared" si="14"/>
        <v>0</v>
      </c>
      <c r="K85" s="137">
        <f t="shared" si="5"/>
        <v>50.3093</v>
      </c>
      <c r="L85" s="230">
        <f>K85*$L$63</f>
        <v>0</v>
      </c>
      <c r="M85" s="124">
        <f t="shared" si="15"/>
        <v>3.0729400000000004</v>
      </c>
      <c r="N85" s="137">
        <f t="shared" si="27"/>
        <v>0</v>
      </c>
      <c r="O85" s="137">
        <f t="shared" si="16"/>
        <v>0</v>
      </c>
      <c r="P85" s="137">
        <f t="shared" si="28"/>
        <v>3.0729400000000004</v>
      </c>
      <c r="Q85" s="56">
        <f t="shared" si="6"/>
        <v>0</v>
      </c>
      <c r="R85" s="124">
        <f t="shared" si="23"/>
        <v>4.7053000000000003</v>
      </c>
      <c r="S85" s="137">
        <f t="shared" si="17"/>
        <v>0</v>
      </c>
      <c r="T85" s="137">
        <f>R85+S85</f>
        <v>4.7053000000000003</v>
      </c>
      <c r="U85" s="218">
        <f t="shared" si="7"/>
        <v>0</v>
      </c>
      <c r="V85" s="124">
        <f t="shared" si="18"/>
        <v>0</v>
      </c>
      <c r="W85" s="125">
        <f t="shared" si="8"/>
        <v>0</v>
      </c>
      <c r="X85" s="137">
        <f t="shared" si="19"/>
        <v>20.348399999999998</v>
      </c>
      <c r="Y85" s="220">
        <f t="shared" si="20"/>
        <v>0</v>
      </c>
      <c r="Z85" s="233">
        <f t="shared" si="21"/>
        <v>20.348399999999998</v>
      </c>
      <c r="AA85" s="125">
        <f t="shared" si="9"/>
        <v>0</v>
      </c>
      <c r="AB85" s="4"/>
      <c r="AC85" s="4"/>
    </row>
    <row r="86" spans="1:29" x14ac:dyDescent="0.2">
      <c r="A86" s="485" t="s">
        <v>320</v>
      </c>
      <c r="B86" s="124">
        <f t="shared" si="10"/>
        <v>0</v>
      </c>
      <c r="C86" s="137">
        <f t="shared" si="11"/>
        <v>0</v>
      </c>
      <c r="D86" s="137">
        <f t="shared" si="24"/>
        <v>0</v>
      </c>
      <c r="E86" s="56">
        <f t="shared" si="25"/>
        <v>0</v>
      </c>
      <c r="F86" s="124">
        <f t="shared" si="26"/>
        <v>55.855599999999995</v>
      </c>
      <c r="G86" s="125">
        <f t="shared" si="12"/>
        <v>3411.7051347228639</v>
      </c>
      <c r="H86" s="124">
        <f t="shared" si="22"/>
        <v>15.9232</v>
      </c>
      <c r="I86" s="137">
        <f t="shared" si="13"/>
        <v>33.3459</v>
      </c>
      <c r="J86" s="234">
        <f t="shared" si="14"/>
        <v>0</v>
      </c>
      <c r="K86" s="137">
        <f t="shared" si="5"/>
        <v>49.269100000000002</v>
      </c>
      <c r="L86" s="230">
        <f>K86*$L$63</f>
        <v>0</v>
      </c>
      <c r="M86" s="124">
        <f t="shared" si="15"/>
        <v>4.2855800000000004</v>
      </c>
      <c r="N86" s="137">
        <f t="shared" si="27"/>
        <v>238.68431999999999</v>
      </c>
      <c r="O86" s="137">
        <f t="shared" si="16"/>
        <v>28.408379999999998</v>
      </c>
      <c r="P86" s="137">
        <f t="shared" si="28"/>
        <v>271.37828000000002</v>
      </c>
      <c r="Q86" s="56">
        <f t="shared" si="6"/>
        <v>0</v>
      </c>
      <c r="R86" s="124">
        <f t="shared" si="23"/>
        <v>6.5621</v>
      </c>
      <c r="S86" s="137">
        <f t="shared" si="17"/>
        <v>346.94119999999998</v>
      </c>
      <c r="T86" s="137">
        <f t="shared" si="30"/>
        <v>353.50329999999997</v>
      </c>
      <c r="U86" s="218">
        <f t="shared" si="7"/>
        <v>0</v>
      </c>
      <c r="V86" s="124">
        <f t="shared" si="18"/>
        <v>0</v>
      </c>
      <c r="W86" s="125">
        <f t="shared" si="8"/>
        <v>0</v>
      </c>
      <c r="X86" s="137">
        <f t="shared" si="19"/>
        <v>17.4468</v>
      </c>
      <c r="Y86" s="220">
        <f t="shared" si="20"/>
        <v>0</v>
      </c>
      <c r="Z86" s="233">
        <f t="shared" si="21"/>
        <v>17.4468</v>
      </c>
      <c r="AA86" s="125">
        <f t="shared" si="9"/>
        <v>0</v>
      </c>
      <c r="AB86" s="4"/>
      <c r="AC86" s="4"/>
    </row>
    <row r="87" spans="1:29" x14ac:dyDescent="0.2">
      <c r="A87" s="485" t="s">
        <v>342</v>
      </c>
      <c r="B87" s="124">
        <f t="shared" si="10"/>
        <v>0</v>
      </c>
      <c r="C87" s="137">
        <f t="shared" si="11"/>
        <v>0</v>
      </c>
      <c r="D87" s="137">
        <f t="shared" si="24"/>
        <v>0</v>
      </c>
      <c r="E87" s="56">
        <f t="shared" si="25"/>
        <v>0</v>
      </c>
      <c r="F87" s="124">
        <f t="shared" si="26"/>
        <v>2.2450000000000001</v>
      </c>
      <c r="G87" s="125">
        <f t="shared" si="12"/>
        <v>137.12641216731771</v>
      </c>
      <c r="H87" s="124">
        <f t="shared" si="22"/>
        <v>0.64</v>
      </c>
      <c r="I87" s="137">
        <f t="shared" si="13"/>
        <v>1.2323999999999999</v>
      </c>
      <c r="J87" s="234">
        <f t="shared" si="14"/>
        <v>0</v>
      </c>
      <c r="K87" s="137">
        <f t="shared" si="5"/>
        <v>1.8723999999999998</v>
      </c>
      <c r="L87" s="230">
        <f>K87*$L$63</f>
        <v>0</v>
      </c>
      <c r="M87" s="124">
        <f t="shared" si="15"/>
        <v>0.17225000000000001</v>
      </c>
      <c r="N87" s="137">
        <f t="shared" si="27"/>
        <v>9.4575599999999991</v>
      </c>
      <c r="O87" s="137">
        <f t="shared" si="16"/>
        <v>1.1287499999999999</v>
      </c>
      <c r="P87" s="137">
        <f t="shared" si="28"/>
        <v>10.758559999999999</v>
      </c>
      <c r="Q87" s="56">
        <f t="shared" si="6"/>
        <v>0</v>
      </c>
      <c r="R87" s="124">
        <f t="shared" si="23"/>
        <v>0.26374999999999998</v>
      </c>
      <c r="S87" s="137">
        <f t="shared" si="17"/>
        <v>13.7471</v>
      </c>
      <c r="T87" s="137">
        <f t="shared" si="30"/>
        <v>14.01085</v>
      </c>
      <c r="U87" s="218">
        <f t="shared" si="7"/>
        <v>0</v>
      </c>
      <c r="V87" s="124">
        <f t="shared" si="18"/>
        <v>0</v>
      </c>
      <c r="W87" s="125">
        <f t="shared" si="8"/>
        <v>0</v>
      </c>
      <c r="X87" s="137">
        <f t="shared" si="19"/>
        <v>0.64479999999999993</v>
      </c>
      <c r="Y87" s="220">
        <f t="shared" si="20"/>
        <v>0</v>
      </c>
      <c r="Z87" s="233">
        <f t="shared" si="21"/>
        <v>0.64479999999999993</v>
      </c>
      <c r="AA87" s="125">
        <f t="shared" si="9"/>
        <v>0</v>
      </c>
      <c r="AB87" s="4"/>
      <c r="AC87" s="4"/>
    </row>
    <row r="88" spans="1:29" ht="13.5" thickBot="1" x14ac:dyDescent="0.25">
      <c r="A88" s="485" t="s">
        <v>343</v>
      </c>
      <c r="B88" s="124">
        <f t="shared" si="10"/>
        <v>0</v>
      </c>
      <c r="C88" s="137">
        <f t="shared" si="11"/>
        <v>0</v>
      </c>
      <c r="D88" s="137">
        <f>B88+C88</f>
        <v>0</v>
      </c>
      <c r="E88" s="56">
        <f>D88*$E$63</f>
        <v>0</v>
      </c>
      <c r="F88" s="124">
        <f t="shared" si="26"/>
        <v>1.796</v>
      </c>
      <c r="G88" s="125">
        <f t="shared" si="12"/>
        <v>109.70112973385416</v>
      </c>
      <c r="H88" s="124">
        <f t="shared" si="22"/>
        <v>0.51200000000000001</v>
      </c>
      <c r="I88" s="137">
        <f t="shared" si="13"/>
        <v>0.68729999999999991</v>
      </c>
      <c r="J88" s="234">
        <f t="shared" si="14"/>
        <v>0</v>
      </c>
      <c r="K88" s="137">
        <f t="shared" si="5"/>
        <v>1.1993</v>
      </c>
      <c r="L88" s="230">
        <f>K88*$L$63</f>
        <v>0</v>
      </c>
      <c r="M88" s="124">
        <f t="shared" si="15"/>
        <v>0.13780000000000001</v>
      </c>
      <c r="N88" s="137">
        <f t="shared" si="27"/>
        <v>7.1782199999999996</v>
      </c>
      <c r="O88" s="137">
        <f t="shared" si="16"/>
        <v>0.76755000000000007</v>
      </c>
      <c r="P88" s="137">
        <f t="shared" si="28"/>
        <v>8.0835699999999999</v>
      </c>
      <c r="Q88" s="56">
        <f t="shared" si="6"/>
        <v>0</v>
      </c>
      <c r="R88" s="124">
        <f t="shared" si="23"/>
        <v>0.21099999999999999</v>
      </c>
      <c r="S88" s="137">
        <f t="shared" si="17"/>
        <v>10.433950000000001</v>
      </c>
      <c r="T88" s="137">
        <f>R88+S88</f>
        <v>10.644950000000001</v>
      </c>
      <c r="U88" s="218">
        <f t="shared" si="7"/>
        <v>0</v>
      </c>
      <c r="V88" s="124">
        <f t="shared" si="18"/>
        <v>0</v>
      </c>
      <c r="W88" s="125">
        <f t="shared" si="8"/>
        <v>0</v>
      </c>
      <c r="X88" s="137">
        <f t="shared" si="19"/>
        <v>0.35959999999999998</v>
      </c>
      <c r="Y88" s="220">
        <f t="shared" si="20"/>
        <v>0</v>
      </c>
      <c r="Z88" s="233">
        <f t="shared" si="21"/>
        <v>0.35959999999999998</v>
      </c>
      <c r="AA88" s="125">
        <f t="shared" si="9"/>
        <v>0</v>
      </c>
      <c r="AB88" s="4"/>
      <c r="AC88" s="4"/>
    </row>
    <row r="89" spans="1:29" ht="13.5" thickBot="1" x14ac:dyDescent="0.25">
      <c r="A89" s="127" t="s">
        <v>51</v>
      </c>
      <c r="B89" s="138">
        <f>SUM(B65:B88)</f>
        <v>0</v>
      </c>
      <c r="C89" s="139">
        <f t="shared" ref="C89:Z89" si="31">SUM(C65:C88)</f>
        <v>0</v>
      </c>
      <c r="D89" s="139">
        <f>SUM(D65:D88)</f>
        <v>0</v>
      </c>
      <c r="E89" s="140">
        <f t="shared" si="31"/>
        <v>0</v>
      </c>
      <c r="F89" s="138">
        <f t="shared" si="31"/>
        <v>898.00000000000011</v>
      </c>
      <c r="G89" s="140">
        <f t="shared" si="31"/>
        <v>54850.564866927089</v>
      </c>
      <c r="H89" s="138">
        <f>SUM(H65:H88)</f>
        <v>255.99999999999997</v>
      </c>
      <c r="I89" s="139">
        <f t="shared" si="31"/>
        <v>237</v>
      </c>
      <c r="J89" s="235">
        <f>SUM(J65:J88)</f>
        <v>551</v>
      </c>
      <c r="K89" s="139">
        <f>SUM(K65:K88)</f>
        <v>1044</v>
      </c>
      <c r="L89" s="231">
        <f>SUM(L65:L88)</f>
        <v>0</v>
      </c>
      <c r="M89" s="138">
        <f>SUM(M65:M88)</f>
        <v>68.900000000000006</v>
      </c>
      <c r="N89" s="139">
        <f t="shared" si="31"/>
        <v>340.2</v>
      </c>
      <c r="O89" s="139">
        <f t="shared" si="31"/>
        <v>90.3</v>
      </c>
      <c r="P89" s="139">
        <f>SUM(P65:P88)</f>
        <v>499.4</v>
      </c>
      <c r="Q89" s="140">
        <f t="shared" si="31"/>
        <v>0</v>
      </c>
      <c r="R89" s="138">
        <f t="shared" si="31"/>
        <v>105.49999999999999</v>
      </c>
      <c r="S89" s="139">
        <f t="shared" si="31"/>
        <v>494.49999999999994</v>
      </c>
      <c r="T89" s="139">
        <f t="shared" si="31"/>
        <v>600</v>
      </c>
      <c r="U89" s="219">
        <f t="shared" si="31"/>
        <v>0</v>
      </c>
      <c r="V89" s="138">
        <f t="shared" si="31"/>
        <v>315</v>
      </c>
      <c r="W89" s="140">
        <f>SUM(W65:W88)</f>
        <v>0</v>
      </c>
      <c r="X89" s="138">
        <f t="shared" si="31"/>
        <v>124</v>
      </c>
      <c r="Y89" s="221">
        <f>SUM(Y65:Y88)</f>
        <v>182.00000000000003</v>
      </c>
      <c r="Z89" s="139">
        <f t="shared" si="31"/>
        <v>306</v>
      </c>
      <c r="AA89" s="140">
        <f>SUM(AA65:AA88)</f>
        <v>0</v>
      </c>
      <c r="AB89" s="4"/>
      <c r="AC89" s="4"/>
    </row>
    <row r="90" spans="1:29" x14ac:dyDescent="0.2">
      <c r="A90" s="141" t="s">
        <v>74</v>
      </c>
      <c r="B90" s="41"/>
      <c r="C90" s="41"/>
      <c r="D90" s="41"/>
      <c r="E90" s="38"/>
      <c r="F90" s="41"/>
      <c r="G90" s="38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4"/>
      <c r="Y90" s="4"/>
    </row>
    <row r="91" spans="1:29" x14ac:dyDescent="0.2">
      <c r="A91" s="123" t="s">
        <v>79</v>
      </c>
      <c r="B91" s="151"/>
      <c r="C91" s="151"/>
      <c r="D91" s="42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4"/>
      <c r="Y91" s="4"/>
    </row>
    <row r="92" spans="1:29" x14ac:dyDescent="0.2">
      <c r="A92" s="123" t="s">
        <v>82</v>
      </c>
      <c r="B92" s="151"/>
      <c r="C92" s="151"/>
      <c r="D92" s="4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4"/>
      <c r="Y92" s="4"/>
    </row>
    <row r="93" spans="1:29" ht="13.5" thickBot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9" ht="16.5" thickBot="1" x14ac:dyDescent="0.3">
      <c r="A94" s="162" t="s">
        <v>66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9" ht="76.5" x14ac:dyDescent="0.2">
      <c r="A95" s="142" t="s">
        <v>3</v>
      </c>
      <c r="B95" s="115" t="s">
        <v>83</v>
      </c>
      <c r="C95" s="116" t="s">
        <v>115</v>
      </c>
      <c r="D95" s="31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9" x14ac:dyDescent="0.2">
      <c r="A96" s="52" t="s">
        <v>29</v>
      </c>
      <c r="B96" s="55">
        <f>C26*E63</f>
        <v>0</v>
      </c>
      <c r="C96" s="56">
        <f>(C13+C20)*E63</f>
        <v>0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x14ac:dyDescent="0.2">
      <c r="A97" s="52" t="s">
        <v>36</v>
      </c>
      <c r="B97" s="55">
        <f>D26*G63</f>
        <v>0</v>
      </c>
      <c r="C97" s="56">
        <f>(D13+D20)*G63</f>
        <v>54850.564866927081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x14ac:dyDescent="0.2">
      <c r="A98" s="52" t="s">
        <v>5</v>
      </c>
      <c r="B98" s="55">
        <f>E26*L63</f>
        <v>0</v>
      </c>
      <c r="C98" s="56">
        <f>(E13+E20)*J63</f>
        <v>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x14ac:dyDescent="0.2">
      <c r="A99" s="143" t="s">
        <v>8</v>
      </c>
      <c r="B99" s="55">
        <f>F26*Q63</f>
        <v>0</v>
      </c>
      <c r="C99" s="56">
        <f>(F13+F20)*Q63</f>
        <v>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x14ac:dyDescent="0.2">
      <c r="A100" s="143" t="s">
        <v>37</v>
      </c>
      <c r="B100" s="55">
        <f>G26*U63</f>
        <v>0</v>
      </c>
      <c r="C100" s="56">
        <f>(G13+G20)*U63</f>
        <v>0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x14ac:dyDescent="0.2">
      <c r="A101" s="143" t="s">
        <v>38</v>
      </c>
      <c r="B101" s="144">
        <f>I26*AC63</f>
        <v>0</v>
      </c>
      <c r="C101" s="56">
        <f>(I13+I20)*AC63</f>
        <v>0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x14ac:dyDescent="0.2">
      <c r="A102" s="143" t="s">
        <v>15</v>
      </c>
      <c r="B102" s="144">
        <f>J26*W63</f>
        <v>0</v>
      </c>
      <c r="C102" s="56">
        <f>(J13+J20)*W63</f>
        <v>0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x14ac:dyDescent="0.2">
      <c r="A103" s="143" t="s">
        <v>11</v>
      </c>
      <c r="B103" s="144">
        <f>K26*AA63</f>
        <v>0</v>
      </c>
      <c r="C103" s="145">
        <f>(K13+K20)*AA63</f>
        <v>0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ht="13.5" thickBot="1" x14ac:dyDescent="0.25">
      <c r="A104" s="126" t="s">
        <v>51</v>
      </c>
      <c r="B104" s="146">
        <f>SUM(B96:B103)</f>
        <v>0</v>
      </c>
      <c r="C104" s="62">
        <f>SUM(C96:C103)</f>
        <v>54850.564866927081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</sheetData>
  <mergeCells count="18">
    <mergeCell ref="A3:A4"/>
    <mergeCell ref="A29:K29"/>
    <mergeCell ref="A59:G59"/>
    <mergeCell ref="A61:A63"/>
    <mergeCell ref="B62:E62"/>
    <mergeCell ref="F62:G62"/>
    <mergeCell ref="H62:L62"/>
    <mergeCell ref="B63:D63"/>
    <mergeCell ref="H63:K63"/>
    <mergeCell ref="M63:P63"/>
    <mergeCell ref="R63:T63"/>
    <mergeCell ref="X63:Z63"/>
    <mergeCell ref="AB64:AC64"/>
    <mergeCell ref="M62:Q62"/>
    <mergeCell ref="R62:U62"/>
    <mergeCell ref="V62:W62"/>
    <mergeCell ref="X62:AA62"/>
    <mergeCell ref="AB62:AC62"/>
  </mergeCells>
  <pageMargins left="0.7" right="0.7" top="0.75" bottom="0.75" header="0.3" footer="0.3"/>
  <pageSetup paperSize="17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4"/>
  <sheetViews>
    <sheetView workbookViewId="0"/>
  </sheetViews>
  <sheetFormatPr defaultRowHeight="12.75" x14ac:dyDescent="0.2"/>
  <cols>
    <col min="1" max="14" width="15.7109375" customWidth="1"/>
  </cols>
  <sheetData>
    <row r="1" spans="1:19" ht="18.75" x14ac:dyDescent="0.3">
      <c r="A1" s="432" t="s">
        <v>349</v>
      </c>
      <c r="B1" s="432"/>
      <c r="C1" s="432"/>
      <c r="D1" s="432"/>
      <c r="E1" s="432"/>
      <c r="F1" s="432"/>
      <c r="G1" s="432"/>
      <c r="H1" s="165"/>
      <c r="I1" s="165"/>
      <c r="J1" s="165"/>
      <c r="K1" s="165"/>
      <c r="L1" s="165"/>
      <c r="M1" s="165"/>
      <c r="N1" s="23"/>
    </row>
    <row r="2" spans="1:19" s="23" customFormat="1" ht="12.75" customHeight="1" x14ac:dyDescent="0.2">
      <c r="A2" s="34"/>
      <c r="O2" s="397"/>
      <c r="P2" s="397"/>
      <c r="Q2" s="397"/>
      <c r="R2" s="397"/>
      <c r="S2" s="397"/>
    </row>
    <row r="3" spans="1:19" ht="12.75" customHeight="1" x14ac:dyDescent="0.2">
      <c r="A3" s="398" t="s">
        <v>59</v>
      </c>
      <c r="B3" s="399"/>
      <c r="C3" s="399"/>
      <c r="D3" s="399"/>
      <c r="E3" s="399"/>
      <c r="F3" s="152"/>
      <c r="G3" s="152"/>
      <c r="H3" s="152"/>
      <c r="I3" s="152"/>
      <c r="J3" s="152"/>
      <c r="K3" s="152"/>
      <c r="L3" s="152"/>
      <c r="M3" s="152"/>
      <c r="N3" s="23"/>
    </row>
    <row r="4" spans="1:19" ht="12.75" customHeight="1" x14ac:dyDescent="0.2">
      <c r="A4" s="530" t="s">
        <v>3</v>
      </c>
      <c r="B4" s="536" t="s">
        <v>123</v>
      </c>
      <c r="C4" s="537"/>
      <c r="D4" s="537"/>
      <c r="E4" s="538" t="s">
        <v>298</v>
      </c>
      <c r="F4" s="538"/>
      <c r="G4" s="538"/>
      <c r="H4" s="531" t="s">
        <v>345</v>
      </c>
      <c r="I4" s="531"/>
      <c r="J4" s="531"/>
      <c r="K4" s="530" t="s">
        <v>3</v>
      </c>
      <c r="L4" s="25"/>
      <c r="M4" s="25"/>
      <c r="N4" s="25"/>
      <c r="O4" s="407"/>
      <c r="P4" s="407"/>
    </row>
    <row r="5" spans="1:19" ht="12.75" customHeight="1" x14ac:dyDescent="0.2">
      <c r="A5" s="530"/>
      <c r="B5" s="536" t="s">
        <v>299</v>
      </c>
      <c r="C5" s="537"/>
      <c r="D5" s="537"/>
      <c r="E5" s="538" t="s">
        <v>299</v>
      </c>
      <c r="F5" s="538"/>
      <c r="G5" s="538"/>
      <c r="H5" s="531" t="s">
        <v>299</v>
      </c>
      <c r="I5" s="531"/>
      <c r="J5" s="531"/>
      <c r="K5" s="530"/>
      <c r="L5" s="25"/>
      <c r="M5" s="25"/>
      <c r="N5" s="25"/>
      <c r="O5" s="407"/>
      <c r="P5" s="407"/>
    </row>
    <row r="6" spans="1:19" ht="24.95" customHeight="1" x14ac:dyDescent="0.2">
      <c r="A6" s="530"/>
      <c r="B6" s="497" t="s">
        <v>176</v>
      </c>
      <c r="C6" s="414" t="s">
        <v>181</v>
      </c>
      <c r="D6" s="414" t="s">
        <v>225</v>
      </c>
      <c r="E6" s="423" t="s">
        <v>176</v>
      </c>
      <c r="F6" s="423" t="s">
        <v>181</v>
      </c>
      <c r="G6" s="423" t="s">
        <v>225</v>
      </c>
      <c r="H6" s="504" t="s">
        <v>176</v>
      </c>
      <c r="I6" s="504" t="s">
        <v>181</v>
      </c>
      <c r="J6" s="504" t="s">
        <v>225</v>
      </c>
      <c r="K6" s="530"/>
      <c r="L6" s="331"/>
      <c r="M6" s="331"/>
      <c r="N6" s="331"/>
      <c r="O6" s="331"/>
      <c r="P6" s="331"/>
    </row>
    <row r="7" spans="1:19" ht="12.75" customHeight="1" x14ac:dyDescent="0.2">
      <c r="A7" s="467" t="s">
        <v>6</v>
      </c>
      <c r="B7" s="498">
        <f>'BRA Resource Clearing Results'!D5</f>
        <v>164.77</v>
      </c>
      <c r="C7" s="415">
        <f>'BRA Resource Clearing Results'!F5</f>
        <v>149.98000000000002</v>
      </c>
      <c r="D7" s="415">
        <f>'BRA Resource Clearing Results'!H5</f>
        <v>149.98000000000002</v>
      </c>
      <c r="E7" s="424">
        <f>'1stIA Resource Clearing Results'!D5</f>
        <v>27.15</v>
      </c>
      <c r="F7" s="424">
        <f>'1stIA Resource Clearing Results'!F5</f>
        <v>22.509999999999998</v>
      </c>
      <c r="G7" s="424">
        <f>'1stIA Resource Clearing Results'!H5</f>
        <v>22.509999999999998</v>
      </c>
      <c r="H7" s="505">
        <f>'2ndIA Resource Clearing Results'!D5</f>
        <v>50</v>
      </c>
      <c r="I7" s="505">
        <f>'2ndIA Resource Clearing Results'!F5</f>
        <v>5</v>
      </c>
      <c r="J7" s="505">
        <f>'2ndIA Resource Clearing Results'!H5</f>
        <v>5</v>
      </c>
      <c r="K7" s="467" t="s">
        <v>6</v>
      </c>
      <c r="L7" s="408"/>
      <c r="M7" s="408"/>
      <c r="N7" s="25"/>
      <c r="O7" s="407"/>
      <c r="P7" s="407"/>
    </row>
    <row r="8" spans="1:19" ht="12.75" customHeight="1" x14ac:dyDescent="0.2">
      <c r="A8" s="467" t="s">
        <v>29</v>
      </c>
      <c r="B8" s="498">
        <f>'BRA Resource Clearing Results'!D6</f>
        <v>164.77</v>
      </c>
      <c r="C8" s="415">
        <f>'BRA Resource Clearing Results'!F6</f>
        <v>149.98000000000002</v>
      </c>
      <c r="D8" s="415">
        <f>'BRA Resource Clearing Results'!H6</f>
        <v>149.98000000000002</v>
      </c>
      <c r="E8" s="424">
        <f>'1stIA Resource Clearing Results'!D6</f>
        <v>27.15</v>
      </c>
      <c r="F8" s="424">
        <f>'1stIA Resource Clearing Results'!F6</f>
        <v>22.509999999999998</v>
      </c>
      <c r="G8" s="424">
        <f>'1stIA Resource Clearing Results'!H6</f>
        <v>22.509999999999998</v>
      </c>
      <c r="H8" s="505">
        <f>'2ndIA Resource Clearing Results'!D6</f>
        <v>50</v>
      </c>
      <c r="I8" s="505">
        <f>'2ndIA Resource Clearing Results'!F6</f>
        <v>5</v>
      </c>
      <c r="J8" s="505">
        <f>'2ndIA Resource Clearing Results'!H6</f>
        <v>5</v>
      </c>
      <c r="K8" s="467" t="s">
        <v>29</v>
      </c>
      <c r="L8" s="25"/>
      <c r="M8" s="25"/>
      <c r="N8" s="25"/>
      <c r="O8" s="407"/>
      <c r="P8" s="407"/>
    </row>
    <row r="9" spans="1:19" ht="12.75" customHeight="1" x14ac:dyDescent="0.2">
      <c r="A9" s="467" t="s">
        <v>36</v>
      </c>
      <c r="B9" s="498">
        <f>'BRA Resource Clearing Results'!D7</f>
        <v>225.42000000000002</v>
      </c>
      <c r="C9" s="415">
        <f>'BRA Resource Clearing Results'!F7</f>
        <v>210.63000000000002</v>
      </c>
      <c r="D9" s="415">
        <f>'BRA Resource Clearing Results'!H7</f>
        <v>210.63000000000002</v>
      </c>
      <c r="E9" s="424">
        <f>'1stIA Resource Clearing Results'!D7</f>
        <v>84.68</v>
      </c>
      <c r="F9" s="424">
        <f>'1stIA Resource Clearing Results'!F7</f>
        <v>80.040000000000006</v>
      </c>
      <c r="G9" s="424">
        <f>'1stIA Resource Clearing Results'!H7</f>
        <v>80.040000000000006</v>
      </c>
      <c r="H9" s="505">
        <f>'2ndIA Resource Clearing Results'!D7</f>
        <v>80.02</v>
      </c>
      <c r="I9" s="505">
        <f>'2ndIA Resource Clearing Results'!F7</f>
        <v>35.019999999999996</v>
      </c>
      <c r="J9" s="505">
        <f>'2ndIA Resource Clearing Results'!H7</f>
        <v>35.019999999999996</v>
      </c>
      <c r="K9" s="467" t="s">
        <v>36</v>
      </c>
      <c r="L9" s="25"/>
      <c r="M9" s="25"/>
      <c r="N9" s="25"/>
      <c r="O9" s="407"/>
      <c r="P9" s="407"/>
    </row>
    <row r="10" spans="1:19" ht="12.75" customHeight="1" x14ac:dyDescent="0.2">
      <c r="A10" s="467" t="s">
        <v>5</v>
      </c>
      <c r="B10" s="498">
        <f>'BRA Resource Clearing Results'!D8</f>
        <v>164.77</v>
      </c>
      <c r="C10" s="415">
        <f>'BRA Resource Clearing Results'!F8</f>
        <v>149.98000000000002</v>
      </c>
      <c r="D10" s="415">
        <f>'BRA Resource Clearing Results'!H8</f>
        <v>59.950000000000017</v>
      </c>
      <c r="E10" s="424">
        <f>'1stIA Resource Clearing Results'!D8</f>
        <v>27.15</v>
      </c>
      <c r="F10" s="424">
        <f>'1stIA Resource Clearing Results'!F8</f>
        <v>22.509999999999998</v>
      </c>
      <c r="G10" s="424">
        <f>'1stIA Resource Clearing Results'!H8</f>
        <v>22.509999999999998</v>
      </c>
      <c r="H10" s="505">
        <f>'2ndIA Resource Clearing Results'!D8</f>
        <v>50</v>
      </c>
      <c r="I10" s="505">
        <f>'2ndIA Resource Clearing Results'!F8</f>
        <v>5</v>
      </c>
      <c r="J10" s="505">
        <f>'2ndIA Resource Clearing Results'!H8</f>
        <v>5</v>
      </c>
      <c r="K10" s="467" t="s">
        <v>5</v>
      </c>
      <c r="L10" s="25"/>
      <c r="M10" s="25"/>
      <c r="N10" s="25"/>
      <c r="O10" s="407"/>
      <c r="P10" s="407"/>
    </row>
    <row r="11" spans="1:19" ht="12.75" customHeight="1" x14ac:dyDescent="0.2">
      <c r="A11" s="467" t="s">
        <v>8</v>
      </c>
      <c r="B11" s="498">
        <f>'BRA Resource Clearing Results'!D9</f>
        <v>225.42000000000002</v>
      </c>
      <c r="C11" s="415">
        <f>'BRA Resource Clearing Results'!F9</f>
        <v>210.63000000000002</v>
      </c>
      <c r="D11" s="415">
        <f>'BRA Resource Clearing Results'!H9</f>
        <v>210.63000000000002</v>
      </c>
      <c r="E11" s="424">
        <f>'1stIA Resource Clearing Results'!D9</f>
        <v>84.68</v>
      </c>
      <c r="F11" s="424">
        <f>'1stIA Resource Clearing Results'!F9</f>
        <v>80.040000000000006</v>
      </c>
      <c r="G11" s="424">
        <f>'1stIA Resource Clearing Results'!H9</f>
        <v>80.040000000000006</v>
      </c>
      <c r="H11" s="505">
        <f>'2ndIA Resource Clearing Results'!D9</f>
        <v>80.02</v>
      </c>
      <c r="I11" s="505">
        <f>'2ndIA Resource Clearing Results'!F9</f>
        <v>35.019999999999996</v>
      </c>
      <c r="J11" s="505">
        <f>'2ndIA Resource Clearing Results'!H9</f>
        <v>35.019999999999996</v>
      </c>
      <c r="K11" s="467" t="s">
        <v>8</v>
      </c>
      <c r="L11" s="25"/>
      <c r="M11" s="25"/>
      <c r="N11" s="25"/>
      <c r="O11" s="407"/>
      <c r="P11" s="407"/>
    </row>
    <row r="12" spans="1:19" ht="12.75" customHeight="1" x14ac:dyDescent="0.2">
      <c r="A12" s="467" t="s">
        <v>37</v>
      </c>
      <c r="B12" s="498">
        <f>'BRA Resource Clearing Results'!D10</f>
        <v>225.42000000000002</v>
      </c>
      <c r="C12" s="415">
        <f>'BRA Resource Clearing Results'!F10</f>
        <v>210.63000000000002</v>
      </c>
      <c r="D12" s="415">
        <f>'BRA Resource Clearing Results'!H10</f>
        <v>210.63000000000002</v>
      </c>
      <c r="E12" s="424">
        <f>'1stIA Resource Clearing Results'!D10</f>
        <v>84.68</v>
      </c>
      <c r="F12" s="424">
        <f>'1stIA Resource Clearing Results'!F10</f>
        <v>80.040000000000006</v>
      </c>
      <c r="G12" s="424">
        <f>'1stIA Resource Clearing Results'!H10</f>
        <v>80.040000000000006</v>
      </c>
      <c r="H12" s="505">
        <f>'2ndIA Resource Clearing Results'!D10</f>
        <v>80.02</v>
      </c>
      <c r="I12" s="505">
        <f>'2ndIA Resource Clearing Results'!F10</f>
        <v>35.019999999999996</v>
      </c>
      <c r="J12" s="505">
        <f>'2ndIA Resource Clearing Results'!H10</f>
        <v>35.019999999999996</v>
      </c>
      <c r="K12" s="467" t="s">
        <v>37</v>
      </c>
      <c r="L12" s="25"/>
      <c r="M12" s="25"/>
      <c r="N12" s="25"/>
      <c r="O12" s="407"/>
      <c r="P12" s="407"/>
    </row>
    <row r="13" spans="1:19" ht="12.75" customHeight="1" x14ac:dyDescent="0.2">
      <c r="A13" s="467" t="s">
        <v>38</v>
      </c>
      <c r="B13" s="498">
        <f>'BRA Resource Clearing Results'!D11</f>
        <v>225.42000000000002</v>
      </c>
      <c r="C13" s="415">
        <f>'BRA Resource Clearing Results'!F11</f>
        <v>210.63000000000002</v>
      </c>
      <c r="D13" s="415">
        <f>'BRA Resource Clearing Results'!H11</f>
        <v>210.63000000000002</v>
      </c>
      <c r="E13" s="424">
        <f>'1stIA Resource Clearing Results'!D11</f>
        <v>84.68</v>
      </c>
      <c r="F13" s="424">
        <f>'1stIA Resource Clearing Results'!F11</f>
        <v>35.680000000000007</v>
      </c>
      <c r="G13" s="424">
        <f>'1stIA Resource Clearing Results'!H11</f>
        <v>35.680000000000007</v>
      </c>
      <c r="H13" s="505">
        <f>'2ndIA Resource Clearing Results'!D11</f>
        <v>80.02</v>
      </c>
      <c r="I13" s="505">
        <f>'2ndIA Resource Clearing Results'!F11</f>
        <v>29.999999999999993</v>
      </c>
      <c r="J13" s="505">
        <f>'2ndIA Resource Clearing Results'!H11</f>
        <v>29.999999999999993</v>
      </c>
      <c r="K13" s="467" t="s">
        <v>38</v>
      </c>
      <c r="L13" s="25"/>
      <c r="M13" s="25"/>
      <c r="N13" s="25"/>
      <c r="O13" s="407"/>
      <c r="P13" s="407"/>
    </row>
    <row r="14" spans="1:19" ht="12.75" customHeight="1" x14ac:dyDescent="0.2">
      <c r="A14" s="467" t="s">
        <v>15</v>
      </c>
      <c r="B14" s="498">
        <f>'BRA Resource Clearing Results'!D12</f>
        <v>164.77</v>
      </c>
      <c r="C14" s="415">
        <f>'BRA Resource Clearing Results'!F12</f>
        <v>149.98000000000002</v>
      </c>
      <c r="D14" s="415">
        <f>'BRA Resource Clearing Results'!H12</f>
        <v>41.090000000000018</v>
      </c>
      <c r="E14" s="424">
        <f>'1stIA Resource Clearing Results'!D12</f>
        <v>27.15</v>
      </c>
      <c r="F14" s="424">
        <f>'1stIA Resource Clearing Results'!F12</f>
        <v>22.509999999999998</v>
      </c>
      <c r="G14" s="424">
        <f>'1stIA Resource Clearing Results'!H12</f>
        <v>22.509999999999998</v>
      </c>
      <c r="H14" s="505">
        <f>'2ndIA Resource Clearing Results'!D12</f>
        <v>50</v>
      </c>
      <c r="I14" s="505">
        <f>'2ndIA Resource Clearing Results'!F12</f>
        <v>5</v>
      </c>
      <c r="J14" s="505">
        <f>'2ndIA Resource Clearing Results'!H12</f>
        <v>5</v>
      </c>
      <c r="K14" s="467" t="s">
        <v>15</v>
      </c>
      <c r="L14" s="25"/>
      <c r="M14" s="25"/>
      <c r="N14" s="25"/>
      <c r="O14" s="407"/>
      <c r="P14" s="407"/>
    </row>
    <row r="15" spans="1:19" ht="12.75" customHeight="1" x14ac:dyDescent="0.2">
      <c r="A15" s="467" t="s">
        <v>46</v>
      </c>
      <c r="B15" s="498">
        <f>'BRA Resource Clearing Results'!D13</f>
        <v>164.77</v>
      </c>
      <c r="C15" s="415">
        <f>'BRA Resource Clearing Results'!F13</f>
        <v>149.98000000000002</v>
      </c>
      <c r="D15" s="415">
        <f>'BRA Resource Clearing Results'!H13</f>
        <v>149.98000000000002</v>
      </c>
      <c r="E15" s="424">
        <f>'1stIA Resource Clearing Results'!D13</f>
        <v>27.15</v>
      </c>
      <c r="F15" s="424">
        <f>'1stIA Resource Clearing Results'!F13</f>
        <v>22.509999999999998</v>
      </c>
      <c r="G15" s="424">
        <f>'1stIA Resource Clearing Results'!H13</f>
        <v>22.509999999999998</v>
      </c>
      <c r="H15" s="505">
        <f>'2ndIA Resource Clearing Results'!D13</f>
        <v>50</v>
      </c>
      <c r="I15" s="505">
        <f>'2ndIA Resource Clearing Results'!F13</f>
        <v>5</v>
      </c>
      <c r="J15" s="505">
        <f>'2ndIA Resource Clearing Results'!H13</f>
        <v>5</v>
      </c>
      <c r="K15" s="467" t="s">
        <v>46</v>
      </c>
      <c r="L15" s="25"/>
      <c r="M15" s="25"/>
      <c r="N15" s="25"/>
      <c r="O15" s="407"/>
      <c r="P15" s="407"/>
    </row>
    <row r="16" spans="1:19" ht="12.75" customHeight="1" x14ac:dyDescent="0.2">
      <c r="A16" s="467" t="s">
        <v>129</v>
      </c>
      <c r="B16" s="498">
        <f>'BRA Resource Clearing Results'!D14</f>
        <v>164.77</v>
      </c>
      <c r="C16" s="415">
        <f>'BRA Resource Clearing Results'!F14</f>
        <v>149.98000000000002</v>
      </c>
      <c r="D16" s="415">
        <f>'BRA Resource Clearing Results'!H14</f>
        <v>149.98000000000002</v>
      </c>
      <c r="E16" s="424">
        <f>'1stIA Resource Clearing Results'!D14</f>
        <v>27.15</v>
      </c>
      <c r="F16" s="424">
        <f>'1stIA Resource Clearing Results'!F14</f>
        <v>22.509999999999998</v>
      </c>
      <c r="G16" s="424">
        <f>'1stIA Resource Clearing Results'!H14</f>
        <v>22.509999999999998</v>
      </c>
      <c r="H16" s="505">
        <f>'2ndIA Resource Clearing Results'!D14</f>
        <v>50</v>
      </c>
      <c r="I16" s="505">
        <f>'2ndIA Resource Clearing Results'!F14</f>
        <v>5</v>
      </c>
      <c r="J16" s="505">
        <f>'2ndIA Resource Clearing Results'!H14</f>
        <v>5</v>
      </c>
      <c r="K16" s="467" t="s">
        <v>129</v>
      </c>
      <c r="L16" s="25"/>
      <c r="M16" s="25"/>
      <c r="N16" s="25"/>
      <c r="O16" s="407"/>
      <c r="P16" s="407"/>
    </row>
    <row r="17" spans="1:19" ht="12.75" customHeight="1" x14ac:dyDescent="0.2">
      <c r="A17" s="467" t="s">
        <v>20</v>
      </c>
      <c r="B17" s="498">
        <f>'BRA Resource Clearing Results'!D15</f>
        <v>215</v>
      </c>
      <c r="C17" s="415">
        <f>'BRA Resource Clearing Results'!F15</f>
        <v>200.21</v>
      </c>
      <c r="D17" s="415">
        <f>'BRA Resource Clearing Results'!H15</f>
        <v>200.21</v>
      </c>
      <c r="E17" s="424">
        <f>'1stIA Resource Clearing Results'!D15</f>
        <v>30</v>
      </c>
      <c r="F17" s="424">
        <f>'1stIA Resource Clearing Results'!F15</f>
        <v>25.36</v>
      </c>
      <c r="G17" s="424">
        <f>'1stIA Resource Clearing Results'!H15</f>
        <v>25.36</v>
      </c>
      <c r="H17" s="505">
        <f>'2ndIA Resource Clearing Results'!D15</f>
        <v>50</v>
      </c>
      <c r="I17" s="505">
        <f>'2ndIA Resource Clearing Results'!F15</f>
        <v>5</v>
      </c>
      <c r="J17" s="505">
        <f>'2ndIA Resource Clearing Results'!H15</f>
        <v>5</v>
      </c>
      <c r="K17" s="467" t="s">
        <v>20</v>
      </c>
      <c r="L17" s="25"/>
      <c r="M17" s="25"/>
      <c r="N17" s="25"/>
      <c r="O17" s="407"/>
      <c r="P17" s="407"/>
    </row>
    <row r="18" spans="1:19" ht="12.75" customHeight="1" x14ac:dyDescent="0.2">
      <c r="A18" s="467" t="s">
        <v>11</v>
      </c>
      <c r="B18" s="498">
        <f>'BRA Resource Clearing Results'!D16</f>
        <v>164.77</v>
      </c>
      <c r="C18" s="415">
        <f>'BRA Resource Clearing Results'!F16</f>
        <v>149.98000000000002</v>
      </c>
      <c r="D18" s="415">
        <f>'BRA Resource Clearing Results'!H16</f>
        <v>59.950000000000017</v>
      </c>
      <c r="E18" s="424">
        <f>'1stIA Resource Clearing Results'!D16</f>
        <v>27.15</v>
      </c>
      <c r="F18" s="424">
        <f>'1stIA Resource Clearing Results'!F16</f>
        <v>22.509999999999998</v>
      </c>
      <c r="G18" s="424">
        <f>'1stIA Resource Clearing Results'!H16</f>
        <v>22.509999999999998</v>
      </c>
      <c r="H18" s="505">
        <f>'2ndIA Resource Clearing Results'!D16</f>
        <v>50</v>
      </c>
      <c r="I18" s="505">
        <f>'2ndIA Resource Clearing Results'!F16</f>
        <v>5</v>
      </c>
      <c r="J18" s="505">
        <f>'2ndIA Resource Clearing Results'!H16</f>
        <v>5</v>
      </c>
      <c r="K18" s="467" t="s">
        <v>11</v>
      </c>
      <c r="L18" s="25"/>
      <c r="M18" s="25"/>
      <c r="N18" s="25"/>
      <c r="O18" s="407"/>
      <c r="P18" s="407"/>
    </row>
    <row r="19" spans="1:19" ht="12.75" customHeight="1" x14ac:dyDescent="0.2">
      <c r="A19" s="467" t="s">
        <v>10</v>
      </c>
      <c r="B19" s="498">
        <f>'BRA Resource Clearing Results'!D17</f>
        <v>164.77</v>
      </c>
      <c r="C19" s="415">
        <f>'BRA Resource Clearing Results'!F17</f>
        <v>75.000000000000014</v>
      </c>
      <c r="D19" s="415">
        <f>'BRA Resource Clearing Results'!H17</f>
        <v>75.000000000000014</v>
      </c>
      <c r="E19" s="424">
        <f>'1stIA Resource Clearing Results'!D17</f>
        <v>27.15</v>
      </c>
      <c r="F19" s="424">
        <f>'1stIA Resource Clearing Results'!F17</f>
        <v>22.509999999999998</v>
      </c>
      <c r="G19" s="424">
        <f>'1stIA Resource Clearing Results'!H17</f>
        <v>22.509999999999998</v>
      </c>
      <c r="H19" s="505">
        <f>'2ndIA Resource Clearing Results'!D17</f>
        <v>50</v>
      </c>
      <c r="I19" s="505">
        <f>'2ndIA Resource Clearing Results'!F17</f>
        <v>5</v>
      </c>
      <c r="J19" s="505">
        <f>'2ndIA Resource Clearing Results'!H17</f>
        <v>5</v>
      </c>
      <c r="K19" s="467" t="s">
        <v>10</v>
      </c>
      <c r="L19" s="25"/>
      <c r="M19" s="25"/>
      <c r="N19" s="25"/>
      <c r="O19" s="407"/>
      <c r="P19" s="407"/>
    </row>
    <row r="20" spans="1:19" ht="12.75" customHeight="1" x14ac:dyDescent="0.2">
      <c r="A20" s="467" t="s">
        <v>144</v>
      </c>
      <c r="B20" s="499" t="str">
        <f>'BRA Resource Clearing Results'!D18</f>
        <v>NA</v>
      </c>
      <c r="C20" s="416" t="str">
        <f>'BRA Resource Clearing Results'!F18</f>
        <v>NA</v>
      </c>
      <c r="D20" s="416" t="str">
        <f>'BRA Resource Clearing Results'!H18</f>
        <v>NA</v>
      </c>
      <c r="E20" s="425" t="str">
        <f>'1stIA Resource Clearing Results'!D18</f>
        <v>NA</v>
      </c>
      <c r="F20" s="425" t="str">
        <f>'1stIA Resource Clearing Results'!F18</f>
        <v>NA</v>
      </c>
      <c r="G20" s="425" t="str">
        <f>'1stIA Resource Clearing Results'!H18</f>
        <v>NA</v>
      </c>
      <c r="H20" s="506" t="str">
        <f>'2ndIA Resource Clearing Results'!D18</f>
        <v>NA</v>
      </c>
      <c r="I20" s="506" t="str">
        <f>'2ndIA Resource Clearing Results'!F18</f>
        <v>NA</v>
      </c>
      <c r="J20" s="506" t="str">
        <f>'2ndIA Resource Clearing Results'!H18</f>
        <v>NA</v>
      </c>
      <c r="K20" s="467" t="s">
        <v>144</v>
      </c>
      <c r="L20" s="25"/>
      <c r="M20" s="25"/>
      <c r="N20" s="25"/>
      <c r="O20" s="407"/>
      <c r="P20" s="407"/>
    </row>
    <row r="21" spans="1:19" ht="12.75" customHeight="1" x14ac:dyDescent="0.2">
      <c r="A21" s="467" t="s">
        <v>145</v>
      </c>
      <c r="B21" s="499" t="str">
        <f>'BRA Resource Clearing Results'!D19</f>
        <v>NA</v>
      </c>
      <c r="C21" s="416" t="str">
        <f>'BRA Resource Clearing Results'!F19</f>
        <v>NA</v>
      </c>
      <c r="D21" s="416" t="str">
        <f>'BRA Resource Clearing Results'!H19</f>
        <v>NA</v>
      </c>
      <c r="E21" s="425" t="str">
        <f>'1stIA Resource Clearing Results'!D19</f>
        <v>NA</v>
      </c>
      <c r="F21" s="425" t="str">
        <f>'1stIA Resource Clearing Results'!F19</f>
        <v>NA</v>
      </c>
      <c r="G21" s="425" t="str">
        <f>'1stIA Resource Clearing Results'!H19</f>
        <v>NA</v>
      </c>
      <c r="H21" s="506" t="str">
        <f>'2ndIA Resource Clearing Results'!D19</f>
        <v>NA</v>
      </c>
      <c r="I21" s="506" t="str">
        <f>'2ndIA Resource Clearing Results'!F19</f>
        <v>NA</v>
      </c>
      <c r="J21" s="506" t="str">
        <f>'2ndIA Resource Clearing Results'!H19</f>
        <v>NA</v>
      </c>
      <c r="K21" s="467" t="s">
        <v>145</v>
      </c>
      <c r="L21" s="25"/>
      <c r="M21" s="25"/>
      <c r="N21" s="25"/>
      <c r="O21" s="407"/>
      <c r="P21" s="407"/>
    </row>
    <row r="22" spans="1:19" ht="12.75" customHeight="1" x14ac:dyDescent="0.2">
      <c r="A22" s="467" t="s">
        <v>146</v>
      </c>
      <c r="B22" s="499" t="str">
        <f>'BRA Resource Clearing Results'!D20</f>
        <v>NA</v>
      </c>
      <c r="C22" s="416" t="str">
        <f>'BRA Resource Clearing Results'!F20</f>
        <v>NA</v>
      </c>
      <c r="D22" s="416" t="str">
        <f>'BRA Resource Clearing Results'!H20</f>
        <v>NA</v>
      </c>
      <c r="E22" s="425" t="str">
        <f>'1stIA Resource Clearing Results'!D20</f>
        <v>NA</v>
      </c>
      <c r="F22" s="425" t="str">
        <f>'1stIA Resource Clearing Results'!F20</f>
        <v>NA</v>
      </c>
      <c r="G22" s="425" t="str">
        <f>'1stIA Resource Clearing Results'!H20</f>
        <v>NA</v>
      </c>
      <c r="H22" s="506" t="str">
        <f>'2ndIA Resource Clearing Results'!D20</f>
        <v>NA</v>
      </c>
      <c r="I22" s="506" t="str">
        <f>'2ndIA Resource Clearing Results'!F20</f>
        <v>NA</v>
      </c>
      <c r="J22" s="506" t="str">
        <f>'2ndIA Resource Clearing Results'!H20</f>
        <v>NA</v>
      </c>
      <c r="K22" s="467" t="s">
        <v>146</v>
      </c>
      <c r="L22" s="25"/>
      <c r="M22" s="25"/>
      <c r="N22" s="25"/>
      <c r="O22" s="407"/>
      <c r="P22" s="407"/>
    </row>
    <row r="23" spans="1:19" ht="12.75" customHeight="1" x14ac:dyDescent="0.2">
      <c r="A23" s="467" t="s">
        <v>147</v>
      </c>
      <c r="B23" s="499" t="str">
        <f>'BRA Resource Clearing Results'!D21</f>
        <v>NA</v>
      </c>
      <c r="C23" s="416" t="str">
        <f>'BRA Resource Clearing Results'!F21</f>
        <v>NA</v>
      </c>
      <c r="D23" s="416" t="str">
        <f>'BRA Resource Clearing Results'!H21</f>
        <v>NA</v>
      </c>
      <c r="E23" s="425" t="str">
        <f>'1stIA Resource Clearing Results'!D21</f>
        <v>NA</v>
      </c>
      <c r="F23" s="425" t="str">
        <f>'1stIA Resource Clearing Results'!F21</f>
        <v>NA</v>
      </c>
      <c r="G23" s="425" t="str">
        <f>'1stIA Resource Clearing Results'!H21</f>
        <v>NA</v>
      </c>
      <c r="H23" s="506" t="str">
        <f>'2ndIA Resource Clearing Results'!D21</f>
        <v>NA</v>
      </c>
      <c r="I23" s="506" t="str">
        <f>'2ndIA Resource Clearing Results'!F21</f>
        <v>NA</v>
      </c>
      <c r="J23" s="506" t="str">
        <f>'2ndIA Resource Clearing Results'!H21</f>
        <v>NA</v>
      </c>
      <c r="K23" s="467" t="s">
        <v>147</v>
      </c>
      <c r="L23" s="25"/>
      <c r="M23" s="25"/>
      <c r="N23" s="25"/>
      <c r="O23" s="407"/>
      <c r="P23" s="407"/>
    </row>
    <row r="24" spans="1:19" ht="12.75" customHeight="1" x14ac:dyDescent="0.2">
      <c r="A24" s="467" t="s">
        <v>148</v>
      </c>
      <c r="B24" s="499" t="str">
        <f>'BRA Resource Clearing Results'!D22</f>
        <v>NA</v>
      </c>
      <c r="C24" s="416" t="str">
        <f>'BRA Resource Clearing Results'!F22</f>
        <v>NA</v>
      </c>
      <c r="D24" s="416" t="str">
        <f>'BRA Resource Clearing Results'!H22</f>
        <v>NA</v>
      </c>
      <c r="E24" s="425" t="str">
        <f>'1stIA Resource Clearing Results'!D22</f>
        <v>NA</v>
      </c>
      <c r="F24" s="425" t="str">
        <f>'1stIA Resource Clearing Results'!F22</f>
        <v>NA</v>
      </c>
      <c r="G24" s="425" t="str">
        <f>'1stIA Resource Clearing Results'!H22</f>
        <v>NA</v>
      </c>
      <c r="H24" s="506" t="str">
        <f>'2ndIA Resource Clearing Results'!D22</f>
        <v>NA</v>
      </c>
      <c r="I24" s="506" t="str">
        <f>'2ndIA Resource Clearing Results'!F22</f>
        <v>NA</v>
      </c>
      <c r="J24" s="506" t="str">
        <f>'2ndIA Resource Clearing Results'!H22</f>
        <v>NA</v>
      </c>
      <c r="K24" s="467" t="s">
        <v>148</v>
      </c>
      <c r="L24" s="25"/>
      <c r="M24" s="25"/>
      <c r="N24" s="25"/>
      <c r="O24" s="407"/>
      <c r="P24" s="407"/>
    </row>
    <row r="25" spans="1:19" ht="12.75" customHeight="1" x14ac:dyDescent="0.2">
      <c r="A25" s="120" t="s">
        <v>24</v>
      </c>
      <c r="B25" s="344"/>
      <c r="C25" s="344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23"/>
    </row>
    <row r="26" spans="1:19" s="2" customFormat="1" ht="12.75" customHeight="1" x14ac:dyDescent="0.25">
      <c r="A26" s="398" t="s">
        <v>300</v>
      </c>
      <c r="B26" s="152"/>
      <c r="C26" s="152"/>
      <c r="D26" s="152"/>
      <c r="E26" s="152"/>
      <c r="F26" s="23"/>
      <c r="G26" s="23"/>
      <c r="H26" s="23"/>
      <c r="I26" s="23"/>
      <c r="J26" s="120"/>
      <c r="K26" s="120"/>
      <c r="L26" s="120"/>
      <c r="M26" s="120"/>
      <c r="N26" s="23"/>
      <c r="O26"/>
      <c r="P26"/>
      <c r="Q26"/>
      <c r="R26"/>
      <c r="S26"/>
    </row>
    <row r="27" spans="1:19" ht="12.75" customHeight="1" x14ac:dyDescent="0.25">
      <c r="A27" s="530" t="s">
        <v>3</v>
      </c>
      <c r="B27" s="525" t="s">
        <v>123</v>
      </c>
      <c r="C27" s="535"/>
      <c r="D27" s="535"/>
      <c r="E27" s="535"/>
      <c r="F27" s="533" t="s">
        <v>298</v>
      </c>
      <c r="G27" s="533"/>
      <c r="H27" s="533"/>
      <c r="I27" s="533"/>
      <c r="J27" s="532" t="s">
        <v>345</v>
      </c>
      <c r="K27" s="532"/>
      <c r="L27" s="532"/>
      <c r="M27" s="532"/>
      <c r="N27" s="530" t="s">
        <v>3</v>
      </c>
      <c r="O27" s="2"/>
    </row>
    <row r="28" spans="1:19" ht="12.75" customHeight="1" x14ac:dyDescent="0.25">
      <c r="A28" s="530"/>
      <c r="B28" s="525" t="s">
        <v>239</v>
      </c>
      <c r="C28" s="535"/>
      <c r="D28" s="535"/>
      <c r="E28" s="535"/>
      <c r="F28" s="533" t="s">
        <v>301</v>
      </c>
      <c r="G28" s="533"/>
      <c r="H28" s="533"/>
      <c r="I28" s="533"/>
      <c r="J28" s="532" t="s">
        <v>301</v>
      </c>
      <c r="K28" s="532"/>
      <c r="L28" s="532"/>
      <c r="M28" s="532"/>
      <c r="N28" s="530"/>
      <c r="O28" s="2"/>
    </row>
    <row r="29" spans="1:19" ht="24.95" customHeight="1" x14ac:dyDescent="0.25">
      <c r="A29" s="530"/>
      <c r="B29" s="497" t="s">
        <v>316</v>
      </c>
      <c r="C29" s="414" t="s">
        <v>317</v>
      </c>
      <c r="D29" s="414" t="s">
        <v>294</v>
      </c>
      <c r="E29" s="414" t="s">
        <v>242</v>
      </c>
      <c r="F29" s="423" t="s">
        <v>316</v>
      </c>
      <c r="G29" s="423" t="s">
        <v>317</v>
      </c>
      <c r="H29" s="423" t="s">
        <v>294</v>
      </c>
      <c r="I29" s="423" t="s">
        <v>242</v>
      </c>
      <c r="J29" s="504" t="s">
        <v>316</v>
      </c>
      <c r="K29" s="504" t="s">
        <v>317</v>
      </c>
      <c r="L29" s="504" t="s">
        <v>294</v>
      </c>
      <c r="M29" s="504" t="s">
        <v>242</v>
      </c>
      <c r="N29" s="530"/>
      <c r="O29" s="2"/>
    </row>
    <row r="30" spans="1:19" ht="12.75" customHeight="1" x14ac:dyDescent="0.25">
      <c r="A30" s="467" t="s">
        <v>6</v>
      </c>
      <c r="B30" s="500">
        <f>'BRA Resource Clearing Results'!B29</f>
        <v>140600.4</v>
      </c>
      <c r="C30" s="417">
        <f>'BRA Resource Clearing Results'!C29</f>
        <v>16277.1</v>
      </c>
      <c r="D30" s="417">
        <f>'BRA Resource Clearing Results'!D29</f>
        <v>9959.4</v>
      </c>
      <c r="E30" s="417">
        <f>'BRA Resource Clearing Results'!E29</f>
        <v>166836.9</v>
      </c>
      <c r="F30" s="426">
        <f>'1stIA Resource Clearing Results'!J29</f>
        <v>-172.60000000000014</v>
      </c>
      <c r="G30" s="426">
        <f>'1stIA Resource Clearing Results'!K29</f>
        <v>-366.4</v>
      </c>
      <c r="H30" s="426">
        <f>'1stIA Resource Clearing Results'!L29</f>
        <v>359.49999999999994</v>
      </c>
      <c r="I30" s="426">
        <f>'1stIA Resource Clearing Results'!M29</f>
        <v>-179.50000000000017</v>
      </c>
      <c r="J30" s="507">
        <f>'2ndIA Resource Clearing Results'!J29</f>
        <v>55.400000000000091</v>
      </c>
      <c r="K30" s="507">
        <f>'2ndIA Resource Clearing Results'!K29</f>
        <v>1806.1</v>
      </c>
      <c r="L30" s="507">
        <f>'2ndIA Resource Clearing Results'!L29</f>
        <v>648.79999999999995</v>
      </c>
      <c r="M30" s="507">
        <f>'2ndIA Resource Clearing Results'!M29</f>
        <v>2510.3000000000002</v>
      </c>
      <c r="N30" s="467" t="s">
        <v>6</v>
      </c>
      <c r="O30" s="2"/>
    </row>
    <row r="31" spans="1:19" ht="12.75" customHeight="1" x14ac:dyDescent="0.25">
      <c r="A31" s="467" t="s">
        <v>29</v>
      </c>
      <c r="B31" s="500">
        <f>'BRA Resource Clearing Results'!B30</f>
        <v>53469</v>
      </c>
      <c r="C31" s="417">
        <f>'BRA Resource Clearing Results'!C30</f>
        <v>8856.7999999999993</v>
      </c>
      <c r="D31" s="417">
        <f>'BRA Resource Clearing Results'!D30</f>
        <v>3745.4</v>
      </c>
      <c r="E31" s="417">
        <f>'BRA Resource Clearing Results'!E30</f>
        <v>66071.199999999997</v>
      </c>
      <c r="F31" s="426">
        <f>'1stIA Resource Clearing Results'!J30</f>
        <v>-766.2</v>
      </c>
      <c r="G31" s="426">
        <f>'1stIA Resource Clearing Results'!K30</f>
        <v>233.1</v>
      </c>
      <c r="H31" s="426">
        <f>'1stIA Resource Clearing Results'!L30</f>
        <v>21.800000000000011</v>
      </c>
      <c r="I31" s="426">
        <f>'1stIA Resource Clearing Results'!M30</f>
        <v>-511.3</v>
      </c>
      <c r="J31" s="507">
        <f>'2ndIA Resource Clearing Results'!J30</f>
        <v>-843.50000000000011</v>
      </c>
      <c r="K31" s="507">
        <f>'2ndIA Resource Clearing Results'!K30</f>
        <v>1174.3000000000002</v>
      </c>
      <c r="L31" s="507">
        <f>'2ndIA Resource Clearing Results'!L30</f>
        <v>477.4</v>
      </c>
      <c r="M31" s="507">
        <f>'2ndIA Resource Clearing Results'!M30</f>
        <v>808.2</v>
      </c>
      <c r="N31" s="467" t="s">
        <v>29</v>
      </c>
      <c r="O31" s="2"/>
    </row>
    <row r="32" spans="1:19" ht="12.75" customHeight="1" x14ac:dyDescent="0.25">
      <c r="A32" s="467" t="s">
        <v>36</v>
      </c>
      <c r="B32" s="500">
        <f>'BRA Resource Clearing Results'!B31</f>
        <v>22970.6</v>
      </c>
      <c r="C32" s="417">
        <f>'BRA Resource Clearing Results'!C31</f>
        <v>6573.5</v>
      </c>
      <c r="D32" s="417">
        <f>'BRA Resource Clearing Results'!D31</f>
        <v>1524.9</v>
      </c>
      <c r="E32" s="417">
        <f>'BRA Resource Clearing Results'!E31</f>
        <v>31069</v>
      </c>
      <c r="F32" s="426">
        <f>'1stIA Resource Clearing Results'!J31</f>
        <v>-10.299999999999997</v>
      </c>
      <c r="G32" s="426">
        <f>'1stIA Resource Clearing Results'!K31</f>
        <v>-55.2</v>
      </c>
      <c r="H32" s="426">
        <f>'1stIA Resource Clearing Results'!L31</f>
        <v>2.7000000000000028</v>
      </c>
      <c r="I32" s="426">
        <f>'1stIA Resource Clearing Results'!M31</f>
        <v>-62.8</v>
      </c>
      <c r="J32" s="507">
        <f>'2ndIA Resource Clearing Results'!J31</f>
        <v>-454.20000000000005</v>
      </c>
      <c r="K32" s="507">
        <f>'2ndIA Resource Clearing Results'!K31</f>
        <v>649.6</v>
      </c>
      <c r="L32" s="507">
        <f>'2ndIA Resource Clearing Results'!L31</f>
        <v>242.7</v>
      </c>
      <c r="M32" s="507">
        <f>'2ndIA Resource Clearing Results'!M31</f>
        <v>438.09999999999997</v>
      </c>
      <c r="N32" s="467" t="s">
        <v>36</v>
      </c>
      <c r="O32" s="2"/>
    </row>
    <row r="33" spans="1:15" ht="12.75" customHeight="1" x14ac:dyDescent="0.25">
      <c r="A33" s="467" t="s">
        <v>5</v>
      </c>
      <c r="B33" s="500">
        <f>'BRA Resource Clearing Results'!B32</f>
        <v>9420.5</v>
      </c>
      <c r="C33" s="417">
        <f>'BRA Resource Clearing Results'!C32</f>
        <v>672.8</v>
      </c>
      <c r="D33" s="417">
        <f>'BRA Resource Clearing Results'!D32</f>
        <v>1087.4000000000001</v>
      </c>
      <c r="E33" s="417">
        <f>'BRA Resource Clearing Results'!E32</f>
        <v>11180.699999999999</v>
      </c>
      <c r="F33" s="426">
        <f>'1stIA Resource Clearing Results'!J32</f>
        <v>-12.9</v>
      </c>
      <c r="G33" s="426">
        <f>'1stIA Resource Clearing Results'!K32</f>
        <v>0.8</v>
      </c>
      <c r="H33" s="426">
        <f>'1stIA Resource Clearing Results'!L32</f>
        <v>-32.699999999999996</v>
      </c>
      <c r="I33" s="426">
        <f>'1stIA Resource Clearing Results'!M32</f>
        <v>-44.8</v>
      </c>
      <c r="J33" s="507">
        <f>'2ndIA Resource Clearing Results'!J32</f>
        <v>-49.400000000000006</v>
      </c>
      <c r="K33" s="507">
        <f>'2ndIA Resource Clearing Results'!K32</f>
        <v>26.3</v>
      </c>
      <c r="L33" s="507">
        <f>'2ndIA Resource Clearing Results'!L32</f>
        <v>12.700000000000003</v>
      </c>
      <c r="M33" s="507">
        <f>'2ndIA Resource Clearing Results'!M32</f>
        <v>-10.400000000000002</v>
      </c>
      <c r="N33" s="467" t="s">
        <v>5</v>
      </c>
      <c r="O33" s="2"/>
    </row>
    <row r="34" spans="1:15" ht="12.75" customHeight="1" x14ac:dyDescent="0.25">
      <c r="A34" s="467" t="s">
        <v>8</v>
      </c>
      <c r="B34" s="500">
        <f>'BRA Resource Clearing Results'!B33</f>
        <v>4821.2</v>
      </c>
      <c r="C34" s="417">
        <f>'BRA Resource Clearing Results'!C33</f>
        <v>111.4</v>
      </c>
      <c r="D34" s="417">
        <f>'BRA Resource Clearing Results'!D33</f>
        <v>368.2</v>
      </c>
      <c r="E34" s="417">
        <f>'BRA Resource Clearing Results'!E33</f>
        <v>5300.7999999999993</v>
      </c>
      <c r="F34" s="426">
        <f>'1stIA Resource Clearing Results'!J33</f>
        <v>-2</v>
      </c>
      <c r="G34" s="426">
        <f>'1stIA Resource Clearing Results'!K33</f>
        <v>-26.4</v>
      </c>
      <c r="H34" s="426">
        <f>'1stIA Resource Clearing Results'!L33</f>
        <v>2.8000000000000007</v>
      </c>
      <c r="I34" s="426">
        <f>'1stIA Resource Clearing Results'!M33</f>
        <v>-25.599999999999998</v>
      </c>
      <c r="J34" s="507">
        <f>'2ndIA Resource Clearing Results'!J33</f>
        <v>-46</v>
      </c>
      <c r="K34" s="507">
        <f>'2ndIA Resource Clearing Results'!K33</f>
        <v>1.2999999999999998</v>
      </c>
      <c r="L34" s="507">
        <f>'2ndIA Resource Clearing Results'!L33</f>
        <v>34.5</v>
      </c>
      <c r="M34" s="507">
        <f>'2ndIA Resource Clearing Results'!M33</f>
        <v>-10.200000000000003</v>
      </c>
      <c r="N34" s="467" t="s">
        <v>8</v>
      </c>
      <c r="O34" s="2"/>
    </row>
    <row r="35" spans="1:15" ht="12.75" customHeight="1" x14ac:dyDescent="0.25">
      <c r="A35" s="467" t="s">
        <v>37</v>
      </c>
      <c r="B35" s="500">
        <f>'BRA Resource Clearing Results'!B34</f>
        <v>3008</v>
      </c>
      <c r="C35" s="417">
        <f>'BRA Resource Clearing Results'!C34</f>
        <v>30</v>
      </c>
      <c r="D35" s="417">
        <f>'BRA Resource Clearing Results'!D34</f>
        <v>130</v>
      </c>
      <c r="E35" s="417">
        <f>'BRA Resource Clearing Results'!E34</f>
        <v>3168</v>
      </c>
      <c r="F35" s="426">
        <f>'1stIA Resource Clearing Results'!J34</f>
        <v>-3.9000000000000004</v>
      </c>
      <c r="G35" s="426">
        <f>'1stIA Resource Clearing Results'!K34</f>
        <v>-12.2</v>
      </c>
      <c r="H35" s="426">
        <f>'1stIA Resource Clearing Results'!L34</f>
        <v>-0.60000000000000142</v>
      </c>
      <c r="I35" s="426">
        <f>'1stIA Resource Clearing Results'!M34</f>
        <v>-16.700000000000003</v>
      </c>
      <c r="J35" s="507">
        <f>'2ndIA Resource Clearing Results'!J34</f>
        <v>-22.4</v>
      </c>
      <c r="K35" s="507">
        <f>'2ndIA Resource Clearing Results'!K34</f>
        <v>-0.2</v>
      </c>
      <c r="L35" s="507">
        <f>'2ndIA Resource Clearing Results'!L34</f>
        <v>11.899999999999999</v>
      </c>
      <c r="M35" s="507">
        <f>'2ndIA Resource Clearing Results'!M34</f>
        <v>-10.7</v>
      </c>
      <c r="N35" s="467" t="s">
        <v>37</v>
      </c>
      <c r="O35" s="2"/>
    </row>
    <row r="36" spans="1:15" ht="12.75" customHeight="1" x14ac:dyDescent="0.25">
      <c r="A36" s="467" t="s">
        <v>38</v>
      </c>
      <c r="B36" s="500">
        <f>'BRA Resource Clearing Results'!B35</f>
        <v>1270.3</v>
      </c>
      <c r="C36" s="417">
        <f>'BRA Resource Clearing Results'!C35</f>
        <v>345.4</v>
      </c>
      <c r="D36" s="417">
        <f>'BRA Resource Clearing Results'!D35</f>
        <v>77.8</v>
      </c>
      <c r="E36" s="417">
        <f>'BRA Resource Clearing Results'!E35</f>
        <v>1693.4999999999998</v>
      </c>
      <c r="F36" s="426">
        <f>'1stIA Resource Clearing Results'!J35</f>
        <v>-21.4</v>
      </c>
      <c r="G36" s="426">
        <f>'1stIA Resource Clearing Results'!K35</f>
        <v>-7</v>
      </c>
      <c r="H36" s="426">
        <f>'1stIA Resource Clearing Results'!L35</f>
        <v>11.1</v>
      </c>
      <c r="I36" s="426">
        <f>'1stIA Resource Clearing Results'!M35</f>
        <v>-17.299999999999997</v>
      </c>
      <c r="J36" s="507">
        <f>'2ndIA Resource Clearing Results'!J35</f>
        <v>10.5</v>
      </c>
      <c r="K36" s="507">
        <f>'2ndIA Resource Clearing Results'!K35</f>
        <v>-3.7</v>
      </c>
      <c r="L36" s="507">
        <f>'2ndIA Resource Clearing Results'!L35</f>
        <v>3.7</v>
      </c>
      <c r="M36" s="507">
        <f>'2ndIA Resource Clearing Results'!M35</f>
        <v>10.5</v>
      </c>
      <c r="N36" s="467" t="s">
        <v>38</v>
      </c>
      <c r="O36" s="2"/>
    </row>
    <row r="37" spans="1:15" ht="12.75" customHeight="1" x14ac:dyDescent="0.25">
      <c r="A37" s="467" t="s">
        <v>15</v>
      </c>
      <c r="B37" s="500">
        <f>'BRA Resource Clearing Results'!B36</f>
        <v>4875.7</v>
      </c>
      <c r="C37" s="417">
        <f>'BRA Resource Clearing Results'!C36</f>
        <v>103</v>
      </c>
      <c r="D37" s="417">
        <f>'BRA Resource Clearing Results'!D36</f>
        <v>500</v>
      </c>
      <c r="E37" s="417">
        <f>'BRA Resource Clearing Results'!E36</f>
        <v>5478.7</v>
      </c>
      <c r="F37" s="426">
        <f>'1stIA Resource Clearing Results'!J36</f>
        <v>-15.9</v>
      </c>
      <c r="G37" s="426">
        <f>'1stIA Resource Clearing Results'!K36</f>
        <v>0</v>
      </c>
      <c r="H37" s="426">
        <f>'1stIA Resource Clearing Results'!L36</f>
        <v>-38.9</v>
      </c>
      <c r="I37" s="426">
        <f>'1stIA Resource Clearing Results'!M36</f>
        <v>-54.8</v>
      </c>
      <c r="J37" s="507">
        <f>'2ndIA Resource Clearing Results'!J36</f>
        <v>-44.099999999999994</v>
      </c>
      <c r="K37" s="507">
        <f>'2ndIA Resource Clearing Results'!K36</f>
        <v>26.3</v>
      </c>
      <c r="L37" s="507">
        <f>'2ndIA Resource Clearing Results'!L36</f>
        <v>-22.9</v>
      </c>
      <c r="M37" s="507">
        <f>'2ndIA Resource Clearing Results'!M36</f>
        <v>-40.699999999999989</v>
      </c>
      <c r="N37" s="467" t="s">
        <v>15</v>
      </c>
      <c r="O37" s="2"/>
    </row>
    <row r="38" spans="1:15" ht="12.75" customHeight="1" x14ac:dyDescent="0.25">
      <c r="A38" s="467" t="s">
        <v>46</v>
      </c>
      <c r="B38" s="500">
        <f>'BRA Resource Clearing Results'!B37</f>
        <v>8583.5</v>
      </c>
      <c r="C38" s="417">
        <f>'BRA Resource Clearing Results'!C37</f>
        <v>750.7</v>
      </c>
      <c r="D38" s="417">
        <f>'BRA Resource Clearing Results'!D37</f>
        <v>837.4</v>
      </c>
      <c r="E38" s="417">
        <f>'BRA Resource Clearing Results'!E37</f>
        <v>10171.6</v>
      </c>
      <c r="F38" s="426">
        <f>'1stIA Resource Clearing Results'!J37</f>
        <v>-301.8</v>
      </c>
      <c r="G38" s="426">
        <f>'1stIA Resource Clearing Results'!K37</f>
        <v>-250</v>
      </c>
      <c r="H38" s="426">
        <f>'1stIA Resource Clearing Results'!L37</f>
        <v>52.699999999999996</v>
      </c>
      <c r="I38" s="426">
        <f>'1stIA Resource Clearing Results'!M37</f>
        <v>-499.09999999999997</v>
      </c>
      <c r="J38" s="507">
        <f>'2ndIA Resource Clearing Results'!J37</f>
        <v>-74.8</v>
      </c>
      <c r="K38" s="507">
        <f>'2ndIA Resource Clearing Results'!K37</f>
        <v>-32.6</v>
      </c>
      <c r="L38" s="507">
        <f>'2ndIA Resource Clearing Results'!L37</f>
        <v>3.7000000000000011</v>
      </c>
      <c r="M38" s="507">
        <f>'2ndIA Resource Clearing Results'!M37</f>
        <v>-103.7</v>
      </c>
      <c r="N38" s="467" t="s">
        <v>46</v>
      </c>
      <c r="O38" s="2"/>
    </row>
    <row r="39" spans="1:15" ht="12.75" customHeight="1" x14ac:dyDescent="0.25">
      <c r="A39" s="467" t="s">
        <v>129</v>
      </c>
      <c r="B39" s="500">
        <f>'BRA Resource Clearing Results'!B38</f>
        <v>2002.5</v>
      </c>
      <c r="C39" s="417">
        <f>'BRA Resource Clearing Results'!C38</f>
        <v>0</v>
      </c>
      <c r="D39" s="417">
        <f>'BRA Resource Clearing Results'!D38</f>
        <v>255.6</v>
      </c>
      <c r="E39" s="417">
        <f>'BRA Resource Clearing Results'!E38</f>
        <v>2258.1</v>
      </c>
      <c r="F39" s="426">
        <f>'1stIA Resource Clearing Results'!J38</f>
        <v>-18.900000000000002</v>
      </c>
      <c r="G39" s="426">
        <f>'1stIA Resource Clearing Results'!K38</f>
        <v>0</v>
      </c>
      <c r="H39" s="426">
        <f>'1stIA Resource Clearing Results'!L38</f>
        <v>37.400000000000006</v>
      </c>
      <c r="I39" s="426">
        <f>'1stIA Resource Clearing Results'!M38</f>
        <v>18.500000000000004</v>
      </c>
      <c r="J39" s="507">
        <f>'2ndIA Resource Clearing Results'!J38</f>
        <v>-35.299999999999997</v>
      </c>
      <c r="K39" s="507">
        <f>'2ndIA Resource Clearing Results'!K38</f>
        <v>0</v>
      </c>
      <c r="L39" s="507">
        <f>'2ndIA Resource Clearing Results'!L38</f>
        <v>8.7000000000000011</v>
      </c>
      <c r="M39" s="507">
        <f>'2ndIA Resource Clearing Results'!M38</f>
        <v>-26.599999999999994</v>
      </c>
      <c r="N39" s="467" t="s">
        <v>129</v>
      </c>
      <c r="O39" s="2"/>
    </row>
    <row r="40" spans="1:15" ht="12.75" customHeight="1" x14ac:dyDescent="0.25">
      <c r="A40" s="467" t="s">
        <v>20</v>
      </c>
      <c r="B40" s="500">
        <f>'BRA Resource Clearing Results'!B39</f>
        <v>20564.400000000001</v>
      </c>
      <c r="C40" s="417">
        <f>'BRA Resource Clearing Results'!C39</f>
        <v>891.5</v>
      </c>
      <c r="D40" s="417">
        <f>'BRA Resource Clearing Results'!D39</f>
        <v>1864.5</v>
      </c>
      <c r="E40" s="417">
        <f>'BRA Resource Clearing Results'!E39</f>
        <v>23320.400000000001</v>
      </c>
      <c r="F40" s="426">
        <f>'1stIA Resource Clearing Results'!J39</f>
        <v>278</v>
      </c>
      <c r="G40" s="426">
        <f>'1stIA Resource Clearing Results'!K39</f>
        <v>-435.5</v>
      </c>
      <c r="H40" s="426">
        <f>'1stIA Resource Clearing Results'!L39</f>
        <v>162.60000000000002</v>
      </c>
      <c r="I40" s="426">
        <f>'1stIA Resource Clearing Results'!M39</f>
        <v>5.1000000000000227</v>
      </c>
      <c r="J40" s="507">
        <f>'2ndIA Resource Clearing Results'!J39</f>
        <v>67.800000000000011</v>
      </c>
      <c r="K40" s="507">
        <f>'2ndIA Resource Clearing Results'!K39</f>
        <v>519.5</v>
      </c>
      <c r="L40" s="507">
        <f>'2ndIA Resource Clearing Results'!L39</f>
        <v>2</v>
      </c>
      <c r="M40" s="507">
        <f>'2ndIA Resource Clearing Results'!M39</f>
        <v>589.29999999999995</v>
      </c>
      <c r="N40" s="467" t="s">
        <v>20</v>
      </c>
      <c r="O40" s="2"/>
    </row>
    <row r="41" spans="1:15" ht="12.75" customHeight="1" x14ac:dyDescent="0.25">
      <c r="A41" s="467" t="s">
        <v>11</v>
      </c>
      <c r="B41" s="500">
        <f>'BRA Resource Clearing Results'!B40</f>
        <v>2139.6999999999998</v>
      </c>
      <c r="C41" s="417">
        <f>'BRA Resource Clearing Results'!C40</f>
        <v>569.79999999999995</v>
      </c>
      <c r="D41" s="417">
        <f>'BRA Resource Clearing Results'!D40</f>
        <v>587.4</v>
      </c>
      <c r="E41" s="417">
        <f>'BRA Resource Clearing Results'!E40</f>
        <v>3296.9</v>
      </c>
      <c r="F41" s="426">
        <f>'1stIA Resource Clearing Results'!J40</f>
        <v>3</v>
      </c>
      <c r="G41" s="426">
        <f>'1stIA Resource Clearing Results'!K40</f>
        <v>0.8</v>
      </c>
      <c r="H41" s="426">
        <f>'1stIA Resource Clearing Results'!L40</f>
        <v>6.2</v>
      </c>
      <c r="I41" s="426">
        <f>'1stIA Resource Clearing Results'!M40</f>
        <v>10</v>
      </c>
      <c r="J41" s="507">
        <f>'2ndIA Resource Clearing Results'!J40</f>
        <v>-5.3</v>
      </c>
      <c r="K41" s="507">
        <f>'2ndIA Resource Clearing Results'!K40</f>
        <v>0</v>
      </c>
      <c r="L41" s="507">
        <f>'2ndIA Resource Clearing Results'!L40</f>
        <v>35.6</v>
      </c>
      <c r="M41" s="507">
        <f>'2ndIA Resource Clearing Results'!M40</f>
        <v>30.3</v>
      </c>
      <c r="N41" s="467" t="s">
        <v>11</v>
      </c>
      <c r="O41" s="2"/>
    </row>
    <row r="42" spans="1:15" ht="12.75" customHeight="1" x14ac:dyDescent="0.25">
      <c r="A42" s="467" t="s">
        <v>10</v>
      </c>
      <c r="B42" s="500">
        <f>'BRA Resource Clearing Results'!B41</f>
        <v>8380.4</v>
      </c>
      <c r="C42" s="417">
        <f>'BRA Resource Clearing Results'!C41</f>
        <v>663.7</v>
      </c>
      <c r="D42" s="417">
        <f>'BRA Resource Clearing Results'!D41</f>
        <v>482.8</v>
      </c>
      <c r="E42" s="417">
        <f>'BRA Resource Clearing Results'!E41</f>
        <v>9526.9</v>
      </c>
      <c r="F42" s="426">
        <f>'1stIA Resource Clearing Results'!J41</f>
        <v>-10</v>
      </c>
      <c r="G42" s="426">
        <f>'1stIA Resource Clearing Results'!K41</f>
        <v>0.70000000000000007</v>
      </c>
      <c r="H42" s="426">
        <f>'1stIA Resource Clearing Results'!L41</f>
        <v>3.6000000000000005</v>
      </c>
      <c r="I42" s="426">
        <f>'1stIA Resource Clearing Results'!M41</f>
        <v>-5.7</v>
      </c>
      <c r="J42" s="507">
        <f>'2ndIA Resource Clearing Results'!J41</f>
        <v>-460.3</v>
      </c>
      <c r="K42" s="507">
        <f>'2ndIA Resource Clearing Results'!K41</f>
        <v>0</v>
      </c>
      <c r="L42" s="507">
        <f>'2ndIA Resource Clearing Results'!L41</f>
        <v>135.5</v>
      </c>
      <c r="M42" s="507">
        <f>'2ndIA Resource Clearing Results'!M41</f>
        <v>-324.8</v>
      </c>
      <c r="N42" s="467" t="s">
        <v>10</v>
      </c>
      <c r="O42" s="2"/>
    </row>
    <row r="43" spans="1:15" ht="12.75" customHeight="1" x14ac:dyDescent="0.25">
      <c r="A43" s="467" t="s">
        <v>144</v>
      </c>
      <c r="B43" s="500">
        <f>'BRA Resource Clearing Results'!B42</f>
        <v>0</v>
      </c>
      <c r="C43" s="417">
        <f>'BRA Resource Clearing Results'!C42</f>
        <v>0</v>
      </c>
      <c r="D43" s="418" t="str">
        <f>'BRA Resource Clearing Results'!D42</f>
        <v>NA</v>
      </c>
      <c r="E43" s="417">
        <f>'BRA Resource Clearing Results'!E42</f>
        <v>0</v>
      </c>
      <c r="F43" s="426">
        <v>0</v>
      </c>
      <c r="G43" s="426">
        <v>0</v>
      </c>
      <c r="H43" s="426">
        <v>0</v>
      </c>
      <c r="I43" s="426">
        <v>0</v>
      </c>
      <c r="J43" s="507">
        <v>0</v>
      </c>
      <c r="K43" s="507">
        <v>0</v>
      </c>
      <c r="L43" s="507">
        <v>0</v>
      </c>
      <c r="M43" s="507">
        <v>0</v>
      </c>
      <c r="N43" s="467" t="s">
        <v>144</v>
      </c>
      <c r="O43" s="2"/>
    </row>
    <row r="44" spans="1:15" ht="12.75" customHeight="1" x14ac:dyDescent="0.25">
      <c r="A44" s="467" t="s">
        <v>145</v>
      </c>
      <c r="B44" s="500">
        <f>'BRA Resource Clearing Results'!B43</f>
        <v>0</v>
      </c>
      <c r="C44" s="417">
        <f>'BRA Resource Clearing Results'!C43</f>
        <v>0</v>
      </c>
      <c r="D44" s="418" t="str">
        <f>'BRA Resource Clearing Results'!D43</f>
        <v>NA</v>
      </c>
      <c r="E44" s="417">
        <f>'BRA Resource Clearing Results'!E43</f>
        <v>0</v>
      </c>
      <c r="F44" s="426">
        <v>0</v>
      </c>
      <c r="G44" s="426">
        <v>0</v>
      </c>
      <c r="H44" s="426">
        <v>0</v>
      </c>
      <c r="I44" s="426">
        <v>0</v>
      </c>
      <c r="J44" s="507">
        <v>0</v>
      </c>
      <c r="K44" s="507">
        <v>0</v>
      </c>
      <c r="L44" s="507">
        <v>0</v>
      </c>
      <c r="M44" s="507">
        <v>0</v>
      </c>
      <c r="N44" s="467" t="s">
        <v>145</v>
      </c>
      <c r="O44" s="2"/>
    </row>
    <row r="45" spans="1:15" ht="12.75" customHeight="1" x14ac:dyDescent="0.25">
      <c r="A45" s="467" t="s">
        <v>146</v>
      </c>
      <c r="B45" s="500">
        <f>'BRA Resource Clearing Results'!B44</f>
        <v>0</v>
      </c>
      <c r="C45" s="417">
        <f>'BRA Resource Clearing Results'!C44</f>
        <v>0</v>
      </c>
      <c r="D45" s="418" t="str">
        <f>'BRA Resource Clearing Results'!D44</f>
        <v>NA</v>
      </c>
      <c r="E45" s="417">
        <f>'BRA Resource Clearing Results'!E44</f>
        <v>0</v>
      </c>
      <c r="F45" s="426">
        <v>0</v>
      </c>
      <c r="G45" s="426">
        <v>0</v>
      </c>
      <c r="H45" s="426">
        <v>0</v>
      </c>
      <c r="I45" s="426">
        <v>0</v>
      </c>
      <c r="J45" s="507">
        <v>0</v>
      </c>
      <c r="K45" s="507">
        <v>0</v>
      </c>
      <c r="L45" s="507">
        <v>0</v>
      </c>
      <c r="M45" s="507">
        <v>0</v>
      </c>
      <c r="N45" s="467" t="s">
        <v>146</v>
      </c>
      <c r="O45" s="2"/>
    </row>
    <row r="46" spans="1:15" ht="12.75" customHeight="1" x14ac:dyDescent="0.25">
      <c r="A46" s="467" t="s">
        <v>147</v>
      </c>
      <c r="B46" s="500">
        <f>'BRA Resource Clearing Results'!B45</f>
        <v>0</v>
      </c>
      <c r="C46" s="417">
        <f>'BRA Resource Clearing Results'!C45</f>
        <v>0</v>
      </c>
      <c r="D46" s="418" t="str">
        <f>'BRA Resource Clearing Results'!D45</f>
        <v>NA</v>
      </c>
      <c r="E46" s="417">
        <f>'BRA Resource Clearing Results'!E45</f>
        <v>0</v>
      </c>
      <c r="F46" s="426">
        <v>0</v>
      </c>
      <c r="G46" s="426">
        <v>0</v>
      </c>
      <c r="H46" s="426">
        <v>0</v>
      </c>
      <c r="I46" s="426">
        <v>0</v>
      </c>
      <c r="J46" s="507">
        <v>0</v>
      </c>
      <c r="K46" s="507">
        <v>0</v>
      </c>
      <c r="L46" s="507">
        <v>0</v>
      </c>
      <c r="M46" s="507">
        <v>0</v>
      </c>
      <c r="N46" s="467" t="s">
        <v>147</v>
      </c>
      <c r="O46" s="2"/>
    </row>
    <row r="47" spans="1:15" ht="12.75" customHeight="1" x14ac:dyDescent="0.25">
      <c r="A47" s="467" t="s">
        <v>148</v>
      </c>
      <c r="B47" s="500">
        <f>'BRA Resource Clearing Results'!B46</f>
        <v>0</v>
      </c>
      <c r="C47" s="417">
        <f>'BRA Resource Clearing Results'!C46</f>
        <v>0</v>
      </c>
      <c r="D47" s="418" t="str">
        <f>'BRA Resource Clearing Results'!D46</f>
        <v>NA</v>
      </c>
      <c r="E47" s="417">
        <f>'BRA Resource Clearing Results'!E46</f>
        <v>0</v>
      </c>
      <c r="F47" s="426">
        <v>0</v>
      </c>
      <c r="G47" s="426">
        <v>0</v>
      </c>
      <c r="H47" s="426">
        <v>0</v>
      </c>
      <c r="I47" s="426">
        <v>0</v>
      </c>
      <c r="J47" s="507">
        <v>0</v>
      </c>
      <c r="K47" s="507">
        <v>0</v>
      </c>
      <c r="L47" s="507">
        <v>0</v>
      </c>
      <c r="M47" s="507">
        <v>0</v>
      </c>
      <c r="N47" s="467" t="s">
        <v>148</v>
      </c>
      <c r="O47" s="2"/>
    </row>
    <row r="48" spans="1:15" ht="12.75" customHeight="1" x14ac:dyDescent="0.25">
      <c r="A48" s="27" t="s">
        <v>302</v>
      </c>
      <c r="B48" s="400"/>
      <c r="C48" s="400"/>
      <c r="D48" s="400"/>
      <c r="E48" s="400"/>
      <c r="F48" s="400"/>
      <c r="G48" s="400"/>
      <c r="H48" s="400"/>
      <c r="I48" s="400"/>
      <c r="J48" s="23"/>
      <c r="K48" s="2"/>
      <c r="L48" s="2"/>
      <c r="M48" s="2"/>
      <c r="N48" s="2"/>
      <c r="O48" s="2"/>
    </row>
    <row r="49" spans="1:19" ht="12.75" customHeight="1" x14ac:dyDescent="0.25">
      <c r="A49" s="27" t="s">
        <v>303</v>
      </c>
      <c r="B49" s="400"/>
      <c r="C49" s="400"/>
      <c r="D49" s="400"/>
      <c r="E49" s="400"/>
      <c r="F49" s="400"/>
      <c r="G49" s="400"/>
      <c r="H49" s="400"/>
      <c r="I49" s="400"/>
      <c r="J49" s="399"/>
      <c r="K49" s="399"/>
      <c r="L49" s="399"/>
      <c r="M49" s="399"/>
      <c r="N49" s="23"/>
      <c r="O49" s="2"/>
      <c r="P49" s="2"/>
      <c r="Q49" s="2"/>
      <c r="R49" s="2"/>
      <c r="S49" s="2"/>
    </row>
    <row r="50" spans="1:19" ht="12.75" customHeight="1" x14ac:dyDescent="0.25">
      <c r="A50" s="27"/>
      <c r="B50" s="400"/>
      <c r="C50" s="400"/>
      <c r="D50" s="400"/>
      <c r="E50" s="400"/>
      <c r="F50" s="400"/>
      <c r="G50" s="400"/>
      <c r="H50" s="400"/>
      <c r="I50" s="400"/>
      <c r="J50" s="399"/>
      <c r="K50" s="399"/>
      <c r="L50" s="399"/>
      <c r="M50" s="399"/>
      <c r="N50" s="23"/>
      <c r="O50" s="2"/>
      <c r="P50" s="2"/>
      <c r="Q50" s="2"/>
      <c r="R50" s="2"/>
      <c r="S50" s="2"/>
    </row>
    <row r="51" spans="1:19" ht="12.75" customHeight="1" x14ac:dyDescent="0.25">
      <c r="A51" s="398" t="s">
        <v>243</v>
      </c>
      <c r="B51" s="401"/>
      <c r="C51" s="401"/>
      <c r="D51" s="401"/>
      <c r="E51" s="401"/>
      <c r="F51" s="402"/>
      <c r="G51" s="402"/>
      <c r="H51" s="402"/>
      <c r="I51" s="401"/>
      <c r="J51" s="399"/>
      <c r="K51" s="399"/>
      <c r="L51" s="399"/>
      <c r="M51" s="399"/>
      <c r="N51" s="23"/>
      <c r="O51" s="2"/>
      <c r="P51" s="2"/>
      <c r="Q51" s="2"/>
      <c r="R51" s="2"/>
      <c r="S51" s="2"/>
    </row>
    <row r="52" spans="1:19" ht="12.75" customHeight="1" x14ac:dyDescent="0.25">
      <c r="A52" s="530" t="s">
        <v>3</v>
      </c>
      <c r="B52" s="542" t="s">
        <v>123</v>
      </c>
      <c r="C52" s="543"/>
      <c r="D52" s="543"/>
      <c r="E52" s="543"/>
      <c r="F52" s="541" t="s">
        <v>298</v>
      </c>
      <c r="G52" s="541"/>
      <c r="H52" s="541"/>
      <c r="I52" s="541"/>
      <c r="J52" s="534" t="s">
        <v>345</v>
      </c>
      <c r="K52" s="534"/>
      <c r="L52" s="534"/>
      <c r="M52" s="534"/>
      <c r="N52" s="530" t="s">
        <v>3</v>
      </c>
      <c r="O52" s="2"/>
    </row>
    <row r="53" spans="1:19" ht="12.75" customHeight="1" x14ac:dyDescent="0.25">
      <c r="A53" s="530"/>
      <c r="B53" s="539" t="s">
        <v>304</v>
      </c>
      <c r="C53" s="540"/>
      <c r="D53" s="540"/>
      <c r="E53" s="540"/>
      <c r="F53" s="541" t="s">
        <v>305</v>
      </c>
      <c r="G53" s="541"/>
      <c r="H53" s="541"/>
      <c r="I53" s="541"/>
      <c r="J53" s="534" t="s">
        <v>305</v>
      </c>
      <c r="K53" s="534"/>
      <c r="L53" s="534"/>
      <c r="M53" s="534"/>
      <c r="N53" s="530"/>
      <c r="O53" s="2"/>
    </row>
    <row r="54" spans="1:19" ht="24.95" customHeight="1" x14ac:dyDescent="0.25">
      <c r="A54" s="530"/>
      <c r="B54" s="539"/>
      <c r="C54" s="540"/>
      <c r="D54" s="540"/>
      <c r="E54" s="540"/>
      <c r="F54" s="423" t="s">
        <v>316</v>
      </c>
      <c r="G54" s="423" t="s">
        <v>317</v>
      </c>
      <c r="H54" s="423" t="s">
        <v>294</v>
      </c>
      <c r="I54" s="423" t="s">
        <v>242</v>
      </c>
      <c r="J54" s="504" t="s">
        <v>316</v>
      </c>
      <c r="K54" s="504" t="s">
        <v>317</v>
      </c>
      <c r="L54" s="504" t="s">
        <v>294</v>
      </c>
      <c r="M54" s="504" t="s">
        <v>242</v>
      </c>
      <c r="N54" s="530"/>
      <c r="O54" s="2"/>
    </row>
    <row r="55" spans="1:19" ht="12.75" customHeight="1" x14ac:dyDescent="0.25">
      <c r="A55" s="467" t="s">
        <v>6</v>
      </c>
      <c r="B55" s="539"/>
      <c r="C55" s="540"/>
      <c r="D55" s="540"/>
      <c r="E55" s="540"/>
      <c r="F55" s="426">
        <f>'1stIA Resource Clearing Results'!J46</f>
        <v>172.6</v>
      </c>
      <c r="G55" s="426">
        <f>'1stIA Resource Clearing Results'!K46</f>
        <v>-153.80000000000001</v>
      </c>
      <c r="H55" s="426">
        <f>'1stIA Resource Clearing Results'!L46</f>
        <v>160.69999999999999</v>
      </c>
      <c r="I55" s="426">
        <f>'1stIA Resource Clearing Results'!M46</f>
        <v>179.49999999999997</v>
      </c>
      <c r="J55" s="507">
        <f>'2ndIA Resource Clearing Results'!J46</f>
        <v>-55.400000000000006</v>
      </c>
      <c r="K55" s="507">
        <f>'2ndIA Resource Clearing Results'!K46</f>
        <v>-2486.3000000000002</v>
      </c>
      <c r="L55" s="507">
        <f>'2ndIA Resource Clearing Results'!L46</f>
        <v>31.4</v>
      </c>
      <c r="M55" s="507">
        <f>'2ndIA Resource Clearing Results'!M46</f>
        <v>-2510.3000000000002</v>
      </c>
      <c r="N55" s="467" t="s">
        <v>6</v>
      </c>
      <c r="O55" s="2"/>
    </row>
    <row r="56" spans="1:19" ht="12.75" customHeight="1" x14ac:dyDescent="0.25">
      <c r="A56" s="467" t="s">
        <v>29</v>
      </c>
      <c r="B56" s="539"/>
      <c r="C56" s="540"/>
      <c r="D56" s="540"/>
      <c r="E56" s="540"/>
      <c r="F56" s="426">
        <f>'1stIA Resource Clearing Results'!J47</f>
        <v>80.7</v>
      </c>
      <c r="G56" s="426">
        <f>'1stIA Resource Clearing Results'!K47</f>
        <v>-139.30000000000001</v>
      </c>
      <c r="H56" s="426">
        <f>'1stIA Resource Clearing Results'!L47</f>
        <v>104</v>
      </c>
      <c r="I56" s="426">
        <f>'1stIA Resource Clearing Results'!M47</f>
        <v>45.399999999999991</v>
      </c>
      <c r="J56" s="507">
        <f>'2ndIA Resource Clearing Results'!J47</f>
        <v>-45.800000000000011</v>
      </c>
      <c r="K56" s="507">
        <f>'2ndIA Resource Clearing Results'!K47</f>
        <v>-1218.5</v>
      </c>
      <c r="L56" s="507">
        <f>'2ndIA Resource Clearing Results'!L47</f>
        <v>14.3</v>
      </c>
      <c r="M56" s="507">
        <f>'2ndIA Resource Clearing Results'!M47</f>
        <v>-1250</v>
      </c>
      <c r="N56" s="467" t="s">
        <v>29</v>
      </c>
      <c r="O56" s="2"/>
    </row>
    <row r="57" spans="1:19" ht="12.75" customHeight="1" x14ac:dyDescent="0.25">
      <c r="A57" s="467" t="s">
        <v>36</v>
      </c>
      <c r="B57" s="539"/>
      <c r="C57" s="540"/>
      <c r="D57" s="540"/>
      <c r="E57" s="540"/>
      <c r="F57" s="426">
        <f>'1stIA Resource Clearing Results'!J48</f>
        <v>53.5</v>
      </c>
      <c r="G57" s="426">
        <f>'1stIA Resource Clearing Results'!K48</f>
        <v>-53.6</v>
      </c>
      <c r="H57" s="426">
        <f>'1stIA Resource Clearing Results'!L48</f>
        <v>62.9</v>
      </c>
      <c r="I57" s="426">
        <f>'1stIA Resource Clearing Results'!M48</f>
        <v>62.8</v>
      </c>
      <c r="J57" s="507">
        <f>'2ndIA Resource Clearing Results'!J48</f>
        <v>-76.100000000000009</v>
      </c>
      <c r="K57" s="507">
        <f>'2ndIA Resource Clearing Results'!K48</f>
        <v>-364.4</v>
      </c>
      <c r="L57" s="507">
        <f>'2ndIA Resource Clearing Results'!L48</f>
        <v>2.4</v>
      </c>
      <c r="M57" s="507">
        <f>'2ndIA Resource Clearing Results'!M48</f>
        <v>-438.1</v>
      </c>
      <c r="N57" s="467" t="s">
        <v>36</v>
      </c>
      <c r="O57" s="2"/>
    </row>
    <row r="58" spans="1:19" ht="12.75" customHeight="1" x14ac:dyDescent="0.25">
      <c r="A58" s="467" t="s">
        <v>5</v>
      </c>
      <c r="B58" s="539"/>
      <c r="C58" s="540"/>
      <c r="D58" s="540"/>
      <c r="E58" s="540"/>
      <c r="F58" s="426">
        <f>'1stIA Resource Clearing Results'!J49</f>
        <v>23</v>
      </c>
      <c r="G58" s="426">
        <f>'1stIA Resource Clearing Results'!K49</f>
        <v>0</v>
      </c>
      <c r="H58" s="426">
        <f>'1stIA Resource Clearing Results'!L49</f>
        <v>39.9</v>
      </c>
      <c r="I58" s="426">
        <f>'1stIA Resource Clearing Results'!M49</f>
        <v>62.9</v>
      </c>
      <c r="J58" s="507">
        <f>'2ndIA Resource Clearing Results'!J49</f>
        <v>24.2</v>
      </c>
      <c r="K58" s="507">
        <f>'2ndIA Resource Clearing Results'!K49</f>
        <v>-179.5</v>
      </c>
      <c r="L58" s="507">
        <f>'2ndIA Resource Clearing Results'!L49</f>
        <v>11.9</v>
      </c>
      <c r="M58" s="507">
        <f>'2ndIA Resource Clearing Results'!M49</f>
        <v>-143.4</v>
      </c>
      <c r="N58" s="467" t="s">
        <v>5</v>
      </c>
      <c r="O58" s="2"/>
    </row>
    <row r="59" spans="1:19" ht="12.75" customHeight="1" x14ac:dyDescent="0.25">
      <c r="A59" s="467" t="s">
        <v>8</v>
      </c>
      <c r="B59" s="539"/>
      <c r="C59" s="540"/>
      <c r="D59" s="540"/>
      <c r="E59" s="540"/>
      <c r="F59" s="426">
        <f>'1stIA Resource Clearing Results'!J50</f>
        <v>13.8</v>
      </c>
      <c r="G59" s="426">
        <f>'1stIA Resource Clearing Results'!K50</f>
        <v>0</v>
      </c>
      <c r="H59" s="426">
        <f>'1stIA Resource Clearing Results'!L50</f>
        <v>16.5</v>
      </c>
      <c r="I59" s="426">
        <f>'1stIA Resource Clearing Results'!M50</f>
        <v>30.3</v>
      </c>
      <c r="J59" s="507">
        <f>'2ndIA Resource Clearing Results'!J50</f>
        <v>15.1</v>
      </c>
      <c r="K59" s="507">
        <f>'2ndIA Resource Clearing Results'!K50</f>
        <v>-217.4</v>
      </c>
      <c r="L59" s="507">
        <f>'2ndIA Resource Clearing Results'!L50</f>
        <v>0.4</v>
      </c>
      <c r="M59" s="507">
        <f>'2ndIA Resource Clearing Results'!M50</f>
        <v>-201.9</v>
      </c>
      <c r="N59" s="467" t="s">
        <v>8</v>
      </c>
      <c r="O59" s="2"/>
    </row>
    <row r="60" spans="1:19" ht="12.75" customHeight="1" x14ac:dyDescent="0.25">
      <c r="A60" s="467" t="s">
        <v>37</v>
      </c>
      <c r="B60" s="539"/>
      <c r="C60" s="540"/>
      <c r="D60" s="540"/>
      <c r="E60" s="540"/>
      <c r="F60" s="426">
        <f>'1stIA Resource Clearing Results'!J51</f>
        <v>4.9000000000000004</v>
      </c>
      <c r="G60" s="426">
        <f>'1stIA Resource Clearing Results'!K51</f>
        <v>0</v>
      </c>
      <c r="H60" s="426">
        <f>'1stIA Resource Clearing Results'!L51</f>
        <v>4.2</v>
      </c>
      <c r="I60" s="426">
        <f>'1stIA Resource Clearing Results'!M51</f>
        <v>9.1000000000000014</v>
      </c>
      <c r="J60" s="507">
        <f>'2ndIA Resource Clearing Results'!J51</f>
        <v>7.5</v>
      </c>
      <c r="K60" s="507">
        <f>'2ndIA Resource Clearing Results'!K51</f>
        <v>-95.6</v>
      </c>
      <c r="L60" s="507">
        <f>'2ndIA Resource Clearing Results'!L51</f>
        <v>0.3</v>
      </c>
      <c r="M60" s="507">
        <f>'2ndIA Resource Clearing Results'!M51</f>
        <v>-87.8</v>
      </c>
      <c r="N60" s="467" t="s">
        <v>37</v>
      </c>
      <c r="O60" s="2"/>
    </row>
    <row r="61" spans="1:19" ht="12.75" customHeight="1" x14ac:dyDescent="0.25">
      <c r="A61" s="467" t="s">
        <v>38</v>
      </c>
      <c r="B61" s="539"/>
      <c r="C61" s="540"/>
      <c r="D61" s="540"/>
      <c r="E61" s="540"/>
      <c r="F61" s="426">
        <f>'1stIA Resource Clearing Results'!J52</f>
        <v>3.2</v>
      </c>
      <c r="G61" s="426">
        <f>'1stIA Resource Clearing Results'!K52</f>
        <v>-4.4000000000000004</v>
      </c>
      <c r="H61" s="426">
        <f>'1stIA Resource Clearing Results'!L52</f>
        <v>0.3</v>
      </c>
      <c r="I61" s="426">
        <f>'1stIA Resource Clearing Results'!M52</f>
        <v>-0.90000000000000013</v>
      </c>
      <c r="J61" s="507">
        <f>'2ndIA Resource Clearing Results'!J52</f>
        <v>1.9</v>
      </c>
      <c r="K61" s="507">
        <f>'2ndIA Resource Clearing Results'!K52</f>
        <v>0</v>
      </c>
      <c r="L61" s="507">
        <f>'2ndIA Resource Clearing Results'!L52</f>
        <v>0</v>
      </c>
      <c r="M61" s="507">
        <f>'2ndIA Resource Clearing Results'!M52</f>
        <v>1.9</v>
      </c>
      <c r="N61" s="467" t="s">
        <v>38</v>
      </c>
      <c r="O61" s="2"/>
    </row>
    <row r="62" spans="1:19" ht="12.75" customHeight="1" x14ac:dyDescent="0.25">
      <c r="A62" s="467" t="s">
        <v>15</v>
      </c>
      <c r="B62" s="539"/>
      <c r="C62" s="540"/>
      <c r="D62" s="540"/>
      <c r="E62" s="540"/>
      <c r="F62" s="426">
        <f>'1stIA Resource Clearing Results'!J53</f>
        <v>19.8</v>
      </c>
      <c r="G62" s="426">
        <f>'1stIA Resource Clearing Results'!K53</f>
        <v>0</v>
      </c>
      <c r="H62" s="426">
        <f>'1stIA Resource Clearing Results'!L53</f>
        <v>38.9</v>
      </c>
      <c r="I62" s="426">
        <f>'1stIA Resource Clearing Results'!M53</f>
        <v>58.7</v>
      </c>
      <c r="J62" s="507">
        <f>'2ndIA Resource Clearing Results'!J53</f>
        <v>18.600000000000001</v>
      </c>
      <c r="K62" s="507">
        <f>'2ndIA Resource Clearing Results'!K53</f>
        <v>0</v>
      </c>
      <c r="L62" s="507">
        <f>'2ndIA Resource Clearing Results'!L53</f>
        <v>11.9</v>
      </c>
      <c r="M62" s="507">
        <f>'2ndIA Resource Clearing Results'!M53</f>
        <v>30.5</v>
      </c>
      <c r="N62" s="467" t="s">
        <v>15</v>
      </c>
      <c r="O62" s="2"/>
    </row>
    <row r="63" spans="1:19" ht="12.75" customHeight="1" x14ac:dyDescent="0.25">
      <c r="A63" s="467" t="s">
        <v>46</v>
      </c>
      <c r="B63" s="539"/>
      <c r="C63" s="540"/>
      <c r="D63" s="540"/>
      <c r="E63" s="540"/>
      <c r="F63" s="426">
        <f>'1stIA Resource Clearing Results'!J54</f>
        <v>8.1999999999999993</v>
      </c>
      <c r="G63" s="426">
        <f>'1stIA Resource Clearing Results'!K54</f>
        <v>0</v>
      </c>
      <c r="H63" s="426">
        <f>'1stIA Resource Clearing Results'!L54</f>
        <v>20.6</v>
      </c>
      <c r="I63" s="426">
        <f>'1stIA Resource Clearing Results'!M54</f>
        <v>28.8</v>
      </c>
      <c r="J63" s="507">
        <f>'2ndIA Resource Clearing Results'!J54</f>
        <v>16.2</v>
      </c>
      <c r="K63" s="507">
        <f>'2ndIA Resource Clearing Results'!K54</f>
        <v>0</v>
      </c>
      <c r="L63" s="507">
        <f>'2ndIA Resource Clearing Results'!L54</f>
        <v>6.2</v>
      </c>
      <c r="M63" s="507">
        <f>'2ndIA Resource Clearing Results'!M54</f>
        <v>22.4</v>
      </c>
      <c r="N63" s="467" t="s">
        <v>46</v>
      </c>
      <c r="O63" s="2"/>
    </row>
    <row r="64" spans="1:19" ht="12.75" customHeight="1" x14ac:dyDescent="0.25">
      <c r="A64" s="467" t="s">
        <v>129</v>
      </c>
      <c r="B64" s="539"/>
      <c r="C64" s="540"/>
      <c r="D64" s="540"/>
      <c r="E64" s="540"/>
      <c r="F64" s="426">
        <f>'1stIA Resource Clearing Results'!J55</f>
        <v>0</v>
      </c>
      <c r="G64" s="426">
        <f>'1stIA Resource Clearing Results'!K55</f>
        <v>0</v>
      </c>
      <c r="H64" s="426">
        <f>'1stIA Resource Clearing Results'!L55</f>
        <v>8.3000000000000007</v>
      </c>
      <c r="I64" s="426">
        <f>'1stIA Resource Clearing Results'!M55</f>
        <v>8.3000000000000007</v>
      </c>
      <c r="J64" s="507">
        <f>'2ndIA Resource Clearing Results'!J55</f>
        <v>0.3</v>
      </c>
      <c r="K64" s="507">
        <f>'2ndIA Resource Clearing Results'!K55</f>
        <v>0</v>
      </c>
      <c r="L64" s="507">
        <f>'2ndIA Resource Clearing Results'!L55</f>
        <v>2.6</v>
      </c>
      <c r="M64" s="507">
        <f>'2ndIA Resource Clearing Results'!M55</f>
        <v>2.9</v>
      </c>
      <c r="N64" s="467" t="s">
        <v>129</v>
      </c>
      <c r="O64" s="2"/>
    </row>
    <row r="65" spans="1:19" ht="12.75" customHeight="1" x14ac:dyDescent="0.25">
      <c r="A65" s="467" t="s">
        <v>20</v>
      </c>
      <c r="B65" s="539"/>
      <c r="C65" s="540"/>
      <c r="D65" s="540"/>
      <c r="E65" s="540"/>
      <c r="F65" s="426">
        <f>'1stIA Resource Clearing Results'!J56</f>
        <v>5.7</v>
      </c>
      <c r="G65" s="426">
        <f>'1stIA Resource Clearing Results'!K56</f>
        <v>-14.5</v>
      </c>
      <c r="H65" s="426">
        <f>'1stIA Resource Clearing Results'!L56</f>
        <v>3.7</v>
      </c>
      <c r="I65" s="426">
        <f>'1stIA Resource Clearing Results'!M56</f>
        <v>-5.1000000000000005</v>
      </c>
      <c r="J65" s="507">
        <f>'2ndIA Resource Clearing Results'!J56</f>
        <v>-106.3</v>
      </c>
      <c r="K65" s="507">
        <f>'2ndIA Resource Clearing Results'!K56</f>
        <v>-681.1</v>
      </c>
      <c r="L65" s="507">
        <f>'2ndIA Resource Clearing Results'!L56</f>
        <v>0</v>
      </c>
      <c r="M65" s="507">
        <f>'2ndIA Resource Clearing Results'!M56</f>
        <v>-787.4</v>
      </c>
      <c r="N65" s="467" t="s">
        <v>20</v>
      </c>
      <c r="O65" s="2"/>
    </row>
    <row r="66" spans="1:19" ht="12.75" customHeight="1" x14ac:dyDescent="0.25">
      <c r="A66" s="467" t="s">
        <v>11</v>
      </c>
      <c r="B66" s="539"/>
      <c r="C66" s="540"/>
      <c r="D66" s="540"/>
      <c r="E66" s="540"/>
      <c r="F66" s="426">
        <f>'1stIA Resource Clearing Results'!J57</f>
        <v>3.2</v>
      </c>
      <c r="G66" s="426">
        <f>'1stIA Resource Clearing Results'!K57</f>
        <v>0</v>
      </c>
      <c r="H66" s="426">
        <f>'1stIA Resource Clearing Results'!L57</f>
        <v>1</v>
      </c>
      <c r="I66" s="426">
        <f>'1stIA Resource Clearing Results'!M57</f>
        <v>4.2</v>
      </c>
      <c r="J66" s="507">
        <f>'2ndIA Resource Clearing Results'!J57</f>
        <v>5.6</v>
      </c>
      <c r="K66" s="507">
        <f>'2ndIA Resource Clearing Results'!K57</f>
        <v>-124.5</v>
      </c>
      <c r="L66" s="507">
        <f>'2ndIA Resource Clearing Results'!L57</f>
        <v>0</v>
      </c>
      <c r="M66" s="507">
        <f>'2ndIA Resource Clearing Results'!M57</f>
        <v>-118.9</v>
      </c>
      <c r="N66" s="467" t="s">
        <v>11</v>
      </c>
      <c r="O66" s="2"/>
    </row>
    <row r="67" spans="1:19" ht="12.75" customHeight="1" x14ac:dyDescent="0.25">
      <c r="A67" s="467" t="s">
        <v>10</v>
      </c>
      <c r="B67" s="539"/>
      <c r="C67" s="540"/>
      <c r="D67" s="540"/>
      <c r="E67" s="540"/>
      <c r="F67" s="426">
        <f>'1stIA Resource Clearing Results'!J58</f>
        <v>3.1</v>
      </c>
      <c r="G67" s="426">
        <f>'1stIA Resource Clearing Results'!K58</f>
        <v>0</v>
      </c>
      <c r="H67" s="426">
        <f>'1stIA Resource Clearing Results'!L58</f>
        <v>0.8</v>
      </c>
      <c r="I67" s="426">
        <f>'1stIA Resource Clearing Results'!M58</f>
        <v>3.9000000000000004</v>
      </c>
      <c r="J67" s="507">
        <f>'2ndIA Resource Clearing Results'!J58</f>
        <v>3.1</v>
      </c>
      <c r="K67" s="507">
        <f>'2ndIA Resource Clearing Results'!K58</f>
        <v>0</v>
      </c>
      <c r="L67" s="507">
        <f>'2ndIA Resource Clearing Results'!L58</f>
        <v>0</v>
      </c>
      <c r="M67" s="507">
        <f>'2ndIA Resource Clearing Results'!M58</f>
        <v>3.1</v>
      </c>
      <c r="N67" s="467" t="s">
        <v>10</v>
      </c>
      <c r="O67" s="2"/>
    </row>
    <row r="68" spans="1:19" ht="12.75" customHeight="1" x14ac:dyDescent="0.25">
      <c r="A68" s="27" t="s">
        <v>306</v>
      </c>
      <c r="B68" s="400"/>
      <c r="C68" s="400"/>
      <c r="D68" s="400"/>
      <c r="E68" s="400"/>
      <c r="F68" s="400"/>
      <c r="G68" s="400"/>
      <c r="H68" s="400"/>
      <c r="I68" s="400"/>
      <c r="J68" s="399"/>
      <c r="K68" s="399"/>
      <c r="L68" s="399"/>
      <c r="M68" s="399"/>
      <c r="N68" s="23"/>
      <c r="O68" s="2"/>
      <c r="P68" s="2"/>
      <c r="Q68" s="2"/>
      <c r="R68" s="2"/>
      <c r="S68" s="2"/>
    </row>
    <row r="69" spans="1:19" ht="12.75" customHeight="1" x14ac:dyDescent="0.25">
      <c r="A69" s="27" t="s">
        <v>307</v>
      </c>
      <c r="B69" s="400"/>
      <c r="C69" s="400"/>
      <c r="D69" s="400"/>
      <c r="E69" s="400"/>
      <c r="F69" s="400"/>
      <c r="G69" s="400"/>
      <c r="H69" s="400"/>
      <c r="I69" s="400"/>
      <c r="J69" s="399"/>
      <c r="K69" s="399"/>
      <c r="L69" s="399"/>
      <c r="M69" s="399"/>
      <c r="N69" s="23"/>
      <c r="O69" s="2"/>
      <c r="P69" s="2"/>
      <c r="Q69" s="2"/>
      <c r="R69" s="2"/>
      <c r="S69" s="2"/>
    </row>
    <row r="70" spans="1:19" ht="12.75" customHeight="1" x14ac:dyDescent="0.25">
      <c r="A70" s="398"/>
      <c r="B70" s="399"/>
      <c r="C70" s="399"/>
      <c r="D70" s="399"/>
      <c r="E70" s="399"/>
      <c r="F70" s="399"/>
      <c r="G70" s="399"/>
      <c r="H70" s="399"/>
      <c r="I70" s="399"/>
      <c r="J70" s="399"/>
      <c r="K70" s="399"/>
      <c r="L70" s="399"/>
      <c r="M70" s="399"/>
      <c r="N70" s="23"/>
      <c r="O70" s="2"/>
      <c r="P70" s="2"/>
      <c r="Q70" s="2"/>
      <c r="R70" s="2"/>
      <c r="S70" s="2"/>
    </row>
    <row r="71" spans="1:19" ht="12.75" customHeight="1" x14ac:dyDescent="0.25">
      <c r="A71" s="398" t="s">
        <v>124</v>
      </c>
      <c r="B71" s="399"/>
      <c r="C71" s="399"/>
      <c r="D71" s="399"/>
      <c r="E71" s="399"/>
      <c r="F71" s="399"/>
      <c r="G71" s="399"/>
      <c r="H71" s="399"/>
      <c r="I71" s="399"/>
      <c r="J71" s="399"/>
      <c r="K71" s="399"/>
      <c r="L71" s="399"/>
      <c r="M71" s="399"/>
      <c r="N71" s="23"/>
      <c r="O71" s="2"/>
      <c r="P71" s="2"/>
      <c r="Q71" s="2"/>
      <c r="R71" s="2"/>
      <c r="S71" s="2"/>
    </row>
    <row r="72" spans="1:19" ht="12.75" customHeight="1" x14ac:dyDescent="0.2">
      <c r="A72" s="526" t="s">
        <v>7</v>
      </c>
      <c r="B72" s="525" t="s">
        <v>123</v>
      </c>
      <c r="C72" s="535"/>
      <c r="D72" s="535"/>
      <c r="E72" s="535"/>
      <c r="F72" s="533" t="s">
        <v>298</v>
      </c>
      <c r="G72" s="533"/>
      <c r="H72" s="533"/>
      <c r="I72" s="533"/>
      <c r="J72" s="532" t="s">
        <v>345</v>
      </c>
      <c r="K72" s="532"/>
      <c r="L72" s="532"/>
      <c r="M72" s="532"/>
      <c r="N72" s="526" t="s">
        <v>7</v>
      </c>
      <c r="O72" s="476"/>
      <c r="P72" s="476"/>
      <c r="Q72" s="476"/>
      <c r="R72" s="476"/>
      <c r="S72" s="476"/>
    </row>
    <row r="73" spans="1:19" ht="50.1" customHeight="1" x14ac:dyDescent="0.2">
      <c r="A73" s="526"/>
      <c r="B73" s="497" t="s">
        <v>319</v>
      </c>
      <c r="C73" s="414" t="s">
        <v>127</v>
      </c>
      <c r="D73" s="414" t="s">
        <v>125</v>
      </c>
      <c r="E73" s="414" t="s">
        <v>308</v>
      </c>
      <c r="F73" s="423" t="s">
        <v>309</v>
      </c>
      <c r="G73" s="423" t="s">
        <v>310</v>
      </c>
      <c r="H73" s="423" t="s">
        <v>311</v>
      </c>
      <c r="I73" s="427" t="s">
        <v>308</v>
      </c>
      <c r="J73" s="504" t="s">
        <v>309</v>
      </c>
      <c r="K73" s="504" t="s">
        <v>310</v>
      </c>
      <c r="L73" s="504" t="s">
        <v>311</v>
      </c>
      <c r="M73" s="508" t="s">
        <v>308</v>
      </c>
      <c r="N73" s="526"/>
      <c r="O73" s="331"/>
      <c r="P73" s="407"/>
      <c r="Q73" s="407"/>
      <c r="R73" s="407"/>
      <c r="S73" s="407"/>
    </row>
    <row r="74" spans="1:19" ht="12.75" customHeight="1" x14ac:dyDescent="0.2">
      <c r="A74" s="468" t="s">
        <v>16</v>
      </c>
      <c r="B74" s="501">
        <f>'BRA Load Pricing Results'!J38</f>
        <v>2964.6337927281334</v>
      </c>
      <c r="C74" s="420">
        <f>'BRA Load Pricing Results'!K38</f>
        <v>223.09414861460505</v>
      </c>
      <c r="D74" s="421">
        <f>'BRA CTRs'!AA21</f>
        <v>7.1253778810451811</v>
      </c>
      <c r="E74" s="422">
        <f>C74-D74</f>
        <v>215.96877073355986</v>
      </c>
      <c r="F74" s="428">
        <f>'1st IA Load Pricing Results'!J40</f>
        <v>2856.7272892730484</v>
      </c>
      <c r="G74" s="429">
        <f>'1st IA Load Pricing Results'!K40</f>
        <v>222.94225648665926</v>
      </c>
      <c r="H74" s="430">
        <f>'1st IA CTRs'!AA21</f>
        <v>6.8299611455629003</v>
      </c>
      <c r="I74" s="431">
        <f>G74-H74</f>
        <v>216.11229534109637</v>
      </c>
      <c r="J74" s="509">
        <f>'2nd IA Load Pricing Results'!J40</f>
        <v>2796.2643363441885</v>
      </c>
      <c r="K74" s="510">
        <f>'2nd IA Load Pricing Results'!K40</f>
        <v>225.76451854713611</v>
      </c>
      <c r="L74" s="511">
        <f>'2nd IA CTRs'!AA21</f>
        <v>6.8074837665967678</v>
      </c>
      <c r="M74" s="512">
        <f>K74-L74</f>
        <v>218.95703478053935</v>
      </c>
      <c r="N74" s="468" t="s">
        <v>16</v>
      </c>
      <c r="O74" s="409"/>
      <c r="P74" s="407"/>
      <c r="Q74" s="407"/>
      <c r="R74" s="407"/>
      <c r="S74" s="407"/>
    </row>
    <row r="75" spans="1:19" ht="12.75" customHeight="1" x14ac:dyDescent="0.2">
      <c r="A75" s="468" t="s">
        <v>137</v>
      </c>
      <c r="B75" s="501">
        <f>'BRA Load Pricing Results'!J39</f>
        <v>12694.509813759363</v>
      </c>
      <c r="C75" s="420">
        <f>'BRA Load Pricing Results'!K39</f>
        <v>162.44414861460504</v>
      </c>
      <c r="D75" s="421">
        <f>'BRA CTRs'!AA22</f>
        <v>0</v>
      </c>
      <c r="E75" s="422">
        <f t="shared" ref="E75:E93" si="0">C75-D75</f>
        <v>162.44414861460504</v>
      </c>
      <c r="F75" s="428">
        <f>'1st IA Load Pricing Results'!J41</f>
        <v>12659.220516820315</v>
      </c>
      <c r="G75" s="429">
        <f>'1st IA Load Pricing Results'!K41</f>
        <v>162.29855024416767</v>
      </c>
      <c r="H75" s="430">
        <f>'1st IA CTRs'!AA22</f>
        <v>0</v>
      </c>
      <c r="I75" s="431">
        <f t="shared" ref="I75:I93" si="1">G75-H75</f>
        <v>162.29855024416767</v>
      </c>
      <c r="J75" s="509">
        <f>'2nd IA Load Pricing Results'!J41</f>
        <v>12412.284161252092</v>
      </c>
      <c r="K75" s="510">
        <f>'2nd IA Load Pricing Results'!K41</f>
        <v>164.68371134565828</v>
      </c>
      <c r="L75" s="511">
        <f>'2nd IA CTRs'!AA22</f>
        <v>0</v>
      </c>
      <c r="M75" s="512">
        <f>K75-L75</f>
        <v>164.68371134565828</v>
      </c>
      <c r="N75" s="468" t="s">
        <v>137</v>
      </c>
      <c r="O75" s="409"/>
      <c r="P75" s="407"/>
      <c r="Q75" s="407"/>
      <c r="R75" s="407"/>
      <c r="S75" s="407"/>
    </row>
    <row r="76" spans="1:19" ht="12.75" customHeight="1" x14ac:dyDescent="0.2">
      <c r="A76" s="468" t="s">
        <v>19</v>
      </c>
      <c r="B76" s="501">
        <f>'BRA Load Pricing Results'!J40</f>
        <v>9806.7024434473151</v>
      </c>
      <c r="C76" s="420">
        <f>'BRA Load Pricing Results'!K40</f>
        <v>162.44414861460504</v>
      </c>
      <c r="D76" s="421">
        <f>'BRA CTRs'!AA23</f>
        <v>0</v>
      </c>
      <c r="E76" s="422">
        <f t="shared" si="0"/>
        <v>162.44414861460504</v>
      </c>
      <c r="F76" s="428">
        <f>'1st IA Load Pricing Results'!J42</f>
        <v>10287.487075224397</v>
      </c>
      <c r="G76" s="429">
        <f>'1st IA Load Pricing Results'!K42</f>
        <v>162.29855024416767</v>
      </c>
      <c r="H76" s="430">
        <f>'1st IA CTRs'!AA23</f>
        <v>0</v>
      </c>
      <c r="I76" s="431">
        <f t="shared" si="1"/>
        <v>162.29855024416767</v>
      </c>
      <c r="J76" s="509">
        <f>'2nd IA Load Pricing Results'!J42</f>
        <v>9963.8744607701556</v>
      </c>
      <c r="K76" s="510">
        <f>'2nd IA Load Pricing Results'!K42</f>
        <v>164.68371134565828</v>
      </c>
      <c r="L76" s="511">
        <f>'2nd IA CTRs'!AA23</f>
        <v>0</v>
      </c>
      <c r="M76" s="512">
        <f>K76-L76</f>
        <v>164.68371134565828</v>
      </c>
      <c r="N76" s="468" t="s">
        <v>19</v>
      </c>
      <c r="O76" s="409"/>
      <c r="P76" s="407"/>
      <c r="Q76" s="407"/>
      <c r="R76" s="407"/>
      <c r="S76" s="407"/>
    </row>
    <row r="77" spans="1:19" ht="12.75" customHeight="1" x14ac:dyDescent="0.2">
      <c r="A77" s="468" t="s">
        <v>46</v>
      </c>
      <c r="B77" s="501">
        <f>'BRA Load Pricing Results'!J41</f>
        <v>14546.289725595445</v>
      </c>
      <c r="C77" s="420">
        <f>'BRA Load Pricing Results'!K41</f>
        <v>162.44414861460504</v>
      </c>
      <c r="D77" s="421">
        <f>'BRA CTRs'!AA24</f>
        <v>0</v>
      </c>
      <c r="E77" s="422">
        <f t="shared" si="0"/>
        <v>162.44414861460504</v>
      </c>
      <c r="F77" s="428">
        <f>'1st IA Load Pricing Results'!J43</f>
        <v>14645.543050237184</v>
      </c>
      <c r="G77" s="429">
        <f>'1st IA Load Pricing Results'!K43</f>
        <v>162.29855024416767</v>
      </c>
      <c r="H77" s="430">
        <f>'1st IA CTRs'!AA24</f>
        <v>0</v>
      </c>
      <c r="I77" s="431">
        <f t="shared" si="1"/>
        <v>162.29855024416767</v>
      </c>
      <c r="J77" s="509">
        <f>'2nd IA Load Pricing Results'!J43</f>
        <v>14597.1517541298</v>
      </c>
      <c r="K77" s="510">
        <f>'2nd IA Load Pricing Results'!K43</f>
        <v>164.68371134565828</v>
      </c>
      <c r="L77" s="511">
        <f>'2nd IA CTRs'!AA24</f>
        <v>0</v>
      </c>
      <c r="M77" s="512">
        <f>K77-L77</f>
        <v>164.68371134565828</v>
      </c>
      <c r="N77" s="468" t="s">
        <v>46</v>
      </c>
      <c r="O77" s="409"/>
      <c r="P77" s="407"/>
      <c r="Q77" s="407"/>
      <c r="R77" s="407"/>
      <c r="S77" s="407"/>
    </row>
    <row r="78" spans="1:19" ht="12.75" customHeight="1" x14ac:dyDescent="0.2">
      <c r="A78" s="468" t="s">
        <v>11</v>
      </c>
      <c r="B78" s="501">
        <f>'BRA Load Pricing Results'!J42</f>
        <v>7948.4600775421704</v>
      </c>
      <c r="C78" s="420">
        <f>'BRA Load Pricing Results'!K42</f>
        <v>156.03061235019317</v>
      </c>
      <c r="D78" s="421">
        <f>'BRA CTRs'!AA25</f>
        <v>0</v>
      </c>
      <c r="E78" s="422">
        <f t="shared" si="0"/>
        <v>156.03061235019317</v>
      </c>
      <c r="F78" s="428">
        <f>'1st IA Load Pricing Results'!J44</f>
        <v>7897.7360490119208</v>
      </c>
      <c r="G78" s="429">
        <f>'1st IA Load Pricing Results'!K44</f>
        <v>155.90600017733433</v>
      </c>
      <c r="H78" s="430">
        <f>'1st IA CTRs'!AA25</f>
        <v>0</v>
      </c>
      <c r="I78" s="431">
        <f t="shared" si="1"/>
        <v>155.90600017733433</v>
      </c>
      <c r="J78" s="509">
        <f>'2nd IA Load Pricing Results'!J44</f>
        <v>7735.7104558730771</v>
      </c>
      <c r="K78" s="510">
        <f>'2nd IA Load Pricing Results'!K44</f>
        <v>158.21285653497341</v>
      </c>
      <c r="L78" s="511">
        <f>'2nd IA CTRs'!AA25</f>
        <v>0</v>
      </c>
      <c r="M78" s="512">
        <f>K78-L78</f>
        <v>158.21285653497341</v>
      </c>
      <c r="N78" s="468" t="s">
        <v>11</v>
      </c>
      <c r="O78" s="409"/>
      <c r="P78" s="407"/>
      <c r="Q78" s="407"/>
      <c r="R78" s="407"/>
      <c r="S78" s="407"/>
    </row>
    <row r="79" spans="1:19" ht="12.75" customHeight="1" x14ac:dyDescent="0.2">
      <c r="A79" s="468" t="s">
        <v>154</v>
      </c>
      <c r="B79" s="501">
        <f>'BRA Load Pricing Results'!J43</f>
        <v>25454.557643339445</v>
      </c>
      <c r="C79" s="420">
        <f>'BRA Load Pricing Results'!K43</f>
        <v>212.67414861460503</v>
      </c>
      <c r="D79" s="421">
        <f>'BRA CTRs'!AA26</f>
        <v>4.2113769929523945</v>
      </c>
      <c r="E79" s="422">
        <f t="shared" si="0"/>
        <v>208.46277162165265</v>
      </c>
      <c r="F79" s="428">
        <f>'1st IA Load Pricing Results'!J45</f>
        <v>24909.664610645556</v>
      </c>
      <c r="G79" s="429">
        <f>'1st IA Load Pricing Results'!K45</f>
        <v>212.53891416828617</v>
      </c>
      <c r="H79" s="430">
        <f>'1st IA CTRs'!AA26</f>
        <v>3.2156779113089855</v>
      </c>
      <c r="I79" s="431">
        <f t="shared" si="1"/>
        <v>209.3232362569772</v>
      </c>
      <c r="J79" s="509">
        <f>'2nd IA Load Pricing Results'!J45</f>
        <v>24800.002079293095</v>
      </c>
      <c r="K79" s="510">
        <f>'2nd IA Load Pricing Results'!K45</f>
        <v>216.22684066890037</v>
      </c>
      <c r="L79" s="511">
        <f>'2nd IA CTRs'!AA26</f>
        <v>4.3105059849544967</v>
      </c>
      <c r="M79" s="512">
        <f t="shared" ref="M79:M92" si="2">K79-L79</f>
        <v>211.91633468394588</v>
      </c>
      <c r="N79" s="468" t="s">
        <v>154</v>
      </c>
      <c r="O79" s="409"/>
      <c r="P79" s="407"/>
      <c r="Q79" s="407"/>
      <c r="R79" s="407"/>
      <c r="S79" s="407"/>
    </row>
    <row r="80" spans="1:19" ht="12.75" customHeight="1" x14ac:dyDescent="0.2">
      <c r="A80" s="468" t="s">
        <v>21</v>
      </c>
      <c r="B80" s="501">
        <f>'BRA Load Pricing Results'!J44</f>
        <v>3946.0919048234</v>
      </c>
      <c r="C80" s="420">
        <f>'BRA Load Pricing Results'!K44</f>
        <v>162.44414861460504</v>
      </c>
      <c r="D80" s="421">
        <f>'BRA CTRs'!AA27</f>
        <v>0</v>
      </c>
      <c r="E80" s="422">
        <f t="shared" si="0"/>
        <v>162.44414861460504</v>
      </c>
      <c r="F80" s="428">
        <f>'1st IA Load Pricing Results'!J46</f>
        <v>3872.4006614297914</v>
      </c>
      <c r="G80" s="429">
        <f>'1st IA Load Pricing Results'!K46</f>
        <v>162.29855024416767</v>
      </c>
      <c r="H80" s="430">
        <f>'1st IA CTRs'!AA27</f>
        <v>0</v>
      </c>
      <c r="I80" s="431">
        <f t="shared" si="1"/>
        <v>162.29855024416767</v>
      </c>
      <c r="J80" s="509">
        <f>'2nd IA Load Pricing Results'!J46</f>
        <v>3862.6165978309823</v>
      </c>
      <c r="K80" s="510">
        <f>'2nd IA Load Pricing Results'!K46</f>
        <v>164.68371134565828</v>
      </c>
      <c r="L80" s="511">
        <f>'2nd IA CTRs'!AA27</f>
        <v>0</v>
      </c>
      <c r="M80" s="512">
        <f t="shared" si="2"/>
        <v>164.68371134565828</v>
      </c>
      <c r="N80" s="468" t="s">
        <v>21</v>
      </c>
      <c r="O80" s="409"/>
      <c r="P80" s="407"/>
      <c r="Q80" s="407"/>
      <c r="R80" s="407"/>
      <c r="S80" s="407"/>
    </row>
    <row r="81" spans="1:19" ht="12.75" customHeight="1" x14ac:dyDescent="0.2">
      <c r="A81" s="468" t="s">
        <v>138</v>
      </c>
      <c r="B81" s="501">
        <f>'BRA Load Pricing Results'!J45</f>
        <v>5117.7500247876451</v>
      </c>
      <c r="C81" s="420">
        <f>'BRA Load Pricing Results'!K45</f>
        <v>162.44414861460504</v>
      </c>
      <c r="D81" s="421">
        <f>'BRA CTRs'!AA28</f>
        <v>0</v>
      </c>
      <c r="E81" s="422">
        <f t="shared" si="0"/>
        <v>162.44414861460504</v>
      </c>
      <c r="F81" s="428">
        <f>'1st IA Load Pricing Results'!J47</f>
        <v>5238.9885631765765</v>
      </c>
      <c r="G81" s="429">
        <f>'1st IA Load Pricing Results'!K47</f>
        <v>162.29855024416767</v>
      </c>
      <c r="H81" s="430">
        <f>'1st IA CTRs'!AA28</f>
        <v>0</v>
      </c>
      <c r="I81" s="431">
        <f t="shared" si="1"/>
        <v>162.29855024416767</v>
      </c>
      <c r="J81" s="509">
        <f>'2nd IA Load Pricing Results'!J47</f>
        <v>5184.2152325358402</v>
      </c>
      <c r="K81" s="510">
        <f>'2nd IA Load Pricing Results'!K47</f>
        <v>164.68371134565828</v>
      </c>
      <c r="L81" s="511">
        <f>'2nd IA CTRs'!AA28</f>
        <v>0</v>
      </c>
      <c r="M81" s="512">
        <f t="shared" si="2"/>
        <v>164.68371134565828</v>
      </c>
      <c r="N81" s="468" t="s">
        <v>138</v>
      </c>
      <c r="O81" s="409"/>
      <c r="P81" s="407"/>
      <c r="Q81" s="407"/>
      <c r="R81" s="407"/>
      <c r="S81" s="407"/>
    </row>
    <row r="82" spans="1:19" ht="12.75" customHeight="1" x14ac:dyDescent="0.2">
      <c r="A82" s="468" t="s">
        <v>45</v>
      </c>
      <c r="B82" s="501">
        <f>'BRA Load Pricing Results'!J46</f>
        <v>3273.027740794766</v>
      </c>
      <c r="C82" s="420">
        <f>'BRA Load Pricing Results'!K46</f>
        <v>162.44414861460504</v>
      </c>
      <c r="D82" s="421">
        <f>'BRA CTRs'!AA29</f>
        <v>0</v>
      </c>
      <c r="E82" s="422">
        <f t="shared" si="0"/>
        <v>162.44414861460504</v>
      </c>
      <c r="F82" s="428">
        <f>'1st IA Load Pricing Results'!J48</f>
        <v>3289.8477732617289</v>
      </c>
      <c r="G82" s="429">
        <f>'1st IA Load Pricing Results'!K48</f>
        <v>162.29855024416767</v>
      </c>
      <c r="H82" s="430">
        <f>'1st IA CTRs'!AA29</f>
        <v>0</v>
      </c>
      <c r="I82" s="431">
        <f t="shared" si="1"/>
        <v>162.29855024416767</v>
      </c>
      <c r="J82" s="509">
        <f>'2nd IA Load Pricing Results'!J48</f>
        <v>3232.8168451406377</v>
      </c>
      <c r="K82" s="510">
        <f>'2nd IA Load Pricing Results'!K48</f>
        <v>164.68371134565828</v>
      </c>
      <c r="L82" s="511">
        <f>'2nd IA CTRs'!AA29</f>
        <v>0</v>
      </c>
      <c r="M82" s="512">
        <f t="shared" si="2"/>
        <v>164.68371134565828</v>
      </c>
      <c r="N82" s="468" t="s">
        <v>45</v>
      </c>
      <c r="O82" s="409"/>
      <c r="P82" s="407"/>
      <c r="Q82" s="407"/>
      <c r="R82" s="407"/>
      <c r="S82" s="407"/>
    </row>
    <row r="83" spans="1:19" ht="12.75" customHeight="1" x14ac:dyDescent="0.2">
      <c r="A83" s="468" t="s">
        <v>31</v>
      </c>
      <c r="B83" s="501">
        <f>'BRA Load Pricing Results'!J47</f>
        <v>23137.424782502749</v>
      </c>
      <c r="C83" s="420">
        <f>'BRA Load Pricing Results'!K47</f>
        <v>162.44414861460504</v>
      </c>
      <c r="D83" s="421">
        <f>'BRA CTRs'!AA30</f>
        <v>0</v>
      </c>
      <c r="E83" s="422">
        <f t="shared" si="0"/>
        <v>162.44414861460504</v>
      </c>
      <c r="F83" s="428">
        <f>'1st IA Load Pricing Results'!J49</f>
        <v>23130.501750047773</v>
      </c>
      <c r="G83" s="429">
        <f>'1st IA Load Pricing Results'!K49</f>
        <v>162.29855024416767</v>
      </c>
      <c r="H83" s="430">
        <f>'1st IA CTRs'!AA30</f>
        <v>0</v>
      </c>
      <c r="I83" s="431">
        <f t="shared" si="1"/>
        <v>162.29855024416767</v>
      </c>
      <c r="J83" s="509">
        <f>'2nd IA Load Pricing Results'!J49</f>
        <v>22485.364553075771</v>
      </c>
      <c r="K83" s="510">
        <f>'2nd IA Load Pricing Results'!K49</f>
        <v>164.68371134565828</v>
      </c>
      <c r="L83" s="511">
        <f>'2nd IA CTRs'!AA30</f>
        <v>0</v>
      </c>
      <c r="M83" s="512">
        <f t="shared" si="2"/>
        <v>164.68371134565828</v>
      </c>
      <c r="N83" s="468" t="s">
        <v>31</v>
      </c>
      <c r="O83" s="409"/>
      <c r="P83" s="407"/>
      <c r="Q83" s="407"/>
      <c r="R83" s="407"/>
      <c r="S83" s="407"/>
    </row>
    <row r="84" spans="1:19" ht="12.75" customHeight="1" x14ac:dyDescent="0.2">
      <c r="A84" s="468" t="s">
        <v>17</v>
      </c>
      <c r="B84" s="501">
        <f>'BRA Load Pricing Results'!J48</f>
        <v>4686.6875903264799</v>
      </c>
      <c r="C84" s="420">
        <f>'BRA Load Pricing Results'!K48</f>
        <v>223.09414861460505</v>
      </c>
      <c r="D84" s="421">
        <f>'BRA CTRs'!AA31</f>
        <v>7.1253778810451811</v>
      </c>
      <c r="E84" s="422">
        <f t="shared" si="0"/>
        <v>215.96877073355986</v>
      </c>
      <c r="F84" s="428">
        <f>'1st IA Load Pricing Results'!J50</f>
        <v>4561.1906494441355</v>
      </c>
      <c r="G84" s="429">
        <f>'1st IA Load Pricing Results'!K50</f>
        <v>222.98213116280817</v>
      </c>
      <c r="H84" s="430">
        <f>'1st IA CTRs'!AA31</f>
        <v>6.8299611455629012</v>
      </c>
      <c r="I84" s="431">
        <f t="shared" si="1"/>
        <v>216.15217001724528</v>
      </c>
      <c r="J84" s="509">
        <f>'2nd IA Load Pricing Results'!J50</f>
        <v>4525.0122711781269</v>
      </c>
      <c r="K84" s="510">
        <f>'2nd IA Load Pricing Results'!K50</f>
        <v>225.80471202929712</v>
      </c>
      <c r="L84" s="511">
        <f>'2nd IA CTRs'!AA31</f>
        <v>6.8074837665967678</v>
      </c>
      <c r="M84" s="512">
        <f t="shared" si="2"/>
        <v>218.99722826270036</v>
      </c>
      <c r="N84" s="468" t="s">
        <v>17</v>
      </c>
      <c r="O84" s="409"/>
      <c r="P84" s="407"/>
      <c r="Q84" s="407"/>
      <c r="R84" s="407"/>
      <c r="S84" s="407"/>
    </row>
    <row r="85" spans="1:19" ht="12.75" customHeight="1" x14ac:dyDescent="0.2">
      <c r="A85" s="468" t="s">
        <v>139</v>
      </c>
      <c r="B85" s="501">
        <f>'BRA Load Pricing Results'!J49</f>
        <v>2518.7047498130783</v>
      </c>
      <c r="C85" s="420">
        <f>'BRA Load Pricing Results'!K49</f>
        <v>162.44414861460504</v>
      </c>
      <c r="D85" s="421">
        <f>'BRA CTRs'!AA32</f>
        <v>0</v>
      </c>
      <c r="E85" s="422">
        <f t="shared" si="0"/>
        <v>162.44414861460504</v>
      </c>
      <c r="F85" s="428">
        <f>'1st IA Load Pricing Results'!J51</f>
        <v>2459.6424448629227</v>
      </c>
      <c r="G85" s="429">
        <f>'1st IA Load Pricing Results'!K51</f>
        <v>162.29855024416767</v>
      </c>
      <c r="H85" s="430">
        <f>'1st IA CTRs'!AA32</f>
        <v>0</v>
      </c>
      <c r="I85" s="431">
        <f t="shared" si="1"/>
        <v>162.29855024416767</v>
      </c>
      <c r="J85" s="509">
        <f>'2nd IA Load Pricing Results'!J51</f>
        <v>2447.6455157536284</v>
      </c>
      <c r="K85" s="510">
        <f>'2nd IA Load Pricing Results'!K51</f>
        <v>164.68371134565828</v>
      </c>
      <c r="L85" s="511">
        <f>'2nd IA CTRs'!AA32</f>
        <v>0</v>
      </c>
      <c r="M85" s="512">
        <f t="shared" si="2"/>
        <v>164.68371134565828</v>
      </c>
      <c r="N85" s="468" t="s">
        <v>139</v>
      </c>
      <c r="O85" s="409"/>
      <c r="P85" s="407"/>
      <c r="Q85" s="407"/>
      <c r="R85" s="407"/>
      <c r="S85" s="407"/>
    </row>
    <row r="86" spans="1:19" ht="12.75" customHeight="1" x14ac:dyDescent="0.2">
      <c r="A86" s="468" t="s">
        <v>12</v>
      </c>
      <c r="B86" s="501">
        <f>'BRA Load Pricing Results'!J50</f>
        <v>7018.7761319106467</v>
      </c>
      <c r="C86" s="420">
        <f>'BRA Load Pricing Results'!K50</f>
        <v>223.09414861460505</v>
      </c>
      <c r="D86" s="421">
        <f>'BRA CTRs'!AA33</f>
        <v>7.1253778810451802</v>
      </c>
      <c r="E86" s="422">
        <f t="shared" si="0"/>
        <v>215.96877073355986</v>
      </c>
      <c r="F86" s="428">
        <f>'1st IA Load Pricing Results'!J52</f>
        <v>6868.0533889633598</v>
      </c>
      <c r="G86" s="429">
        <f>'1st IA Load Pricing Results'!K52</f>
        <v>222.94225648665926</v>
      </c>
      <c r="H86" s="430">
        <f>'1st IA CTRs'!AA33</f>
        <v>6.8299611455629012</v>
      </c>
      <c r="I86" s="431">
        <f t="shared" si="1"/>
        <v>216.11229534109637</v>
      </c>
      <c r="J86" s="509">
        <f>'2nd IA Load Pricing Results'!J52</f>
        <v>6827.6812375764648</v>
      </c>
      <c r="K86" s="510">
        <f>'2nd IA Load Pricing Results'!K52</f>
        <v>225.76451854713611</v>
      </c>
      <c r="L86" s="511">
        <f>'2nd IA CTRs'!AA33</f>
        <v>6.8074837665967678</v>
      </c>
      <c r="M86" s="512">
        <f t="shared" si="2"/>
        <v>218.95703478053935</v>
      </c>
      <c r="N86" s="468" t="s">
        <v>12</v>
      </c>
      <c r="O86" s="409"/>
      <c r="P86" s="407"/>
      <c r="Q86" s="407"/>
      <c r="R86" s="407"/>
      <c r="S86" s="407"/>
    </row>
    <row r="87" spans="1:19" ht="12.75" customHeight="1" x14ac:dyDescent="0.2">
      <c r="A87" s="468" t="s">
        <v>13</v>
      </c>
      <c r="B87" s="501">
        <f>'BRA Load Pricing Results'!J51</f>
        <v>3329.304008690136</v>
      </c>
      <c r="C87" s="420">
        <f>'BRA Load Pricing Results'!K51</f>
        <v>162.44414861460504</v>
      </c>
      <c r="D87" s="421">
        <f>'BRA CTRs'!AA34</f>
        <v>0</v>
      </c>
      <c r="E87" s="422">
        <f t="shared" si="0"/>
        <v>162.44414861460504</v>
      </c>
      <c r="F87" s="428">
        <f>'1st IA Load Pricing Results'!J53</f>
        <v>3393.7499917927062</v>
      </c>
      <c r="G87" s="429">
        <f>'1st IA Load Pricing Results'!K53</f>
        <v>162.29855024416767</v>
      </c>
      <c r="H87" s="430">
        <f>'1st IA CTRs'!AA34</f>
        <v>0</v>
      </c>
      <c r="I87" s="431">
        <f t="shared" si="1"/>
        <v>162.29855024416767</v>
      </c>
      <c r="J87" s="509">
        <f>'2nd IA Load Pricing Results'!J53</f>
        <v>3331.7687471344993</v>
      </c>
      <c r="K87" s="510">
        <f>'2nd IA Load Pricing Results'!K53</f>
        <v>164.68371134565828</v>
      </c>
      <c r="L87" s="511">
        <f>'2nd IA CTRs'!AA34</f>
        <v>0</v>
      </c>
      <c r="M87" s="512">
        <f t="shared" si="2"/>
        <v>164.68371134565828</v>
      </c>
      <c r="N87" s="468" t="s">
        <v>13</v>
      </c>
      <c r="O87" s="409"/>
      <c r="P87" s="407"/>
      <c r="Q87" s="407"/>
      <c r="R87" s="407"/>
      <c r="S87" s="407"/>
    </row>
    <row r="88" spans="1:19" ht="12.75" customHeight="1" x14ac:dyDescent="0.2">
      <c r="A88" s="468" t="s">
        <v>9</v>
      </c>
      <c r="B88" s="501">
        <f>'BRA Load Pricing Results'!J52</f>
        <v>9704.2796358777396</v>
      </c>
      <c r="C88" s="420">
        <f>'BRA Load Pricing Results'!K52</f>
        <v>223.09414861460505</v>
      </c>
      <c r="D88" s="421">
        <f>'BRA CTRs'!AA35</f>
        <v>7.1253778810451802</v>
      </c>
      <c r="E88" s="422">
        <f t="shared" si="0"/>
        <v>215.96877073355986</v>
      </c>
      <c r="F88" s="428">
        <f>'1st IA Load Pricing Results'!J54</f>
        <v>9869.5433197851871</v>
      </c>
      <c r="G88" s="429">
        <f>'1st IA Load Pricing Results'!K54</f>
        <v>222.94225648665926</v>
      </c>
      <c r="H88" s="430">
        <f>'1st IA CTRs'!AA35</f>
        <v>6.8299611455629012</v>
      </c>
      <c r="I88" s="431">
        <f t="shared" si="1"/>
        <v>216.11229534109637</v>
      </c>
      <c r="J88" s="509">
        <f>'2nd IA Load Pricing Results'!J54</f>
        <v>9696.1222553749976</v>
      </c>
      <c r="K88" s="510">
        <f>'2nd IA Load Pricing Results'!K54</f>
        <v>225.76451854713611</v>
      </c>
      <c r="L88" s="511">
        <f>'2nd IA CTRs'!AA35</f>
        <v>6.8074837665967687</v>
      </c>
      <c r="M88" s="512">
        <f t="shared" si="2"/>
        <v>218.95703478053935</v>
      </c>
      <c r="N88" s="468" t="s">
        <v>9</v>
      </c>
      <c r="O88" s="409"/>
      <c r="P88" s="407"/>
      <c r="Q88" s="407"/>
      <c r="R88" s="407"/>
      <c r="S88" s="407"/>
    </row>
    <row r="89" spans="1:19" ht="12.75" customHeight="1" x14ac:dyDescent="0.2">
      <c r="A89" s="468" t="s">
        <v>14</v>
      </c>
      <c r="B89" s="501">
        <f>'BRA Load Pricing Results'!J53</f>
        <v>3289.9106211633766</v>
      </c>
      <c r="C89" s="420">
        <f>'BRA Load Pricing Results'!K53</f>
        <v>162.44414861460504</v>
      </c>
      <c r="D89" s="421">
        <f>'BRA CTRs'!AA36</f>
        <v>0</v>
      </c>
      <c r="E89" s="422">
        <f t="shared" si="0"/>
        <v>162.44414861460504</v>
      </c>
      <c r="F89" s="428">
        <f>'1st IA Load Pricing Results'!J55</f>
        <v>3240.8152656403686</v>
      </c>
      <c r="G89" s="429">
        <f>'1st IA Load Pricing Results'!K55</f>
        <v>162.29855024416767</v>
      </c>
      <c r="H89" s="430">
        <f>'1st IA CTRs'!AA36</f>
        <v>0</v>
      </c>
      <c r="I89" s="431">
        <f t="shared" si="1"/>
        <v>162.29855024416767</v>
      </c>
      <c r="J89" s="509">
        <f>'2nd IA Load Pricing Results'!J55</f>
        <v>3226.9961450233518</v>
      </c>
      <c r="K89" s="510">
        <f>'2nd IA Load Pricing Results'!K55</f>
        <v>164.68371134565828</v>
      </c>
      <c r="L89" s="511">
        <f>'2nd IA CTRs'!AA36</f>
        <v>0</v>
      </c>
      <c r="M89" s="512">
        <f t="shared" si="2"/>
        <v>164.68371134565828</v>
      </c>
      <c r="N89" s="468" t="s">
        <v>14</v>
      </c>
      <c r="O89" s="409"/>
      <c r="P89" s="407"/>
      <c r="Q89" s="407"/>
      <c r="R89" s="407"/>
      <c r="S89" s="407"/>
    </row>
    <row r="90" spans="1:19" ht="12.75" customHeight="1" x14ac:dyDescent="0.2">
      <c r="A90" s="468" t="s">
        <v>15</v>
      </c>
      <c r="B90" s="501">
        <f>'BRA Load Pricing Results'!J54</f>
        <v>7315.9148263982033</v>
      </c>
      <c r="C90" s="420">
        <f>'BRA Load Pricing Results'!K54</f>
        <v>154.74164163036284</v>
      </c>
      <c r="D90" s="421">
        <f>'BRA CTRs'!AA37</f>
        <v>0</v>
      </c>
      <c r="E90" s="422">
        <f t="shared" si="0"/>
        <v>154.74164163036284</v>
      </c>
      <c r="F90" s="428">
        <f>'1st IA Load Pricing Results'!J56</f>
        <v>7416.7504980595322</v>
      </c>
      <c r="G90" s="429">
        <f>'1st IA Load Pricing Results'!K56</f>
        <v>154.63455387447337</v>
      </c>
      <c r="H90" s="430">
        <f>'1st IA CTRs'!AA37</f>
        <v>0</v>
      </c>
      <c r="I90" s="431">
        <f t="shared" si="1"/>
        <v>154.63455387447337</v>
      </c>
      <c r="J90" s="509">
        <f>'2nd IA Load Pricing Results'!J56</f>
        <v>7393.4532889766624</v>
      </c>
      <c r="K90" s="510">
        <f>'2nd IA Load Pricing Results'!K56</f>
        <v>156.9374038295293</v>
      </c>
      <c r="L90" s="511">
        <f>'2nd IA CTRs'!AA37</f>
        <v>0</v>
      </c>
      <c r="M90" s="512">
        <f t="shared" si="2"/>
        <v>156.9374038295293</v>
      </c>
      <c r="N90" s="468" t="s">
        <v>15</v>
      </c>
      <c r="O90" s="409"/>
      <c r="P90" s="407"/>
      <c r="Q90" s="407"/>
      <c r="R90" s="407"/>
      <c r="S90" s="407"/>
    </row>
    <row r="91" spans="1:19" ht="12.75" customHeight="1" x14ac:dyDescent="0.2">
      <c r="A91" s="468" t="s">
        <v>10</v>
      </c>
      <c r="B91" s="501">
        <f>'BRA Load Pricing Results'!J55</f>
        <v>8201.7032830713415</v>
      </c>
      <c r="C91" s="420">
        <f>'BRA Load Pricing Results'!K55</f>
        <v>152.73830517543715</v>
      </c>
      <c r="D91" s="421">
        <f>'BRA CTRs'!AA38</f>
        <v>0</v>
      </c>
      <c r="E91" s="422">
        <f t="shared" si="0"/>
        <v>152.73830517543715</v>
      </c>
      <c r="F91" s="428">
        <f>'1st IA Load Pricing Results'!J57</f>
        <v>8445.2657174504402</v>
      </c>
      <c r="G91" s="429">
        <f>'1st IA Load Pricing Results'!K57</f>
        <v>152.87262444582203</v>
      </c>
      <c r="H91" s="430">
        <f>'1st IA CTRs'!AA38</f>
        <v>0</v>
      </c>
      <c r="I91" s="431">
        <f t="shared" si="1"/>
        <v>152.87262444582203</v>
      </c>
      <c r="J91" s="509">
        <f>'2nd IA Load Pricing Results'!J57</f>
        <v>8244.4396461238739</v>
      </c>
      <c r="K91" s="510">
        <f>'2nd IA Load Pricing Results'!K57</f>
        <v>155.02817968833989</v>
      </c>
      <c r="L91" s="511">
        <f>'2nd IA CTRs'!AA38</f>
        <v>0</v>
      </c>
      <c r="M91" s="512">
        <f t="shared" si="2"/>
        <v>155.02817968833989</v>
      </c>
      <c r="N91" s="468" t="s">
        <v>10</v>
      </c>
      <c r="O91" s="409"/>
      <c r="P91" s="407"/>
      <c r="Q91" s="407"/>
      <c r="R91" s="407"/>
      <c r="S91" s="407"/>
    </row>
    <row r="92" spans="1:19" ht="12.75" customHeight="1" x14ac:dyDescent="0.2">
      <c r="A92" s="468" t="s">
        <v>8</v>
      </c>
      <c r="B92" s="501">
        <f>'BRA Load Pricing Results'!J56</f>
        <v>11419.580281328645</v>
      </c>
      <c r="C92" s="420">
        <f>'BRA Load Pricing Results'!K56</f>
        <v>223.09414861460505</v>
      </c>
      <c r="D92" s="421">
        <f>'BRA CTRs'!AA39</f>
        <v>7.1253778810451811</v>
      </c>
      <c r="E92" s="422">
        <f t="shared" si="0"/>
        <v>215.96877073355986</v>
      </c>
      <c r="F92" s="428">
        <f>'1st IA Load Pricing Results'!J58</f>
        <v>11514.46720641605</v>
      </c>
      <c r="G92" s="429">
        <f>'1st IA Load Pricing Results'!K58</f>
        <v>222.94225648665926</v>
      </c>
      <c r="H92" s="430">
        <f>'1st IA CTRs'!AA39</f>
        <v>6.8299611455629012</v>
      </c>
      <c r="I92" s="431">
        <f t="shared" si="1"/>
        <v>216.11229534109637</v>
      </c>
      <c r="J92" s="509">
        <f>'2nd IA Load Pricing Results'!J58</f>
        <v>11293.322367558272</v>
      </c>
      <c r="K92" s="510">
        <f>'2nd IA Load Pricing Results'!K58</f>
        <v>225.76451854713611</v>
      </c>
      <c r="L92" s="511">
        <f>'2nd IA CTRs'!AA39</f>
        <v>6.8074837665967678</v>
      </c>
      <c r="M92" s="512">
        <f t="shared" si="2"/>
        <v>218.95703478053935</v>
      </c>
      <c r="N92" s="468" t="s">
        <v>8</v>
      </c>
      <c r="O92" s="409"/>
      <c r="P92" s="407"/>
      <c r="Q92" s="407"/>
      <c r="R92" s="407"/>
      <c r="S92" s="407"/>
    </row>
    <row r="93" spans="1:19" ht="12.75" customHeight="1" x14ac:dyDescent="0.2">
      <c r="A93" s="468" t="s">
        <v>18</v>
      </c>
      <c r="B93" s="501">
        <f>'BRA Load Pricing Results'!J57</f>
        <v>462.59092209994793</v>
      </c>
      <c r="C93" s="420">
        <f>'BRA Load Pricing Results'!K57</f>
        <v>223.09414861460505</v>
      </c>
      <c r="D93" s="421">
        <f>'BRA CTRs'!AA40</f>
        <v>7.1253778810451802</v>
      </c>
      <c r="E93" s="422">
        <f t="shared" si="0"/>
        <v>215.96877073355986</v>
      </c>
      <c r="F93" s="428">
        <f>'1st IA Load Pricing Results'!J59</f>
        <v>458.80417845701186</v>
      </c>
      <c r="G93" s="429">
        <f>'1st IA Load Pricing Results'!K59</f>
        <v>222.94225648665926</v>
      </c>
      <c r="H93" s="430">
        <f>'1st IA CTRs'!AA40</f>
        <v>6.8299611455629003</v>
      </c>
      <c r="I93" s="431">
        <f t="shared" si="1"/>
        <v>216.11229534109637</v>
      </c>
      <c r="J93" s="509">
        <f>'2nd IA Load Pricing Results'!J59</f>
        <v>449.35804905447827</v>
      </c>
      <c r="K93" s="510">
        <f>'2nd IA Load Pricing Results'!K59</f>
        <v>225.76451854713611</v>
      </c>
      <c r="L93" s="511">
        <f>'2nd IA CTRs'!AA40</f>
        <v>6.8074837665967678</v>
      </c>
      <c r="M93" s="512">
        <f>K93-L93</f>
        <v>218.95703478053935</v>
      </c>
      <c r="N93" s="468" t="s">
        <v>18</v>
      </c>
      <c r="O93" s="409"/>
      <c r="P93" s="407"/>
      <c r="Q93" s="407"/>
      <c r="R93" s="407"/>
      <c r="S93" s="407"/>
    </row>
    <row r="94" spans="1:19" ht="12.75" customHeight="1" x14ac:dyDescent="0.2">
      <c r="A94" s="503" t="s">
        <v>51</v>
      </c>
      <c r="B94" s="502">
        <f>SUM(B74:B93)</f>
        <v>166836.90000000002</v>
      </c>
      <c r="C94" s="26"/>
      <c r="D94" s="26"/>
      <c r="E94" s="26"/>
      <c r="F94" s="435">
        <f>SUM(F74:F93)</f>
        <v>167016.4</v>
      </c>
      <c r="G94" s="26"/>
      <c r="H94" s="410" t="s">
        <v>24</v>
      </c>
      <c r="I94" s="26"/>
      <c r="J94" s="513">
        <f>SUM(J74:J93)</f>
        <v>164506.1</v>
      </c>
      <c r="K94" s="26"/>
      <c r="L94" s="410" t="s">
        <v>24</v>
      </c>
      <c r="M94" s="26"/>
      <c r="N94" s="410"/>
      <c r="O94" s="27"/>
      <c r="P94" s="27"/>
      <c r="Q94" s="27"/>
      <c r="R94" s="27"/>
      <c r="S94" s="27"/>
    </row>
    <row r="95" spans="1:19" ht="12.75" customHeight="1" x14ac:dyDescent="0.2">
      <c r="A95" s="412" t="s">
        <v>318</v>
      </c>
      <c r="B95" s="413"/>
      <c r="C95" s="413"/>
      <c r="D95" s="413"/>
      <c r="E95" s="413"/>
      <c r="F95" s="413"/>
      <c r="G95" s="413"/>
      <c r="H95" s="413"/>
      <c r="I95" s="413"/>
      <c r="J95" s="407"/>
      <c r="K95" s="407"/>
      <c r="L95" s="407"/>
      <c r="M95" s="407"/>
      <c r="N95" s="407"/>
      <c r="O95" s="407"/>
      <c r="P95" s="407"/>
      <c r="Q95" s="407"/>
      <c r="R95" s="403"/>
      <c r="S95" s="403"/>
    </row>
    <row r="96" spans="1:19" ht="12.75" customHeight="1" x14ac:dyDescent="0.2">
      <c r="A96" s="412" t="s">
        <v>350</v>
      </c>
      <c r="B96" s="413"/>
      <c r="C96" s="413"/>
      <c r="D96" s="413"/>
      <c r="E96" s="413"/>
      <c r="F96" s="413"/>
      <c r="G96" s="413"/>
      <c r="H96" s="413"/>
      <c r="I96" s="413"/>
      <c r="J96" s="407"/>
      <c r="K96" s="407"/>
      <c r="L96" s="407"/>
      <c r="M96" s="407"/>
      <c r="N96" s="407"/>
      <c r="O96" s="407"/>
      <c r="P96" s="407"/>
      <c r="Q96" s="407"/>
      <c r="R96" s="403"/>
      <c r="S96" s="403"/>
    </row>
    <row r="97" spans="1:14" ht="12.75" customHeight="1" x14ac:dyDescent="0.2">
      <c r="A97" s="411" t="s">
        <v>312</v>
      </c>
      <c r="B97" s="411"/>
      <c r="C97" s="411"/>
      <c r="D97" s="411"/>
      <c r="E97" s="411"/>
      <c r="F97" s="411"/>
      <c r="G97" s="411"/>
      <c r="H97" s="411"/>
      <c r="I97" s="411"/>
      <c r="J97" s="411"/>
      <c r="K97" s="411"/>
      <c r="L97" s="411"/>
      <c r="M97" s="411"/>
      <c r="N97" s="411"/>
    </row>
    <row r="98" spans="1:14" x14ac:dyDescent="0.2">
      <c r="A98" s="15"/>
    </row>
    <row r="99" spans="1:14" x14ac:dyDescent="0.2">
      <c r="A99" s="15"/>
    </row>
    <row r="100" spans="1:14" x14ac:dyDescent="0.2">
      <c r="A100" s="15"/>
    </row>
    <row r="101" spans="1:14" x14ac:dyDescent="0.2">
      <c r="A101" s="15"/>
    </row>
    <row r="102" spans="1:14" x14ac:dyDescent="0.2">
      <c r="A102" s="15"/>
    </row>
    <row r="103" spans="1:14" x14ac:dyDescent="0.2">
      <c r="A103" s="15"/>
    </row>
    <row r="104" spans="1:14" x14ac:dyDescent="0.2">
      <c r="A104" s="15"/>
    </row>
    <row r="105" spans="1:14" x14ac:dyDescent="0.2">
      <c r="A105" s="15"/>
    </row>
    <row r="106" spans="1:14" x14ac:dyDescent="0.2">
      <c r="A106" s="15"/>
    </row>
    <row r="107" spans="1:14" x14ac:dyDescent="0.2">
      <c r="A107" s="15"/>
    </row>
    <row r="108" spans="1:14" x14ac:dyDescent="0.2">
      <c r="A108" s="15"/>
    </row>
    <row r="109" spans="1:14" x14ac:dyDescent="0.2">
      <c r="A109" s="15"/>
    </row>
    <row r="110" spans="1:14" x14ac:dyDescent="0.2">
      <c r="A110" s="15"/>
    </row>
    <row r="111" spans="1:14" x14ac:dyDescent="0.2">
      <c r="A111" s="15"/>
    </row>
    <row r="112" spans="1:14" x14ac:dyDescent="0.2">
      <c r="A112" s="15"/>
    </row>
    <row r="113" spans="1:1" x14ac:dyDescent="0.2">
      <c r="A113" s="15"/>
    </row>
    <row r="114" spans="1:1" x14ac:dyDescent="0.2">
      <c r="A114" s="15"/>
    </row>
    <row r="115" spans="1:1" x14ac:dyDescent="0.2">
      <c r="A115" s="15"/>
    </row>
    <row r="116" spans="1:1" x14ac:dyDescent="0.2">
      <c r="A116" s="15"/>
    </row>
    <row r="117" spans="1:1" x14ac:dyDescent="0.2">
      <c r="A117" s="15"/>
    </row>
    <row r="118" spans="1:1" x14ac:dyDescent="0.2">
      <c r="A118" s="15"/>
    </row>
    <row r="119" spans="1:1" x14ac:dyDescent="0.2">
      <c r="A119" s="15"/>
    </row>
    <row r="120" spans="1:1" x14ac:dyDescent="0.2">
      <c r="A120" s="15"/>
    </row>
    <row r="121" spans="1:1" x14ac:dyDescent="0.2">
      <c r="A121" s="15"/>
    </row>
    <row r="122" spans="1:1" x14ac:dyDescent="0.2">
      <c r="A122" s="15"/>
    </row>
    <row r="123" spans="1:1" x14ac:dyDescent="0.2">
      <c r="A123" s="15"/>
    </row>
    <row r="124" spans="1:1" x14ac:dyDescent="0.2">
      <c r="A124" s="15"/>
    </row>
    <row r="125" spans="1:1" x14ac:dyDescent="0.2">
      <c r="A125" s="15"/>
    </row>
    <row r="126" spans="1:1" x14ac:dyDescent="0.2">
      <c r="A126" s="15"/>
    </row>
    <row r="127" spans="1:1" x14ac:dyDescent="0.2">
      <c r="A127" s="15"/>
    </row>
    <row r="128" spans="1:1" x14ac:dyDescent="0.2">
      <c r="A128" s="15"/>
    </row>
    <row r="129" spans="1:1" x14ac:dyDescent="0.2">
      <c r="A129" s="15"/>
    </row>
    <row r="130" spans="1:1" x14ac:dyDescent="0.2">
      <c r="A130" s="15"/>
    </row>
    <row r="131" spans="1:1" x14ac:dyDescent="0.2">
      <c r="A131" s="15"/>
    </row>
    <row r="132" spans="1:1" x14ac:dyDescent="0.2">
      <c r="A132" s="15"/>
    </row>
    <row r="133" spans="1:1" x14ac:dyDescent="0.2">
      <c r="A133" s="15"/>
    </row>
    <row r="134" spans="1:1" x14ac:dyDescent="0.2">
      <c r="A134" s="15"/>
    </row>
    <row r="135" spans="1:1" x14ac:dyDescent="0.2">
      <c r="A135" s="15"/>
    </row>
    <row r="136" spans="1:1" x14ac:dyDescent="0.2">
      <c r="A136" s="15"/>
    </row>
    <row r="137" spans="1:1" x14ac:dyDescent="0.2">
      <c r="A137" s="15"/>
    </row>
    <row r="138" spans="1:1" x14ac:dyDescent="0.2">
      <c r="A138" s="15"/>
    </row>
    <row r="139" spans="1:1" x14ac:dyDescent="0.2">
      <c r="A139" s="15"/>
    </row>
    <row r="140" spans="1:1" x14ac:dyDescent="0.2">
      <c r="A140" s="15"/>
    </row>
    <row r="141" spans="1:1" x14ac:dyDescent="0.2">
      <c r="A141" s="15"/>
    </row>
    <row r="142" spans="1:1" x14ac:dyDescent="0.2">
      <c r="A142" s="15"/>
    </row>
    <row r="143" spans="1:1" x14ac:dyDescent="0.2">
      <c r="A143" s="15"/>
    </row>
    <row r="144" spans="1:1" x14ac:dyDescent="0.2">
      <c r="A144" s="15"/>
    </row>
    <row r="145" spans="1:1" x14ac:dyDescent="0.2">
      <c r="A145" s="15"/>
    </row>
    <row r="146" spans="1:1" x14ac:dyDescent="0.2">
      <c r="A146" s="15"/>
    </row>
    <row r="147" spans="1:1" x14ac:dyDescent="0.2">
      <c r="A147" s="15"/>
    </row>
    <row r="148" spans="1:1" x14ac:dyDescent="0.2">
      <c r="A148" s="15"/>
    </row>
    <row r="149" spans="1:1" x14ac:dyDescent="0.2">
      <c r="A149" s="15"/>
    </row>
    <row r="150" spans="1:1" x14ac:dyDescent="0.2">
      <c r="A150" s="15"/>
    </row>
    <row r="151" spans="1:1" x14ac:dyDescent="0.2">
      <c r="A151" s="15"/>
    </row>
    <row r="152" spans="1:1" x14ac:dyDescent="0.2">
      <c r="A152" s="15"/>
    </row>
    <row r="153" spans="1:1" x14ac:dyDescent="0.2">
      <c r="A153" s="15"/>
    </row>
    <row r="154" spans="1:1" x14ac:dyDescent="0.2">
      <c r="A154" s="15"/>
    </row>
    <row r="155" spans="1:1" x14ac:dyDescent="0.2">
      <c r="A155" s="15"/>
    </row>
    <row r="156" spans="1:1" x14ac:dyDescent="0.2">
      <c r="A156" s="15"/>
    </row>
    <row r="157" spans="1:1" x14ac:dyDescent="0.2">
      <c r="A157" s="15"/>
    </row>
    <row r="158" spans="1:1" x14ac:dyDescent="0.2">
      <c r="A158" s="15"/>
    </row>
    <row r="159" spans="1:1" x14ac:dyDescent="0.2">
      <c r="A159" s="15"/>
    </row>
    <row r="160" spans="1:1" x14ac:dyDescent="0.2">
      <c r="A160" s="15"/>
    </row>
    <row r="161" spans="1:1" x14ac:dyDescent="0.2">
      <c r="A161" s="15"/>
    </row>
    <row r="162" spans="1:1" x14ac:dyDescent="0.2">
      <c r="A162" s="15"/>
    </row>
    <row r="163" spans="1:1" x14ac:dyDescent="0.2">
      <c r="A163" s="15"/>
    </row>
    <row r="164" spans="1:1" x14ac:dyDescent="0.2">
      <c r="A164" s="15"/>
    </row>
    <row r="165" spans="1:1" x14ac:dyDescent="0.2">
      <c r="A165" s="15"/>
    </row>
    <row r="166" spans="1:1" x14ac:dyDescent="0.2">
      <c r="A166" s="15"/>
    </row>
    <row r="167" spans="1:1" x14ac:dyDescent="0.2">
      <c r="A167" s="15"/>
    </row>
    <row r="168" spans="1:1" x14ac:dyDescent="0.2">
      <c r="A168" s="15"/>
    </row>
    <row r="169" spans="1:1" x14ac:dyDescent="0.2">
      <c r="A169" s="15"/>
    </row>
    <row r="170" spans="1:1" x14ac:dyDescent="0.2">
      <c r="A170" s="15"/>
    </row>
    <row r="171" spans="1:1" x14ac:dyDescent="0.2">
      <c r="A171" s="15"/>
    </row>
    <row r="172" spans="1:1" x14ac:dyDescent="0.2">
      <c r="A172" s="15"/>
    </row>
    <row r="173" spans="1:1" x14ac:dyDescent="0.2">
      <c r="A173" s="15"/>
    </row>
    <row r="174" spans="1:1" x14ac:dyDescent="0.2">
      <c r="A174" s="15"/>
    </row>
    <row r="175" spans="1:1" x14ac:dyDescent="0.2">
      <c r="A175" s="15"/>
    </row>
    <row r="176" spans="1:1" x14ac:dyDescent="0.2">
      <c r="A176" s="15"/>
    </row>
    <row r="177" spans="1:1" x14ac:dyDescent="0.2">
      <c r="A177" s="15"/>
    </row>
    <row r="178" spans="1:1" x14ac:dyDescent="0.2">
      <c r="A178" s="15"/>
    </row>
    <row r="179" spans="1:1" x14ac:dyDescent="0.2">
      <c r="A179" s="15"/>
    </row>
    <row r="180" spans="1:1" x14ac:dyDescent="0.2">
      <c r="A180" s="15"/>
    </row>
    <row r="181" spans="1:1" x14ac:dyDescent="0.2">
      <c r="A181" s="15"/>
    </row>
    <row r="182" spans="1:1" x14ac:dyDescent="0.2">
      <c r="A182" s="15"/>
    </row>
    <row r="183" spans="1:1" x14ac:dyDescent="0.2">
      <c r="A183" s="15"/>
    </row>
    <row r="184" spans="1:1" x14ac:dyDescent="0.2">
      <c r="A184" s="15"/>
    </row>
    <row r="185" spans="1:1" x14ac:dyDescent="0.2">
      <c r="A185" s="15"/>
    </row>
    <row r="186" spans="1:1" x14ac:dyDescent="0.2">
      <c r="A186" s="15"/>
    </row>
    <row r="187" spans="1:1" x14ac:dyDescent="0.2">
      <c r="A187" s="15"/>
    </row>
    <row r="188" spans="1:1" x14ac:dyDescent="0.2">
      <c r="A188" s="15"/>
    </row>
    <row r="189" spans="1:1" x14ac:dyDescent="0.2">
      <c r="A189" s="15"/>
    </row>
    <row r="190" spans="1:1" x14ac:dyDescent="0.2">
      <c r="A190" s="15"/>
    </row>
    <row r="191" spans="1:1" x14ac:dyDescent="0.2">
      <c r="A191" s="15"/>
    </row>
    <row r="192" spans="1:1" x14ac:dyDescent="0.2">
      <c r="A192" s="15"/>
    </row>
    <row r="193" spans="1:1" x14ac:dyDescent="0.2">
      <c r="A193" s="15"/>
    </row>
    <row r="194" spans="1:1" x14ac:dyDescent="0.2">
      <c r="A194" s="15"/>
    </row>
  </sheetData>
  <mergeCells count="29">
    <mergeCell ref="A27:A29"/>
    <mergeCell ref="A4:A6"/>
    <mergeCell ref="B72:E72"/>
    <mergeCell ref="B4:D4"/>
    <mergeCell ref="E4:G4"/>
    <mergeCell ref="B53:E67"/>
    <mergeCell ref="F53:I53"/>
    <mergeCell ref="B28:E28"/>
    <mergeCell ref="F28:I28"/>
    <mergeCell ref="B52:E52"/>
    <mergeCell ref="F52:I52"/>
    <mergeCell ref="F72:I72"/>
    <mergeCell ref="B5:D5"/>
    <mergeCell ref="E5:G5"/>
    <mergeCell ref="B27:E27"/>
    <mergeCell ref="A72:A73"/>
    <mergeCell ref="N52:N54"/>
    <mergeCell ref="J52:M52"/>
    <mergeCell ref="J53:M53"/>
    <mergeCell ref="N72:N73"/>
    <mergeCell ref="J72:M72"/>
    <mergeCell ref="A52:A54"/>
    <mergeCell ref="K4:K6"/>
    <mergeCell ref="H4:J4"/>
    <mergeCell ref="H5:J5"/>
    <mergeCell ref="N27:N29"/>
    <mergeCell ref="J27:M27"/>
    <mergeCell ref="J28:M28"/>
    <mergeCell ref="F27:I27"/>
  </mergeCells>
  <pageMargins left="0.5" right="0.5" top="0.5" bottom="0.5" header="0" footer="0"/>
  <pageSetup paperSize="17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zoomScaleNormal="100" workbookViewId="0">
      <pane xSplit="1" topLeftCell="B1" activePane="topRight" state="frozen"/>
      <selection pane="topRight"/>
    </sheetView>
  </sheetViews>
  <sheetFormatPr defaultRowHeight="12.75" x14ac:dyDescent="0.2"/>
  <cols>
    <col min="1" max="1" width="14.5703125" style="4" customWidth="1"/>
    <col min="2" max="2" width="16" style="4" customWidth="1"/>
    <col min="3" max="3" width="15" style="4" customWidth="1"/>
    <col min="4" max="4" width="15.42578125" style="4" bestFit="1" customWidth="1"/>
    <col min="5" max="5" width="14.28515625" style="4" customWidth="1"/>
    <col min="6" max="6" width="17.85546875" style="4" customWidth="1"/>
    <col min="7" max="7" width="16.42578125" style="4" customWidth="1"/>
    <col min="8" max="8" width="16" style="4" customWidth="1"/>
    <col min="9" max="9" width="18.28515625" style="4" customWidth="1"/>
    <col min="10" max="10" width="19.140625" style="4" customWidth="1"/>
    <col min="11" max="11" width="12.7109375" style="4" customWidth="1"/>
    <col min="12" max="12" width="9.140625" style="4" customWidth="1"/>
    <col min="13" max="13" width="11.28515625" style="4" bestFit="1" customWidth="1"/>
    <col min="14" max="15" width="9.140625" style="4" customWidth="1"/>
    <col min="16" max="16384" width="9.140625" style="4"/>
  </cols>
  <sheetData>
    <row r="1" spans="1:11" ht="18.75" x14ac:dyDescent="0.3">
      <c r="A1" s="65" t="s">
        <v>175</v>
      </c>
    </row>
    <row r="2" spans="1:11" ht="18.75" x14ac:dyDescent="0.3">
      <c r="A2" s="63"/>
      <c r="B2" s="7"/>
      <c r="D2" s="16"/>
      <c r="E2" s="22"/>
      <c r="F2" s="21"/>
      <c r="G2" s="16"/>
    </row>
    <row r="3" spans="1:11" ht="15.75" x14ac:dyDescent="0.2">
      <c r="A3" s="547" t="s">
        <v>59</v>
      </c>
      <c r="B3" s="547"/>
      <c r="C3" s="71"/>
      <c r="D3" s="71"/>
      <c r="E3" s="71"/>
      <c r="F3" s="71"/>
      <c r="G3" s="71"/>
      <c r="H3" s="71"/>
      <c r="K3" s="7"/>
    </row>
    <row r="4" spans="1:11" s="6" customFormat="1" ht="69.95" customHeight="1" x14ac:dyDescent="0.2">
      <c r="A4" s="190" t="s">
        <v>155</v>
      </c>
      <c r="B4" s="166" t="s">
        <v>159</v>
      </c>
      <c r="C4" s="166" t="s">
        <v>161</v>
      </c>
      <c r="D4" s="191" t="s">
        <v>176</v>
      </c>
      <c r="E4" s="166" t="s">
        <v>180</v>
      </c>
      <c r="F4" s="191" t="s">
        <v>181</v>
      </c>
      <c r="G4" s="166" t="s">
        <v>182</v>
      </c>
      <c r="H4" s="191" t="s">
        <v>225</v>
      </c>
      <c r="I4" s="29"/>
      <c r="J4" s="29"/>
    </row>
    <row r="5" spans="1:11" x14ac:dyDescent="0.2">
      <c r="A5" s="32" t="s">
        <v>6</v>
      </c>
      <c r="B5" s="33">
        <v>164.77</v>
      </c>
      <c r="C5" s="33">
        <v>0</v>
      </c>
      <c r="D5" s="154">
        <f>B5+C5</f>
        <v>164.77</v>
      </c>
      <c r="E5" s="259">
        <v>-14.79</v>
      </c>
      <c r="F5" s="154">
        <f>D5+E5</f>
        <v>149.98000000000002</v>
      </c>
      <c r="G5" s="259">
        <v>0</v>
      </c>
      <c r="H5" s="154">
        <f>F5+G5</f>
        <v>149.98000000000002</v>
      </c>
      <c r="I5" s="34"/>
      <c r="J5" s="109" t="s">
        <v>24</v>
      </c>
    </row>
    <row r="6" spans="1:11" x14ac:dyDescent="0.2">
      <c r="A6" s="32" t="s">
        <v>29</v>
      </c>
      <c r="B6" s="33">
        <f>$B$5</f>
        <v>164.77</v>
      </c>
      <c r="C6" s="33">
        <v>0</v>
      </c>
      <c r="D6" s="154">
        <f>B6+C6</f>
        <v>164.77</v>
      </c>
      <c r="E6" s="259">
        <v>-14.79</v>
      </c>
      <c r="F6" s="154">
        <f t="shared" ref="F6:F17" si="0">D6+E6</f>
        <v>149.98000000000002</v>
      </c>
      <c r="G6" s="259">
        <v>0</v>
      </c>
      <c r="H6" s="154">
        <f t="shared" ref="H6:H17" si="1">F6+G6</f>
        <v>149.98000000000002</v>
      </c>
      <c r="I6" s="34"/>
      <c r="J6" s="107" t="s">
        <v>24</v>
      </c>
    </row>
    <row r="7" spans="1:11" x14ac:dyDescent="0.2">
      <c r="A7" s="32" t="s">
        <v>36</v>
      </c>
      <c r="B7" s="33">
        <f t="shared" ref="B7:B17" si="2">$B$5</f>
        <v>164.77</v>
      </c>
      <c r="C7" s="33">
        <v>60.65</v>
      </c>
      <c r="D7" s="154">
        <f>B7+C6+C7</f>
        <v>225.42000000000002</v>
      </c>
      <c r="E7" s="259">
        <v>-14.79</v>
      </c>
      <c r="F7" s="154">
        <f t="shared" si="0"/>
        <v>210.63000000000002</v>
      </c>
      <c r="G7" s="259">
        <v>0</v>
      </c>
      <c r="H7" s="154">
        <f t="shared" si="1"/>
        <v>210.63000000000002</v>
      </c>
      <c r="I7" s="34" t="s">
        <v>24</v>
      </c>
      <c r="J7" s="109"/>
    </row>
    <row r="8" spans="1:11" x14ac:dyDescent="0.2">
      <c r="A8" s="32" t="s">
        <v>5</v>
      </c>
      <c r="B8" s="33">
        <f t="shared" si="2"/>
        <v>164.77</v>
      </c>
      <c r="C8" s="33">
        <v>0</v>
      </c>
      <c r="D8" s="154">
        <f>B8+C6+C8</f>
        <v>164.77</v>
      </c>
      <c r="E8" s="259">
        <v>-14.79</v>
      </c>
      <c r="F8" s="154">
        <f t="shared" si="0"/>
        <v>149.98000000000002</v>
      </c>
      <c r="G8" s="259">
        <v>-90.03</v>
      </c>
      <c r="H8" s="154">
        <f t="shared" si="1"/>
        <v>59.950000000000017</v>
      </c>
      <c r="I8" s="34" t="s">
        <v>24</v>
      </c>
      <c r="J8" s="34"/>
    </row>
    <row r="9" spans="1:11" x14ac:dyDescent="0.2">
      <c r="A9" s="32" t="s">
        <v>8</v>
      </c>
      <c r="B9" s="33">
        <f t="shared" si="2"/>
        <v>164.77</v>
      </c>
      <c r="C9" s="33">
        <v>0</v>
      </c>
      <c r="D9" s="154">
        <f>B9+C6+C7+C9</f>
        <v>225.42000000000002</v>
      </c>
      <c r="E9" s="259">
        <v>-14.79</v>
      </c>
      <c r="F9" s="154">
        <f t="shared" si="0"/>
        <v>210.63000000000002</v>
      </c>
      <c r="G9" s="259">
        <v>0</v>
      </c>
      <c r="H9" s="154">
        <f t="shared" si="1"/>
        <v>210.63000000000002</v>
      </c>
      <c r="I9" s="34"/>
      <c r="J9" s="34"/>
    </row>
    <row r="10" spans="1:11" x14ac:dyDescent="0.2">
      <c r="A10" s="32" t="s">
        <v>37</v>
      </c>
      <c r="B10" s="33">
        <f t="shared" si="2"/>
        <v>164.77</v>
      </c>
      <c r="C10" s="33">
        <v>0</v>
      </c>
      <c r="D10" s="154">
        <f>B10+C6+C7+C9+C10</f>
        <v>225.42000000000002</v>
      </c>
      <c r="E10" s="259">
        <v>-14.79</v>
      </c>
      <c r="F10" s="154">
        <f t="shared" si="0"/>
        <v>210.63000000000002</v>
      </c>
      <c r="G10" s="259">
        <v>0</v>
      </c>
      <c r="H10" s="154">
        <f t="shared" si="1"/>
        <v>210.63000000000002</v>
      </c>
      <c r="I10" s="34"/>
      <c r="J10" s="34"/>
    </row>
    <row r="11" spans="1:11" x14ac:dyDescent="0.2">
      <c r="A11" s="32" t="s">
        <v>38</v>
      </c>
      <c r="B11" s="33">
        <f t="shared" si="2"/>
        <v>164.77</v>
      </c>
      <c r="C11" s="33">
        <v>0</v>
      </c>
      <c r="D11" s="154">
        <f>B11+C6+C7+C11</f>
        <v>225.42000000000002</v>
      </c>
      <c r="E11" s="259">
        <v>-14.79</v>
      </c>
      <c r="F11" s="154">
        <f t="shared" si="0"/>
        <v>210.63000000000002</v>
      </c>
      <c r="G11" s="259">
        <v>0</v>
      </c>
      <c r="H11" s="154">
        <f t="shared" si="1"/>
        <v>210.63000000000002</v>
      </c>
      <c r="I11" s="34" t="s">
        <v>24</v>
      </c>
      <c r="J11" s="34"/>
    </row>
    <row r="12" spans="1:11" x14ac:dyDescent="0.2">
      <c r="A12" s="24" t="s">
        <v>15</v>
      </c>
      <c r="B12" s="33">
        <f t="shared" si="2"/>
        <v>164.77</v>
      </c>
      <c r="C12" s="37">
        <v>0</v>
      </c>
      <c r="D12" s="154">
        <f>B12+C6+C8+C12</f>
        <v>164.77</v>
      </c>
      <c r="E12" s="259">
        <v>-14.79</v>
      </c>
      <c r="F12" s="154">
        <f t="shared" si="0"/>
        <v>149.98000000000002</v>
      </c>
      <c r="G12" s="259">
        <v>-108.89</v>
      </c>
      <c r="H12" s="154">
        <f t="shared" si="1"/>
        <v>41.090000000000018</v>
      </c>
      <c r="I12" s="34" t="s">
        <v>24</v>
      </c>
      <c r="J12" s="34"/>
    </row>
    <row r="13" spans="1:11" x14ac:dyDescent="0.2">
      <c r="A13" s="24" t="s">
        <v>46</v>
      </c>
      <c r="B13" s="33">
        <f t="shared" si="2"/>
        <v>164.77</v>
      </c>
      <c r="C13" s="37">
        <v>0</v>
      </c>
      <c r="D13" s="154">
        <f>B13+C13</f>
        <v>164.77</v>
      </c>
      <c r="E13" s="259">
        <v>-14.79</v>
      </c>
      <c r="F13" s="154">
        <f t="shared" si="0"/>
        <v>149.98000000000002</v>
      </c>
      <c r="G13" s="259">
        <v>0</v>
      </c>
      <c r="H13" s="154">
        <f t="shared" si="1"/>
        <v>149.98000000000002</v>
      </c>
      <c r="I13" s="34"/>
      <c r="J13" s="38" t="s">
        <v>24</v>
      </c>
    </row>
    <row r="14" spans="1:11" x14ac:dyDescent="0.2">
      <c r="A14" s="24" t="s">
        <v>129</v>
      </c>
      <c r="B14" s="33">
        <f t="shared" si="2"/>
        <v>164.77</v>
      </c>
      <c r="C14" s="37">
        <v>0</v>
      </c>
      <c r="D14" s="154">
        <f>B14+C13+C14</f>
        <v>164.77</v>
      </c>
      <c r="E14" s="259">
        <v>-14.79</v>
      </c>
      <c r="F14" s="154">
        <f t="shared" si="0"/>
        <v>149.98000000000002</v>
      </c>
      <c r="G14" s="259">
        <v>0</v>
      </c>
      <c r="H14" s="154">
        <f t="shared" si="1"/>
        <v>149.98000000000002</v>
      </c>
      <c r="I14" s="34"/>
      <c r="J14" s="34" t="s">
        <v>24</v>
      </c>
    </row>
    <row r="15" spans="1:11" x14ac:dyDescent="0.2">
      <c r="A15" s="24" t="s">
        <v>20</v>
      </c>
      <c r="B15" s="33">
        <f t="shared" si="2"/>
        <v>164.77</v>
      </c>
      <c r="C15" s="37">
        <v>50.23</v>
      </c>
      <c r="D15" s="154">
        <f>B15+C15</f>
        <v>215</v>
      </c>
      <c r="E15" s="259">
        <v>-14.79</v>
      </c>
      <c r="F15" s="154">
        <f t="shared" si="0"/>
        <v>200.21</v>
      </c>
      <c r="G15" s="259">
        <v>0</v>
      </c>
      <c r="H15" s="154">
        <f t="shared" si="1"/>
        <v>200.21</v>
      </c>
      <c r="I15" s="34" t="s">
        <v>24</v>
      </c>
      <c r="J15" s="38" t="s">
        <v>24</v>
      </c>
    </row>
    <row r="16" spans="1:11" x14ac:dyDescent="0.2">
      <c r="A16" s="24" t="s">
        <v>11</v>
      </c>
      <c r="B16" s="33">
        <f t="shared" si="2"/>
        <v>164.77</v>
      </c>
      <c r="C16" s="37">
        <v>0</v>
      </c>
      <c r="D16" s="154">
        <f>B16+C6+C8+C16</f>
        <v>164.77</v>
      </c>
      <c r="E16" s="259">
        <v>-14.79</v>
      </c>
      <c r="F16" s="154">
        <f t="shared" si="0"/>
        <v>149.98000000000002</v>
      </c>
      <c r="G16" s="259">
        <v>-90.03</v>
      </c>
      <c r="H16" s="154">
        <f t="shared" si="1"/>
        <v>59.950000000000017</v>
      </c>
      <c r="I16" s="34"/>
      <c r="J16" s="34"/>
    </row>
    <row r="17" spans="1:13" x14ac:dyDescent="0.2">
      <c r="A17" s="24" t="s">
        <v>10</v>
      </c>
      <c r="B17" s="33">
        <f t="shared" si="2"/>
        <v>164.77</v>
      </c>
      <c r="C17" s="37">
        <v>0</v>
      </c>
      <c r="D17" s="154">
        <f>B17+C6+C17</f>
        <v>164.77</v>
      </c>
      <c r="E17" s="259">
        <v>-89.77</v>
      </c>
      <c r="F17" s="154">
        <f t="shared" si="0"/>
        <v>75.000000000000014</v>
      </c>
      <c r="G17" s="259">
        <v>0</v>
      </c>
      <c r="H17" s="154">
        <f t="shared" si="1"/>
        <v>75.000000000000014</v>
      </c>
      <c r="I17" s="34" t="s">
        <v>24</v>
      </c>
      <c r="J17" s="34"/>
    </row>
    <row r="18" spans="1:13" x14ac:dyDescent="0.2">
      <c r="A18" s="24" t="s">
        <v>220</v>
      </c>
      <c r="B18" s="33" t="s">
        <v>149</v>
      </c>
      <c r="C18" s="33" t="s">
        <v>149</v>
      </c>
      <c r="D18" s="154" t="s">
        <v>149</v>
      </c>
      <c r="E18" s="33" t="s">
        <v>149</v>
      </c>
      <c r="F18" s="154" t="s">
        <v>149</v>
      </c>
      <c r="G18" s="33" t="s">
        <v>149</v>
      </c>
      <c r="H18" s="154" t="s">
        <v>149</v>
      </c>
      <c r="I18" s="122" t="s">
        <v>24</v>
      </c>
      <c r="J18" s="34"/>
      <c r="K18"/>
    </row>
    <row r="19" spans="1:13" x14ac:dyDescent="0.2">
      <c r="A19" s="24" t="s">
        <v>221</v>
      </c>
      <c r="B19" s="33" t="s">
        <v>149</v>
      </c>
      <c r="C19" s="33" t="s">
        <v>149</v>
      </c>
      <c r="D19" s="154" t="s">
        <v>149</v>
      </c>
      <c r="E19" s="33" t="s">
        <v>149</v>
      </c>
      <c r="F19" s="154" t="s">
        <v>149</v>
      </c>
      <c r="G19" s="33" t="s">
        <v>149</v>
      </c>
      <c r="H19" s="154" t="s">
        <v>149</v>
      </c>
      <c r="I19" s="34"/>
      <c r="J19" s="34"/>
      <c r="K19"/>
    </row>
    <row r="20" spans="1:13" x14ac:dyDescent="0.2">
      <c r="A20" s="24" t="s">
        <v>222</v>
      </c>
      <c r="B20" s="33" t="s">
        <v>149</v>
      </c>
      <c r="C20" s="33" t="s">
        <v>149</v>
      </c>
      <c r="D20" s="154" t="s">
        <v>149</v>
      </c>
      <c r="E20" s="33" t="s">
        <v>149</v>
      </c>
      <c r="F20" s="154" t="s">
        <v>149</v>
      </c>
      <c r="G20" s="33" t="s">
        <v>149</v>
      </c>
      <c r="H20" s="154" t="s">
        <v>149</v>
      </c>
      <c r="I20" s="34"/>
      <c r="J20" s="34"/>
      <c r="K20"/>
    </row>
    <row r="21" spans="1:13" x14ac:dyDescent="0.2">
      <c r="A21" s="24" t="s">
        <v>223</v>
      </c>
      <c r="B21" s="33" t="s">
        <v>149</v>
      </c>
      <c r="C21" s="33" t="s">
        <v>149</v>
      </c>
      <c r="D21" s="154" t="s">
        <v>149</v>
      </c>
      <c r="E21" s="33" t="s">
        <v>149</v>
      </c>
      <c r="F21" s="154" t="s">
        <v>149</v>
      </c>
      <c r="G21" s="33" t="s">
        <v>149</v>
      </c>
      <c r="H21" s="154" t="s">
        <v>149</v>
      </c>
      <c r="I21" s="34"/>
      <c r="J21" s="34"/>
      <c r="K21"/>
    </row>
    <row r="22" spans="1:13" x14ac:dyDescent="0.2">
      <c r="A22" s="24" t="s">
        <v>224</v>
      </c>
      <c r="B22" s="33" t="s">
        <v>149</v>
      </c>
      <c r="C22" s="33" t="s">
        <v>149</v>
      </c>
      <c r="D22" s="154" t="s">
        <v>149</v>
      </c>
      <c r="E22" s="33" t="s">
        <v>149</v>
      </c>
      <c r="F22" s="154" t="s">
        <v>149</v>
      </c>
      <c r="G22" s="33" t="s">
        <v>149</v>
      </c>
      <c r="H22" s="154" t="s">
        <v>149</v>
      </c>
      <c r="I22" s="122" t="s">
        <v>24</v>
      </c>
      <c r="J22" s="34"/>
      <c r="K22"/>
    </row>
    <row r="23" spans="1:13" x14ac:dyDescent="0.2">
      <c r="A23" s="25" t="s">
        <v>213</v>
      </c>
      <c r="B23" s="36"/>
      <c r="C23" s="35"/>
      <c r="D23" s="35"/>
      <c r="E23" s="35"/>
      <c r="F23" s="35"/>
      <c r="G23" s="35"/>
      <c r="H23" s="35"/>
      <c r="I23" s="34"/>
      <c r="J23" s="34"/>
      <c r="K23"/>
    </row>
    <row r="24" spans="1:13" ht="23.25" customHeight="1" x14ac:dyDescent="0.2">
      <c r="A24" s="546" t="s">
        <v>160</v>
      </c>
      <c r="B24" s="546"/>
      <c r="C24" s="546"/>
      <c r="D24" s="546"/>
      <c r="E24" s="546"/>
      <c r="F24" s="546"/>
      <c r="G24" s="546"/>
      <c r="H24" s="546"/>
      <c r="I24" s="70" t="s">
        <v>24</v>
      </c>
      <c r="J24" s="42"/>
      <c r="K24"/>
    </row>
    <row r="25" spans="1:13" ht="12.75" customHeight="1" x14ac:dyDescent="0.2">
      <c r="A25" s="442" t="s">
        <v>235</v>
      </c>
      <c r="B25" s="245"/>
      <c r="C25" s="245"/>
      <c r="D25" s="245"/>
      <c r="E25" s="245"/>
      <c r="F25" s="245"/>
      <c r="G25" s="245"/>
      <c r="H25" s="245"/>
      <c r="I25" s="70"/>
      <c r="J25" s="42"/>
      <c r="K25"/>
    </row>
    <row r="26" spans="1:13" x14ac:dyDescent="0.2">
      <c r="A26" s="25"/>
      <c r="B26" s="36"/>
      <c r="C26" s="36"/>
      <c r="D26" s="36"/>
      <c r="E26" s="40"/>
      <c r="F26" s="41"/>
      <c r="G26" s="41"/>
      <c r="H26" s="41"/>
      <c r="I26" s="42"/>
      <c r="J26" s="42"/>
      <c r="K26"/>
    </row>
    <row r="27" spans="1:13" ht="15.75" x14ac:dyDescent="0.25">
      <c r="A27" s="548" t="s">
        <v>60</v>
      </c>
      <c r="B27" s="548"/>
      <c r="C27" s="66" t="s">
        <v>24</v>
      </c>
      <c r="D27" s="35"/>
      <c r="E27" s="67"/>
      <c r="F27" s="68"/>
      <c r="G27" s="41"/>
      <c r="H27" s="41"/>
      <c r="I27" s="42"/>
      <c r="J27" s="42"/>
      <c r="K27"/>
    </row>
    <row r="28" spans="1:13" ht="60" customHeight="1" x14ac:dyDescent="0.2">
      <c r="A28" s="28" t="s">
        <v>155</v>
      </c>
      <c r="B28" s="166" t="s">
        <v>177</v>
      </c>
      <c r="C28" s="166" t="s">
        <v>178</v>
      </c>
      <c r="D28" s="166" t="s">
        <v>226</v>
      </c>
      <c r="E28" s="166" t="s">
        <v>54</v>
      </c>
      <c r="F28" s="166" t="s">
        <v>179</v>
      </c>
      <c r="G28" s="166" t="s">
        <v>184</v>
      </c>
      <c r="H28" s="166" t="s">
        <v>227</v>
      </c>
      <c r="I28" s="166" t="s">
        <v>86</v>
      </c>
      <c r="J28" s="45"/>
      <c r="K28"/>
    </row>
    <row r="29" spans="1:13" x14ac:dyDescent="0.2">
      <c r="A29" s="32" t="s">
        <v>170</v>
      </c>
      <c r="B29" s="46">
        <v>140600.4</v>
      </c>
      <c r="C29" s="46">
        <v>16277.1</v>
      </c>
      <c r="D29" s="46">
        <v>9959.4</v>
      </c>
      <c r="E29" s="47">
        <f>B29+C29+D29</f>
        <v>166836.9</v>
      </c>
      <c r="F29" s="32">
        <v>38.6</v>
      </c>
      <c r="G29" s="32">
        <v>0</v>
      </c>
      <c r="H29" s="32">
        <v>0</v>
      </c>
      <c r="I29" s="32">
        <f t="shared" ref="I29:I36" si="3">F29+G29+H29</f>
        <v>38.6</v>
      </c>
      <c r="J29" s="34"/>
      <c r="K29"/>
      <c r="M29" s="14" t="s">
        <v>24</v>
      </c>
    </row>
    <row r="30" spans="1:13" x14ac:dyDescent="0.2">
      <c r="A30" s="32" t="s">
        <v>29</v>
      </c>
      <c r="B30" s="46">
        <v>53469</v>
      </c>
      <c r="C30" s="46">
        <v>8856.7999999999993</v>
      </c>
      <c r="D30" s="46">
        <v>3745.4</v>
      </c>
      <c r="E30" s="47">
        <f t="shared" ref="E30:E37" si="4">B30+C30+D30</f>
        <v>66071.199999999997</v>
      </c>
      <c r="F30" s="32">
        <v>38.6</v>
      </c>
      <c r="G30" s="32">
        <v>0</v>
      </c>
      <c r="H30" s="32">
        <v>0</v>
      </c>
      <c r="I30" s="32">
        <f t="shared" si="3"/>
        <v>38.6</v>
      </c>
      <c r="J30" s="34"/>
      <c r="K30"/>
    </row>
    <row r="31" spans="1:13" x14ac:dyDescent="0.2">
      <c r="A31" s="32" t="s">
        <v>36</v>
      </c>
      <c r="B31" s="46">
        <v>22970.6</v>
      </c>
      <c r="C31" s="46">
        <v>6573.5</v>
      </c>
      <c r="D31" s="46">
        <v>1524.9</v>
      </c>
      <c r="E31" s="47">
        <f t="shared" si="4"/>
        <v>31069</v>
      </c>
      <c r="F31" s="32">
        <v>0</v>
      </c>
      <c r="G31" s="32">
        <v>0</v>
      </c>
      <c r="H31" s="32">
        <v>0</v>
      </c>
      <c r="I31" s="32">
        <f t="shared" si="3"/>
        <v>0</v>
      </c>
      <c r="J31" s="34"/>
      <c r="K31"/>
    </row>
    <row r="32" spans="1:13" x14ac:dyDescent="0.2">
      <c r="A32" s="32" t="s">
        <v>5</v>
      </c>
      <c r="B32" s="46">
        <v>9420.5</v>
      </c>
      <c r="C32" s="46">
        <v>672.8</v>
      </c>
      <c r="D32" s="46">
        <v>1087.4000000000001</v>
      </c>
      <c r="E32" s="47">
        <f t="shared" si="4"/>
        <v>11180.699999999999</v>
      </c>
      <c r="F32" s="32">
        <v>0</v>
      </c>
      <c r="G32" s="32">
        <v>0</v>
      </c>
      <c r="H32" s="32">
        <v>0</v>
      </c>
      <c r="I32" s="32">
        <f t="shared" si="3"/>
        <v>0</v>
      </c>
      <c r="J32" s="34"/>
      <c r="K32"/>
    </row>
    <row r="33" spans="1:15" x14ac:dyDescent="0.2">
      <c r="A33" s="32" t="s">
        <v>8</v>
      </c>
      <c r="B33" s="46">
        <v>4821.2</v>
      </c>
      <c r="C33" s="46">
        <v>111.4</v>
      </c>
      <c r="D33" s="46">
        <v>368.2</v>
      </c>
      <c r="E33" s="47">
        <f t="shared" si="4"/>
        <v>5300.7999999999993</v>
      </c>
      <c r="F33" s="32">
        <v>0</v>
      </c>
      <c r="G33" s="32">
        <v>0</v>
      </c>
      <c r="H33" s="32">
        <v>0</v>
      </c>
      <c r="I33" s="32">
        <f t="shared" si="3"/>
        <v>0</v>
      </c>
      <c r="J33" s="34"/>
      <c r="K33"/>
    </row>
    <row r="34" spans="1:15" x14ac:dyDescent="0.2">
      <c r="A34" s="32" t="s">
        <v>37</v>
      </c>
      <c r="B34" s="46">
        <v>3008</v>
      </c>
      <c r="C34" s="46">
        <v>30</v>
      </c>
      <c r="D34" s="46">
        <v>130</v>
      </c>
      <c r="E34" s="47">
        <f>B34+C34+D34</f>
        <v>3168</v>
      </c>
      <c r="F34" s="32">
        <v>0</v>
      </c>
      <c r="G34" s="32">
        <v>0</v>
      </c>
      <c r="H34" s="32">
        <v>0</v>
      </c>
      <c r="I34" s="32">
        <f t="shared" si="3"/>
        <v>0</v>
      </c>
      <c r="J34" s="34"/>
      <c r="K34"/>
    </row>
    <row r="35" spans="1:15" x14ac:dyDescent="0.2">
      <c r="A35" s="32" t="s">
        <v>38</v>
      </c>
      <c r="B35" s="46">
        <v>1270.3</v>
      </c>
      <c r="C35" s="46">
        <v>345.4</v>
      </c>
      <c r="D35" s="46">
        <v>77.8</v>
      </c>
      <c r="E35" s="47">
        <f t="shared" si="4"/>
        <v>1693.4999999999998</v>
      </c>
      <c r="F35" s="32">
        <v>0</v>
      </c>
      <c r="G35" s="32">
        <v>0</v>
      </c>
      <c r="H35" s="32">
        <v>0</v>
      </c>
      <c r="I35" s="32">
        <f t="shared" si="3"/>
        <v>0</v>
      </c>
      <c r="J35" s="25" t="s">
        <v>24</v>
      </c>
      <c r="K35"/>
      <c r="M35" s="4" t="s">
        <v>24</v>
      </c>
      <c r="N35" s="106" t="s">
        <v>24</v>
      </c>
      <c r="O35" s="106" t="s">
        <v>24</v>
      </c>
    </row>
    <row r="36" spans="1:15" x14ac:dyDescent="0.2">
      <c r="A36" s="24" t="s">
        <v>15</v>
      </c>
      <c r="B36" s="46">
        <v>4875.7</v>
      </c>
      <c r="C36" s="46">
        <v>103</v>
      </c>
      <c r="D36" s="46">
        <v>500</v>
      </c>
      <c r="E36" s="47">
        <f t="shared" si="4"/>
        <v>5478.7</v>
      </c>
      <c r="F36" s="32">
        <v>0</v>
      </c>
      <c r="G36" s="32">
        <v>0</v>
      </c>
      <c r="H36" s="32">
        <v>0</v>
      </c>
      <c r="I36" s="32">
        <f t="shared" si="3"/>
        <v>0</v>
      </c>
      <c r="J36" s="34"/>
      <c r="K36"/>
      <c r="O36" s="4" t="s">
        <v>24</v>
      </c>
    </row>
    <row r="37" spans="1:15" x14ac:dyDescent="0.2">
      <c r="A37" s="24" t="s">
        <v>46</v>
      </c>
      <c r="B37" s="46">
        <v>8583.5</v>
      </c>
      <c r="C37" s="46">
        <v>750.7</v>
      </c>
      <c r="D37" s="46">
        <v>837.4</v>
      </c>
      <c r="E37" s="47">
        <f t="shared" si="4"/>
        <v>10171.6</v>
      </c>
      <c r="F37" s="32">
        <v>0</v>
      </c>
      <c r="G37" s="32">
        <v>0</v>
      </c>
      <c r="H37" s="32">
        <v>0</v>
      </c>
      <c r="I37" s="32">
        <f>F37+G37+H37</f>
        <v>0</v>
      </c>
      <c r="J37" s="34"/>
      <c r="K37"/>
    </row>
    <row r="38" spans="1:15" x14ac:dyDescent="0.2">
      <c r="A38" s="24" t="s">
        <v>129</v>
      </c>
      <c r="B38" s="46">
        <v>2002.5</v>
      </c>
      <c r="C38" s="119">
        <v>0</v>
      </c>
      <c r="D38" s="46">
        <v>255.6</v>
      </c>
      <c r="E38" s="47">
        <f>B38+C38+D38</f>
        <v>2258.1</v>
      </c>
      <c r="F38" s="32">
        <v>0</v>
      </c>
      <c r="G38" s="32">
        <v>0</v>
      </c>
      <c r="H38" s="32">
        <v>0</v>
      </c>
      <c r="I38" s="32">
        <f>F38+G38+H38</f>
        <v>0</v>
      </c>
      <c r="J38" s="34"/>
      <c r="K38"/>
    </row>
    <row r="39" spans="1:15" x14ac:dyDescent="0.2">
      <c r="A39" s="24" t="s">
        <v>20</v>
      </c>
      <c r="B39" s="46">
        <v>20564.400000000001</v>
      </c>
      <c r="C39" s="46">
        <v>891.5</v>
      </c>
      <c r="D39" s="46">
        <v>1864.5</v>
      </c>
      <c r="E39" s="48">
        <f>B39+C39+D39</f>
        <v>23320.400000000001</v>
      </c>
      <c r="F39" s="32">
        <v>0</v>
      </c>
      <c r="G39" s="32">
        <v>0</v>
      </c>
      <c r="H39" s="32">
        <v>0</v>
      </c>
      <c r="I39" s="32">
        <f>F39+G39+H39</f>
        <v>0</v>
      </c>
      <c r="J39" s="34"/>
      <c r="K39"/>
    </row>
    <row r="40" spans="1:15" x14ac:dyDescent="0.2">
      <c r="A40" s="24" t="s">
        <v>11</v>
      </c>
      <c r="B40" s="46">
        <v>2139.6999999999998</v>
      </c>
      <c r="C40" s="46">
        <v>569.79999999999995</v>
      </c>
      <c r="D40" s="46">
        <v>587.4</v>
      </c>
      <c r="E40" s="48">
        <f>B40+C40+D40</f>
        <v>3296.9</v>
      </c>
      <c r="F40" s="32">
        <v>0</v>
      </c>
      <c r="G40" s="32">
        <v>0</v>
      </c>
      <c r="H40" s="32">
        <v>0</v>
      </c>
      <c r="I40" s="32">
        <f>F40+G40+H40</f>
        <v>0</v>
      </c>
      <c r="J40" s="34"/>
      <c r="K40"/>
    </row>
    <row r="41" spans="1:15" x14ac:dyDescent="0.2">
      <c r="A41" s="24" t="s">
        <v>10</v>
      </c>
      <c r="B41" s="46">
        <v>8380.4</v>
      </c>
      <c r="C41" s="46">
        <v>663.7</v>
      </c>
      <c r="D41" s="46">
        <v>482.8</v>
      </c>
      <c r="E41" s="48">
        <f>B41+C41+D41</f>
        <v>9526.9</v>
      </c>
      <c r="F41" s="32">
        <v>38.6</v>
      </c>
      <c r="G41" s="32">
        <v>0</v>
      </c>
      <c r="H41" s="32">
        <v>0</v>
      </c>
      <c r="I41" s="32">
        <f>F41+G41+H41</f>
        <v>38.6</v>
      </c>
      <c r="J41" s="34"/>
      <c r="K41"/>
    </row>
    <row r="42" spans="1:15" x14ac:dyDescent="0.2">
      <c r="A42" s="24" t="s">
        <v>144</v>
      </c>
      <c r="B42" s="49">
        <v>0</v>
      </c>
      <c r="C42" s="49">
        <v>0</v>
      </c>
      <c r="D42" s="224" t="s">
        <v>149</v>
      </c>
      <c r="E42" s="50">
        <f>B42+C42</f>
        <v>0</v>
      </c>
      <c r="F42" s="50">
        <v>0</v>
      </c>
      <c r="G42" s="50">
        <v>0</v>
      </c>
      <c r="H42" s="50">
        <v>0</v>
      </c>
      <c r="I42" s="50">
        <f>F42</f>
        <v>0</v>
      </c>
      <c r="J42" s="34"/>
      <c r="K42"/>
    </row>
    <row r="43" spans="1:15" x14ac:dyDescent="0.2">
      <c r="A43" s="24" t="s">
        <v>145</v>
      </c>
      <c r="B43" s="49">
        <v>0</v>
      </c>
      <c r="C43" s="49">
        <v>0</v>
      </c>
      <c r="D43" s="224" t="s">
        <v>149</v>
      </c>
      <c r="E43" s="50">
        <f>B43+C43</f>
        <v>0</v>
      </c>
      <c r="F43" s="50">
        <v>0</v>
      </c>
      <c r="G43" s="50">
        <v>0</v>
      </c>
      <c r="H43" s="50">
        <v>0</v>
      </c>
      <c r="I43" s="50">
        <f>F43</f>
        <v>0</v>
      </c>
      <c r="J43" s="34"/>
      <c r="K43"/>
    </row>
    <row r="44" spans="1:15" x14ac:dyDescent="0.2">
      <c r="A44" s="24" t="s">
        <v>146</v>
      </c>
      <c r="B44" s="49">
        <v>0</v>
      </c>
      <c r="C44" s="49">
        <v>0</v>
      </c>
      <c r="D44" s="224" t="s">
        <v>149</v>
      </c>
      <c r="E44" s="50">
        <f>B44+C44</f>
        <v>0</v>
      </c>
      <c r="F44" s="50">
        <v>0</v>
      </c>
      <c r="G44" s="50">
        <v>0</v>
      </c>
      <c r="H44" s="50">
        <v>0</v>
      </c>
      <c r="I44" s="50">
        <f>F44</f>
        <v>0</v>
      </c>
      <c r="J44" s="34"/>
      <c r="K44"/>
    </row>
    <row r="45" spans="1:15" x14ac:dyDescent="0.2">
      <c r="A45" s="24" t="s">
        <v>147</v>
      </c>
      <c r="B45" s="49">
        <v>0</v>
      </c>
      <c r="C45" s="49">
        <v>0</v>
      </c>
      <c r="D45" s="224" t="s">
        <v>149</v>
      </c>
      <c r="E45" s="50">
        <f>B45+C45</f>
        <v>0</v>
      </c>
      <c r="F45" s="50">
        <v>0</v>
      </c>
      <c r="G45" s="50">
        <v>0</v>
      </c>
      <c r="H45" s="50">
        <v>0</v>
      </c>
      <c r="I45" s="50">
        <f>F45</f>
        <v>0</v>
      </c>
      <c r="J45" s="51" t="s">
        <v>24</v>
      </c>
      <c r="K45"/>
    </row>
    <row r="46" spans="1:15" x14ac:dyDescent="0.2">
      <c r="A46" s="24" t="s">
        <v>148</v>
      </c>
      <c r="B46" s="49">
        <v>0</v>
      </c>
      <c r="C46" s="49">
        <v>0</v>
      </c>
      <c r="D46" s="224" t="s">
        <v>149</v>
      </c>
      <c r="E46" s="50">
        <f>B46+C46</f>
        <v>0</v>
      </c>
      <c r="F46" s="50">
        <v>0</v>
      </c>
      <c r="G46" s="50">
        <v>0</v>
      </c>
      <c r="H46" s="50">
        <v>0</v>
      </c>
      <c r="I46" s="50">
        <f>F46</f>
        <v>0</v>
      </c>
      <c r="J46" s="34"/>
      <c r="K46"/>
    </row>
    <row r="47" spans="1:15" x14ac:dyDescent="0.2">
      <c r="A47" s="545" t="s">
        <v>171</v>
      </c>
      <c r="B47" s="545"/>
      <c r="C47" s="545"/>
      <c r="D47" s="545"/>
      <c r="E47" s="545"/>
      <c r="F47" s="545"/>
      <c r="G47" s="545"/>
      <c r="H47" s="545"/>
      <c r="I47" s="545"/>
      <c r="J47" s="34"/>
      <c r="K47"/>
    </row>
    <row r="48" spans="1:15" x14ac:dyDescent="0.2">
      <c r="A48" s="25"/>
      <c r="B48" s="36"/>
      <c r="C48" s="35"/>
      <c r="D48" s="36"/>
      <c r="E48" s="40"/>
      <c r="F48" s="41"/>
      <c r="G48" s="41"/>
      <c r="H48" s="41"/>
      <c r="I48" s="42"/>
      <c r="J48" s="42"/>
      <c r="K48"/>
    </row>
    <row r="49" spans="1:11" ht="15.75" x14ac:dyDescent="0.25">
      <c r="A49" s="549" t="s">
        <v>58</v>
      </c>
      <c r="B49" s="550"/>
      <c r="C49" s="36"/>
      <c r="D49" s="36"/>
      <c r="E49" s="40"/>
      <c r="F49" s="41"/>
      <c r="G49" s="41"/>
      <c r="H49" s="41"/>
      <c r="I49" s="42"/>
      <c r="J49" s="42"/>
      <c r="K49"/>
    </row>
    <row r="50" spans="1:11" ht="60" customHeight="1" x14ac:dyDescent="0.2">
      <c r="A50" s="190" t="s">
        <v>155</v>
      </c>
      <c r="B50" s="166" t="s">
        <v>177</v>
      </c>
      <c r="C50" s="166" t="s">
        <v>178</v>
      </c>
      <c r="D50" s="166" t="s">
        <v>226</v>
      </c>
      <c r="E50" s="166" t="s">
        <v>54</v>
      </c>
      <c r="F50" s="190" t="s">
        <v>183</v>
      </c>
      <c r="G50" s="190" t="s">
        <v>185</v>
      </c>
      <c r="H50" s="190" t="s">
        <v>228</v>
      </c>
      <c r="I50" s="190" t="s">
        <v>57</v>
      </c>
      <c r="J50" s="23"/>
      <c r="K50"/>
    </row>
    <row r="51" spans="1:11" x14ac:dyDescent="0.2">
      <c r="A51" s="32" t="s">
        <v>47</v>
      </c>
      <c r="B51" s="53">
        <f>B29-B30-B37-B39</f>
        <v>57983.499999999993</v>
      </c>
      <c r="C51" s="53">
        <f>C29-C30-C37-C39</f>
        <v>5778.1000000000013</v>
      </c>
      <c r="D51" s="53">
        <f>D29-D30-D37-D39</f>
        <v>3512.1000000000004</v>
      </c>
      <c r="E51" s="54">
        <f>B51+C51+D51</f>
        <v>67273.7</v>
      </c>
      <c r="F51" s="55">
        <f t="shared" ref="F51:F63" si="5">B51*D5</f>
        <v>9553941.2949999999</v>
      </c>
      <c r="G51" s="55">
        <f t="shared" ref="G51:G63" si="6">C51*F5</f>
        <v>866599.43800000031</v>
      </c>
      <c r="H51" s="55">
        <f t="shared" ref="H51:H63" si="7">D51*H5</f>
        <v>526744.75800000015</v>
      </c>
      <c r="I51" s="55">
        <f t="shared" ref="I51:I63" si="8">F51+G51+H51</f>
        <v>10947285.491</v>
      </c>
      <c r="J51" s="23"/>
      <c r="K51"/>
    </row>
    <row r="52" spans="1:11" x14ac:dyDescent="0.2">
      <c r="A52" s="32" t="s">
        <v>50</v>
      </c>
      <c r="B52" s="53">
        <f>B30-B31-B32-B41</f>
        <v>12697.500000000002</v>
      </c>
      <c r="C52" s="53">
        <f>C30-C31-C32-C41</f>
        <v>946.79999999999927</v>
      </c>
      <c r="D52" s="53">
        <f>D30-D31-D32-D41</f>
        <v>650.29999999999995</v>
      </c>
      <c r="E52" s="54">
        <f>B52+C52+D52</f>
        <v>14294.6</v>
      </c>
      <c r="F52" s="55">
        <f t="shared" si="5"/>
        <v>2092167.0750000004</v>
      </c>
      <c r="G52" s="55">
        <f t="shared" si="6"/>
        <v>142001.0639999999</v>
      </c>
      <c r="H52" s="55">
        <f t="shared" si="7"/>
        <v>97531.994000000006</v>
      </c>
      <c r="I52" s="55">
        <f t="shared" si="8"/>
        <v>2331700.1330000004</v>
      </c>
      <c r="J52" s="23"/>
      <c r="K52"/>
    </row>
    <row r="53" spans="1:11" x14ac:dyDescent="0.2">
      <c r="A53" s="32" t="s">
        <v>49</v>
      </c>
      <c r="B53" s="53">
        <f>B31-B33-B35</f>
        <v>16879.099999999999</v>
      </c>
      <c r="C53" s="53">
        <f>C31-C33-C35</f>
        <v>6116.7000000000007</v>
      </c>
      <c r="D53" s="53">
        <f>D31-D33-D35</f>
        <v>1078.9000000000001</v>
      </c>
      <c r="E53" s="54">
        <f>B53+C53+D53</f>
        <v>24074.7</v>
      </c>
      <c r="F53" s="55">
        <f t="shared" si="5"/>
        <v>3804886.7220000001</v>
      </c>
      <c r="G53" s="55">
        <f t="shared" si="6"/>
        <v>1288360.5210000004</v>
      </c>
      <c r="H53" s="55">
        <f t="shared" si="7"/>
        <v>227248.70700000005</v>
      </c>
      <c r="I53" s="55">
        <f t="shared" si="8"/>
        <v>5320495.9500000011</v>
      </c>
      <c r="J53" s="23"/>
      <c r="K53"/>
    </row>
    <row r="54" spans="1:11" x14ac:dyDescent="0.2">
      <c r="A54" s="32" t="s">
        <v>48</v>
      </c>
      <c r="B54" s="53">
        <f>B32-B36-B40</f>
        <v>2405.1000000000004</v>
      </c>
      <c r="C54" s="53">
        <f>C32-C36-C40</f>
        <v>0</v>
      </c>
      <c r="D54" s="53">
        <f>D32-D36-D40</f>
        <v>0</v>
      </c>
      <c r="E54" s="54">
        <f>B54+C54+D54</f>
        <v>2405.1000000000004</v>
      </c>
      <c r="F54" s="55">
        <f t="shared" si="5"/>
        <v>396288.32700000011</v>
      </c>
      <c r="G54" s="55">
        <f t="shared" si="6"/>
        <v>0</v>
      </c>
      <c r="H54" s="55">
        <f t="shared" si="7"/>
        <v>0</v>
      </c>
      <c r="I54" s="55">
        <f t="shared" si="8"/>
        <v>396288.32700000011</v>
      </c>
      <c r="J54" s="23"/>
      <c r="K54"/>
    </row>
    <row r="55" spans="1:11" x14ac:dyDescent="0.2">
      <c r="A55" s="32" t="s">
        <v>40</v>
      </c>
      <c r="B55" s="53">
        <f>B33-B34</f>
        <v>1813.1999999999998</v>
      </c>
      <c r="C55" s="53">
        <f>C33-C34</f>
        <v>81.400000000000006</v>
      </c>
      <c r="D55" s="53">
        <f>D33-D34</f>
        <v>238.2</v>
      </c>
      <c r="E55" s="54">
        <f>B55+C55+D55</f>
        <v>2132.7999999999997</v>
      </c>
      <c r="F55" s="55">
        <f t="shared" si="5"/>
        <v>408731.54399999999</v>
      </c>
      <c r="G55" s="55">
        <f t="shared" si="6"/>
        <v>17145.282000000003</v>
      </c>
      <c r="H55" s="55">
        <f t="shared" si="7"/>
        <v>50172.066000000006</v>
      </c>
      <c r="I55" s="55">
        <f t="shared" si="8"/>
        <v>476048.89199999999</v>
      </c>
      <c r="J55" s="23"/>
      <c r="K55"/>
    </row>
    <row r="56" spans="1:11" x14ac:dyDescent="0.2">
      <c r="A56" s="32" t="s">
        <v>37</v>
      </c>
      <c r="B56" s="53">
        <f t="shared" ref="B56:D58" si="9">B34</f>
        <v>3008</v>
      </c>
      <c r="C56" s="53">
        <f t="shared" si="9"/>
        <v>30</v>
      </c>
      <c r="D56" s="53">
        <f t="shared" si="9"/>
        <v>130</v>
      </c>
      <c r="E56" s="54">
        <f t="shared" ref="E56:E63" si="10">B56+C56+D56</f>
        <v>3168</v>
      </c>
      <c r="F56" s="55">
        <f t="shared" si="5"/>
        <v>678063.3600000001</v>
      </c>
      <c r="G56" s="55">
        <f t="shared" si="6"/>
        <v>6318.9000000000005</v>
      </c>
      <c r="H56" s="55">
        <f t="shared" si="7"/>
        <v>27381.9</v>
      </c>
      <c r="I56" s="55">
        <f t="shared" si="8"/>
        <v>711764.16000000015</v>
      </c>
      <c r="J56" s="23"/>
      <c r="K56"/>
    </row>
    <row r="57" spans="1:11" x14ac:dyDescent="0.2">
      <c r="A57" s="32" t="s">
        <v>38</v>
      </c>
      <c r="B57" s="53">
        <f t="shared" si="9"/>
        <v>1270.3</v>
      </c>
      <c r="C57" s="53">
        <f t="shared" si="9"/>
        <v>345.4</v>
      </c>
      <c r="D57" s="53">
        <f t="shared" si="9"/>
        <v>77.8</v>
      </c>
      <c r="E57" s="54">
        <f t="shared" si="10"/>
        <v>1693.4999999999998</v>
      </c>
      <c r="F57" s="55">
        <f t="shared" si="5"/>
        <v>286351.02600000001</v>
      </c>
      <c r="G57" s="55">
        <f t="shared" si="6"/>
        <v>72751.601999999999</v>
      </c>
      <c r="H57" s="55">
        <f t="shared" si="7"/>
        <v>16387.014000000003</v>
      </c>
      <c r="I57" s="55">
        <f t="shared" si="8"/>
        <v>375489.64200000005</v>
      </c>
      <c r="J57" s="23"/>
      <c r="K57"/>
    </row>
    <row r="58" spans="1:11" x14ac:dyDescent="0.2">
      <c r="A58" s="32" t="s">
        <v>15</v>
      </c>
      <c r="B58" s="53">
        <f t="shared" si="9"/>
        <v>4875.7</v>
      </c>
      <c r="C58" s="53">
        <f t="shared" si="9"/>
        <v>103</v>
      </c>
      <c r="D58" s="53">
        <f t="shared" si="9"/>
        <v>500</v>
      </c>
      <c r="E58" s="54">
        <f t="shared" si="10"/>
        <v>5478.7</v>
      </c>
      <c r="F58" s="55">
        <f t="shared" si="5"/>
        <v>803369.08900000004</v>
      </c>
      <c r="G58" s="55">
        <f t="shared" si="6"/>
        <v>15447.940000000002</v>
      </c>
      <c r="H58" s="55">
        <f t="shared" si="7"/>
        <v>20545.000000000007</v>
      </c>
      <c r="I58" s="55">
        <f t="shared" si="8"/>
        <v>839362.0290000001</v>
      </c>
      <c r="J58" s="23"/>
      <c r="K58"/>
    </row>
    <row r="59" spans="1:11" x14ac:dyDescent="0.2">
      <c r="A59" s="32" t="s">
        <v>130</v>
      </c>
      <c r="B59" s="53">
        <f>B37-B38</f>
        <v>6581</v>
      </c>
      <c r="C59" s="53">
        <f>C37-C38</f>
        <v>750.7</v>
      </c>
      <c r="D59" s="53">
        <f>D37-D38</f>
        <v>581.79999999999995</v>
      </c>
      <c r="E59" s="54">
        <f t="shared" si="10"/>
        <v>7913.5</v>
      </c>
      <c r="F59" s="55">
        <f t="shared" si="5"/>
        <v>1084351.3700000001</v>
      </c>
      <c r="G59" s="55">
        <f t="shared" si="6"/>
        <v>112589.98600000002</v>
      </c>
      <c r="H59" s="55">
        <f t="shared" si="7"/>
        <v>87258.364000000001</v>
      </c>
      <c r="I59" s="55">
        <f t="shared" si="8"/>
        <v>1284199.7200000002</v>
      </c>
      <c r="J59" s="57" t="s">
        <v>24</v>
      </c>
      <c r="K59"/>
    </row>
    <row r="60" spans="1:11" x14ac:dyDescent="0.2">
      <c r="A60" s="24" t="s">
        <v>129</v>
      </c>
      <c r="B60" s="53">
        <f t="shared" ref="B60:D68" si="11">B38</f>
        <v>2002.5</v>
      </c>
      <c r="C60" s="53">
        <f t="shared" si="11"/>
        <v>0</v>
      </c>
      <c r="D60" s="53">
        <f t="shared" si="11"/>
        <v>255.6</v>
      </c>
      <c r="E60" s="54">
        <f t="shared" si="10"/>
        <v>2258.1</v>
      </c>
      <c r="F60" s="55">
        <f t="shared" si="5"/>
        <v>329951.92500000005</v>
      </c>
      <c r="G60" s="55">
        <f t="shared" si="6"/>
        <v>0</v>
      </c>
      <c r="H60" s="55">
        <f t="shared" si="7"/>
        <v>38334.888000000006</v>
      </c>
      <c r="I60" s="55">
        <f t="shared" si="8"/>
        <v>368286.81300000008</v>
      </c>
      <c r="J60" s="23"/>
      <c r="K60"/>
    </row>
    <row r="61" spans="1:11" x14ac:dyDescent="0.2">
      <c r="A61" s="24" t="s">
        <v>20</v>
      </c>
      <c r="B61" s="53">
        <f t="shared" si="11"/>
        <v>20564.400000000001</v>
      </c>
      <c r="C61" s="53">
        <f t="shared" si="11"/>
        <v>891.5</v>
      </c>
      <c r="D61" s="53">
        <f t="shared" si="11"/>
        <v>1864.5</v>
      </c>
      <c r="E61" s="54">
        <f t="shared" si="10"/>
        <v>23320.400000000001</v>
      </c>
      <c r="F61" s="55">
        <f t="shared" si="5"/>
        <v>4421346</v>
      </c>
      <c r="G61" s="55">
        <f t="shared" si="6"/>
        <v>178487.215</v>
      </c>
      <c r="H61" s="55">
        <f t="shared" si="7"/>
        <v>373291.54500000004</v>
      </c>
      <c r="I61" s="55">
        <f t="shared" si="8"/>
        <v>4973124.76</v>
      </c>
      <c r="J61" s="23"/>
      <c r="K61"/>
    </row>
    <row r="62" spans="1:11" x14ac:dyDescent="0.2">
      <c r="A62" s="24" t="s">
        <v>11</v>
      </c>
      <c r="B62" s="53">
        <f t="shared" si="11"/>
        <v>2139.6999999999998</v>
      </c>
      <c r="C62" s="53">
        <f t="shared" si="11"/>
        <v>569.79999999999995</v>
      </c>
      <c r="D62" s="53">
        <f t="shared" si="11"/>
        <v>587.4</v>
      </c>
      <c r="E62" s="54">
        <f t="shared" si="10"/>
        <v>3296.9</v>
      </c>
      <c r="F62" s="55">
        <f t="shared" si="5"/>
        <v>352558.36900000001</v>
      </c>
      <c r="G62" s="55">
        <f t="shared" si="6"/>
        <v>85458.604000000007</v>
      </c>
      <c r="H62" s="55">
        <f t="shared" si="7"/>
        <v>35214.630000000012</v>
      </c>
      <c r="I62" s="55">
        <f t="shared" si="8"/>
        <v>473231.603</v>
      </c>
      <c r="J62" s="23"/>
      <c r="K62"/>
    </row>
    <row r="63" spans="1:11" x14ac:dyDescent="0.2">
      <c r="A63" s="24" t="s">
        <v>10</v>
      </c>
      <c r="B63" s="53">
        <f t="shared" si="11"/>
        <v>8380.4</v>
      </c>
      <c r="C63" s="53">
        <f t="shared" si="11"/>
        <v>663.7</v>
      </c>
      <c r="D63" s="53">
        <f t="shared" si="11"/>
        <v>482.8</v>
      </c>
      <c r="E63" s="54">
        <f t="shared" si="10"/>
        <v>9526.9</v>
      </c>
      <c r="F63" s="55">
        <f t="shared" si="5"/>
        <v>1380838.5079999999</v>
      </c>
      <c r="G63" s="55">
        <f t="shared" si="6"/>
        <v>49777.500000000015</v>
      </c>
      <c r="H63" s="55">
        <f t="shared" si="7"/>
        <v>36210.000000000007</v>
      </c>
      <c r="I63" s="55">
        <f t="shared" si="8"/>
        <v>1466826.0079999999</v>
      </c>
      <c r="J63" s="23"/>
      <c r="K63"/>
    </row>
    <row r="64" spans="1:11" x14ac:dyDescent="0.2">
      <c r="A64" s="24" t="s">
        <v>144</v>
      </c>
      <c r="B64" s="53">
        <f t="shared" si="11"/>
        <v>0</v>
      </c>
      <c r="C64" s="53">
        <f t="shared" si="11"/>
        <v>0</v>
      </c>
      <c r="D64" s="53" t="str">
        <f t="shared" si="11"/>
        <v>NA</v>
      </c>
      <c r="E64" s="54">
        <f>B64+C64</f>
        <v>0</v>
      </c>
      <c r="F64" s="55">
        <v>0</v>
      </c>
      <c r="G64" s="55">
        <v>0</v>
      </c>
      <c r="H64" s="168" t="s">
        <v>149</v>
      </c>
      <c r="I64" s="55">
        <f>F64+G64</f>
        <v>0</v>
      </c>
      <c r="J64" s="23"/>
      <c r="K64"/>
    </row>
    <row r="65" spans="1:11" x14ac:dyDescent="0.2">
      <c r="A65" s="24" t="s">
        <v>145</v>
      </c>
      <c r="B65" s="53">
        <f t="shared" si="11"/>
        <v>0</v>
      </c>
      <c r="C65" s="53">
        <f t="shared" si="11"/>
        <v>0</v>
      </c>
      <c r="D65" s="53" t="str">
        <f t="shared" si="11"/>
        <v>NA</v>
      </c>
      <c r="E65" s="54">
        <f>B65+C65</f>
        <v>0</v>
      </c>
      <c r="F65" s="55">
        <v>0</v>
      </c>
      <c r="G65" s="55">
        <v>0</v>
      </c>
      <c r="H65" s="168" t="s">
        <v>149</v>
      </c>
      <c r="I65" s="55">
        <f>F65+G65</f>
        <v>0</v>
      </c>
      <c r="J65" s="23"/>
      <c r="K65"/>
    </row>
    <row r="66" spans="1:11" x14ac:dyDescent="0.2">
      <c r="A66" s="24" t="s">
        <v>146</v>
      </c>
      <c r="B66" s="53">
        <f t="shared" si="11"/>
        <v>0</v>
      </c>
      <c r="C66" s="53">
        <f t="shared" si="11"/>
        <v>0</v>
      </c>
      <c r="D66" s="53" t="str">
        <f t="shared" si="11"/>
        <v>NA</v>
      </c>
      <c r="E66" s="54">
        <f>B66+C66</f>
        <v>0</v>
      </c>
      <c r="F66" s="55">
        <v>0</v>
      </c>
      <c r="G66" s="55">
        <v>0</v>
      </c>
      <c r="H66" s="168" t="s">
        <v>149</v>
      </c>
      <c r="I66" s="55">
        <f>F66+G66</f>
        <v>0</v>
      </c>
      <c r="J66" s="23"/>
      <c r="K66"/>
    </row>
    <row r="67" spans="1:11" x14ac:dyDescent="0.2">
      <c r="A67" s="24" t="s">
        <v>147</v>
      </c>
      <c r="B67" s="53">
        <f t="shared" si="11"/>
        <v>0</v>
      </c>
      <c r="C67" s="53">
        <f t="shared" si="11"/>
        <v>0</v>
      </c>
      <c r="D67" s="53" t="str">
        <f t="shared" si="11"/>
        <v>NA</v>
      </c>
      <c r="E67" s="54">
        <f>B67+C67</f>
        <v>0</v>
      </c>
      <c r="F67" s="55">
        <v>0</v>
      </c>
      <c r="G67" s="55">
        <v>0</v>
      </c>
      <c r="H67" s="168" t="s">
        <v>149</v>
      </c>
      <c r="I67" s="55">
        <f>F67+G67</f>
        <v>0</v>
      </c>
      <c r="J67" s="23"/>
      <c r="K67"/>
    </row>
    <row r="68" spans="1:11" x14ac:dyDescent="0.2">
      <c r="A68" s="24" t="s">
        <v>148</v>
      </c>
      <c r="B68" s="53">
        <f t="shared" si="11"/>
        <v>0</v>
      </c>
      <c r="C68" s="53">
        <f t="shared" si="11"/>
        <v>0</v>
      </c>
      <c r="D68" s="53" t="str">
        <f t="shared" si="11"/>
        <v>NA</v>
      </c>
      <c r="E68" s="54">
        <f>B68+C68</f>
        <v>0</v>
      </c>
      <c r="F68" s="55">
        <v>0</v>
      </c>
      <c r="G68" s="55">
        <v>0</v>
      </c>
      <c r="H68" s="168" t="s">
        <v>149</v>
      </c>
      <c r="I68" s="55">
        <f>F68+G68</f>
        <v>0</v>
      </c>
      <c r="J68" s="23"/>
      <c r="K68"/>
    </row>
    <row r="69" spans="1:11" x14ac:dyDescent="0.2">
      <c r="A69" s="73" t="s">
        <v>51</v>
      </c>
      <c r="B69" s="58">
        <f t="shared" ref="B69:G69" si="12">SUM(B51:B68)</f>
        <v>140600.40000000002</v>
      </c>
      <c r="C69" s="58">
        <f t="shared" si="12"/>
        <v>16277.100000000002</v>
      </c>
      <c r="D69" s="58">
        <f t="shared" si="12"/>
        <v>9959.4</v>
      </c>
      <c r="E69" s="58">
        <f t="shared" si="12"/>
        <v>166836.9</v>
      </c>
      <c r="F69" s="44">
        <f t="shared" si="12"/>
        <v>25592844.610000003</v>
      </c>
      <c r="G69" s="44">
        <f t="shared" si="12"/>
        <v>2834938.0520000001</v>
      </c>
      <c r="H69" s="44">
        <f>SUM(H51:H63)</f>
        <v>1536320.8660000002</v>
      </c>
      <c r="I69" s="44">
        <f>SUM(I51:I68)</f>
        <v>29964103.528000005</v>
      </c>
      <c r="J69" s="57" t="s">
        <v>24</v>
      </c>
    </row>
    <row r="70" spans="1:11" x14ac:dyDescent="0.2">
      <c r="A70" s="34"/>
      <c r="B70" s="59"/>
      <c r="C70" s="59"/>
      <c r="D70" s="59"/>
      <c r="E70" s="60"/>
      <c r="F70" s="39" t="s">
        <v>24</v>
      </c>
      <c r="G70" s="36"/>
      <c r="H70" s="36"/>
      <c r="I70" s="38"/>
      <c r="J70" s="59"/>
    </row>
    <row r="71" spans="1:11" ht="15.75" x14ac:dyDescent="0.25">
      <c r="A71" s="551" t="s">
        <v>156</v>
      </c>
      <c r="B71" s="552"/>
      <c r="C71" s="59"/>
      <c r="D71" s="59"/>
      <c r="E71" s="61"/>
      <c r="F71" s="36"/>
      <c r="G71" s="36"/>
      <c r="H71" s="36"/>
      <c r="I71" s="38"/>
      <c r="J71" s="59"/>
    </row>
    <row r="72" spans="1:11" ht="60" customHeight="1" x14ac:dyDescent="0.2">
      <c r="A72" s="190" t="s">
        <v>155</v>
      </c>
      <c r="B72" s="166" t="s">
        <v>179</v>
      </c>
      <c r="C72" s="166" t="s">
        <v>184</v>
      </c>
      <c r="D72" s="166" t="s">
        <v>227</v>
      </c>
      <c r="E72" s="192" t="s">
        <v>86</v>
      </c>
      <c r="F72" s="192" t="s">
        <v>186</v>
      </c>
      <c r="G72" s="192" t="s">
        <v>187</v>
      </c>
      <c r="H72" s="192" t="s">
        <v>229</v>
      </c>
      <c r="I72" s="193" t="s">
        <v>162</v>
      </c>
      <c r="J72" s="192" t="s">
        <v>163</v>
      </c>
    </row>
    <row r="73" spans="1:11" x14ac:dyDescent="0.2">
      <c r="A73" s="32" t="s">
        <v>47</v>
      </c>
      <c r="B73" s="53">
        <f>F29-F30-F37-F39</f>
        <v>0</v>
      </c>
      <c r="C73" s="53">
        <f>G29-G30-G37-G39</f>
        <v>0</v>
      </c>
      <c r="D73" s="53">
        <f>H29-H30-H37-H39</f>
        <v>0</v>
      </c>
      <c r="E73" s="54">
        <f t="shared" ref="E73:E79" si="13">B73+C73+D73</f>
        <v>0</v>
      </c>
      <c r="F73" s="33">
        <f t="shared" ref="F73:F85" si="14">B73*D5</f>
        <v>0</v>
      </c>
      <c r="G73" s="33">
        <f t="shared" ref="G73:G85" si="15">C73*F5</f>
        <v>0</v>
      </c>
      <c r="H73" s="33">
        <f t="shared" ref="H73:H85" si="16">D73*H5</f>
        <v>0</v>
      </c>
      <c r="I73" s="33">
        <v>0</v>
      </c>
      <c r="J73" s="55">
        <f t="shared" ref="J73:J85" si="17">F73+G73+H73+I73</f>
        <v>0</v>
      </c>
    </row>
    <row r="74" spans="1:11" x14ac:dyDescent="0.2">
      <c r="A74" s="32" t="s">
        <v>50</v>
      </c>
      <c r="B74" s="53">
        <f>F30-F31-F32-F41</f>
        <v>0</v>
      </c>
      <c r="C74" s="53">
        <f>G30-G31-G32-G41</f>
        <v>0</v>
      </c>
      <c r="D74" s="53">
        <f>H30-H31-H32-H41</f>
        <v>0</v>
      </c>
      <c r="E74" s="54">
        <f t="shared" si="13"/>
        <v>0</v>
      </c>
      <c r="F74" s="33">
        <f t="shared" si="14"/>
        <v>0</v>
      </c>
      <c r="G74" s="33">
        <f t="shared" si="15"/>
        <v>0</v>
      </c>
      <c r="H74" s="33">
        <f t="shared" si="16"/>
        <v>0</v>
      </c>
      <c r="I74" s="33">
        <v>0</v>
      </c>
      <c r="J74" s="55">
        <f t="shared" si="17"/>
        <v>0</v>
      </c>
    </row>
    <row r="75" spans="1:11" x14ac:dyDescent="0.2">
      <c r="A75" s="32" t="s">
        <v>49</v>
      </c>
      <c r="B75" s="53">
        <f>F31-F33-F35</f>
        <v>0</v>
      </c>
      <c r="C75" s="53">
        <f>G31-G33-G35</f>
        <v>0</v>
      </c>
      <c r="D75" s="53">
        <f>H31-H33-H35</f>
        <v>0</v>
      </c>
      <c r="E75" s="54">
        <f t="shared" si="13"/>
        <v>0</v>
      </c>
      <c r="F75" s="33">
        <f t="shared" si="14"/>
        <v>0</v>
      </c>
      <c r="G75" s="33">
        <f t="shared" si="15"/>
        <v>0</v>
      </c>
      <c r="H75" s="33">
        <f t="shared" si="16"/>
        <v>0</v>
      </c>
      <c r="I75" s="33">
        <v>0</v>
      </c>
      <c r="J75" s="55">
        <f t="shared" si="17"/>
        <v>0</v>
      </c>
    </row>
    <row r="76" spans="1:11" x14ac:dyDescent="0.2">
      <c r="A76" s="32" t="s">
        <v>48</v>
      </c>
      <c r="B76" s="53">
        <f>F32-F36-F40</f>
        <v>0</v>
      </c>
      <c r="C76" s="53">
        <f>G32-G36-G40</f>
        <v>0</v>
      </c>
      <c r="D76" s="53">
        <f>H32-H36-H40</f>
        <v>0</v>
      </c>
      <c r="E76" s="54">
        <f t="shared" si="13"/>
        <v>0</v>
      </c>
      <c r="F76" s="33">
        <f t="shared" si="14"/>
        <v>0</v>
      </c>
      <c r="G76" s="33">
        <f t="shared" si="15"/>
        <v>0</v>
      </c>
      <c r="H76" s="33">
        <f t="shared" si="16"/>
        <v>0</v>
      </c>
      <c r="I76" s="33">
        <v>0</v>
      </c>
      <c r="J76" s="55">
        <f t="shared" si="17"/>
        <v>0</v>
      </c>
    </row>
    <row r="77" spans="1:11" x14ac:dyDescent="0.2">
      <c r="A77" s="32" t="s">
        <v>40</v>
      </c>
      <c r="B77" s="53">
        <f>F33-F34</f>
        <v>0</v>
      </c>
      <c r="C77" s="53">
        <f>G33-G34</f>
        <v>0</v>
      </c>
      <c r="D77" s="53">
        <f>H33-H34</f>
        <v>0</v>
      </c>
      <c r="E77" s="54">
        <f t="shared" si="13"/>
        <v>0</v>
      </c>
      <c r="F77" s="33">
        <f t="shared" si="14"/>
        <v>0</v>
      </c>
      <c r="G77" s="33">
        <f t="shared" si="15"/>
        <v>0</v>
      </c>
      <c r="H77" s="33">
        <f t="shared" si="16"/>
        <v>0</v>
      </c>
      <c r="I77" s="33">
        <v>0</v>
      </c>
      <c r="J77" s="55">
        <f t="shared" si="17"/>
        <v>0</v>
      </c>
    </row>
    <row r="78" spans="1:11" x14ac:dyDescent="0.2">
      <c r="A78" s="32" t="s">
        <v>37</v>
      </c>
      <c r="B78" s="53">
        <f t="shared" ref="B78:D80" si="18">F34</f>
        <v>0</v>
      </c>
      <c r="C78" s="53">
        <f t="shared" si="18"/>
        <v>0</v>
      </c>
      <c r="D78" s="53">
        <f t="shared" si="18"/>
        <v>0</v>
      </c>
      <c r="E78" s="54">
        <f t="shared" si="13"/>
        <v>0</v>
      </c>
      <c r="F78" s="33">
        <f t="shared" si="14"/>
        <v>0</v>
      </c>
      <c r="G78" s="33">
        <f t="shared" si="15"/>
        <v>0</v>
      </c>
      <c r="H78" s="33">
        <f t="shared" si="16"/>
        <v>0</v>
      </c>
      <c r="I78" s="33">
        <v>0</v>
      </c>
      <c r="J78" s="55">
        <f t="shared" si="17"/>
        <v>0</v>
      </c>
    </row>
    <row r="79" spans="1:11" x14ac:dyDescent="0.2">
      <c r="A79" s="32" t="s">
        <v>38</v>
      </c>
      <c r="B79" s="53">
        <f t="shared" si="18"/>
        <v>0</v>
      </c>
      <c r="C79" s="53">
        <f t="shared" si="18"/>
        <v>0</v>
      </c>
      <c r="D79" s="53">
        <f t="shared" si="18"/>
        <v>0</v>
      </c>
      <c r="E79" s="54">
        <f t="shared" si="13"/>
        <v>0</v>
      </c>
      <c r="F79" s="33">
        <f t="shared" si="14"/>
        <v>0</v>
      </c>
      <c r="G79" s="33">
        <f t="shared" si="15"/>
        <v>0</v>
      </c>
      <c r="H79" s="33">
        <f t="shared" si="16"/>
        <v>0</v>
      </c>
      <c r="I79" s="33">
        <v>0</v>
      </c>
      <c r="J79" s="55">
        <f t="shared" si="17"/>
        <v>0</v>
      </c>
    </row>
    <row r="80" spans="1:11" x14ac:dyDescent="0.2">
      <c r="A80" s="32" t="s">
        <v>15</v>
      </c>
      <c r="B80" s="53">
        <f t="shared" si="18"/>
        <v>0</v>
      </c>
      <c r="C80" s="53">
        <f t="shared" si="18"/>
        <v>0</v>
      </c>
      <c r="D80" s="53">
        <f t="shared" si="18"/>
        <v>0</v>
      </c>
      <c r="E80" s="54">
        <f t="shared" ref="E80:E85" si="19">B80+C80+D80</f>
        <v>0</v>
      </c>
      <c r="F80" s="33">
        <f t="shared" si="14"/>
        <v>0</v>
      </c>
      <c r="G80" s="33">
        <f t="shared" si="15"/>
        <v>0</v>
      </c>
      <c r="H80" s="33">
        <f t="shared" si="16"/>
        <v>0</v>
      </c>
      <c r="I80" s="33">
        <v>0</v>
      </c>
      <c r="J80" s="55">
        <f t="shared" si="17"/>
        <v>0</v>
      </c>
    </row>
    <row r="81" spans="1:10" x14ac:dyDescent="0.2">
      <c r="A81" s="32" t="s">
        <v>130</v>
      </c>
      <c r="B81" s="53">
        <f>F37-F38</f>
        <v>0</v>
      </c>
      <c r="C81" s="53">
        <f>G37-G38</f>
        <v>0</v>
      </c>
      <c r="D81" s="53">
        <f>H37-H38</f>
        <v>0</v>
      </c>
      <c r="E81" s="54">
        <f t="shared" si="19"/>
        <v>0</v>
      </c>
      <c r="F81" s="33">
        <f t="shared" si="14"/>
        <v>0</v>
      </c>
      <c r="G81" s="33">
        <f t="shared" si="15"/>
        <v>0</v>
      </c>
      <c r="H81" s="33">
        <f t="shared" si="16"/>
        <v>0</v>
      </c>
      <c r="I81" s="33">
        <v>0</v>
      </c>
      <c r="J81" s="55">
        <f t="shared" si="17"/>
        <v>0</v>
      </c>
    </row>
    <row r="82" spans="1:10" x14ac:dyDescent="0.2">
      <c r="A82" s="32" t="s">
        <v>129</v>
      </c>
      <c r="B82" s="53">
        <f t="shared" ref="B82:B90" si="20">F38</f>
        <v>0</v>
      </c>
      <c r="C82" s="53">
        <f t="shared" ref="C82:C90" si="21">G38</f>
        <v>0</v>
      </c>
      <c r="D82" s="53">
        <f>H38</f>
        <v>0</v>
      </c>
      <c r="E82" s="54">
        <f t="shared" si="19"/>
        <v>0</v>
      </c>
      <c r="F82" s="33">
        <f t="shared" si="14"/>
        <v>0</v>
      </c>
      <c r="G82" s="33">
        <f t="shared" si="15"/>
        <v>0</v>
      </c>
      <c r="H82" s="33">
        <f t="shared" si="16"/>
        <v>0</v>
      </c>
      <c r="I82" s="33">
        <v>0</v>
      </c>
      <c r="J82" s="55">
        <f t="shared" si="17"/>
        <v>0</v>
      </c>
    </row>
    <row r="83" spans="1:10" x14ac:dyDescent="0.2">
      <c r="A83" s="24" t="s">
        <v>20</v>
      </c>
      <c r="B83" s="53">
        <f t="shared" si="20"/>
        <v>0</v>
      </c>
      <c r="C83" s="53">
        <f t="shared" si="21"/>
        <v>0</v>
      </c>
      <c r="D83" s="53">
        <f>H39</f>
        <v>0</v>
      </c>
      <c r="E83" s="54">
        <f t="shared" si="19"/>
        <v>0</v>
      </c>
      <c r="F83" s="33">
        <f t="shared" si="14"/>
        <v>0</v>
      </c>
      <c r="G83" s="33">
        <f t="shared" si="15"/>
        <v>0</v>
      </c>
      <c r="H83" s="33">
        <f t="shared" si="16"/>
        <v>0</v>
      </c>
      <c r="I83" s="33">
        <v>0</v>
      </c>
      <c r="J83" s="55">
        <f t="shared" si="17"/>
        <v>0</v>
      </c>
    </row>
    <row r="84" spans="1:10" x14ac:dyDescent="0.2">
      <c r="A84" s="24" t="s">
        <v>11</v>
      </c>
      <c r="B84" s="53">
        <f t="shared" si="20"/>
        <v>0</v>
      </c>
      <c r="C84" s="53">
        <f t="shared" si="21"/>
        <v>0</v>
      </c>
      <c r="D84" s="53">
        <f>H40</f>
        <v>0</v>
      </c>
      <c r="E84" s="54">
        <f t="shared" si="19"/>
        <v>0</v>
      </c>
      <c r="F84" s="33">
        <f t="shared" si="14"/>
        <v>0</v>
      </c>
      <c r="G84" s="33">
        <f t="shared" si="15"/>
        <v>0</v>
      </c>
      <c r="H84" s="33">
        <f t="shared" si="16"/>
        <v>0</v>
      </c>
      <c r="I84" s="33">
        <v>0</v>
      </c>
      <c r="J84" s="55">
        <f t="shared" si="17"/>
        <v>0</v>
      </c>
    </row>
    <row r="85" spans="1:10" x14ac:dyDescent="0.2">
      <c r="A85" s="24" t="s">
        <v>10</v>
      </c>
      <c r="B85" s="53">
        <f t="shared" si="20"/>
        <v>38.6</v>
      </c>
      <c r="C85" s="53">
        <f t="shared" si="21"/>
        <v>0</v>
      </c>
      <c r="D85" s="53">
        <f>H41</f>
        <v>0</v>
      </c>
      <c r="E85" s="54">
        <f t="shared" si="19"/>
        <v>38.6</v>
      </c>
      <c r="F85" s="33">
        <f t="shared" si="14"/>
        <v>6360.1220000000003</v>
      </c>
      <c r="G85" s="33">
        <f t="shared" si="15"/>
        <v>0</v>
      </c>
      <c r="H85" s="33">
        <f t="shared" si="16"/>
        <v>0</v>
      </c>
      <c r="I85" s="33">
        <v>0</v>
      </c>
      <c r="J85" s="55">
        <f t="shared" si="17"/>
        <v>6360.1220000000003</v>
      </c>
    </row>
    <row r="86" spans="1:10" x14ac:dyDescent="0.2">
      <c r="A86" s="24" t="s">
        <v>144</v>
      </c>
      <c r="B86" s="53">
        <f t="shared" si="20"/>
        <v>0</v>
      </c>
      <c r="C86" s="53">
        <f t="shared" si="21"/>
        <v>0</v>
      </c>
      <c r="D86" s="53" t="s">
        <v>149</v>
      </c>
      <c r="E86" s="54">
        <f>B86+C86</f>
        <v>0</v>
      </c>
      <c r="F86" s="33">
        <v>0</v>
      </c>
      <c r="G86" s="33">
        <v>0</v>
      </c>
      <c r="H86" s="33" t="s">
        <v>149</v>
      </c>
      <c r="I86" s="33">
        <v>0</v>
      </c>
      <c r="J86" s="55">
        <f>F86+I86</f>
        <v>0</v>
      </c>
    </row>
    <row r="87" spans="1:10" x14ac:dyDescent="0.2">
      <c r="A87" s="24" t="s">
        <v>145</v>
      </c>
      <c r="B87" s="53">
        <f t="shared" si="20"/>
        <v>0</v>
      </c>
      <c r="C87" s="53">
        <f t="shared" si="21"/>
        <v>0</v>
      </c>
      <c r="D87" s="53" t="s">
        <v>149</v>
      </c>
      <c r="E87" s="54">
        <f>B87+C87</f>
        <v>0</v>
      </c>
      <c r="F87" s="33">
        <v>0</v>
      </c>
      <c r="G87" s="33">
        <v>0</v>
      </c>
      <c r="H87" s="33" t="s">
        <v>149</v>
      </c>
      <c r="I87" s="33">
        <v>0</v>
      </c>
      <c r="J87" s="55">
        <f>F87+I87</f>
        <v>0</v>
      </c>
    </row>
    <row r="88" spans="1:10" x14ac:dyDescent="0.2">
      <c r="A88" s="24" t="s">
        <v>146</v>
      </c>
      <c r="B88" s="53">
        <f t="shared" si="20"/>
        <v>0</v>
      </c>
      <c r="C88" s="53">
        <f t="shared" si="21"/>
        <v>0</v>
      </c>
      <c r="D88" s="53" t="s">
        <v>149</v>
      </c>
      <c r="E88" s="54">
        <f>B88+C88</f>
        <v>0</v>
      </c>
      <c r="F88" s="33">
        <v>0</v>
      </c>
      <c r="G88" s="33">
        <v>0</v>
      </c>
      <c r="H88" s="33" t="s">
        <v>149</v>
      </c>
      <c r="I88" s="33">
        <v>0</v>
      </c>
      <c r="J88" s="55">
        <f>F88+I88</f>
        <v>0</v>
      </c>
    </row>
    <row r="89" spans="1:10" x14ac:dyDescent="0.2">
      <c r="A89" s="24" t="s">
        <v>147</v>
      </c>
      <c r="B89" s="53">
        <f t="shared" si="20"/>
        <v>0</v>
      </c>
      <c r="C89" s="53">
        <f t="shared" si="21"/>
        <v>0</v>
      </c>
      <c r="D89" s="53" t="s">
        <v>149</v>
      </c>
      <c r="E89" s="54">
        <f>B89+C89</f>
        <v>0</v>
      </c>
      <c r="F89" s="33">
        <v>0</v>
      </c>
      <c r="G89" s="33">
        <v>0</v>
      </c>
      <c r="H89" s="33" t="s">
        <v>149</v>
      </c>
      <c r="I89" s="33">
        <v>0</v>
      </c>
      <c r="J89" s="55">
        <f>F89+I89</f>
        <v>0</v>
      </c>
    </row>
    <row r="90" spans="1:10" x14ac:dyDescent="0.2">
      <c r="A90" s="24" t="s">
        <v>148</v>
      </c>
      <c r="B90" s="53">
        <f t="shared" si="20"/>
        <v>0</v>
      </c>
      <c r="C90" s="53">
        <f t="shared" si="21"/>
        <v>0</v>
      </c>
      <c r="D90" s="53" t="s">
        <v>149</v>
      </c>
      <c r="E90" s="54">
        <f>B90+C90</f>
        <v>0</v>
      </c>
      <c r="F90" s="33">
        <v>0</v>
      </c>
      <c r="G90" s="33">
        <v>0</v>
      </c>
      <c r="H90" s="33" t="s">
        <v>149</v>
      </c>
      <c r="I90" s="33">
        <v>0</v>
      </c>
      <c r="J90" s="55">
        <f>F90+I90</f>
        <v>0</v>
      </c>
    </row>
    <row r="91" spans="1:10" x14ac:dyDescent="0.2">
      <c r="A91" s="73" t="s">
        <v>51</v>
      </c>
      <c r="B91" s="58">
        <f>SUM(B73:B90)</f>
        <v>38.6</v>
      </c>
      <c r="C91" s="58">
        <f>SUM(C73:C90)</f>
        <v>0</v>
      </c>
      <c r="D91" s="58">
        <f>SUM(D73:D85)</f>
        <v>0</v>
      </c>
      <c r="E91" s="74">
        <f>B91+C91+D91</f>
        <v>38.6</v>
      </c>
      <c r="F91" s="44">
        <f>SUM(F73:F90)</f>
        <v>6360.1220000000003</v>
      </c>
      <c r="G91" s="44">
        <f>SUM(G73:G90)</f>
        <v>0</v>
      </c>
      <c r="H91" s="44">
        <f>SUM(H73:H85)</f>
        <v>0</v>
      </c>
      <c r="I91" s="44">
        <f>SUM(I73:I90)</f>
        <v>0</v>
      </c>
      <c r="J91" s="75">
        <f>SUM(J73:J90)</f>
        <v>6360.1220000000003</v>
      </c>
    </row>
    <row r="92" spans="1:10" x14ac:dyDescent="0.2">
      <c r="A92" s="34"/>
      <c r="B92" s="59"/>
      <c r="C92" s="59"/>
      <c r="D92" s="59"/>
      <c r="E92" s="61"/>
      <c r="F92" s="36"/>
      <c r="G92" s="36"/>
      <c r="H92" s="36"/>
      <c r="I92" s="38"/>
      <c r="J92" s="59"/>
    </row>
    <row r="93" spans="1:10" ht="15.75" x14ac:dyDescent="0.25">
      <c r="A93" s="544" t="s">
        <v>157</v>
      </c>
      <c r="B93" s="544"/>
      <c r="C93" s="544"/>
      <c r="D93" s="544"/>
      <c r="E93" s="23"/>
      <c r="F93" s="23"/>
      <c r="G93" s="23"/>
      <c r="H93" s="23"/>
      <c r="I93" s="23"/>
      <c r="J93" s="23"/>
    </row>
    <row r="94" spans="1:10" ht="80.099999999999994" customHeight="1" x14ac:dyDescent="0.2">
      <c r="A94" s="28" t="s">
        <v>67</v>
      </c>
      <c r="B94" s="28" t="s">
        <v>158</v>
      </c>
      <c r="C94" s="28" t="s">
        <v>93</v>
      </c>
      <c r="D94" s="28" t="s">
        <v>68</v>
      </c>
      <c r="E94" s="23"/>
      <c r="F94" s="23"/>
      <c r="G94" s="23"/>
      <c r="H94" s="23"/>
      <c r="I94" s="23"/>
      <c r="J94" s="23"/>
    </row>
    <row r="95" spans="1:10" x14ac:dyDescent="0.2">
      <c r="A95" s="171" t="s">
        <v>29</v>
      </c>
      <c r="B95" s="171">
        <v>0</v>
      </c>
      <c r="C95" s="55">
        <f>C6</f>
        <v>0</v>
      </c>
      <c r="D95" s="55">
        <f t="shared" ref="D95:D106" si="22">B95*C95</f>
        <v>0</v>
      </c>
      <c r="E95" s="23"/>
      <c r="F95" s="23"/>
      <c r="G95" s="23"/>
      <c r="H95" s="23"/>
      <c r="I95" s="23"/>
      <c r="J95" s="23"/>
    </row>
    <row r="96" spans="1:10" x14ac:dyDescent="0.2">
      <c r="A96" s="171" t="s">
        <v>36</v>
      </c>
      <c r="B96" s="171">
        <v>0</v>
      </c>
      <c r="C96" s="55">
        <f>C7</f>
        <v>60.65</v>
      </c>
      <c r="D96" s="55">
        <f t="shared" si="22"/>
        <v>0</v>
      </c>
      <c r="E96" s="23"/>
      <c r="F96" s="23"/>
      <c r="G96" s="23"/>
      <c r="H96" s="23"/>
      <c r="I96" s="23"/>
      <c r="J96" s="23"/>
    </row>
    <row r="97" spans="1:10" x14ac:dyDescent="0.2">
      <c r="A97" s="171" t="s">
        <v>5</v>
      </c>
      <c r="B97" s="171">
        <v>0</v>
      </c>
      <c r="C97" s="55">
        <f t="shared" ref="C97:C106" si="23">C8</f>
        <v>0</v>
      </c>
      <c r="D97" s="55">
        <f t="shared" si="22"/>
        <v>0</v>
      </c>
      <c r="E97" s="23"/>
      <c r="F97" s="23"/>
      <c r="G97" s="23"/>
      <c r="H97" s="23"/>
      <c r="I97" s="23"/>
      <c r="J97" s="23"/>
    </row>
    <row r="98" spans="1:10" x14ac:dyDescent="0.2">
      <c r="A98" s="171" t="s">
        <v>8</v>
      </c>
      <c r="B98" s="171">
        <v>0</v>
      </c>
      <c r="C98" s="55">
        <f t="shared" si="23"/>
        <v>0</v>
      </c>
      <c r="D98" s="55">
        <f t="shared" si="22"/>
        <v>0</v>
      </c>
      <c r="E98" s="23"/>
      <c r="F98" s="23" t="s">
        <v>24</v>
      </c>
      <c r="G98" s="23"/>
      <c r="H98" s="23"/>
      <c r="I98" s="23"/>
      <c r="J98" s="23"/>
    </row>
    <row r="99" spans="1:10" x14ac:dyDescent="0.2">
      <c r="A99" s="171" t="s">
        <v>37</v>
      </c>
      <c r="B99" s="171">
        <v>0</v>
      </c>
      <c r="C99" s="55">
        <f t="shared" si="23"/>
        <v>0</v>
      </c>
      <c r="D99" s="55">
        <f t="shared" si="22"/>
        <v>0</v>
      </c>
      <c r="E99" s="23"/>
      <c r="F99" s="23"/>
      <c r="G99" s="23"/>
      <c r="H99" s="23"/>
      <c r="I99" s="23"/>
      <c r="J99" s="23"/>
    </row>
    <row r="100" spans="1:10" x14ac:dyDescent="0.2">
      <c r="A100" s="171" t="s">
        <v>38</v>
      </c>
      <c r="B100" s="171">
        <v>0</v>
      </c>
      <c r="C100" s="55">
        <f t="shared" si="23"/>
        <v>0</v>
      </c>
      <c r="D100" s="55">
        <f t="shared" si="22"/>
        <v>0</v>
      </c>
      <c r="E100" s="23"/>
      <c r="F100" s="23"/>
      <c r="G100" s="23"/>
      <c r="H100" s="23"/>
      <c r="I100" s="23"/>
      <c r="J100" s="23"/>
    </row>
    <row r="101" spans="1:10" x14ac:dyDescent="0.2">
      <c r="A101" s="24" t="s">
        <v>15</v>
      </c>
      <c r="B101" s="171">
        <v>0</v>
      </c>
      <c r="C101" s="55">
        <f t="shared" si="23"/>
        <v>0</v>
      </c>
      <c r="D101" s="55">
        <f t="shared" si="22"/>
        <v>0</v>
      </c>
      <c r="E101" s="23"/>
      <c r="F101" s="23"/>
      <c r="G101" s="23"/>
      <c r="H101" s="23"/>
      <c r="I101" s="23"/>
      <c r="J101" s="23"/>
    </row>
    <row r="102" spans="1:10" x14ac:dyDescent="0.2">
      <c r="A102" s="24" t="s">
        <v>46</v>
      </c>
      <c r="B102" s="171">
        <v>0</v>
      </c>
      <c r="C102" s="55">
        <f t="shared" si="23"/>
        <v>0</v>
      </c>
      <c r="D102" s="55">
        <f t="shared" si="22"/>
        <v>0</v>
      </c>
      <c r="E102" s="23"/>
      <c r="F102" s="23"/>
      <c r="G102" s="23"/>
      <c r="H102" s="23"/>
      <c r="I102" s="23"/>
      <c r="J102" s="23"/>
    </row>
    <row r="103" spans="1:10" x14ac:dyDescent="0.2">
      <c r="A103" s="24" t="s">
        <v>129</v>
      </c>
      <c r="B103" s="171">
        <v>0</v>
      </c>
      <c r="C103" s="55">
        <f t="shared" si="23"/>
        <v>0</v>
      </c>
      <c r="D103" s="55">
        <f t="shared" si="22"/>
        <v>0</v>
      </c>
      <c r="E103" s="23"/>
      <c r="F103" s="23"/>
      <c r="G103" s="23"/>
      <c r="H103" s="23"/>
      <c r="I103" s="23"/>
      <c r="J103" s="23"/>
    </row>
    <row r="104" spans="1:10" x14ac:dyDescent="0.2">
      <c r="A104" s="24" t="s">
        <v>20</v>
      </c>
      <c r="B104" s="171">
        <v>0</v>
      </c>
      <c r="C104" s="55">
        <f t="shared" si="23"/>
        <v>50.23</v>
      </c>
      <c r="D104" s="55">
        <f t="shared" si="22"/>
        <v>0</v>
      </c>
      <c r="E104" s="23"/>
      <c r="F104" s="23"/>
      <c r="G104" s="23"/>
      <c r="H104" s="23"/>
      <c r="I104" s="23"/>
      <c r="J104" s="23"/>
    </row>
    <row r="105" spans="1:10" x14ac:dyDescent="0.2">
      <c r="A105" s="24" t="s">
        <v>11</v>
      </c>
      <c r="B105" s="171">
        <v>0</v>
      </c>
      <c r="C105" s="55">
        <f t="shared" si="23"/>
        <v>0</v>
      </c>
      <c r="D105" s="55">
        <f t="shared" si="22"/>
        <v>0</v>
      </c>
      <c r="E105" s="23"/>
      <c r="F105" s="23"/>
      <c r="G105" s="23"/>
      <c r="H105" s="23"/>
      <c r="I105" s="23"/>
      <c r="J105" s="23"/>
    </row>
    <row r="106" spans="1:10" x14ac:dyDescent="0.2">
      <c r="A106" s="24" t="s">
        <v>10</v>
      </c>
      <c r="B106" s="171">
        <v>0</v>
      </c>
      <c r="C106" s="55">
        <f t="shared" si="23"/>
        <v>0</v>
      </c>
      <c r="D106" s="55">
        <f t="shared" si="22"/>
        <v>0</v>
      </c>
      <c r="E106" s="23"/>
      <c r="F106" s="23"/>
      <c r="G106" s="23"/>
      <c r="H106" s="23"/>
      <c r="I106" s="23"/>
      <c r="J106" s="23"/>
    </row>
    <row r="107" spans="1:10" x14ac:dyDescent="0.2">
      <c r="A107" s="172" t="s">
        <v>51</v>
      </c>
      <c r="B107" s="171" t="s">
        <v>24</v>
      </c>
      <c r="C107" s="171"/>
      <c r="D107" s="75">
        <f>SUM(D95:D106)</f>
        <v>0</v>
      </c>
      <c r="E107" s="23"/>
      <c r="F107" s="23"/>
      <c r="G107" s="23"/>
      <c r="H107" s="23"/>
      <c r="I107" s="23"/>
      <c r="J107" s="23"/>
    </row>
    <row r="108" spans="1:10" x14ac:dyDescent="0.2">
      <c r="A108" s="25" t="s">
        <v>94</v>
      </c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 t="s">
        <v>24</v>
      </c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B110" s="4" t="s">
        <v>24</v>
      </c>
    </row>
    <row r="111" spans="1:10" x14ac:dyDescent="0.2">
      <c r="B111" s="4" t="s">
        <v>24</v>
      </c>
    </row>
  </sheetData>
  <mergeCells count="7">
    <mergeCell ref="A93:D93"/>
    <mergeCell ref="A47:I47"/>
    <mergeCell ref="A24:H24"/>
    <mergeCell ref="A3:B3"/>
    <mergeCell ref="A27:B27"/>
    <mergeCell ref="A49:B49"/>
    <mergeCell ref="A71:B71"/>
  </mergeCells>
  <pageMargins left="0.45" right="0.45" top="0.5" bottom="0.5" header="0" footer="0"/>
  <pageSetup paperSize="17" scale="68" orientation="portrait" r:id="rId1"/>
  <headerFooter alignWithMargins="0"/>
  <rowBreaks count="1" manualBreakCount="1">
    <brk id="7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0"/>
  <sheetViews>
    <sheetView zoomScaleNormal="100" workbookViewId="0">
      <pane xSplit="1" topLeftCell="B1" activePane="topRight" state="frozen"/>
      <selection pane="topRight"/>
    </sheetView>
  </sheetViews>
  <sheetFormatPr defaultRowHeight="12.75" x14ac:dyDescent="0.2"/>
  <cols>
    <col min="1" max="1" width="31" style="4" customWidth="1"/>
    <col min="2" max="2" width="12.85546875" style="4" customWidth="1"/>
    <col min="3" max="3" width="15.7109375" style="4" customWidth="1"/>
    <col min="4" max="4" width="16.42578125" style="4" customWidth="1"/>
    <col min="5" max="5" width="18.5703125" style="4" customWidth="1"/>
    <col min="6" max="6" width="18.7109375" style="4" customWidth="1"/>
    <col min="7" max="7" width="20" style="4" customWidth="1"/>
    <col min="8" max="8" width="18.42578125" style="4" customWidth="1"/>
    <col min="9" max="9" width="18.140625" style="4" customWidth="1"/>
    <col min="10" max="10" width="18.42578125" style="4" customWidth="1"/>
    <col min="11" max="11" width="20" style="4" customWidth="1"/>
    <col min="12" max="12" width="15.7109375" style="4" customWidth="1"/>
    <col min="13" max="13" width="12.7109375" style="4" customWidth="1"/>
    <col min="14" max="16384" width="9.140625" style="4"/>
  </cols>
  <sheetData>
    <row r="1" spans="1:13" ht="18.75" x14ac:dyDescent="0.3">
      <c r="A1" s="104" t="s">
        <v>188</v>
      </c>
      <c r="E1" s="16" t="s">
        <v>24</v>
      </c>
      <c r="F1" s="16" t="s">
        <v>24</v>
      </c>
      <c r="G1" s="16" t="s">
        <v>24</v>
      </c>
    </row>
    <row r="2" spans="1:13" x14ac:dyDescent="0.2">
      <c r="A2" s="20"/>
    </row>
    <row r="3" spans="1:13" ht="15.75" x14ac:dyDescent="0.25">
      <c r="A3" s="173" t="s">
        <v>0</v>
      </c>
      <c r="B3" s="23"/>
      <c r="C3" s="23"/>
      <c r="D3" s="101" t="s">
        <v>24</v>
      </c>
      <c r="E3" s="23"/>
      <c r="F3" s="23"/>
      <c r="G3" s="23"/>
      <c r="H3" s="23"/>
      <c r="I3" s="23"/>
      <c r="J3" s="23"/>
      <c r="K3" s="23"/>
      <c r="L3" s="23"/>
      <c r="M3" s="23"/>
    </row>
    <row r="4" spans="1:13" ht="12.75" customHeight="1" x14ac:dyDescent="0.2">
      <c r="A4" s="171" t="s">
        <v>1</v>
      </c>
      <c r="B4" s="175">
        <v>0.157</v>
      </c>
      <c r="C4" s="23"/>
      <c r="D4" s="77" t="s">
        <v>24</v>
      </c>
      <c r="E4" s="30" t="s">
        <v>24</v>
      </c>
      <c r="F4" s="30" t="s">
        <v>24</v>
      </c>
      <c r="G4" s="30" t="s">
        <v>24</v>
      </c>
      <c r="H4" s="30" t="s">
        <v>24</v>
      </c>
      <c r="I4" s="30" t="s">
        <v>24</v>
      </c>
      <c r="J4" s="30" t="s">
        <v>24</v>
      </c>
      <c r="K4" s="23"/>
      <c r="L4" s="30" t="s">
        <v>24</v>
      </c>
      <c r="M4" s="23"/>
    </row>
    <row r="5" spans="1:13" ht="12.75" customHeight="1" x14ac:dyDescent="0.2">
      <c r="A5" s="174" t="s">
        <v>2</v>
      </c>
      <c r="B5" s="129">
        <v>6.3500000000000001E-2</v>
      </c>
      <c r="C5" s="23"/>
      <c r="D5" s="34" t="s">
        <v>24</v>
      </c>
      <c r="E5" s="76" t="s">
        <v>24</v>
      </c>
      <c r="F5" s="78" t="s">
        <v>24</v>
      </c>
      <c r="G5" s="78" t="s">
        <v>24</v>
      </c>
      <c r="H5" s="78" t="s">
        <v>24</v>
      </c>
      <c r="I5" s="78" t="s">
        <v>24</v>
      </c>
      <c r="J5" s="30" t="s">
        <v>24</v>
      </c>
      <c r="K5" s="30" t="s">
        <v>24</v>
      </c>
      <c r="L5" s="76" t="s">
        <v>24</v>
      </c>
      <c r="M5" s="23"/>
    </row>
    <row r="6" spans="1:13" ht="12.75" customHeight="1" x14ac:dyDescent="0.2">
      <c r="A6" s="171" t="s">
        <v>4</v>
      </c>
      <c r="B6" s="176">
        <v>1.0834999999999999</v>
      </c>
      <c r="C6" s="23"/>
      <c r="D6" s="34" t="s">
        <v>24</v>
      </c>
      <c r="E6" s="79" t="s">
        <v>24</v>
      </c>
      <c r="F6" s="72" t="s">
        <v>24</v>
      </c>
      <c r="G6" s="80" t="s">
        <v>24</v>
      </c>
      <c r="H6" s="81" t="s">
        <v>24</v>
      </c>
      <c r="I6" s="81" t="s">
        <v>24</v>
      </c>
      <c r="J6" s="81" t="s">
        <v>24</v>
      </c>
      <c r="K6" s="82" t="s">
        <v>24</v>
      </c>
      <c r="L6" s="83" t="s">
        <v>24</v>
      </c>
      <c r="M6" s="23"/>
    </row>
    <row r="7" spans="1:13" ht="12.75" customHeight="1" x14ac:dyDescent="0.2">
      <c r="A7" s="171" t="s">
        <v>35</v>
      </c>
      <c r="B7" s="48">
        <v>160607.4</v>
      </c>
      <c r="C7" s="23"/>
      <c r="D7" s="34" t="s">
        <v>24</v>
      </c>
      <c r="E7" s="76" t="s">
        <v>24</v>
      </c>
      <c r="F7" s="84" t="s">
        <v>24</v>
      </c>
      <c r="G7" s="72" t="s">
        <v>24</v>
      </c>
      <c r="H7" s="72" t="s">
        <v>24</v>
      </c>
      <c r="I7" s="72" t="s">
        <v>24</v>
      </c>
      <c r="J7" s="80" t="s">
        <v>24</v>
      </c>
      <c r="K7" s="81"/>
      <c r="L7" s="76" t="s">
        <v>24</v>
      </c>
      <c r="M7" s="23"/>
    </row>
    <row r="8" spans="1:13" ht="12.75" customHeight="1" x14ac:dyDescent="0.2">
      <c r="A8" s="171" t="s">
        <v>23</v>
      </c>
      <c r="B8" s="177">
        <f>'BRA Resource Clearing Results'!E69/('BRA Load Pricing Results'!G58*'BRA Load Pricing Results'!B6)</f>
        <v>1.0387866708882474</v>
      </c>
      <c r="C8" s="34" t="s">
        <v>24</v>
      </c>
      <c r="D8" s="85" t="s">
        <v>24</v>
      </c>
      <c r="E8" s="76" t="s">
        <v>24</v>
      </c>
      <c r="F8" s="84" t="s">
        <v>24</v>
      </c>
      <c r="G8" s="480" t="s">
        <v>24</v>
      </c>
      <c r="H8" s="80" t="s">
        <v>24</v>
      </c>
      <c r="I8" s="80" t="s">
        <v>24</v>
      </c>
      <c r="J8" s="80" t="s">
        <v>24</v>
      </c>
      <c r="K8" s="81" t="s">
        <v>24</v>
      </c>
      <c r="L8" s="76" t="s">
        <v>24</v>
      </c>
      <c r="M8" s="23"/>
    </row>
    <row r="9" spans="1:13" x14ac:dyDescent="0.2">
      <c r="A9" s="23"/>
      <c r="B9" s="23"/>
      <c r="C9" s="23"/>
      <c r="D9" s="25" t="s">
        <v>24</v>
      </c>
      <c r="E9" s="86"/>
      <c r="F9" s="64"/>
      <c r="G9" s="481" t="s">
        <v>24</v>
      </c>
      <c r="H9" s="87" t="s">
        <v>24</v>
      </c>
      <c r="I9" s="23"/>
      <c r="J9" s="23"/>
      <c r="K9" s="23"/>
      <c r="L9" s="23" t="s">
        <v>24</v>
      </c>
      <c r="M9" s="23"/>
    </row>
    <row r="10" spans="1:13" x14ac:dyDescent="0.2">
      <c r="A10" s="25"/>
      <c r="B10" s="36"/>
      <c r="C10" s="36"/>
      <c r="D10" s="36"/>
      <c r="E10" s="40" t="s">
        <v>24</v>
      </c>
      <c r="F10" s="41"/>
      <c r="G10" s="41"/>
      <c r="H10" s="41"/>
      <c r="I10" s="42"/>
      <c r="J10" s="42"/>
      <c r="K10" s="42"/>
      <c r="L10" s="43"/>
      <c r="M10" s="23"/>
    </row>
    <row r="11" spans="1:13" ht="15.75" x14ac:dyDescent="0.25">
      <c r="A11" s="163" t="s">
        <v>167</v>
      </c>
      <c r="B11" s="36"/>
      <c r="C11" s="36"/>
      <c r="D11" s="36"/>
      <c r="E11" s="67"/>
      <c r="F11" s="68"/>
      <c r="G11" s="68"/>
      <c r="H11" s="68"/>
      <c r="I11" s="69"/>
      <c r="J11" s="69"/>
      <c r="K11" s="42"/>
      <c r="L11" s="43"/>
      <c r="M11" s="23"/>
    </row>
    <row r="12" spans="1:13" ht="69.95" customHeight="1" x14ac:dyDescent="0.2">
      <c r="A12" s="190" t="s">
        <v>3</v>
      </c>
      <c r="B12" s="190" t="s">
        <v>62</v>
      </c>
      <c r="C12" s="190" t="s">
        <v>190</v>
      </c>
      <c r="D12" s="190" t="s">
        <v>191</v>
      </c>
      <c r="E12" s="190" t="s">
        <v>192</v>
      </c>
      <c r="F12" s="190" t="s">
        <v>189</v>
      </c>
      <c r="G12" s="190" t="s">
        <v>230</v>
      </c>
      <c r="H12" s="190" t="s">
        <v>231</v>
      </c>
      <c r="I12" s="190" t="s">
        <v>165</v>
      </c>
      <c r="J12" s="190" t="s">
        <v>166</v>
      </c>
      <c r="K12" s="190" t="s">
        <v>193</v>
      </c>
      <c r="L12" s="190" t="s">
        <v>91</v>
      </c>
      <c r="M12" s="23"/>
    </row>
    <row r="13" spans="1:13" x14ac:dyDescent="0.2">
      <c r="A13" s="32" t="s">
        <v>6</v>
      </c>
      <c r="B13" s="48">
        <f>J58</f>
        <v>166836.90000000002</v>
      </c>
      <c r="C13" s="156">
        <f>'BRA Resource Clearing Results'!B5</f>
        <v>164.77</v>
      </c>
      <c r="D13" s="156">
        <f>'BRA Resource Clearing Results'!C5</f>
        <v>0</v>
      </c>
      <c r="E13" s="105">
        <f>('BRA Resource Clearing Results'!C29+'BRA Resource Clearing Results'!D29)*'BRA Resource Clearing Results'!E5</f>
        <v>-388037.83499999996</v>
      </c>
      <c r="F13" s="157">
        <f>E13/B13</f>
        <v>-2.3258513853949569</v>
      </c>
      <c r="G13" s="105">
        <f>('BRA Resource Clearing Results'!D29*'BRA Resource Clearing Results'!G5)</f>
        <v>0</v>
      </c>
      <c r="H13" s="157">
        <f>G13/B13</f>
        <v>0</v>
      </c>
      <c r="I13" s="37" t="s">
        <v>149</v>
      </c>
      <c r="J13" s="156" t="s">
        <v>149</v>
      </c>
      <c r="K13" s="156">
        <f>'BRA Resource Clearing Results'!J73/'BRA Load Pricing Results'!B13</f>
        <v>0</v>
      </c>
      <c r="L13" s="158">
        <f>C13+D13+F13+H13+K13</f>
        <v>162.44414861460504</v>
      </c>
      <c r="M13" s="23"/>
    </row>
    <row r="14" spans="1:13" x14ac:dyDescent="0.2">
      <c r="A14" s="32" t="s">
        <v>29</v>
      </c>
      <c r="B14" s="48">
        <f>J38+J42+J48+(SUM(J50:J57))</f>
        <v>66341.84117113681</v>
      </c>
      <c r="C14" s="156">
        <f>'BRA Resource Clearing Results'!B6</f>
        <v>164.77</v>
      </c>
      <c r="D14" s="156">
        <f>'BRA Resource Clearing Results'!C6</f>
        <v>0</v>
      </c>
      <c r="E14" s="37">
        <f>('BRA Resource Clearing Results'!C30+'BRA Resource Clearing Results'!D30)*('BRA Resource Clearing Results'!E6-'BRA Resource Clearing Results'!E5)</f>
        <v>0</v>
      </c>
      <c r="F14" s="157">
        <f>F13+(E14/B14)</f>
        <v>-2.3258513853949569</v>
      </c>
      <c r="G14" s="105">
        <f>'BRA Resource Clearing Results'!D30*('BRA Resource Clearing Results'!G6-'BRA Resource Clearing Results'!G5)</f>
        <v>0</v>
      </c>
      <c r="H14" s="157">
        <f>H13+(G14/B14)</f>
        <v>0</v>
      </c>
      <c r="I14" s="37" t="s">
        <v>149</v>
      </c>
      <c r="J14" s="156" t="str">
        <f t="shared" ref="J14:J20" si="0">J13</f>
        <v>NA</v>
      </c>
      <c r="K14" s="156">
        <f>K13+'BRA Resource Clearing Results'!J74/'BRA Load Pricing Results'!B14</f>
        <v>0</v>
      </c>
      <c r="L14" s="158">
        <f t="shared" ref="L14:L19" si="1">C14+D14+F14+H14+K14</f>
        <v>162.44414861460504</v>
      </c>
      <c r="M14" s="23"/>
    </row>
    <row r="15" spans="1:13" x14ac:dyDescent="0.2">
      <c r="A15" s="32" t="s">
        <v>36</v>
      </c>
      <c r="B15" s="48">
        <f>J38+J48+J50+J52+J56+J57</f>
        <v>36256.548354271588</v>
      </c>
      <c r="C15" s="156">
        <f>'BRA Resource Clearing Results'!B7</f>
        <v>164.77</v>
      </c>
      <c r="D15" s="156">
        <f>'BRA Resource Clearing Results'!C6+'BRA Resource Clearing Results'!C7</f>
        <v>60.65</v>
      </c>
      <c r="E15" s="37">
        <f>('BRA Resource Clearing Results'!C31+'BRA Resource Clearing Results'!D31)*('BRA Resource Clearing Results'!E7-'BRA Resource Clearing Results'!E6)</f>
        <v>0</v>
      </c>
      <c r="F15" s="157">
        <f>F14+(E15/B15)</f>
        <v>-2.3258513853949569</v>
      </c>
      <c r="G15" s="105">
        <f>'BRA Resource Clearing Results'!D31*('BRA Resource Clearing Results'!G7-'BRA Resource Clearing Results'!G6)</f>
        <v>0</v>
      </c>
      <c r="H15" s="157">
        <f>H14+(G15/B15)</f>
        <v>0</v>
      </c>
      <c r="I15" s="37" t="s">
        <v>149</v>
      </c>
      <c r="J15" s="156" t="str">
        <f t="shared" si="0"/>
        <v>NA</v>
      </c>
      <c r="K15" s="156">
        <f>K14+('BRA Resource Clearing Results'!J75/'BRA Load Pricing Results'!B15)</f>
        <v>0</v>
      </c>
      <c r="L15" s="158">
        <f t="shared" si="1"/>
        <v>223.09414861460505</v>
      </c>
      <c r="M15" s="23"/>
    </row>
    <row r="16" spans="1:13" x14ac:dyDescent="0.2">
      <c r="A16" s="32" t="s">
        <v>5</v>
      </c>
      <c r="B16" s="48">
        <f>J42+J54</f>
        <v>15264.374903940374</v>
      </c>
      <c r="C16" s="156">
        <f>'BRA Resource Clearing Results'!B8</f>
        <v>164.77</v>
      </c>
      <c r="D16" s="156">
        <f>'BRA Resource Clearing Results'!C6+'BRA Resource Clearing Results'!C8</f>
        <v>0</v>
      </c>
      <c r="E16" s="37">
        <f>('BRA Resource Clearing Results'!C32+'BRA Resource Clearing Results'!D32)*('BRA Resource Clearing Results'!E8-'BRA Resource Clearing Results'!E6)</f>
        <v>0</v>
      </c>
      <c r="F16" s="157">
        <f>F14+(E16/B16)</f>
        <v>-2.3258513853949569</v>
      </c>
      <c r="G16" s="105">
        <f>'BRA Resource Clearing Results'!D32*('BRA Resource Clearing Results'!G8-'BRA Resource Clearing Results'!G6)</f>
        <v>-97898.622000000003</v>
      </c>
      <c r="H16" s="157">
        <f>H14+(G16/B16)</f>
        <v>-6.4135362644118672</v>
      </c>
      <c r="I16" s="37" t="s">
        <v>149</v>
      </c>
      <c r="J16" s="156" t="str">
        <f t="shared" si="0"/>
        <v>NA</v>
      </c>
      <c r="K16" s="156">
        <f>K14+('BRA Resource Clearing Results'!J76/'BRA Load Pricing Results'!B16)</f>
        <v>0</v>
      </c>
      <c r="L16" s="158">
        <f t="shared" si="1"/>
        <v>156.03061235019317</v>
      </c>
      <c r="M16" s="23"/>
    </row>
    <row r="17" spans="1:13" x14ac:dyDescent="0.2">
      <c r="A17" s="32" t="s">
        <v>15</v>
      </c>
      <c r="B17" s="48">
        <f>J54</f>
        <v>7315.9148263982033</v>
      </c>
      <c r="C17" s="156">
        <f>'BRA Resource Clearing Results'!B12</f>
        <v>164.77</v>
      </c>
      <c r="D17" s="156">
        <f>'BRA Resource Clearing Results'!C6+'BRA Resource Clearing Results'!C8+'BRA Resource Clearing Results'!C12</f>
        <v>0</v>
      </c>
      <c r="E17" s="37">
        <f>('BRA Resource Clearing Results'!C36+'BRA Resource Clearing Results'!D36)*('BRA Resource Clearing Results'!E12-'BRA Resource Clearing Results'!E8)</f>
        <v>0</v>
      </c>
      <c r="F17" s="157">
        <f>F16+(E17/B17)</f>
        <v>-2.3258513853949569</v>
      </c>
      <c r="G17" s="105">
        <f>'BRA Resource Clearing Results'!D36*('BRA Resource Clearing Results'!G12-'BRA Resource Clearing Results'!G8)</f>
        <v>-9430</v>
      </c>
      <c r="H17" s="157">
        <f>H16+(G17/B17)</f>
        <v>-7.7025069842422145</v>
      </c>
      <c r="I17" s="37" t="s">
        <v>149</v>
      </c>
      <c r="J17" s="156" t="str">
        <f t="shared" si="0"/>
        <v>NA</v>
      </c>
      <c r="K17" s="156">
        <f>K16+('BRA Resource Clearing Results'!J80/'BRA Load Pricing Results'!B17)</f>
        <v>0</v>
      </c>
      <c r="L17" s="158">
        <f t="shared" si="1"/>
        <v>154.74164163036284</v>
      </c>
      <c r="M17" s="23"/>
    </row>
    <row r="18" spans="1:13" x14ac:dyDescent="0.2">
      <c r="A18" s="24" t="s">
        <v>20</v>
      </c>
      <c r="B18" s="48">
        <f>J43</f>
        <v>25454.557643339445</v>
      </c>
      <c r="C18" s="156">
        <f>'BRA Resource Clearing Results'!B15</f>
        <v>164.77</v>
      </c>
      <c r="D18" s="156">
        <f>'BRA Resource Clearing Results'!C15</f>
        <v>50.23</v>
      </c>
      <c r="E18" s="37">
        <f>('BRA Resource Clearing Results'!C39+'BRA Resource Clearing Results'!D39)*('BRA Resource Clearing Results'!E15-'BRA Resource Clearing Results'!E5)</f>
        <v>0</v>
      </c>
      <c r="F18" s="157">
        <f>F13+(E18/B18)</f>
        <v>-2.3258513853949569</v>
      </c>
      <c r="G18" s="105">
        <f>'BRA Resource Clearing Results'!D39*('BRA Resource Clearing Results'!G15-'BRA Resource Clearing Results'!G5)</f>
        <v>0</v>
      </c>
      <c r="H18" s="157">
        <f>H13+(G18/B18)</f>
        <v>0</v>
      </c>
      <c r="I18" s="37" t="s">
        <v>149</v>
      </c>
      <c r="J18" s="156" t="str">
        <f t="shared" si="0"/>
        <v>NA</v>
      </c>
      <c r="K18" s="156">
        <f>K13+('BRA Resource Clearing Results'!J83/'BRA Load Pricing Results'!B18)</f>
        <v>0</v>
      </c>
      <c r="L18" s="158">
        <f t="shared" si="1"/>
        <v>212.67414861460503</v>
      </c>
      <c r="M18" s="23"/>
    </row>
    <row r="19" spans="1:13" x14ac:dyDescent="0.2">
      <c r="A19" s="24" t="s">
        <v>11</v>
      </c>
      <c r="B19" s="48">
        <f>J42</f>
        <v>7948.4600775421704</v>
      </c>
      <c r="C19" s="156">
        <f>'BRA Resource Clearing Results'!B16</f>
        <v>164.77</v>
      </c>
      <c r="D19" s="156">
        <f>'BRA Resource Clearing Results'!C6+'BRA Resource Clearing Results'!C8+'BRA Resource Clearing Results'!C16</f>
        <v>0</v>
      </c>
      <c r="E19" s="37">
        <f>('BRA Resource Clearing Results'!C40+'BRA Resource Clearing Results'!D40)*('BRA Resource Clearing Results'!E16-'BRA Resource Clearing Results'!E8)</f>
        <v>0</v>
      </c>
      <c r="F19" s="157">
        <f>F16+(E19/B19)</f>
        <v>-2.3258513853949569</v>
      </c>
      <c r="G19" s="105">
        <f>'BRA Resource Clearing Results'!D40*('BRA Resource Clearing Results'!G16-'BRA Resource Clearing Results'!G8)</f>
        <v>0</v>
      </c>
      <c r="H19" s="157">
        <f>H16+(G19/B19)</f>
        <v>-6.4135362644118672</v>
      </c>
      <c r="I19" s="37" t="s">
        <v>149</v>
      </c>
      <c r="J19" s="156" t="str">
        <f t="shared" si="0"/>
        <v>NA</v>
      </c>
      <c r="K19" s="156">
        <f>K16+('BRA Resource Clearing Results'!J84/'BRA Load Pricing Results'!B19)</f>
        <v>0</v>
      </c>
      <c r="L19" s="158">
        <f t="shared" si="1"/>
        <v>156.03061235019317</v>
      </c>
      <c r="M19" s="23"/>
    </row>
    <row r="20" spans="1:13" x14ac:dyDescent="0.2">
      <c r="A20" s="24" t="s">
        <v>10</v>
      </c>
      <c r="B20" s="48">
        <f>J55</f>
        <v>8201.7032830713415</v>
      </c>
      <c r="C20" s="156">
        <f>'BRA Resource Clearing Results'!B17</f>
        <v>164.77</v>
      </c>
      <c r="D20" s="156">
        <f>'BRA Resource Clearing Results'!C6+'BRA Resource Clearing Results'!C17</f>
        <v>0</v>
      </c>
      <c r="E20" s="105">
        <f>('BRA Resource Clearing Results'!C41+'BRA Resource Clearing Results'!D41)*('BRA Resource Clearing Results'!E17-'BRA Resource Clearing Results'!E6)</f>
        <v>-85964.569999999992</v>
      </c>
      <c r="F20" s="157">
        <f>F14+(E20/B20)</f>
        <v>-12.807158381398391</v>
      </c>
      <c r="G20" s="105">
        <f>'BRA Resource Clearing Results'!D41*('BRA Resource Clearing Results'!G17-'BRA Resource Clearing Results'!G6)</f>
        <v>0</v>
      </c>
      <c r="H20" s="157">
        <f>H14+(G20/B20)</f>
        <v>0</v>
      </c>
      <c r="I20" s="37" t="s">
        <v>149</v>
      </c>
      <c r="J20" s="156" t="str">
        <f t="shared" si="0"/>
        <v>NA</v>
      </c>
      <c r="K20" s="156">
        <f>K14+('BRA Resource Clearing Results'!J85/'BRA Load Pricing Results'!B20)</f>
        <v>0.77546355683551216</v>
      </c>
      <c r="L20" s="158">
        <f>C20+D20+F20+H20+K20</f>
        <v>152.73830517543715</v>
      </c>
      <c r="M20" s="23"/>
    </row>
    <row r="21" spans="1:13" s="7" customFormat="1" x14ac:dyDescent="0.2">
      <c r="A21" s="25" t="s">
        <v>92</v>
      </c>
      <c r="B21" s="36"/>
      <c r="C21" s="59"/>
      <c r="D21" s="59"/>
      <c r="E21" s="59"/>
      <c r="F21" s="61"/>
      <c r="G21" s="107"/>
      <c r="H21" s="36"/>
      <c r="I21" s="36"/>
      <c r="J21" s="59"/>
      <c r="K21" s="36"/>
      <c r="L21" s="72"/>
      <c r="M21" s="34"/>
    </row>
    <row r="22" spans="1:13" s="7" customFormat="1" x14ac:dyDescent="0.2">
      <c r="A22" s="25"/>
      <c r="B22" s="36"/>
      <c r="C22" s="59"/>
      <c r="D22" s="88" t="s">
        <v>24</v>
      </c>
      <c r="E22" s="88" t="s">
        <v>24</v>
      </c>
      <c r="F22" s="61"/>
      <c r="G22" s="34"/>
      <c r="H22" s="36"/>
      <c r="I22" s="36"/>
      <c r="J22" s="59"/>
      <c r="K22" s="36"/>
      <c r="L22" s="72"/>
      <c r="M22" s="34"/>
    </row>
    <row r="23" spans="1:13" ht="31.5" x14ac:dyDescent="0.25">
      <c r="A23" s="178" t="s">
        <v>135</v>
      </c>
      <c r="B23" s="23"/>
      <c r="C23" s="246" t="s">
        <v>24</v>
      </c>
      <c r="D23" s="23"/>
      <c r="E23" s="64" t="s">
        <v>24</v>
      </c>
      <c r="F23" s="554" t="s">
        <v>24</v>
      </c>
      <c r="G23" s="554"/>
      <c r="H23" s="554"/>
      <c r="I23" s="554"/>
      <c r="J23" s="554"/>
      <c r="K23" s="89" t="s">
        <v>24</v>
      </c>
      <c r="L23" s="23"/>
      <c r="M23" s="23"/>
    </row>
    <row r="24" spans="1:13" ht="80.099999999999994" customHeight="1" x14ac:dyDescent="0.2">
      <c r="A24" s="194" t="s">
        <v>61</v>
      </c>
      <c r="B24" s="190" t="s">
        <v>194</v>
      </c>
      <c r="C24" s="166" t="s">
        <v>84</v>
      </c>
      <c r="D24" s="166" t="s">
        <v>136</v>
      </c>
      <c r="E24" s="190" t="s">
        <v>195</v>
      </c>
      <c r="F24" s="190" t="s">
        <v>196</v>
      </c>
      <c r="G24" s="190" t="s">
        <v>232</v>
      </c>
      <c r="H24" s="190" t="s">
        <v>233</v>
      </c>
      <c r="I24" s="166" t="s">
        <v>197</v>
      </c>
      <c r="J24" s="166" t="s">
        <v>172</v>
      </c>
      <c r="K24" s="166" t="s">
        <v>164</v>
      </c>
      <c r="L24" s="23"/>
      <c r="M24" s="23"/>
    </row>
    <row r="25" spans="1:13" x14ac:dyDescent="0.2">
      <c r="A25" s="171" t="s">
        <v>40</v>
      </c>
      <c r="B25" s="171"/>
      <c r="C25" s="111">
        <f>'BRA Resource Clearing Results'!E55</f>
        <v>2132.7999999999997</v>
      </c>
      <c r="D25" s="33">
        <f>'BRA Resource Clearing Results'!C9</f>
        <v>0</v>
      </c>
      <c r="E25" s="33">
        <f>('BRA Resource Clearing Results'!C33+'BRA Resource Clearing Results'!D33)*('BRA Resource Clearing Results'!E9-'BRA Resource Clearing Results'!E7)</f>
        <v>0</v>
      </c>
      <c r="F25" s="171"/>
      <c r="G25" s="105">
        <f>'BRA Resource Clearing Results'!D33*('BRA Resource Clearing Results'!G9-'BRA Resource Clearing Results'!G7)</f>
        <v>0</v>
      </c>
      <c r="H25" s="171"/>
      <c r="I25" s="90">
        <f>'BRA Resource Clearing Results'!J77</f>
        <v>0</v>
      </c>
      <c r="J25" s="171"/>
      <c r="K25" s="171"/>
      <c r="L25" s="23"/>
      <c r="M25" s="23"/>
    </row>
    <row r="26" spans="1:13" x14ac:dyDescent="0.2">
      <c r="A26" s="171" t="s">
        <v>37</v>
      </c>
      <c r="B26" s="171"/>
      <c r="C26" s="53">
        <f>'BRA Resource Clearing Results'!E56</f>
        <v>3168</v>
      </c>
      <c r="D26" s="33">
        <f>'BRA Resource Clearing Results'!C9+'BRA Resource Clearing Results'!C10</f>
        <v>0</v>
      </c>
      <c r="E26" s="33">
        <f>('BRA Resource Clearing Results'!C34+'BRA Resource Clearing Results'!D34)*('BRA Resource Clearing Results'!E10-'BRA Resource Clearing Results'!E7)</f>
        <v>0</v>
      </c>
      <c r="F26" s="171"/>
      <c r="G26" s="105">
        <f>'BRA Resource Clearing Results'!D34*('BRA Resource Clearing Results'!G10-'BRA Resource Clearing Results'!G7)</f>
        <v>0</v>
      </c>
      <c r="H26" s="171"/>
      <c r="I26" s="90">
        <f>'BRA Resource Clearing Results'!J78</f>
        <v>0</v>
      </c>
      <c r="J26" s="171"/>
      <c r="K26" s="171"/>
      <c r="L26" s="23"/>
      <c r="M26" s="23"/>
    </row>
    <row r="27" spans="1:13" x14ac:dyDescent="0.2">
      <c r="A27" s="73" t="s">
        <v>8</v>
      </c>
      <c r="B27" s="155">
        <f>L15</f>
        <v>223.09414861460505</v>
      </c>
      <c r="C27" s="53">
        <f>C26+C25</f>
        <v>5300.7999999999993</v>
      </c>
      <c r="D27" s="159">
        <f>(C26*D26+C25*D25)/C27</f>
        <v>0</v>
      </c>
      <c r="E27" s="55">
        <f>SUM(E25:E26)</f>
        <v>0</v>
      </c>
      <c r="F27" s="155">
        <f>E27/J56</f>
        <v>0</v>
      </c>
      <c r="G27" s="105">
        <f>SUM(G25:G26)</f>
        <v>0</v>
      </c>
      <c r="H27" s="155">
        <f>G27/J56</f>
        <v>0</v>
      </c>
      <c r="I27" s="90">
        <f>I25+I26</f>
        <v>0</v>
      </c>
      <c r="J27" s="160">
        <f>I27/J56</f>
        <v>0</v>
      </c>
      <c r="K27" s="161">
        <f>B27+D27+F27+H27+J27</f>
        <v>223.09414861460505</v>
      </c>
      <c r="L27" s="23"/>
      <c r="M27" s="23"/>
    </row>
    <row r="28" spans="1:13" x14ac:dyDescent="0.2">
      <c r="A28" s="171" t="s">
        <v>39</v>
      </c>
      <c r="B28" s="171"/>
      <c r="C28" s="47">
        <v>3928.8</v>
      </c>
      <c r="D28" s="33">
        <v>0</v>
      </c>
      <c r="E28" s="55">
        <v>0</v>
      </c>
      <c r="F28" s="55"/>
      <c r="G28" s="105">
        <v>0</v>
      </c>
      <c r="H28" s="91"/>
      <c r="I28" s="90">
        <v>0</v>
      </c>
      <c r="J28" s="171"/>
      <c r="K28" s="171"/>
      <c r="L28" s="23"/>
      <c r="M28" s="23"/>
    </row>
    <row r="29" spans="1:13" x14ac:dyDescent="0.2">
      <c r="A29" s="171" t="s">
        <v>38</v>
      </c>
      <c r="B29" s="171"/>
      <c r="C29" s="53">
        <f>'BRA Resource Clearing Results'!E35</f>
        <v>1693.4999999999998</v>
      </c>
      <c r="D29" s="92">
        <f>'BRA Resource Clearing Results'!C11</f>
        <v>0</v>
      </c>
      <c r="E29" s="55">
        <f>('BRA Resource Clearing Results'!C35+'BRA Resource Clearing Results'!D35)*('BRA Resource Clearing Results'!E11-'BRA Resource Clearing Results'!E7)</f>
        <v>0</v>
      </c>
      <c r="F29" s="171"/>
      <c r="G29" s="105">
        <f>'BRA Resource Clearing Results'!D35*('BRA Resource Clearing Results'!G11-'BRA Resource Clearing Results'!G7)</f>
        <v>0</v>
      </c>
      <c r="H29" s="171"/>
      <c r="I29" s="90">
        <f>'BRA Resource Clearing Results'!J79</f>
        <v>0</v>
      </c>
      <c r="J29" s="171"/>
      <c r="K29" s="171"/>
      <c r="L29" s="23"/>
      <c r="M29" s="23"/>
    </row>
    <row r="30" spans="1:13" x14ac:dyDescent="0.2">
      <c r="A30" s="73" t="s">
        <v>17</v>
      </c>
      <c r="B30" s="155">
        <f>L15</f>
        <v>223.09414861460505</v>
      </c>
      <c r="C30" s="47">
        <f>C28+C29</f>
        <v>5622.3</v>
      </c>
      <c r="D30" s="159">
        <f>(C29*D29+C28*D28)/C30</f>
        <v>0</v>
      </c>
      <c r="E30" s="55">
        <f>SUM(E28:E29)</f>
        <v>0</v>
      </c>
      <c r="F30" s="155">
        <f>E30/J48</f>
        <v>0</v>
      </c>
      <c r="G30" s="105">
        <f>SUM(G28:G29)</f>
        <v>0</v>
      </c>
      <c r="H30" s="155">
        <f>G30/J48</f>
        <v>0</v>
      </c>
      <c r="I30" s="90">
        <f>I28+I29</f>
        <v>0</v>
      </c>
      <c r="J30" s="160">
        <f>I30/J48</f>
        <v>0</v>
      </c>
      <c r="K30" s="161">
        <f>B30+D30+F30+H30+J30</f>
        <v>223.09414861460505</v>
      </c>
      <c r="L30" s="23"/>
      <c r="M30" s="23"/>
    </row>
    <row r="31" spans="1:13" x14ac:dyDescent="0.2">
      <c r="A31" s="171" t="s">
        <v>130</v>
      </c>
      <c r="B31" s="171"/>
      <c r="C31" s="111">
        <f>'BRA Resource Clearing Results'!E59</f>
        <v>7913.5</v>
      </c>
      <c r="D31" s="33">
        <f>'BRA Resource Clearing Results'!C13</f>
        <v>0</v>
      </c>
      <c r="E31" s="33">
        <f>('BRA Resource Clearing Results'!C37+'BRA Resource Clearing Results'!D37)*('BRA Resource Clearing Results'!E13-'BRA Resource Clearing Results'!E5)</f>
        <v>0</v>
      </c>
      <c r="F31" s="171"/>
      <c r="G31" s="105">
        <f>'BRA Resource Clearing Results'!D37*('BRA Resource Clearing Results'!G13-'BRA Resource Clearing Results'!G5)</f>
        <v>0</v>
      </c>
      <c r="H31" s="171"/>
      <c r="I31" s="90">
        <f>'BRA Resource Clearing Results'!J81</f>
        <v>0</v>
      </c>
      <c r="J31" s="171"/>
      <c r="K31" s="171"/>
      <c r="L31" s="23"/>
      <c r="M31" s="23"/>
    </row>
    <row r="32" spans="1:13" x14ac:dyDescent="0.2">
      <c r="A32" s="171" t="s">
        <v>129</v>
      </c>
      <c r="B32" s="171"/>
      <c r="C32" s="53">
        <f>'BRA Resource Clearing Results'!E60</f>
        <v>2258.1</v>
      </c>
      <c r="D32" s="33">
        <f>'BRA Resource Clearing Results'!C13+'BRA Resource Clearing Results'!C14</f>
        <v>0</v>
      </c>
      <c r="E32" s="33">
        <f>('BRA Resource Clearing Results'!C38+'BRA Resource Clearing Results'!D38)*('BRA Resource Clearing Results'!E14-'BRA Resource Clearing Results'!E5)</f>
        <v>0</v>
      </c>
      <c r="F32" s="171"/>
      <c r="G32" s="105">
        <f>'BRA Resource Clearing Results'!D38*('BRA Resource Clearing Results'!G14-'BRA Resource Clearing Results'!G5)</f>
        <v>0</v>
      </c>
      <c r="H32" s="171"/>
      <c r="I32" s="90">
        <f>'BRA Resource Clearing Results'!J82</f>
        <v>0</v>
      </c>
      <c r="J32" s="171"/>
      <c r="K32" s="171"/>
      <c r="L32" s="23"/>
      <c r="M32" s="23"/>
    </row>
    <row r="33" spans="1:13" x14ac:dyDescent="0.2">
      <c r="A33" s="73" t="s">
        <v>46</v>
      </c>
      <c r="B33" s="155">
        <f>L13</f>
        <v>162.44414861460504</v>
      </c>
      <c r="C33" s="53">
        <f>C32+C31</f>
        <v>10171.6</v>
      </c>
      <c r="D33" s="159">
        <f>(C32*D32+C31*D31)/C33</f>
        <v>0</v>
      </c>
      <c r="E33" s="55">
        <f>SUM(E31:E32)</f>
        <v>0</v>
      </c>
      <c r="F33" s="155">
        <f>E33/J41</f>
        <v>0</v>
      </c>
      <c r="G33" s="105">
        <f>SUM(G31:G32)</f>
        <v>0</v>
      </c>
      <c r="H33" s="155">
        <f>G33/J41</f>
        <v>0</v>
      </c>
      <c r="I33" s="90">
        <f>I31+I32</f>
        <v>0</v>
      </c>
      <c r="J33" s="160">
        <f>I33/J41</f>
        <v>0</v>
      </c>
      <c r="K33" s="161">
        <f>B33+D33+F33+H33+J33</f>
        <v>162.44414861460504</v>
      </c>
      <c r="L33" s="23"/>
      <c r="M33" s="23"/>
    </row>
    <row r="34" spans="1:13" ht="12.75" customHeight="1" x14ac:dyDescent="0.2">
      <c r="A34" s="110" t="s">
        <v>168</v>
      </c>
      <c r="B34" s="110"/>
      <c r="C34" s="93"/>
      <c r="D34" s="93"/>
      <c r="E34" s="93"/>
      <c r="F34" s="93"/>
      <c r="G34" s="108"/>
      <c r="H34" s="23"/>
      <c r="I34" s="23"/>
      <c r="J34" s="23"/>
      <c r="K34" s="23"/>
      <c r="L34" s="23"/>
      <c r="M34" s="23"/>
    </row>
    <row r="35" spans="1:13" x14ac:dyDescent="0.2">
      <c r="A35" s="34"/>
      <c r="B35" s="38"/>
      <c r="C35" s="38"/>
      <c r="D35" s="38" t="s">
        <v>24</v>
      </c>
      <c r="E35" s="51"/>
      <c r="F35" s="94" t="s">
        <v>24</v>
      </c>
      <c r="G35" s="85"/>
      <c r="H35" s="85"/>
      <c r="I35" s="85"/>
      <c r="J35" s="85"/>
      <c r="K35" s="85"/>
      <c r="L35" s="95"/>
      <c r="M35" s="23"/>
    </row>
    <row r="36" spans="1:13" s="2" customFormat="1" ht="18" x14ac:dyDescent="0.25">
      <c r="A36" s="188" t="s">
        <v>42</v>
      </c>
      <c r="B36" s="102"/>
      <c r="C36" s="23"/>
      <c r="D36" s="23"/>
      <c r="E36" s="96"/>
      <c r="F36" s="96"/>
      <c r="G36" s="96"/>
      <c r="H36" s="96"/>
      <c r="I36" s="96"/>
      <c r="J36" s="96"/>
      <c r="K36" s="96"/>
      <c r="L36" s="103"/>
      <c r="M36" s="23"/>
    </row>
    <row r="37" spans="1:13" ht="54.95" customHeight="1" x14ac:dyDescent="0.2">
      <c r="A37" s="164" t="s">
        <v>7</v>
      </c>
      <c r="B37" s="164" t="s">
        <v>28</v>
      </c>
      <c r="C37" s="164" t="s">
        <v>27</v>
      </c>
      <c r="D37" s="164" t="s">
        <v>33</v>
      </c>
      <c r="E37" s="164" t="s">
        <v>198</v>
      </c>
      <c r="F37" s="164" t="s">
        <v>22</v>
      </c>
      <c r="G37" s="164" t="s">
        <v>199</v>
      </c>
      <c r="H37" s="179" t="s">
        <v>23</v>
      </c>
      <c r="I37" s="179" t="s">
        <v>25</v>
      </c>
      <c r="J37" s="227" t="s">
        <v>26</v>
      </c>
      <c r="K37" s="180" t="s">
        <v>34</v>
      </c>
      <c r="L37" s="164" t="s">
        <v>7</v>
      </c>
    </row>
    <row r="38" spans="1:13" x14ac:dyDescent="0.2">
      <c r="A38" s="171" t="s">
        <v>16</v>
      </c>
      <c r="B38" s="97" t="s">
        <v>29</v>
      </c>
      <c r="C38" s="97" t="s">
        <v>36</v>
      </c>
      <c r="D38" s="97"/>
      <c r="E38" s="181">
        <v>2610</v>
      </c>
      <c r="F38" s="98">
        <f>G38/E38</f>
        <v>1.0091954022988505</v>
      </c>
      <c r="G38" s="99">
        <v>2634</v>
      </c>
      <c r="H38" s="98">
        <f>$B$8</f>
        <v>1.0387866708882474</v>
      </c>
      <c r="I38" s="98">
        <f t="shared" ref="I38:I57" si="2">H38*F38</f>
        <v>1.0483387322297484</v>
      </c>
      <c r="J38" s="228">
        <f t="shared" ref="J38:J57" si="3">E38*I38*$B$6</f>
        <v>2964.6337927281334</v>
      </c>
      <c r="K38" s="182">
        <f>L15</f>
        <v>223.09414861460505</v>
      </c>
      <c r="L38" s="171" t="s">
        <v>16</v>
      </c>
    </row>
    <row r="39" spans="1:13" x14ac:dyDescent="0.2">
      <c r="A39" s="24" t="s">
        <v>137</v>
      </c>
      <c r="B39" s="97"/>
      <c r="C39" s="97"/>
      <c r="D39" s="97"/>
      <c r="E39" s="181">
        <v>11053.4</v>
      </c>
      <c r="F39" s="98">
        <v>1.0203866432337434</v>
      </c>
      <c r="G39" s="99">
        <f>E39*F39</f>
        <v>11278.741722319859</v>
      </c>
      <c r="H39" s="98">
        <f t="shared" ref="H39:H45" si="4">$B$8</f>
        <v>1.0387866708882474</v>
      </c>
      <c r="I39" s="98">
        <f t="shared" si="2"/>
        <v>1.059964044143614</v>
      </c>
      <c r="J39" s="228">
        <f t="shared" si="3"/>
        <v>12694.509813759363</v>
      </c>
      <c r="K39" s="182">
        <f>L13</f>
        <v>162.44414861460504</v>
      </c>
      <c r="L39" s="171" t="s">
        <v>137</v>
      </c>
    </row>
    <row r="40" spans="1:13" x14ac:dyDescent="0.2">
      <c r="A40" s="171" t="s">
        <v>19</v>
      </c>
      <c r="B40" s="97" t="s">
        <v>24</v>
      </c>
      <c r="C40" s="97"/>
      <c r="D40" s="97"/>
      <c r="E40" s="181">
        <v>8350</v>
      </c>
      <c r="F40" s="98">
        <f t="shared" ref="F40:F57" si="5">G40/E40</f>
        <v>1.0434730538922157</v>
      </c>
      <c r="G40" s="99">
        <v>8713</v>
      </c>
      <c r="H40" s="98">
        <f t="shared" si="4"/>
        <v>1.0387866708882474</v>
      </c>
      <c r="I40" s="98">
        <f t="shared" si="2"/>
        <v>1.0839458998142875</v>
      </c>
      <c r="J40" s="228">
        <f t="shared" si="3"/>
        <v>9806.7024434473151</v>
      </c>
      <c r="K40" s="182">
        <f>L13</f>
        <v>162.44414861460504</v>
      </c>
      <c r="L40" s="171" t="s">
        <v>19</v>
      </c>
    </row>
    <row r="41" spans="1:13" x14ac:dyDescent="0.2">
      <c r="A41" s="171" t="s">
        <v>46</v>
      </c>
      <c r="B41" s="97"/>
      <c r="C41" s="97"/>
      <c r="D41" s="97" t="s">
        <v>46</v>
      </c>
      <c r="E41" s="181">
        <v>12760</v>
      </c>
      <c r="F41" s="98">
        <f t="shared" si="5"/>
        <v>1.0128526645768026</v>
      </c>
      <c r="G41" s="99">
        <v>12924</v>
      </c>
      <c r="H41" s="98">
        <f t="shared" si="4"/>
        <v>1.0387866708882474</v>
      </c>
      <c r="I41" s="98">
        <f t="shared" si="2"/>
        <v>1.0521378475360275</v>
      </c>
      <c r="J41" s="228">
        <f t="shared" si="3"/>
        <v>14546.289725595445</v>
      </c>
      <c r="K41" s="182">
        <f>K33</f>
        <v>162.44414861460504</v>
      </c>
      <c r="L41" s="171" t="s">
        <v>46</v>
      </c>
    </row>
    <row r="42" spans="1:13" x14ac:dyDescent="0.2">
      <c r="A42" s="171" t="s">
        <v>11</v>
      </c>
      <c r="B42" s="97" t="s">
        <v>29</v>
      </c>
      <c r="C42" s="97" t="s">
        <v>5</v>
      </c>
      <c r="D42" s="97" t="s">
        <v>11</v>
      </c>
      <c r="E42" s="181">
        <v>6940</v>
      </c>
      <c r="F42" s="98">
        <f t="shared" si="5"/>
        <v>1.0175792507204611</v>
      </c>
      <c r="G42" s="99">
        <v>7062</v>
      </c>
      <c r="H42" s="98">
        <f t="shared" si="4"/>
        <v>1.0387866708882474</v>
      </c>
      <c r="I42" s="98">
        <f t="shared" si="2"/>
        <v>1.0570477622208649</v>
      </c>
      <c r="J42" s="228">
        <f t="shared" si="3"/>
        <v>7948.4600775421704</v>
      </c>
      <c r="K42" s="182">
        <f>L19</f>
        <v>156.03061235019317</v>
      </c>
      <c r="L42" s="171" t="s">
        <v>11</v>
      </c>
    </row>
    <row r="43" spans="1:13" x14ac:dyDescent="0.2">
      <c r="A43" s="171" t="s">
        <v>154</v>
      </c>
      <c r="B43" s="97"/>
      <c r="C43" s="97"/>
      <c r="D43" s="97" t="s">
        <v>20</v>
      </c>
      <c r="E43" s="181">
        <v>21641.5</v>
      </c>
      <c r="F43" s="98">
        <v>1.0450159308147473</v>
      </c>
      <c r="G43" s="99">
        <f>E43*F43</f>
        <v>22615.712266727354</v>
      </c>
      <c r="H43" s="98">
        <f t="shared" si="4"/>
        <v>1.0387866708882474</v>
      </c>
      <c r="I43" s="98">
        <f t="shared" si="2"/>
        <v>1.0855486197962345</v>
      </c>
      <c r="J43" s="228">
        <f t="shared" si="3"/>
        <v>25454.557643339445</v>
      </c>
      <c r="K43" s="182">
        <f>L18</f>
        <v>212.67414861460503</v>
      </c>
      <c r="L43" s="171" t="s">
        <v>154</v>
      </c>
    </row>
    <row r="44" spans="1:13" x14ac:dyDescent="0.2">
      <c r="A44" s="171" t="s">
        <v>21</v>
      </c>
      <c r="B44" s="97"/>
      <c r="C44" s="97"/>
      <c r="D44" s="97"/>
      <c r="E44" s="181">
        <v>3290</v>
      </c>
      <c r="F44" s="98">
        <f t="shared" si="5"/>
        <v>1.0656534954407295</v>
      </c>
      <c r="G44" s="99">
        <v>3506</v>
      </c>
      <c r="H44" s="98">
        <f t="shared" si="4"/>
        <v>1.0387866708882474</v>
      </c>
      <c r="I44" s="98">
        <f t="shared" si="2"/>
        <v>1.1069866468492995</v>
      </c>
      <c r="J44" s="228">
        <f t="shared" si="3"/>
        <v>3946.0919048234</v>
      </c>
      <c r="K44" s="182">
        <f>L13</f>
        <v>162.44414861460504</v>
      </c>
      <c r="L44" s="171" t="s">
        <v>21</v>
      </c>
    </row>
    <row r="45" spans="1:13" x14ac:dyDescent="0.2">
      <c r="A45" s="171" t="s">
        <v>138</v>
      </c>
      <c r="B45" s="97"/>
      <c r="C45" s="97"/>
      <c r="D45" s="97"/>
      <c r="E45" s="181">
        <v>4450.6000000000004</v>
      </c>
      <c r="F45" s="98">
        <v>1.0216572504708097</v>
      </c>
      <c r="G45" s="99">
        <f>E45*F45</f>
        <v>4546.9877589453863</v>
      </c>
      <c r="H45" s="98">
        <f t="shared" si="4"/>
        <v>1.0387866708882474</v>
      </c>
      <c r="I45" s="98">
        <f t="shared" si="2"/>
        <v>1.0612839340054128</v>
      </c>
      <c r="J45" s="228">
        <f t="shared" si="3"/>
        <v>5117.7500247876451</v>
      </c>
      <c r="K45" s="182">
        <f>L13</f>
        <v>162.44414861460504</v>
      </c>
      <c r="L45" s="171" t="s">
        <v>138</v>
      </c>
    </row>
    <row r="46" spans="1:13" x14ac:dyDescent="0.2">
      <c r="A46" s="171" t="s">
        <v>45</v>
      </c>
      <c r="B46" s="97"/>
      <c r="C46" s="97"/>
      <c r="D46" s="97"/>
      <c r="E46" s="181">
        <v>2830</v>
      </c>
      <c r="F46" s="98">
        <f t="shared" si="5"/>
        <v>1.0275618374558304</v>
      </c>
      <c r="G46" s="99">
        <v>2908</v>
      </c>
      <c r="H46" s="98">
        <f t="shared" ref="H46:H57" si="6">$B$8</f>
        <v>1.0387866708882474</v>
      </c>
      <c r="I46" s="98">
        <f t="shared" si="2"/>
        <v>1.0674175402625525</v>
      </c>
      <c r="J46" s="228">
        <f t="shared" si="3"/>
        <v>3273.027740794766</v>
      </c>
      <c r="K46" s="182">
        <f>L13</f>
        <v>162.44414861460504</v>
      </c>
      <c r="L46" s="171" t="s">
        <v>45</v>
      </c>
    </row>
    <row r="47" spans="1:13" x14ac:dyDescent="0.2">
      <c r="A47" s="171" t="s">
        <v>31</v>
      </c>
      <c r="B47" s="97"/>
      <c r="C47" s="97"/>
      <c r="D47" s="97"/>
      <c r="E47" s="181">
        <v>19090</v>
      </c>
      <c r="F47" s="98">
        <f t="shared" si="5"/>
        <v>1.0768465165007857</v>
      </c>
      <c r="G47" s="99">
        <v>20557</v>
      </c>
      <c r="H47" s="98">
        <f t="shared" si="6"/>
        <v>1.0387866708882474</v>
      </c>
      <c r="I47" s="98">
        <f t="shared" si="2"/>
        <v>1.1186138079334573</v>
      </c>
      <c r="J47" s="228">
        <f t="shared" si="3"/>
        <v>23137.424782502749</v>
      </c>
      <c r="K47" s="182">
        <f>L13</f>
        <v>162.44414861460504</v>
      </c>
      <c r="L47" s="171" t="s">
        <v>31</v>
      </c>
    </row>
    <row r="48" spans="1:13" x14ac:dyDescent="0.2">
      <c r="A48" s="171" t="s">
        <v>17</v>
      </c>
      <c r="B48" s="97" t="s">
        <v>29</v>
      </c>
      <c r="C48" s="97" t="s">
        <v>36</v>
      </c>
      <c r="D48" s="97" t="s">
        <v>17</v>
      </c>
      <c r="E48" s="181">
        <v>4020</v>
      </c>
      <c r="F48" s="98">
        <f t="shared" si="5"/>
        <v>1.035820895522388</v>
      </c>
      <c r="G48" s="99">
        <v>4164</v>
      </c>
      <c r="H48" s="98">
        <f t="shared" si="6"/>
        <v>1.0387866708882474</v>
      </c>
      <c r="I48" s="98">
        <f t="shared" si="2"/>
        <v>1.0759969396961846</v>
      </c>
      <c r="J48" s="228">
        <f t="shared" si="3"/>
        <v>4686.6875903264799</v>
      </c>
      <c r="K48" s="182">
        <f>K30</f>
        <v>223.09414861460505</v>
      </c>
      <c r="L48" s="171" t="s">
        <v>17</v>
      </c>
    </row>
    <row r="49" spans="1:13" x14ac:dyDescent="0.2">
      <c r="A49" s="171" t="s">
        <v>139</v>
      </c>
      <c r="B49" s="97"/>
      <c r="C49" s="97"/>
      <c r="D49" s="97"/>
      <c r="E49" s="181">
        <v>2124.1999999999998</v>
      </c>
      <c r="F49" s="98">
        <v>1.0534806732876394</v>
      </c>
      <c r="G49" s="99">
        <f>E49*F49</f>
        <v>2237.8036461976035</v>
      </c>
      <c r="H49" s="98">
        <f t="shared" si="6"/>
        <v>1.0387866708882474</v>
      </c>
      <c r="I49" s="98">
        <f t="shared" si="2"/>
        <v>1.0943416814495763</v>
      </c>
      <c r="J49" s="228">
        <f t="shared" si="3"/>
        <v>2518.7047498130783</v>
      </c>
      <c r="K49" s="182">
        <f>L13</f>
        <v>162.44414861460504</v>
      </c>
      <c r="L49" s="171" t="s">
        <v>139</v>
      </c>
    </row>
    <row r="50" spans="1:13" x14ac:dyDescent="0.2">
      <c r="A50" s="171" t="s">
        <v>12</v>
      </c>
      <c r="B50" s="97" t="s">
        <v>29</v>
      </c>
      <c r="C50" s="97" t="s">
        <v>36</v>
      </c>
      <c r="D50" s="97"/>
      <c r="E50" s="181">
        <v>6090</v>
      </c>
      <c r="F50" s="98">
        <f t="shared" si="5"/>
        <v>1.0239737274220033</v>
      </c>
      <c r="G50" s="99">
        <v>6236</v>
      </c>
      <c r="H50" s="98">
        <f t="shared" si="6"/>
        <v>1.0387866708882474</v>
      </c>
      <c r="I50" s="98">
        <f t="shared" si="2"/>
        <v>1.0636902593857325</v>
      </c>
      <c r="J50" s="228">
        <f t="shared" si="3"/>
        <v>7018.7761319106467</v>
      </c>
      <c r="K50" s="182">
        <f>L15</f>
        <v>223.09414861460505</v>
      </c>
      <c r="L50" s="171" t="s">
        <v>12</v>
      </c>
    </row>
    <row r="51" spans="1:13" x14ac:dyDescent="0.2">
      <c r="A51" s="171" t="s">
        <v>13</v>
      </c>
      <c r="B51" s="97" t="s">
        <v>29</v>
      </c>
      <c r="C51" s="97"/>
      <c r="D51" s="97"/>
      <c r="E51" s="181">
        <v>2850</v>
      </c>
      <c r="F51" s="98">
        <f t="shared" si="5"/>
        <v>1.0378947368421052</v>
      </c>
      <c r="G51" s="99">
        <v>2958</v>
      </c>
      <c r="H51" s="98">
        <f t="shared" si="6"/>
        <v>1.0387866708882474</v>
      </c>
      <c r="I51" s="98">
        <f t="shared" si="2"/>
        <v>1.078151218416644</v>
      </c>
      <c r="J51" s="228">
        <f t="shared" si="3"/>
        <v>3329.304008690136</v>
      </c>
      <c r="K51" s="182">
        <f>L14</f>
        <v>162.44414861460504</v>
      </c>
      <c r="L51" s="171" t="s">
        <v>13</v>
      </c>
    </row>
    <row r="52" spans="1:13" x14ac:dyDescent="0.2">
      <c r="A52" s="171" t="s">
        <v>9</v>
      </c>
      <c r="B52" s="97" t="s">
        <v>29</v>
      </c>
      <c r="C52" s="97" t="s">
        <v>36</v>
      </c>
      <c r="D52" s="97"/>
      <c r="E52" s="181">
        <v>8380</v>
      </c>
      <c r="F52" s="98">
        <f t="shared" si="5"/>
        <v>1.0288782816229116</v>
      </c>
      <c r="G52" s="99">
        <v>8622</v>
      </c>
      <c r="H52" s="98">
        <f t="shared" si="6"/>
        <v>1.0387866708882474</v>
      </c>
      <c r="I52" s="98">
        <f t="shared" si="2"/>
        <v>1.068785044916285</v>
      </c>
      <c r="J52" s="228">
        <f t="shared" si="3"/>
        <v>9704.2796358777396</v>
      </c>
      <c r="K52" s="182">
        <f>L15</f>
        <v>223.09414861460505</v>
      </c>
      <c r="L52" s="171" t="s">
        <v>9</v>
      </c>
    </row>
    <row r="53" spans="1:13" x14ac:dyDescent="0.2">
      <c r="A53" s="171" t="s">
        <v>14</v>
      </c>
      <c r="B53" s="97" t="s">
        <v>29</v>
      </c>
      <c r="C53" s="97"/>
      <c r="D53" s="97"/>
      <c r="E53" s="181">
        <v>2770</v>
      </c>
      <c r="F53" s="98">
        <f t="shared" si="5"/>
        <v>1.0552346570397111</v>
      </c>
      <c r="G53" s="99">
        <v>2923</v>
      </c>
      <c r="H53" s="98">
        <f t="shared" si="6"/>
        <v>1.0387866708882474</v>
      </c>
      <c r="I53" s="98">
        <f t="shared" si="2"/>
        <v>1.096163696392183</v>
      </c>
      <c r="J53" s="228">
        <f t="shared" si="3"/>
        <v>3289.9106211633766</v>
      </c>
      <c r="K53" s="182">
        <f>L14</f>
        <v>162.44414861460504</v>
      </c>
      <c r="L53" s="171" t="s">
        <v>14</v>
      </c>
    </row>
    <row r="54" spans="1:13" x14ac:dyDescent="0.2">
      <c r="A54" s="171" t="s">
        <v>15</v>
      </c>
      <c r="B54" s="97" t="s">
        <v>29</v>
      </c>
      <c r="C54" s="97" t="s">
        <v>5</v>
      </c>
      <c r="D54" s="97" t="s">
        <v>15</v>
      </c>
      <c r="E54" s="181">
        <v>6540</v>
      </c>
      <c r="F54" s="98">
        <f t="shared" si="5"/>
        <v>0.99388379204892963</v>
      </c>
      <c r="G54" s="99">
        <v>6500</v>
      </c>
      <c r="H54" s="98">
        <f t="shared" si="6"/>
        <v>1.0387866708882474</v>
      </c>
      <c r="I54" s="98">
        <f t="shared" si="2"/>
        <v>1.0324332355922947</v>
      </c>
      <c r="J54" s="228">
        <f t="shared" si="3"/>
        <v>7315.9148263982033</v>
      </c>
      <c r="K54" s="182">
        <f>L17</f>
        <v>154.74164163036284</v>
      </c>
      <c r="L54" s="171" t="s">
        <v>15</v>
      </c>
    </row>
    <row r="55" spans="1:13" x14ac:dyDescent="0.2">
      <c r="A55" s="171" t="s">
        <v>10</v>
      </c>
      <c r="B55" s="97" t="s">
        <v>29</v>
      </c>
      <c r="C55" s="97"/>
      <c r="D55" s="97" t="s">
        <v>10</v>
      </c>
      <c r="E55" s="181">
        <v>7145</v>
      </c>
      <c r="F55" s="98">
        <f t="shared" si="5"/>
        <v>1.0198740377886635</v>
      </c>
      <c r="G55" s="99">
        <v>7287</v>
      </c>
      <c r="H55" s="98">
        <f t="shared" si="6"/>
        <v>1.0387866708882474</v>
      </c>
      <c r="I55" s="98">
        <f t="shared" si="2"/>
        <v>1.0594315564398404</v>
      </c>
      <c r="J55" s="228">
        <f t="shared" si="3"/>
        <v>8201.7032830713415</v>
      </c>
      <c r="K55" s="182">
        <f>L20</f>
        <v>152.73830517543715</v>
      </c>
      <c r="L55" s="171" t="s">
        <v>10</v>
      </c>
    </row>
    <row r="56" spans="1:13" x14ac:dyDescent="0.2">
      <c r="A56" s="171" t="s">
        <v>8</v>
      </c>
      <c r="B56" s="97" t="s">
        <v>29</v>
      </c>
      <c r="C56" s="97" t="s">
        <v>36</v>
      </c>
      <c r="D56" s="97" t="s">
        <v>8</v>
      </c>
      <c r="E56" s="181">
        <v>10160</v>
      </c>
      <c r="F56" s="98">
        <f t="shared" si="5"/>
        <v>0.99862204724409454</v>
      </c>
      <c r="G56" s="99">
        <v>10146</v>
      </c>
      <c r="H56" s="98">
        <f t="shared" si="6"/>
        <v>1.0387866708882474</v>
      </c>
      <c r="I56" s="98">
        <f t="shared" si="2"/>
        <v>1.0373552719322991</v>
      </c>
      <c r="J56" s="228">
        <f t="shared" si="3"/>
        <v>11419.580281328645</v>
      </c>
      <c r="K56" s="182">
        <f>K27</f>
        <v>223.09414861460505</v>
      </c>
      <c r="L56" s="171" t="s">
        <v>8</v>
      </c>
    </row>
    <row r="57" spans="1:13" x14ac:dyDescent="0.2">
      <c r="A57" s="171" t="s">
        <v>18</v>
      </c>
      <c r="B57" s="97" t="s">
        <v>29</v>
      </c>
      <c r="C57" s="97" t="s">
        <v>36</v>
      </c>
      <c r="D57" s="97"/>
      <c r="E57" s="181">
        <v>405</v>
      </c>
      <c r="F57" s="98">
        <f t="shared" si="5"/>
        <v>1.0148148148148148</v>
      </c>
      <c r="G57" s="99">
        <v>411</v>
      </c>
      <c r="H57" s="98">
        <f t="shared" si="6"/>
        <v>1.0387866708882474</v>
      </c>
      <c r="I57" s="98">
        <f t="shared" si="2"/>
        <v>1.0541761030495547</v>
      </c>
      <c r="J57" s="228">
        <f t="shared" si="3"/>
        <v>462.59092209994793</v>
      </c>
      <c r="K57" s="182">
        <f>L15</f>
        <v>223.09414861460505</v>
      </c>
      <c r="L57" s="171" t="s">
        <v>18</v>
      </c>
    </row>
    <row r="58" spans="1:13" x14ac:dyDescent="0.2">
      <c r="A58" s="100" t="s">
        <v>74</v>
      </c>
      <c r="B58" s="25"/>
      <c r="C58" s="34"/>
      <c r="D58" s="34"/>
      <c r="E58" s="183">
        <f>SUM(E38:E57)</f>
        <v>143499.70000000001</v>
      </c>
      <c r="F58" s="184"/>
      <c r="G58" s="185">
        <f>SUM(G38:G57)</f>
        <v>148230.24539419019</v>
      </c>
      <c r="H58" s="73"/>
      <c r="I58" s="73"/>
      <c r="J58" s="186">
        <f>SUM(J38:J57)</f>
        <v>166836.90000000002</v>
      </c>
      <c r="K58" s="187"/>
      <c r="L58" s="171"/>
    </row>
    <row r="59" spans="1:13" x14ac:dyDescent="0.2">
      <c r="A59" s="100" t="s">
        <v>140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23"/>
    </row>
    <row r="60" spans="1:13" ht="30.75" customHeight="1" x14ac:dyDescent="0.2">
      <c r="A60" s="553" t="s">
        <v>24</v>
      </c>
      <c r="B60" s="553"/>
      <c r="C60" s="553"/>
      <c r="D60" s="553"/>
      <c r="E60" s="553"/>
      <c r="F60" s="553"/>
      <c r="G60" s="553"/>
      <c r="H60" s="553"/>
      <c r="I60" s="553"/>
      <c r="J60" s="553"/>
      <c r="K60" s="553"/>
      <c r="L60" s="553"/>
      <c r="M60" s="23"/>
    </row>
    <row r="61" spans="1:13" x14ac:dyDescent="0.2">
      <c r="A61" s="9"/>
      <c r="C61" s="5"/>
      <c r="D61" s="5"/>
      <c r="E61" s="8"/>
      <c r="F61" s="5"/>
      <c r="G61" s="5"/>
      <c r="I61" s="5"/>
      <c r="J61" s="5" t="s">
        <v>24</v>
      </c>
    </row>
    <row r="62" spans="1:13" x14ac:dyDescent="0.2">
      <c r="A62" s="9"/>
      <c r="C62" s="5"/>
      <c r="D62" s="5"/>
      <c r="E62" s="8"/>
      <c r="F62" s="5"/>
      <c r="G62" s="5" t="s">
        <v>24</v>
      </c>
      <c r="H62" s="12" t="s">
        <v>24</v>
      </c>
      <c r="I62" s="5"/>
      <c r="J62" s="5"/>
      <c r="K62" s="106"/>
    </row>
    <row r="63" spans="1:13" x14ac:dyDescent="0.2">
      <c r="H63" s="12"/>
    </row>
    <row r="64" spans="1:13" ht="15" x14ac:dyDescent="0.25">
      <c r="A64" s="17"/>
      <c r="H64" s="12"/>
    </row>
    <row r="65" spans="2:8" x14ac:dyDescent="0.2">
      <c r="H65" s="12"/>
    </row>
    <row r="75" spans="2:8" x14ac:dyDescent="0.2">
      <c r="B75" s="4" t="s">
        <v>24</v>
      </c>
    </row>
    <row r="76" spans="2:8" x14ac:dyDescent="0.2">
      <c r="B76" s="4" t="s">
        <v>24</v>
      </c>
    </row>
    <row r="77" spans="2:8" x14ac:dyDescent="0.2">
      <c r="B77" s="4" t="s">
        <v>24</v>
      </c>
      <c r="C77" s="4" t="s">
        <v>24</v>
      </c>
      <c r="D77" s="4" t="s">
        <v>24</v>
      </c>
    </row>
    <row r="78" spans="2:8" x14ac:dyDescent="0.2">
      <c r="B78" s="4" t="s">
        <v>24</v>
      </c>
    </row>
    <row r="79" spans="2:8" x14ac:dyDescent="0.2">
      <c r="B79" s="4" t="s">
        <v>24</v>
      </c>
    </row>
    <row r="80" spans="2:8" x14ac:dyDescent="0.2">
      <c r="B80" s="4" t="s">
        <v>24</v>
      </c>
    </row>
  </sheetData>
  <mergeCells count="2">
    <mergeCell ref="A60:L60"/>
    <mergeCell ref="F23:J23"/>
  </mergeCells>
  <phoneticPr fontId="0" type="noConversion"/>
  <pageMargins left="0.45" right="0.45" top="0.5" bottom="0.5" header="0" footer="0"/>
  <pageSetup paperSize="17"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8"/>
  <sheetViews>
    <sheetView zoomScaleNormal="100" workbookViewId="0"/>
  </sheetViews>
  <sheetFormatPr defaultRowHeight="12.75" x14ac:dyDescent="0.2"/>
  <cols>
    <col min="1" max="1" width="17.5703125" customWidth="1"/>
    <col min="2" max="3" width="12.7109375" customWidth="1"/>
    <col min="4" max="4" width="15.42578125" customWidth="1"/>
    <col min="5" max="6" width="15.7109375" customWidth="1"/>
    <col min="7" max="7" width="19.140625" customWidth="1"/>
    <col min="8" max="10" width="15.7109375" customWidth="1"/>
    <col min="11" max="11" width="17.28515625" bestFit="1" customWidth="1"/>
    <col min="12" max="26" width="15.7109375" customWidth="1"/>
    <col min="27" max="27" width="17.28515625" customWidth="1"/>
    <col min="28" max="28" width="15.7109375" customWidth="1"/>
  </cols>
  <sheetData>
    <row r="1" spans="1:28" ht="18.75" x14ac:dyDescent="0.3">
      <c r="A1" s="112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8" ht="18.75" x14ac:dyDescent="0.3">
      <c r="A2" s="1" t="s">
        <v>24</v>
      </c>
      <c r="B2" s="4"/>
      <c r="C2" s="4"/>
      <c r="D2" s="14" t="s">
        <v>24</v>
      </c>
      <c r="E2" s="5" t="s">
        <v>24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8" ht="15.75" x14ac:dyDescent="0.25">
      <c r="A3" s="456" t="s">
        <v>69</v>
      </c>
      <c r="B3" s="101"/>
      <c r="C3" s="101"/>
      <c r="D3" s="247" t="s">
        <v>24</v>
      </c>
      <c r="E3" s="247"/>
      <c r="F3" s="248"/>
      <c r="G3" s="23"/>
      <c r="H3" s="113" t="s">
        <v>24</v>
      </c>
      <c r="I3" s="114"/>
      <c r="J3" s="226" t="s">
        <v>24</v>
      </c>
      <c r="K3" s="113"/>
      <c r="L3" s="11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113"/>
      <c r="Z3" s="23"/>
      <c r="AA3" s="23"/>
      <c r="AB3" s="23"/>
    </row>
    <row r="4" spans="1:28" ht="114.75" x14ac:dyDescent="0.2">
      <c r="A4" s="166" t="s">
        <v>3</v>
      </c>
      <c r="B4" s="441" t="s">
        <v>70</v>
      </c>
      <c r="C4" s="441" t="s">
        <v>71</v>
      </c>
      <c r="D4" s="441" t="s">
        <v>95</v>
      </c>
      <c r="E4" s="166" t="s">
        <v>72</v>
      </c>
      <c r="F4" s="166" t="s">
        <v>117</v>
      </c>
      <c r="G4" s="166" t="s">
        <v>80</v>
      </c>
      <c r="H4" s="166" t="s">
        <v>118</v>
      </c>
      <c r="I4" s="457" t="s">
        <v>122</v>
      </c>
      <c r="J4" s="30"/>
      <c r="K4" s="23"/>
      <c r="L4" s="23"/>
      <c r="M4" s="30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8" x14ac:dyDescent="0.2">
      <c r="A5" s="381" t="s">
        <v>29</v>
      </c>
      <c r="B5" s="46">
        <f>'BRA Load Pricing Results'!B14</f>
        <v>66341.84117113681</v>
      </c>
      <c r="C5" s="46">
        <f>'BRA Resource Clearing Results'!E30</f>
        <v>66071.199999999997</v>
      </c>
      <c r="D5" s="99">
        <f>B5-C5</f>
        <v>270.64117113681277</v>
      </c>
      <c r="E5" s="117">
        <f>'BRA Resource Clearing Results'!B95</f>
        <v>0</v>
      </c>
      <c r="F5" s="53">
        <f t="shared" ref="F5:F14" si="0">D5-E5</f>
        <v>270.64117113681277</v>
      </c>
      <c r="G5" s="53">
        <f>'BRA ICTRs'!C26</f>
        <v>148.10547524787546</v>
      </c>
      <c r="H5" s="53">
        <f>'BRA ICTRs'!C13+'BRA ICTRs'!C20</f>
        <v>122.53569588893731</v>
      </c>
      <c r="I5" s="458">
        <f>F5-G5-H5</f>
        <v>0</v>
      </c>
      <c r="J5" s="167"/>
      <c r="K5" s="23"/>
      <c r="L5" s="23"/>
      <c r="M5" s="38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8" x14ac:dyDescent="0.2">
      <c r="A6" s="381" t="s">
        <v>36</v>
      </c>
      <c r="B6" s="46">
        <f>'BRA Load Pricing Results'!B15</f>
        <v>36256.548354271588</v>
      </c>
      <c r="C6" s="46">
        <f>'BRA Resource Clearing Results'!E31</f>
        <v>31069</v>
      </c>
      <c r="D6" s="99">
        <f>B6-C6-30</f>
        <v>5157.5483542715883</v>
      </c>
      <c r="E6" s="117">
        <f>'BRA Resource Clearing Results'!B96</f>
        <v>0</v>
      </c>
      <c r="F6" s="53">
        <f t="shared" si="0"/>
        <v>5157.5483542715883</v>
      </c>
      <c r="G6" s="117">
        <v>0</v>
      </c>
      <c r="H6" s="53">
        <f>'BRA ICTRs'!D13+'BRA ICTRs'!D20</f>
        <v>898</v>
      </c>
      <c r="I6" s="459">
        <f>F6-G6-H6</f>
        <v>4259.5483542715883</v>
      </c>
      <c r="J6" s="167"/>
      <c r="K6" s="23"/>
      <c r="L6" s="23"/>
      <c r="M6" s="38" t="s">
        <v>24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8" x14ac:dyDescent="0.2">
      <c r="A7" s="381" t="s">
        <v>5</v>
      </c>
      <c r="B7" s="46">
        <f>'BRA Load Pricing Results'!B16</f>
        <v>15264.374903940374</v>
      </c>
      <c r="C7" s="46">
        <f>'BRA Resource Clearing Results'!E32</f>
        <v>11180.699999999999</v>
      </c>
      <c r="D7" s="99">
        <f>B7-C7</f>
        <v>4083.6749039403749</v>
      </c>
      <c r="E7" s="117">
        <f>'BRA Resource Clearing Results'!B97</f>
        <v>0</v>
      </c>
      <c r="F7" s="53">
        <f t="shared" si="0"/>
        <v>4083.6749039403749</v>
      </c>
      <c r="G7" s="117">
        <f>'BRA ICTRs'!E26</f>
        <v>0</v>
      </c>
      <c r="H7" s="53">
        <f>'BRA ICTRs'!E13+'BRA ICTRs'!E20</f>
        <v>1044</v>
      </c>
      <c r="I7" s="459">
        <f>F7-G7-H7</f>
        <v>3039.6749039403749</v>
      </c>
      <c r="J7" s="167"/>
      <c r="K7" s="23"/>
      <c r="L7" s="23"/>
      <c r="M7" s="38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8" x14ac:dyDescent="0.2">
      <c r="A8" s="381" t="s">
        <v>43</v>
      </c>
      <c r="B8" s="46">
        <f>'BRA Load Pricing Results'!J56</f>
        <v>11419.580281328645</v>
      </c>
      <c r="C8" s="46">
        <f>'BRA Load Pricing Results'!C27</f>
        <v>5300.7999999999993</v>
      </c>
      <c r="D8" s="99">
        <f>B8-C8</f>
        <v>6118.7802813286453</v>
      </c>
      <c r="E8" s="117">
        <f>IF('BRA Resource Clearing Results'!D98+'BRA Resource Clearing Results'!D99=0,0,('BRA Resource Clearing Results'!D98+'BRA Resource Clearing Results'!D99)/'BRA Load Pricing Results'!D27)</f>
        <v>0</v>
      </c>
      <c r="F8" s="53">
        <f t="shared" si="0"/>
        <v>6118.7802813286453</v>
      </c>
      <c r="G8" s="117">
        <v>0</v>
      </c>
      <c r="H8" s="117">
        <v>0</v>
      </c>
      <c r="I8" s="459">
        <f>F8-G8-H8</f>
        <v>6118.7802813286453</v>
      </c>
      <c r="J8" s="167" t="s">
        <v>24</v>
      </c>
      <c r="K8" s="23"/>
      <c r="L8" s="23"/>
      <c r="M8" s="38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8" x14ac:dyDescent="0.2">
      <c r="A9" s="381" t="s">
        <v>41</v>
      </c>
      <c r="B9" s="46">
        <f>'BRA Load Pricing Results'!J48</f>
        <v>4686.6875903264799</v>
      </c>
      <c r="C9" s="46">
        <f>'BRA Load Pricing Results'!C30</f>
        <v>5622.3</v>
      </c>
      <c r="D9" s="225">
        <f>IF(B9-C9&lt;0,0,B9-C9)</f>
        <v>0</v>
      </c>
      <c r="E9" s="117">
        <f>IF('BRA Resource Clearing Results'!D100=0,0,('BRA Resource Clearing Results'!D100/'BRA Load Pricing Results'!D30))</f>
        <v>0</v>
      </c>
      <c r="F9" s="117">
        <f t="shared" si="0"/>
        <v>0</v>
      </c>
      <c r="G9" s="117">
        <f>'BRA ICTRs'!I23+'BRA ICTRs'!I25</f>
        <v>0</v>
      </c>
      <c r="H9" s="118">
        <f>'BRA ICTRs'!I13+'BRA ICTRs'!I20</f>
        <v>0</v>
      </c>
      <c r="I9" s="458">
        <f>MAX(F9-G9-H9,0)</f>
        <v>0</v>
      </c>
      <c r="J9" s="167"/>
      <c r="K9" s="23"/>
      <c r="L9" s="23"/>
      <c r="M9" s="38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8" x14ac:dyDescent="0.2">
      <c r="A10" s="381" t="s">
        <v>15</v>
      </c>
      <c r="B10" s="46">
        <f>'BRA Load Pricing Results'!J54</f>
        <v>7315.9148263982033</v>
      </c>
      <c r="C10" s="46">
        <f>'BRA Resource Clearing Results'!E36</f>
        <v>5478.7</v>
      </c>
      <c r="D10" s="99">
        <f>B10-C10</f>
        <v>1837.2148263982035</v>
      </c>
      <c r="E10" s="117">
        <f>'BRA Resource Clearing Results'!B101</f>
        <v>0</v>
      </c>
      <c r="F10" s="53">
        <f t="shared" si="0"/>
        <v>1837.2148263982035</v>
      </c>
      <c r="G10" s="117">
        <f>'BRA ICTRs'!J26</f>
        <v>0</v>
      </c>
      <c r="H10" s="117">
        <f>'BRA ICTRs'!J13+'BRA ICTRs'!J20</f>
        <v>315</v>
      </c>
      <c r="I10" s="459">
        <f>F10-G10-H10</f>
        <v>1522.2148263982035</v>
      </c>
      <c r="J10" s="167"/>
      <c r="K10" s="23"/>
      <c r="L10" s="23"/>
      <c r="M10" s="38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8" x14ac:dyDescent="0.2">
      <c r="A11" s="381" t="s">
        <v>131</v>
      </c>
      <c r="B11" s="46">
        <f>'BRA Load Pricing Results'!J41</f>
        <v>14546.289725595445</v>
      </c>
      <c r="C11" s="46">
        <f>'BRA Load Pricing Results'!C33</f>
        <v>10171.6</v>
      </c>
      <c r="D11" s="99">
        <f>B11-C11</f>
        <v>4374.6897255954445</v>
      </c>
      <c r="E11" s="117">
        <f>IF('BRA Resource Clearing Results'!D102+'BRA Resource Clearing Results'!D103=0,0,('BRA Resource Clearing Results'!D102+'BRA Resource Clearing Results'!D103)/'BRA Load Pricing Results'!D33)</f>
        <v>0</v>
      </c>
      <c r="F11" s="53">
        <f t="shared" si="0"/>
        <v>4374.6897255954445</v>
      </c>
      <c r="G11" s="117">
        <v>0</v>
      </c>
      <c r="H11" s="117">
        <v>0</v>
      </c>
      <c r="I11" s="459">
        <f>F11-G11-H11</f>
        <v>4374.6897255954445</v>
      </c>
      <c r="J11" s="167"/>
      <c r="K11" s="23"/>
      <c r="L11" s="23"/>
      <c r="M11" s="38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8" x14ac:dyDescent="0.2">
      <c r="A12" s="460" t="s">
        <v>20</v>
      </c>
      <c r="B12" s="46">
        <f>'BRA Load Pricing Results'!J43</f>
        <v>25454.557643339445</v>
      </c>
      <c r="C12" s="46">
        <f>'BRA Resource Clearing Results'!E39</f>
        <v>23320.400000000001</v>
      </c>
      <c r="D12" s="99">
        <f>B12-C12</f>
        <v>2134.1576433394439</v>
      </c>
      <c r="E12" s="117">
        <f>'BRA Resource Clearing Results'!B104</f>
        <v>0</v>
      </c>
      <c r="F12" s="53">
        <f t="shared" si="0"/>
        <v>2134.1576433394439</v>
      </c>
      <c r="G12" s="117">
        <v>0</v>
      </c>
      <c r="H12" s="117">
        <v>0</v>
      </c>
      <c r="I12" s="459">
        <f>F12-G12-H12</f>
        <v>2134.1576433394439</v>
      </c>
      <c r="J12" s="167"/>
      <c r="K12" s="23"/>
      <c r="L12" s="23"/>
      <c r="M12" s="38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8" x14ac:dyDescent="0.2">
      <c r="A13" s="460" t="s">
        <v>11</v>
      </c>
      <c r="B13" s="46">
        <f>'BRA Load Pricing Results'!J42</f>
        <v>7948.4600775421704</v>
      </c>
      <c r="C13" s="119">
        <f>'BRA Resource Clearing Results'!E40</f>
        <v>3296.9</v>
      </c>
      <c r="D13" s="99">
        <f>B13-C13</f>
        <v>4651.5600775421699</v>
      </c>
      <c r="E13" s="117">
        <f>'BRA Resource Clearing Results'!B105</f>
        <v>0</v>
      </c>
      <c r="F13" s="53">
        <f t="shared" si="0"/>
        <v>4651.5600775421699</v>
      </c>
      <c r="G13" s="117">
        <v>0</v>
      </c>
      <c r="H13" s="117">
        <f>'BRA ICTRs'!K13+'BRA ICTRs'!K20</f>
        <v>306</v>
      </c>
      <c r="I13" s="459">
        <f>F13-G13-H13</f>
        <v>4345.5600775421699</v>
      </c>
      <c r="J13" s="167"/>
      <c r="K13" s="23"/>
      <c r="L13" s="23"/>
      <c r="M13" s="38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8" x14ac:dyDescent="0.2">
      <c r="A14" s="460" t="s">
        <v>10</v>
      </c>
      <c r="B14" s="46">
        <f>'BRA Load Pricing Results'!J55</f>
        <v>8201.7032830713415</v>
      </c>
      <c r="C14" s="119">
        <f>'BRA Resource Clearing Results'!E41</f>
        <v>9526.9</v>
      </c>
      <c r="D14" s="225">
        <f>IF(B14-C14&lt;0,0,B14-C14)</f>
        <v>0</v>
      </c>
      <c r="E14" s="117">
        <f>'BRA Resource Clearing Results'!B106</f>
        <v>0</v>
      </c>
      <c r="F14" s="117">
        <f t="shared" si="0"/>
        <v>0</v>
      </c>
      <c r="G14" s="117">
        <v>0</v>
      </c>
      <c r="H14" s="117">
        <v>0</v>
      </c>
      <c r="I14" s="461">
        <f>F14-G14-H14</f>
        <v>0</v>
      </c>
      <c r="J14" s="167"/>
      <c r="K14" s="23"/>
      <c r="L14" s="23"/>
      <c r="M14" s="38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8" x14ac:dyDescent="0.2">
      <c r="A15" s="120" t="s">
        <v>24</v>
      </c>
      <c r="B15" s="34"/>
      <c r="C15" s="34"/>
      <c r="D15" s="34" t="s">
        <v>96</v>
      </c>
      <c r="E15" s="34"/>
      <c r="F15" s="59"/>
      <c r="G15" s="60"/>
      <c r="H15" s="81"/>
      <c r="I15" s="60"/>
      <c r="J15" s="41"/>
      <c r="K15" s="121"/>
      <c r="L15" s="23"/>
      <c r="M15" s="23"/>
      <c r="N15" s="38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ht="12.75" customHeight="1" x14ac:dyDescent="0.2">
      <c r="A16" s="120"/>
      <c r="B16" s="34"/>
      <c r="C16" s="34"/>
      <c r="D16" s="59"/>
      <c r="E16" s="122"/>
      <c r="F16" s="59"/>
      <c r="G16" s="60"/>
      <c r="H16" s="81"/>
      <c r="I16" s="60"/>
      <c r="J16" s="41"/>
      <c r="K16" s="121"/>
      <c r="L16" s="23"/>
      <c r="M16" s="23"/>
      <c r="N16" s="38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30" ht="15" customHeight="1" x14ac:dyDescent="0.2">
      <c r="A17" s="556" t="s">
        <v>90</v>
      </c>
      <c r="B17" s="556"/>
      <c r="C17" s="556"/>
      <c r="D17" s="556"/>
      <c r="E17" s="1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30" x14ac:dyDescent="0.2">
      <c r="A18" s="556"/>
      <c r="B18" s="556"/>
      <c r="C18" s="556"/>
      <c r="D18" s="556"/>
      <c r="E18" s="555" t="s">
        <v>29</v>
      </c>
      <c r="F18" s="555"/>
      <c r="G18" s="555" t="s">
        <v>36</v>
      </c>
      <c r="H18" s="555"/>
      <c r="I18" s="555" t="s">
        <v>5</v>
      </c>
      <c r="J18" s="555"/>
      <c r="K18" s="555" t="s">
        <v>43</v>
      </c>
      <c r="L18" s="555"/>
      <c r="M18" s="555" t="s">
        <v>41</v>
      </c>
      <c r="N18" s="555"/>
      <c r="O18" s="555" t="s">
        <v>15</v>
      </c>
      <c r="P18" s="555"/>
      <c r="Q18" s="555" t="s">
        <v>131</v>
      </c>
      <c r="R18" s="555"/>
      <c r="S18" s="555" t="s">
        <v>20</v>
      </c>
      <c r="T18" s="555"/>
      <c r="U18" s="555" t="s">
        <v>11</v>
      </c>
      <c r="V18" s="555"/>
      <c r="W18" s="555" t="s">
        <v>10</v>
      </c>
      <c r="X18" s="555"/>
      <c r="Y18" s="23"/>
      <c r="Z18" s="23"/>
      <c r="AA18" s="23"/>
      <c r="AB18" s="23"/>
    </row>
    <row r="19" spans="1:30" ht="30.75" customHeight="1" x14ac:dyDescent="0.2">
      <c r="A19" s="557"/>
      <c r="B19" s="557"/>
      <c r="C19" s="557"/>
      <c r="D19" s="557"/>
      <c r="E19" s="462" t="s">
        <v>44</v>
      </c>
      <c r="F19" s="390">
        <f>'BRA Resource Clearing Results'!C6</f>
        <v>0</v>
      </c>
      <c r="G19" s="462" t="s">
        <v>44</v>
      </c>
      <c r="H19" s="390">
        <f>'BRA Resource Clearing Results'!C7</f>
        <v>60.65</v>
      </c>
      <c r="I19" s="462" t="s">
        <v>44</v>
      </c>
      <c r="J19" s="390">
        <f>'BRA Resource Clearing Results'!C8</f>
        <v>0</v>
      </c>
      <c r="K19" s="462" t="s">
        <v>44</v>
      </c>
      <c r="L19" s="390">
        <f>'BRA Load Pricing Results'!D27</f>
        <v>0</v>
      </c>
      <c r="M19" s="462" t="s">
        <v>44</v>
      </c>
      <c r="N19" s="463">
        <f>'BRA Load Pricing Results'!D30</f>
        <v>0</v>
      </c>
      <c r="O19" s="462" t="s">
        <v>44</v>
      </c>
      <c r="P19" s="463">
        <f>'BRA Resource Clearing Results'!C12</f>
        <v>0</v>
      </c>
      <c r="Q19" s="462" t="s">
        <v>44</v>
      </c>
      <c r="R19" s="463">
        <f>'BRA Load Pricing Results'!D33</f>
        <v>0</v>
      </c>
      <c r="S19" s="462" t="s">
        <v>44</v>
      </c>
      <c r="T19" s="463">
        <f>'BRA Resource Clearing Results'!C15</f>
        <v>50.23</v>
      </c>
      <c r="U19" s="462" t="s">
        <v>44</v>
      </c>
      <c r="V19" s="463">
        <f>'BRA Resource Clearing Results'!C16</f>
        <v>0</v>
      </c>
      <c r="W19" s="462" t="s">
        <v>44</v>
      </c>
      <c r="X19" s="463">
        <f>'BRA Resource Clearing Results'!C17</f>
        <v>0</v>
      </c>
      <c r="Y19" s="23"/>
      <c r="Z19" s="23"/>
      <c r="AA19" s="23"/>
      <c r="AB19" s="113"/>
    </row>
    <row r="20" spans="1:30" ht="63.75" x14ac:dyDescent="0.2">
      <c r="A20" s="164" t="s">
        <v>7</v>
      </c>
      <c r="B20" s="164" t="s">
        <v>28</v>
      </c>
      <c r="C20" s="164" t="s">
        <v>27</v>
      </c>
      <c r="D20" s="164" t="s">
        <v>33</v>
      </c>
      <c r="E20" s="164" t="s">
        <v>214</v>
      </c>
      <c r="F20" s="164" t="s">
        <v>215</v>
      </c>
      <c r="G20" s="164" t="s">
        <v>85</v>
      </c>
      <c r="H20" s="164" t="s">
        <v>215</v>
      </c>
      <c r="I20" s="164" t="s">
        <v>214</v>
      </c>
      <c r="J20" s="164" t="s">
        <v>215</v>
      </c>
      <c r="K20" s="164" t="s">
        <v>216</v>
      </c>
      <c r="L20" s="164" t="s">
        <v>215</v>
      </c>
      <c r="M20" s="164" t="s">
        <v>214</v>
      </c>
      <c r="N20" s="164" t="s">
        <v>217</v>
      </c>
      <c r="O20" s="164" t="s">
        <v>214</v>
      </c>
      <c r="P20" s="164" t="s">
        <v>217</v>
      </c>
      <c r="Q20" s="164" t="s">
        <v>214</v>
      </c>
      <c r="R20" s="164" t="s">
        <v>217</v>
      </c>
      <c r="S20" s="164" t="s">
        <v>214</v>
      </c>
      <c r="T20" s="164" t="s">
        <v>217</v>
      </c>
      <c r="U20" s="164" t="s">
        <v>214</v>
      </c>
      <c r="V20" s="164" t="s">
        <v>217</v>
      </c>
      <c r="W20" s="164" t="s">
        <v>214</v>
      </c>
      <c r="X20" s="164" t="s">
        <v>215</v>
      </c>
      <c r="Y20" s="164" t="s">
        <v>87</v>
      </c>
      <c r="Z20" s="164" t="s">
        <v>218</v>
      </c>
      <c r="AA20" s="455" t="s">
        <v>53</v>
      </c>
      <c r="AB20" s="455" t="s">
        <v>219</v>
      </c>
      <c r="AC20" s="10"/>
    </row>
    <row r="21" spans="1:30" x14ac:dyDescent="0.2">
      <c r="A21" s="24" t="s">
        <v>16</v>
      </c>
      <c r="B21" s="97" t="s">
        <v>29</v>
      </c>
      <c r="C21" s="97" t="s">
        <v>36</v>
      </c>
      <c r="D21" s="97"/>
      <c r="E21" s="137">
        <f>IF(B21="MAAC",$I$5*'BRA Load Pricing Results'!J38/'BRA Load Pricing Results'!$B$14,0)</f>
        <v>0</v>
      </c>
      <c r="F21" s="464">
        <f>E21*$F$19</f>
        <v>0</v>
      </c>
      <c r="G21" s="137">
        <f>IF(C21="EMAAC",$I$6*'BRA Load Pricing Results'!J38/'BRA Load Pricing Results'!$B$15,0)</f>
        <v>348.29573045513808</v>
      </c>
      <c r="H21" s="464">
        <f>G21*$H$19</f>
        <v>21124.136052104124</v>
      </c>
      <c r="I21" s="137">
        <f>IF(C21="SWMAAC",$I$7*'BRA Load Pricing Results'!J38/'BRA Load Pricing Results'!$B$16,0)</f>
        <v>0</v>
      </c>
      <c r="J21" s="464">
        <f>I21*$J$19</f>
        <v>0</v>
      </c>
      <c r="K21" s="137">
        <f>IF(D21="PS",$I$8*'BRA Load Pricing Results'!J38/'BRA Load Pricing Results'!$J$56,0)</f>
        <v>0</v>
      </c>
      <c r="L21" s="464">
        <f>K21*$L$19</f>
        <v>0</v>
      </c>
      <c r="M21" s="137">
        <f>IF(D21="DPL",$I$9*'BRA Load Pricing Results'!J38/'BRA Load Pricing Results'!$J$48,0)</f>
        <v>0</v>
      </c>
      <c r="N21" s="464">
        <f>M21*$N$19</f>
        <v>0</v>
      </c>
      <c r="O21" s="137">
        <f>IF(D21="PEPCO",$I$10*'BRA Load Pricing Results'!J38/'BRA Load Pricing Results'!$J$54,0)</f>
        <v>0</v>
      </c>
      <c r="P21" s="464">
        <f>O21*$P$19</f>
        <v>0</v>
      </c>
      <c r="Q21" s="137">
        <f>IF(D21="ATSI",$I$11*'BRA Load Pricing Results'!J38/'BRA Load Pricing Results'!$J$41,0)</f>
        <v>0</v>
      </c>
      <c r="R21" s="464">
        <f>Q21*$R$19</f>
        <v>0</v>
      </c>
      <c r="S21" s="137">
        <f>IF(D21="COMED",$I$12*'BRA Load Pricing Results'!J38/'BRA Load Pricing Results'!$J$43,0)</f>
        <v>0</v>
      </c>
      <c r="T21" s="464">
        <f>S21*$T$19</f>
        <v>0</v>
      </c>
      <c r="U21" s="137">
        <f>IF(D21="BGE",$I$13*'BRA Load Pricing Results'!J38/'BRA Load Pricing Results'!$J$42,0)</f>
        <v>0</v>
      </c>
      <c r="V21" s="464">
        <f>U21*$V$19</f>
        <v>0</v>
      </c>
      <c r="W21" s="137">
        <f>IF(D21="PL",$I$14*'BRA Load Pricing Results'!J38/'BRA Load Pricing Results'!$J$55,0)</f>
        <v>0</v>
      </c>
      <c r="X21" s="464">
        <f t="shared" ref="X21:X37" si="1">W21*$X$19</f>
        <v>0</v>
      </c>
      <c r="Y21" s="53">
        <f>MAX(E21,G21,I21,K21,M21,O21,Q21+S21+U21+W21)</f>
        <v>348.29573045513808</v>
      </c>
      <c r="Z21" s="33">
        <f>F21+H21+J21+L21+N21+P21+R21+T21+V21+X21</f>
        <v>21124.136052104124</v>
      </c>
      <c r="AA21" s="156">
        <f>Z21/'BRA Load Pricing Results'!J38</f>
        <v>7.1253778810451811</v>
      </c>
      <c r="AB21" s="156">
        <f>IF(Y21=0,0,Z21/Y21)</f>
        <v>60.65</v>
      </c>
      <c r="AC21" s="34"/>
      <c r="AD21" s="25"/>
    </row>
    <row r="22" spans="1:30" x14ac:dyDescent="0.2">
      <c r="A22" s="24" t="s">
        <v>30</v>
      </c>
      <c r="B22" s="97"/>
      <c r="C22" s="97"/>
      <c r="D22" s="97"/>
      <c r="E22" s="137">
        <f>IF(B22="MAAC",$I$5*'BRA Load Pricing Results'!J39/'BRA Load Pricing Results'!$B$14,0)</f>
        <v>0</v>
      </c>
      <c r="F22" s="464">
        <f t="shared" ref="F22:F30" si="2">E22*$F$19</f>
        <v>0</v>
      </c>
      <c r="G22" s="137">
        <f>IF(C22="EMAAC",$I$6*'BRA Load Pricing Results'!J39/'BRA Load Pricing Results'!$B$15,0)</f>
        <v>0</v>
      </c>
      <c r="H22" s="464">
        <f>G22*$H$19</f>
        <v>0</v>
      </c>
      <c r="I22" s="137">
        <f>IF(C22="SWMAAC",$I$7*'BRA Load Pricing Results'!J39/'BRA Load Pricing Results'!$B$16,0)</f>
        <v>0</v>
      </c>
      <c r="J22" s="464">
        <f>I22*$J$19</f>
        <v>0</v>
      </c>
      <c r="K22" s="137">
        <f>IF(D22="PS",$I$8*'BRA Load Pricing Results'!J39/'BRA Load Pricing Results'!$J$56,0)</f>
        <v>0</v>
      </c>
      <c r="L22" s="464">
        <f>K22*$L$19</f>
        <v>0</v>
      </c>
      <c r="M22" s="137">
        <f>IF(D22="DPL",$I$9*'BRA Load Pricing Results'!J39/'BRA Load Pricing Results'!$J$48,0)</f>
        <v>0</v>
      </c>
      <c r="N22" s="464">
        <f t="shared" ref="N22:N36" si="3">M22*$N$19</f>
        <v>0</v>
      </c>
      <c r="O22" s="137">
        <f>IF(D22="PEPCO",$I$10*'BRA Load Pricing Results'!J39/'BRA Load Pricing Results'!$J$54,0)</f>
        <v>0</v>
      </c>
      <c r="P22" s="464">
        <f>O22*$P$19</f>
        <v>0</v>
      </c>
      <c r="Q22" s="137">
        <f>IF(D22="ATSI",$I$11*'BRA Load Pricing Results'!J39/'BRA Load Pricing Results'!$J$41,0)</f>
        <v>0</v>
      </c>
      <c r="R22" s="464">
        <f t="shared" ref="R22:R40" si="4">Q22*$R$19</f>
        <v>0</v>
      </c>
      <c r="S22" s="137">
        <f>IF(D22="COMED",$I$12*'BRA Load Pricing Results'!J39/'BRA Load Pricing Results'!$J$43,0)</f>
        <v>0</v>
      </c>
      <c r="T22" s="464">
        <f t="shared" ref="T22:T40" si="5">S22*$T$19</f>
        <v>0</v>
      </c>
      <c r="U22" s="137">
        <f>IF(D22="BGE",$I$13*'BRA Load Pricing Results'!J39/'BRA Load Pricing Results'!$J$42,0)</f>
        <v>0</v>
      </c>
      <c r="V22" s="464">
        <f>U22*$V$19</f>
        <v>0</v>
      </c>
      <c r="W22" s="137">
        <f>IF(D22="PL",$I$14*'BRA Load Pricing Results'!J39/'BRA Load Pricing Results'!$J$55,0)</f>
        <v>0</v>
      </c>
      <c r="X22" s="464">
        <f t="shared" si="1"/>
        <v>0</v>
      </c>
      <c r="Y22" s="53">
        <f t="shared" ref="Y22:Y40" si="6">MAX(E22,G22,I22,K22,M22,O22,Q22+S22+U22+W22)</f>
        <v>0</v>
      </c>
      <c r="Z22" s="33">
        <f t="shared" ref="Z22:Z39" si="7">F22+H22+J22+L22+N22+P22+R22+T22+V22+X22</f>
        <v>0</v>
      </c>
      <c r="AA22" s="156">
        <f>Z22/'BRA Load Pricing Results'!J39</f>
        <v>0</v>
      </c>
      <c r="AB22" s="156">
        <f>IF(Y22=0,0,Z22/Y22)</f>
        <v>0</v>
      </c>
      <c r="AC22" s="34"/>
      <c r="AD22" s="25"/>
    </row>
    <row r="23" spans="1:30" x14ac:dyDescent="0.2">
      <c r="A23" s="24" t="s">
        <v>19</v>
      </c>
      <c r="B23" s="97" t="s">
        <v>24</v>
      </c>
      <c r="C23" s="97"/>
      <c r="D23" s="97"/>
      <c r="E23" s="137">
        <f>IF(B23="MAAC",$I$5*'BRA Load Pricing Results'!J40/'BRA Load Pricing Results'!$B$14,0)</f>
        <v>0</v>
      </c>
      <c r="F23" s="464">
        <f t="shared" si="2"/>
        <v>0</v>
      </c>
      <c r="G23" s="137">
        <f>IF(C23="EMAAC",$I$6*'BRA Load Pricing Results'!J40/'BRA Load Pricing Results'!$B$15,0)</f>
        <v>0</v>
      </c>
      <c r="H23" s="464">
        <f>G23*$H$19</f>
        <v>0</v>
      </c>
      <c r="I23" s="137">
        <f>IF(C23="SWMAAC",$I$7*'BRA Load Pricing Results'!J40/'BRA Load Pricing Results'!$B$16,0)</f>
        <v>0</v>
      </c>
      <c r="J23" s="464">
        <f t="shared" ref="J23:J40" si="8">I23*$J$19</f>
        <v>0</v>
      </c>
      <c r="K23" s="137">
        <f>IF(D23="PS",$I$8*'BRA Load Pricing Results'!J40/'BRA Load Pricing Results'!$J$56,0)</f>
        <v>0</v>
      </c>
      <c r="L23" s="464">
        <f>K23*$L$19</f>
        <v>0</v>
      </c>
      <c r="M23" s="137">
        <f>IF(D23="DPL",$I$9*'BRA Load Pricing Results'!J40/'BRA Load Pricing Results'!$J$48,0)</f>
        <v>0</v>
      </c>
      <c r="N23" s="464">
        <f t="shared" si="3"/>
        <v>0</v>
      </c>
      <c r="O23" s="137">
        <f>IF(D23="PEPCO",$I$10*'BRA Load Pricing Results'!J40/'BRA Load Pricing Results'!$J$54,0)</f>
        <v>0</v>
      </c>
      <c r="P23" s="464">
        <f>O23*$P$19</f>
        <v>0</v>
      </c>
      <c r="Q23" s="137">
        <f>IF(D23="ATSI",$I$11*'BRA Load Pricing Results'!J40/'BRA Load Pricing Results'!$J$41,0)</f>
        <v>0</v>
      </c>
      <c r="R23" s="464">
        <f t="shared" si="4"/>
        <v>0</v>
      </c>
      <c r="S23" s="137">
        <f>IF(D23="COMED",$I$12*'BRA Load Pricing Results'!J40/'BRA Load Pricing Results'!$J$43,0)</f>
        <v>0</v>
      </c>
      <c r="T23" s="464">
        <f t="shared" si="5"/>
        <v>0</v>
      </c>
      <c r="U23" s="137">
        <f>IF(D23="BGE",$I$13*'BRA Load Pricing Results'!J40/'BRA Load Pricing Results'!$J$42,0)</f>
        <v>0</v>
      </c>
      <c r="V23" s="464">
        <f>U23*$V$19</f>
        <v>0</v>
      </c>
      <c r="W23" s="137">
        <f>IF(D23="PL",$I$14*'BRA Load Pricing Results'!J40/'BRA Load Pricing Results'!$J$55,0)</f>
        <v>0</v>
      </c>
      <c r="X23" s="464">
        <f t="shared" si="1"/>
        <v>0</v>
      </c>
      <c r="Y23" s="53">
        <f t="shared" si="6"/>
        <v>0</v>
      </c>
      <c r="Z23" s="33">
        <f t="shared" si="7"/>
        <v>0</v>
      </c>
      <c r="AA23" s="156">
        <f>Z23/'BRA Load Pricing Results'!J40</f>
        <v>0</v>
      </c>
      <c r="AB23" s="156">
        <f>IF(Y23=0,0,Z23/Y23)</f>
        <v>0</v>
      </c>
      <c r="AC23" s="34"/>
      <c r="AD23" s="25"/>
    </row>
    <row r="24" spans="1:30" x14ac:dyDescent="0.2">
      <c r="A24" s="24" t="s">
        <v>46</v>
      </c>
      <c r="B24" s="97"/>
      <c r="C24" s="97"/>
      <c r="D24" s="97" t="s">
        <v>46</v>
      </c>
      <c r="E24" s="137">
        <f>IF(B24="MAAC",$I$5*'BRA Load Pricing Results'!J41/'BRA Load Pricing Results'!$B$14,0)</f>
        <v>0</v>
      </c>
      <c r="F24" s="464">
        <f t="shared" si="2"/>
        <v>0</v>
      </c>
      <c r="G24" s="137">
        <f>IF(C24="EMAAC",$I$6*'BRA Load Pricing Results'!J41/'BRA Load Pricing Results'!$B$15,0)</f>
        <v>0</v>
      </c>
      <c r="H24" s="464">
        <f>G24*$H$19</f>
        <v>0</v>
      </c>
      <c r="I24" s="137">
        <f>IF(C24="SWMAAC",$I$7*'BRA Load Pricing Results'!J41/'BRA Load Pricing Results'!$B$16,0)</f>
        <v>0</v>
      </c>
      <c r="J24" s="464">
        <f t="shared" si="8"/>
        <v>0</v>
      </c>
      <c r="K24" s="137">
        <f>IF(D24="PS",$I$8*'BRA Load Pricing Results'!J41/'BRA Load Pricing Results'!$J$56,0)</f>
        <v>0</v>
      </c>
      <c r="L24" s="464">
        <f t="shared" ref="L24:L40" si="9">K24*$L$19</f>
        <v>0</v>
      </c>
      <c r="M24" s="137">
        <f>IF(D24="DPL",$I$9*'BRA Load Pricing Results'!J41/'BRA Load Pricing Results'!$J$48,0)</f>
        <v>0</v>
      </c>
      <c r="N24" s="464">
        <f t="shared" si="3"/>
        <v>0</v>
      </c>
      <c r="O24" s="137">
        <f>IF(D24="PEPCO",$I$10*'BRA Load Pricing Results'!J41/'BRA Load Pricing Results'!$J$54,0)</f>
        <v>0</v>
      </c>
      <c r="P24" s="464">
        <f t="shared" ref="P24:P36" si="10">O24*$P$19</f>
        <v>0</v>
      </c>
      <c r="Q24" s="137">
        <f>IF(D24="ATSI",$I$11*'BRA Load Pricing Results'!J41/'BRA Load Pricing Results'!$J$41,0)</f>
        <v>4374.6897255954445</v>
      </c>
      <c r="R24" s="464">
        <f>Q24*$R$19</f>
        <v>0</v>
      </c>
      <c r="S24" s="137">
        <f>IF(D24="COMED",$I$12*'BRA Load Pricing Results'!J41/'BRA Load Pricing Results'!$J$43,0)</f>
        <v>0</v>
      </c>
      <c r="T24" s="464">
        <f t="shared" si="5"/>
        <v>0</v>
      </c>
      <c r="U24" s="137">
        <f>IF(D24="BGE",$I$13*'BRA Load Pricing Results'!J41/'BRA Load Pricing Results'!$J$42,0)</f>
        <v>0</v>
      </c>
      <c r="V24" s="464">
        <f>U24*$V$19</f>
        <v>0</v>
      </c>
      <c r="W24" s="137">
        <f>IF(D24="PL",$I$14*'BRA Load Pricing Results'!J41/'BRA Load Pricing Results'!$J$55,0)</f>
        <v>0</v>
      </c>
      <c r="X24" s="464">
        <f t="shared" si="1"/>
        <v>0</v>
      </c>
      <c r="Y24" s="53">
        <f t="shared" si="6"/>
        <v>4374.6897255954445</v>
      </c>
      <c r="Z24" s="33">
        <f t="shared" si="7"/>
        <v>0</v>
      </c>
      <c r="AA24" s="156">
        <f>Z24/'BRA Load Pricing Results'!J41</f>
        <v>0</v>
      </c>
      <c r="AB24" s="156">
        <f>IF(Y24=0,0,Z24/Y24)</f>
        <v>0</v>
      </c>
      <c r="AC24" s="34"/>
      <c r="AD24" s="25"/>
    </row>
    <row r="25" spans="1:30" x14ac:dyDescent="0.2">
      <c r="A25" s="24" t="s">
        <v>11</v>
      </c>
      <c r="B25" s="97" t="s">
        <v>29</v>
      </c>
      <c r="C25" s="97" t="s">
        <v>5</v>
      </c>
      <c r="D25" s="97" t="s">
        <v>11</v>
      </c>
      <c r="E25" s="137">
        <f>IF(B25="MAAC",$I$5*'BRA Load Pricing Results'!J42/'BRA Load Pricing Results'!$B$14,0)</f>
        <v>0</v>
      </c>
      <c r="F25" s="464">
        <f>E25*$F$19</f>
        <v>0</v>
      </c>
      <c r="G25" s="137">
        <f>IF(C25="EMAAC",$I$6*'BRA Load Pricing Results'!J42/'BRA Load Pricing Results'!$B$15,0)</f>
        <v>0</v>
      </c>
      <c r="H25" s="464">
        <f t="shared" ref="H25:H38" si="11">G25*$H$19</f>
        <v>0</v>
      </c>
      <c r="I25" s="137">
        <f>IF(C25="SWMAAC",$I$7*'BRA Load Pricing Results'!J42/'BRA Load Pricing Results'!$B$16,0)</f>
        <v>1582.8184760084741</v>
      </c>
      <c r="J25" s="464">
        <f>I25*$J$19</f>
        <v>0</v>
      </c>
      <c r="K25" s="137">
        <f>IF(D25="PS",$I$8*'BRA Load Pricing Results'!J42/'BRA Load Pricing Results'!$J$56,0)</f>
        <v>0</v>
      </c>
      <c r="L25" s="464">
        <f t="shared" si="9"/>
        <v>0</v>
      </c>
      <c r="M25" s="137">
        <f>IF(D25="DPL",$I$9*'BRA Load Pricing Results'!J42/'BRA Load Pricing Results'!$J$48,0)</f>
        <v>0</v>
      </c>
      <c r="N25" s="464">
        <f t="shared" si="3"/>
        <v>0</v>
      </c>
      <c r="O25" s="137">
        <f>IF(D25="PEPCO",$I$10*'BRA Load Pricing Results'!J42/'BRA Load Pricing Results'!$J$54,0)</f>
        <v>0</v>
      </c>
      <c r="P25" s="464">
        <f t="shared" si="10"/>
        <v>0</v>
      </c>
      <c r="Q25" s="137">
        <f>IF(D25="ATSI",$I$11*'BRA Load Pricing Results'!J42/'BRA Load Pricing Results'!$J$41,0)</f>
        <v>0</v>
      </c>
      <c r="R25" s="464">
        <f t="shared" si="4"/>
        <v>0</v>
      </c>
      <c r="S25" s="137">
        <f>IF(D25="COMED",$I$12*'BRA Load Pricing Results'!J42/'BRA Load Pricing Results'!$J$43,0)</f>
        <v>0</v>
      </c>
      <c r="T25" s="464">
        <f t="shared" si="5"/>
        <v>0</v>
      </c>
      <c r="U25" s="137">
        <f>IF(D25="BGE",$I$13*'BRA Load Pricing Results'!J42/'BRA Load Pricing Results'!$J$42,0)</f>
        <v>4345.5600775421699</v>
      </c>
      <c r="V25" s="464">
        <f>U25*$V$19</f>
        <v>0</v>
      </c>
      <c r="W25" s="137">
        <f>IF(D25="PL",$I$14*'BRA Load Pricing Results'!J42/'BRA Load Pricing Results'!$J$55,0)</f>
        <v>0</v>
      </c>
      <c r="X25" s="464">
        <f t="shared" si="1"/>
        <v>0</v>
      </c>
      <c r="Y25" s="53">
        <f t="shared" si="6"/>
        <v>4345.5600775421699</v>
      </c>
      <c r="Z25" s="33">
        <f t="shared" si="7"/>
        <v>0</v>
      </c>
      <c r="AA25" s="156">
        <f>Z25/'BRA Load Pricing Results'!J42</f>
        <v>0</v>
      </c>
      <c r="AB25" s="156">
        <f>IF(Y25=0,0,Z25/Y25)</f>
        <v>0</v>
      </c>
      <c r="AC25" s="34"/>
      <c r="AD25" s="25"/>
    </row>
    <row r="26" spans="1:30" x14ac:dyDescent="0.2">
      <c r="A26" s="24" t="s">
        <v>20</v>
      </c>
      <c r="B26" s="97"/>
      <c r="C26" s="97"/>
      <c r="D26" s="97" t="s">
        <v>20</v>
      </c>
      <c r="E26" s="137">
        <f>IF(B26="MAAC",$I$5*'BRA Load Pricing Results'!J43/'BRA Load Pricing Results'!$B$14,0)</f>
        <v>0</v>
      </c>
      <c r="F26" s="464">
        <f t="shared" si="2"/>
        <v>0</v>
      </c>
      <c r="G26" s="137">
        <f>IF(C26="EMAAC",$I$6*'BRA Load Pricing Results'!J43/'BRA Load Pricing Results'!$B$15,0)</f>
        <v>0</v>
      </c>
      <c r="H26" s="464">
        <f t="shared" si="11"/>
        <v>0</v>
      </c>
      <c r="I26" s="137">
        <f>IF(C26="SWMAAC",$I$7*'BRA Load Pricing Results'!J43/'BRA Load Pricing Results'!$B$16,0)</f>
        <v>0</v>
      </c>
      <c r="J26" s="464">
        <f t="shared" si="8"/>
        <v>0</v>
      </c>
      <c r="K26" s="137">
        <f>IF(D26="PS",$I$8*'BRA Load Pricing Results'!J43/'BRA Load Pricing Results'!$J$56,0)</f>
        <v>0</v>
      </c>
      <c r="L26" s="464">
        <f t="shared" si="9"/>
        <v>0</v>
      </c>
      <c r="M26" s="137">
        <f>IF(D26="DPL",$I$9*'BRA Load Pricing Results'!J43/'BRA Load Pricing Results'!$J$48,0)</f>
        <v>0</v>
      </c>
      <c r="N26" s="464">
        <f t="shared" si="3"/>
        <v>0</v>
      </c>
      <c r="O26" s="137">
        <f>IF(D26="PEPCO",$I$10*'BRA Load Pricing Results'!J43/'BRA Load Pricing Results'!$J$54,0)</f>
        <v>0</v>
      </c>
      <c r="P26" s="464">
        <f t="shared" si="10"/>
        <v>0</v>
      </c>
      <c r="Q26" s="137">
        <f>IF(D26="ATSI",$I$11*'BRA Load Pricing Results'!J43/'BRA Load Pricing Results'!$J$41,0)</f>
        <v>0</v>
      </c>
      <c r="R26" s="464">
        <f t="shared" si="4"/>
        <v>0</v>
      </c>
      <c r="S26" s="111">
        <f>IF(D26="COMED",$I$12*'BRA Load Pricing Results'!J43/'BRA Load Pricing Results'!$J$43,0)</f>
        <v>2134.1576433394439</v>
      </c>
      <c r="T26" s="464">
        <f t="shared" si="5"/>
        <v>107198.73842494025</v>
      </c>
      <c r="U26" s="137">
        <f>IF(D26="BGE",$I$13*'BRA Load Pricing Results'!J43/'BRA Load Pricing Results'!$J$42,0)</f>
        <v>0</v>
      </c>
      <c r="V26" s="464">
        <f t="shared" ref="V26:V40" si="12">U26*$V$19</f>
        <v>0</v>
      </c>
      <c r="W26" s="137">
        <f>IF(D26="PL",$I$14*'BRA Load Pricing Results'!J43/'BRA Load Pricing Results'!$J$55,0)</f>
        <v>0</v>
      </c>
      <c r="X26" s="464">
        <f t="shared" si="1"/>
        <v>0</v>
      </c>
      <c r="Y26" s="53">
        <f t="shared" si="6"/>
        <v>2134.1576433394439</v>
      </c>
      <c r="Z26" s="33">
        <f t="shared" si="7"/>
        <v>107198.73842494025</v>
      </c>
      <c r="AA26" s="156">
        <f>Z26/'BRA Load Pricing Results'!J43</f>
        <v>4.2113769929523945</v>
      </c>
      <c r="AB26" s="156">
        <f t="shared" ref="AB26:AB40" si="13">IF(Y26=0,0,Z26/Y26)</f>
        <v>50.23</v>
      </c>
      <c r="AC26" s="34"/>
      <c r="AD26" s="25"/>
    </row>
    <row r="27" spans="1:30" x14ac:dyDescent="0.2">
      <c r="A27" s="24" t="s">
        <v>21</v>
      </c>
      <c r="B27" s="97"/>
      <c r="C27" s="97"/>
      <c r="D27" s="97"/>
      <c r="E27" s="137">
        <f>IF(B27="MAAC",$I$5*'BRA Load Pricing Results'!J44/'BRA Load Pricing Results'!$B$14,0)</f>
        <v>0</v>
      </c>
      <c r="F27" s="464">
        <f t="shared" si="2"/>
        <v>0</v>
      </c>
      <c r="G27" s="137">
        <f>IF(C27="EMAAC",$I$6*'BRA Load Pricing Results'!J44/'BRA Load Pricing Results'!$B$15,0)</f>
        <v>0</v>
      </c>
      <c r="H27" s="464">
        <f>G27*$H$19</f>
        <v>0</v>
      </c>
      <c r="I27" s="137">
        <f>IF(C27="SWMAAC",$I$7*'BRA Load Pricing Results'!J44/'BRA Load Pricing Results'!$B$16,0)</f>
        <v>0</v>
      </c>
      <c r="J27" s="464">
        <f>I27*$J$19</f>
        <v>0</v>
      </c>
      <c r="K27" s="137">
        <f>IF(D27="PS",$I$8*'BRA Load Pricing Results'!J44/'BRA Load Pricing Results'!$J$56,0)</f>
        <v>0</v>
      </c>
      <c r="L27" s="464">
        <f t="shared" si="9"/>
        <v>0</v>
      </c>
      <c r="M27" s="137">
        <f>IF(D27="DPL",$I$9*'BRA Load Pricing Results'!J44/'BRA Load Pricing Results'!$J$48,0)</f>
        <v>0</v>
      </c>
      <c r="N27" s="464">
        <f t="shared" si="3"/>
        <v>0</v>
      </c>
      <c r="O27" s="137">
        <f>IF(D27="PEPCO",$I$10*'BRA Load Pricing Results'!J44/'BRA Load Pricing Results'!$J$54,0)</f>
        <v>0</v>
      </c>
      <c r="P27" s="464">
        <f t="shared" si="10"/>
        <v>0</v>
      </c>
      <c r="Q27" s="137">
        <f>IF(D27="ATSI",$I$11*'BRA Load Pricing Results'!J44/'BRA Load Pricing Results'!$J$41,0)</f>
        <v>0</v>
      </c>
      <c r="R27" s="464">
        <f t="shared" si="4"/>
        <v>0</v>
      </c>
      <c r="S27" s="137">
        <f>IF(D27="COMED",$I$12*'BRA Load Pricing Results'!J44/'BRA Load Pricing Results'!$J$43,0)</f>
        <v>0</v>
      </c>
      <c r="T27" s="464">
        <f t="shared" si="5"/>
        <v>0</v>
      </c>
      <c r="U27" s="137">
        <f>IF(D27="BGE",$I$13*'BRA Load Pricing Results'!J44/'BRA Load Pricing Results'!$J$42,0)</f>
        <v>0</v>
      </c>
      <c r="V27" s="464">
        <f t="shared" si="12"/>
        <v>0</v>
      </c>
      <c r="W27" s="137">
        <f>IF(D27="PL",$I$14*'BRA Load Pricing Results'!J44/'BRA Load Pricing Results'!$J$55,0)</f>
        <v>0</v>
      </c>
      <c r="X27" s="464">
        <f t="shared" si="1"/>
        <v>0</v>
      </c>
      <c r="Y27" s="53">
        <f t="shared" si="6"/>
        <v>0</v>
      </c>
      <c r="Z27" s="33">
        <f t="shared" si="7"/>
        <v>0</v>
      </c>
      <c r="AA27" s="156">
        <f>Z27/'BRA Load Pricing Results'!J44</f>
        <v>0</v>
      </c>
      <c r="AB27" s="156">
        <f t="shared" si="13"/>
        <v>0</v>
      </c>
      <c r="AC27" s="34"/>
      <c r="AD27" s="25"/>
    </row>
    <row r="28" spans="1:30" x14ac:dyDescent="0.2">
      <c r="A28" s="24" t="s">
        <v>56</v>
      </c>
      <c r="B28" s="97"/>
      <c r="C28" s="97"/>
      <c r="D28" s="97"/>
      <c r="E28" s="137">
        <f>IF(B28="MAAC",$I$5*'BRA Load Pricing Results'!J45/'BRA Load Pricing Results'!$B$14,0)</f>
        <v>0</v>
      </c>
      <c r="F28" s="464">
        <f t="shared" si="2"/>
        <v>0</v>
      </c>
      <c r="G28" s="137">
        <f>IF(C28="EMAAC",$I$6*'BRA Load Pricing Results'!J45/'BRA Load Pricing Results'!$B$15,0)</f>
        <v>0</v>
      </c>
      <c r="H28" s="464">
        <f>G28*$H$19</f>
        <v>0</v>
      </c>
      <c r="I28" s="137">
        <f>IF(C28="SWMAAC",$I$7*'BRA Load Pricing Results'!J45/'BRA Load Pricing Results'!$B$16,0)</f>
        <v>0</v>
      </c>
      <c r="J28" s="464">
        <f>I28*$J$19</f>
        <v>0</v>
      </c>
      <c r="K28" s="137">
        <f>IF(D28="PS",$I$8*'BRA Load Pricing Results'!J45/'BRA Load Pricing Results'!$J$56,0)</f>
        <v>0</v>
      </c>
      <c r="L28" s="464">
        <f>K28*$L$19</f>
        <v>0</v>
      </c>
      <c r="M28" s="137">
        <f>IF(D28="DPL",$I$9*'BRA Load Pricing Results'!J45/'BRA Load Pricing Results'!$J$48,0)</f>
        <v>0</v>
      </c>
      <c r="N28" s="464">
        <f>M28*$N$19</f>
        <v>0</v>
      </c>
      <c r="O28" s="137">
        <f>IF(D28="PEPCO",$I$10*'BRA Load Pricing Results'!J45/'BRA Load Pricing Results'!$J$54,0)</f>
        <v>0</v>
      </c>
      <c r="P28" s="464">
        <f>O28*$P$19</f>
        <v>0</v>
      </c>
      <c r="Q28" s="137">
        <f>IF(D28="ATSI",$I$11*'BRA Load Pricing Results'!J45/'BRA Load Pricing Results'!$J$41,0)</f>
        <v>0</v>
      </c>
      <c r="R28" s="464">
        <f t="shared" si="4"/>
        <v>0</v>
      </c>
      <c r="S28" s="137">
        <f>IF(D28="COMED",$I$12*'BRA Load Pricing Results'!J45/'BRA Load Pricing Results'!$J$43,0)</f>
        <v>0</v>
      </c>
      <c r="T28" s="464">
        <f t="shared" si="5"/>
        <v>0</v>
      </c>
      <c r="U28" s="137">
        <f>IF(D28="BGE",$I$13*'BRA Load Pricing Results'!J45/'BRA Load Pricing Results'!$J$42,0)</f>
        <v>0</v>
      </c>
      <c r="V28" s="464">
        <f t="shared" si="12"/>
        <v>0</v>
      </c>
      <c r="W28" s="137">
        <f>IF(D28="PL",$I$14*'BRA Load Pricing Results'!J45/'BRA Load Pricing Results'!$J$55,0)</f>
        <v>0</v>
      </c>
      <c r="X28" s="464">
        <f t="shared" si="1"/>
        <v>0</v>
      </c>
      <c r="Y28" s="53">
        <f t="shared" si="6"/>
        <v>0</v>
      </c>
      <c r="Z28" s="33">
        <f t="shared" si="7"/>
        <v>0</v>
      </c>
      <c r="AA28" s="156">
        <f>Z28/'BRA Load Pricing Results'!J45</f>
        <v>0</v>
      </c>
      <c r="AB28" s="156">
        <f t="shared" si="13"/>
        <v>0</v>
      </c>
      <c r="AC28" s="34"/>
      <c r="AD28" s="25"/>
    </row>
    <row r="29" spans="1:30" x14ac:dyDescent="0.2">
      <c r="A29" s="24" t="s">
        <v>45</v>
      </c>
      <c r="B29" s="97"/>
      <c r="C29" s="97"/>
      <c r="D29" s="97"/>
      <c r="E29" s="137">
        <f>IF(B29="MAAC",$I$5*'BRA Load Pricing Results'!J46/'BRA Load Pricing Results'!$B$14,0)</f>
        <v>0</v>
      </c>
      <c r="F29" s="464">
        <f t="shared" si="2"/>
        <v>0</v>
      </c>
      <c r="G29" s="137">
        <f>IF(C29="EMAAC",$I$6*'BRA Load Pricing Results'!J46/'BRA Load Pricing Results'!$B$15,0)</f>
        <v>0</v>
      </c>
      <c r="H29" s="464">
        <f>G29*$H$19</f>
        <v>0</v>
      </c>
      <c r="I29" s="137">
        <f>IF(C29="SWMAAC",$I$7*'BRA Load Pricing Results'!J46/'BRA Load Pricing Results'!$B$16,0)</f>
        <v>0</v>
      </c>
      <c r="J29" s="464">
        <f>I29*$J$19</f>
        <v>0</v>
      </c>
      <c r="K29" s="137">
        <f>IF(D29="PS",$I$8*'BRA Load Pricing Results'!J46/'BRA Load Pricing Results'!$J$56,0)</f>
        <v>0</v>
      </c>
      <c r="L29" s="464">
        <f>K29*$L$19</f>
        <v>0</v>
      </c>
      <c r="M29" s="137">
        <f>IF(D29="DPL",$I$9*'BRA Load Pricing Results'!J46/'BRA Load Pricing Results'!$J$48,0)</f>
        <v>0</v>
      </c>
      <c r="N29" s="464">
        <f>M29*$N$19</f>
        <v>0</v>
      </c>
      <c r="O29" s="137">
        <f>IF(D29="PEPCO",$I$10*'BRA Load Pricing Results'!#REF!/'BRA Load Pricing Results'!$J$54,0)</f>
        <v>0</v>
      </c>
      <c r="P29" s="464">
        <f>O29*$P$19</f>
        <v>0</v>
      </c>
      <c r="Q29" s="137">
        <f>IF(D29="ATSI",$I$11*'BRA Load Pricing Results'!J46/'BRA Load Pricing Results'!$J$41,0)</f>
        <v>0</v>
      </c>
      <c r="R29" s="464">
        <f t="shared" si="4"/>
        <v>0</v>
      </c>
      <c r="S29" s="137">
        <f>IF(D29="COMED",$I$12*'BRA Load Pricing Results'!J46/'BRA Load Pricing Results'!$J$43,0)</f>
        <v>0</v>
      </c>
      <c r="T29" s="464">
        <f t="shared" si="5"/>
        <v>0</v>
      </c>
      <c r="U29" s="137">
        <f>IF(D29="BGE",$I$13*'BRA Load Pricing Results'!J46/'BRA Load Pricing Results'!$J$42,0)</f>
        <v>0</v>
      </c>
      <c r="V29" s="464">
        <f t="shared" si="12"/>
        <v>0</v>
      </c>
      <c r="W29" s="137">
        <f>IF(D29="PL",$I$14*'BRA Load Pricing Results'!J46/'BRA Load Pricing Results'!$J$55,0)</f>
        <v>0</v>
      </c>
      <c r="X29" s="464">
        <f t="shared" si="1"/>
        <v>0</v>
      </c>
      <c r="Y29" s="53">
        <f t="shared" si="6"/>
        <v>0</v>
      </c>
      <c r="Z29" s="33">
        <f t="shared" si="7"/>
        <v>0</v>
      </c>
      <c r="AA29" s="156">
        <f>Z29/'BRA Load Pricing Results'!J46</f>
        <v>0</v>
      </c>
      <c r="AB29" s="156">
        <f t="shared" si="13"/>
        <v>0</v>
      </c>
      <c r="AC29" s="34"/>
      <c r="AD29" s="25"/>
    </row>
    <row r="30" spans="1:30" x14ac:dyDescent="0.2">
      <c r="A30" s="24" t="s">
        <v>31</v>
      </c>
      <c r="B30" s="97"/>
      <c r="C30" s="97"/>
      <c r="D30" s="97"/>
      <c r="E30" s="137">
        <f>IF(B30="MAAC",$I$5*'BRA Load Pricing Results'!J47/'BRA Load Pricing Results'!$B$14,0)</f>
        <v>0</v>
      </c>
      <c r="F30" s="464">
        <f t="shared" si="2"/>
        <v>0</v>
      </c>
      <c r="G30" s="137">
        <f>IF(C30="EMAAC",$I$6*'BRA Load Pricing Results'!J47/'BRA Load Pricing Results'!$B$15,0)</f>
        <v>0</v>
      </c>
      <c r="H30" s="464">
        <f t="shared" si="11"/>
        <v>0</v>
      </c>
      <c r="I30" s="137">
        <f>IF(C30="SWMAAC",$I$7*'BRA Load Pricing Results'!J47/'BRA Load Pricing Results'!$B$16,0)</f>
        <v>0</v>
      </c>
      <c r="J30" s="464">
        <f t="shared" si="8"/>
        <v>0</v>
      </c>
      <c r="K30" s="137">
        <f>IF(D30="PS",$I$8*'BRA Load Pricing Results'!J47/'BRA Load Pricing Results'!$J$56,0)</f>
        <v>0</v>
      </c>
      <c r="L30" s="464">
        <f t="shared" si="9"/>
        <v>0</v>
      </c>
      <c r="M30" s="137">
        <f>IF(D30="DPL",$I$9*'BRA Load Pricing Results'!J47/'BRA Load Pricing Results'!$J$48,0)</f>
        <v>0</v>
      </c>
      <c r="N30" s="464">
        <f t="shared" si="3"/>
        <v>0</v>
      </c>
      <c r="O30" s="137">
        <f>IF(D30="PEPCO",$I$10*'BRA Load Pricing Results'!J47/'BRA Load Pricing Results'!$J$54,0)</f>
        <v>0</v>
      </c>
      <c r="P30" s="464">
        <f t="shared" si="10"/>
        <v>0</v>
      </c>
      <c r="Q30" s="137">
        <f>IF(D30="ATSI",$I$11*'BRA Load Pricing Results'!J47/'BRA Load Pricing Results'!$J$41,0)</f>
        <v>0</v>
      </c>
      <c r="R30" s="464">
        <f t="shared" si="4"/>
        <v>0</v>
      </c>
      <c r="S30" s="137">
        <f>IF(D30="COMED",$I$12*'BRA Load Pricing Results'!J47/'BRA Load Pricing Results'!$J$43,0)</f>
        <v>0</v>
      </c>
      <c r="T30" s="464">
        <f t="shared" si="5"/>
        <v>0</v>
      </c>
      <c r="U30" s="137">
        <f>IF(D30="BGE",$I$13*'BRA Load Pricing Results'!J47/'BRA Load Pricing Results'!$J$42,0)</f>
        <v>0</v>
      </c>
      <c r="V30" s="464">
        <f t="shared" si="12"/>
        <v>0</v>
      </c>
      <c r="W30" s="137">
        <f>IF(D30="PL",$I$14*'BRA Load Pricing Results'!J47/'BRA Load Pricing Results'!$J$55,0)</f>
        <v>0</v>
      </c>
      <c r="X30" s="464">
        <f t="shared" si="1"/>
        <v>0</v>
      </c>
      <c r="Y30" s="53">
        <f t="shared" si="6"/>
        <v>0</v>
      </c>
      <c r="Z30" s="33">
        <f t="shared" si="7"/>
        <v>0</v>
      </c>
      <c r="AA30" s="156">
        <f>Z30/'BRA Load Pricing Results'!J47</f>
        <v>0</v>
      </c>
      <c r="AB30" s="156">
        <f t="shared" si="13"/>
        <v>0</v>
      </c>
      <c r="AC30" s="34"/>
      <c r="AD30" s="25"/>
    </row>
    <row r="31" spans="1:30" x14ac:dyDescent="0.2">
      <c r="A31" s="24" t="s">
        <v>17</v>
      </c>
      <c r="B31" s="97" t="s">
        <v>29</v>
      </c>
      <c r="C31" s="97" t="s">
        <v>36</v>
      </c>
      <c r="D31" s="97" t="s">
        <v>17</v>
      </c>
      <c r="E31" s="137">
        <f>IF(B31="MAAC",$I$5*'BRA Load Pricing Results'!J48/'BRA Load Pricing Results'!$B$14,0)</f>
        <v>0</v>
      </c>
      <c r="F31" s="464">
        <f t="shared" ref="F31:F40" si="14">E31*$F$19</f>
        <v>0</v>
      </c>
      <c r="G31" s="137">
        <f>IF(C31="EMAAC",$I$6*'BRA Load Pricing Results'!J48/'BRA Load Pricing Results'!$B$15,0)</f>
        <v>550.60874017281515</v>
      </c>
      <c r="H31" s="464">
        <f>G31*$H$19</f>
        <v>33394.420091481239</v>
      </c>
      <c r="I31" s="137">
        <f>IF(C31="SWMAAC",$I$7*'BRA Load Pricing Results'!J48/'BRA Load Pricing Results'!$B$16,0)</f>
        <v>0</v>
      </c>
      <c r="J31" s="464">
        <f t="shared" si="8"/>
        <v>0</v>
      </c>
      <c r="K31" s="137">
        <f>IF(D31="PS",$I$8*'BRA Load Pricing Results'!J48/'BRA Load Pricing Results'!$J$56,0)</f>
        <v>0</v>
      </c>
      <c r="L31" s="464">
        <f t="shared" si="9"/>
        <v>0</v>
      </c>
      <c r="M31" s="137">
        <f>IF(D31="DPL",$I$9*'BRA Load Pricing Results'!J48/'BRA Load Pricing Results'!$J$48,0)</f>
        <v>0</v>
      </c>
      <c r="N31" s="464">
        <f t="shared" si="3"/>
        <v>0</v>
      </c>
      <c r="O31" s="137">
        <f>IF(D31="PEPCO",$I$10*'BRA Load Pricing Results'!J48/'BRA Load Pricing Results'!$J$54,0)</f>
        <v>0</v>
      </c>
      <c r="P31" s="464">
        <f t="shared" si="10"/>
        <v>0</v>
      </c>
      <c r="Q31" s="137">
        <f>IF(D31="ATSI",$I$11*'BRA Load Pricing Results'!J48/'BRA Load Pricing Results'!$J$41,0)</f>
        <v>0</v>
      </c>
      <c r="R31" s="464">
        <f t="shared" si="4"/>
        <v>0</v>
      </c>
      <c r="S31" s="137">
        <f>IF(D31="COMED",$I$12*'BRA Load Pricing Results'!J48/'BRA Load Pricing Results'!$J$43,0)</f>
        <v>0</v>
      </c>
      <c r="T31" s="464">
        <f t="shared" si="5"/>
        <v>0</v>
      </c>
      <c r="U31" s="137">
        <f>IF(D31="BGE",$I$13*'BRA Load Pricing Results'!J48/'BRA Load Pricing Results'!$J$42,0)</f>
        <v>0</v>
      </c>
      <c r="V31" s="464">
        <f t="shared" si="12"/>
        <v>0</v>
      </c>
      <c r="W31" s="137">
        <f>IF(D31="PL",$I$14*'BRA Load Pricing Results'!J48/'BRA Load Pricing Results'!$J$55,0)</f>
        <v>0</v>
      </c>
      <c r="X31" s="464">
        <f t="shared" si="1"/>
        <v>0</v>
      </c>
      <c r="Y31" s="53">
        <f t="shared" si="6"/>
        <v>550.60874017281515</v>
      </c>
      <c r="Z31" s="33">
        <f t="shared" si="7"/>
        <v>33394.420091481239</v>
      </c>
      <c r="AA31" s="156">
        <f>Z31/'BRA Load Pricing Results'!J48</f>
        <v>7.1253778810451811</v>
      </c>
      <c r="AB31" s="156">
        <f t="shared" si="13"/>
        <v>60.65</v>
      </c>
      <c r="AC31" s="34"/>
      <c r="AD31" s="25"/>
    </row>
    <row r="32" spans="1:30" x14ac:dyDescent="0.2">
      <c r="A32" s="24" t="s">
        <v>133</v>
      </c>
      <c r="B32" s="97"/>
      <c r="C32" s="97"/>
      <c r="D32" s="97"/>
      <c r="E32" s="137">
        <f>IF(B32="MAAC",$I$5*'BRA Load Pricing Results'!J49/'BRA Load Pricing Results'!$B$14,0)</f>
        <v>0</v>
      </c>
      <c r="F32" s="464">
        <f t="shared" si="14"/>
        <v>0</v>
      </c>
      <c r="G32" s="137">
        <f>IF(C32="EMAAC",$I$6*'BRA Load Pricing Results'!J49/'BRA Load Pricing Results'!$B$15,0)</f>
        <v>0</v>
      </c>
      <c r="H32" s="464">
        <f>G32*$H$19</f>
        <v>0</v>
      </c>
      <c r="I32" s="137">
        <f>IF(C32="SWMAAC",$I$7*'BRA Load Pricing Results'!J49/'BRA Load Pricing Results'!$B$16,0)</f>
        <v>0</v>
      </c>
      <c r="J32" s="464">
        <f>I32*$J$19</f>
        <v>0</v>
      </c>
      <c r="K32" s="137">
        <f>IF(D32="PS",$I$8*'BRA Load Pricing Results'!J49/'BRA Load Pricing Results'!$J$56,0)</f>
        <v>0</v>
      </c>
      <c r="L32" s="464">
        <f>K32*$L$19</f>
        <v>0</v>
      </c>
      <c r="M32" s="137">
        <f>IF(D32="DPL",$I$9*'BRA Load Pricing Results'!J49/'BRA Load Pricing Results'!$J$48,0)</f>
        <v>0</v>
      </c>
      <c r="N32" s="464">
        <f>M32*$N$19</f>
        <v>0</v>
      </c>
      <c r="O32" s="137">
        <f>IF(D32="PEPCO",$I$10*'BRA Load Pricing Results'!J49/'BRA Load Pricing Results'!$J$54,0)</f>
        <v>0</v>
      </c>
      <c r="P32" s="464">
        <f>O32*$P$19</f>
        <v>0</v>
      </c>
      <c r="Q32" s="137">
        <f>IF(D32="ATSI",$I$11*'BRA Load Pricing Results'!J49/'BRA Load Pricing Results'!$J$41,0)</f>
        <v>0</v>
      </c>
      <c r="R32" s="464">
        <f>Q32*$R$19</f>
        <v>0</v>
      </c>
      <c r="S32" s="137">
        <f>IF(D32="COMED",$I$12*'BRA Load Pricing Results'!J49/'BRA Load Pricing Results'!$J$43,0)</f>
        <v>0</v>
      </c>
      <c r="T32" s="464">
        <f t="shared" si="5"/>
        <v>0</v>
      </c>
      <c r="U32" s="137">
        <f>IF(D32="BGE",$I$13*'BRA Load Pricing Results'!J49/'BRA Load Pricing Results'!$J$42,0)</f>
        <v>0</v>
      </c>
      <c r="V32" s="464">
        <f t="shared" si="12"/>
        <v>0</v>
      </c>
      <c r="W32" s="137">
        <f>IF(D32="PL",$I$14*'BRA Load Pricing Results'!J49/'BRA Load Pricing Results'!$J$55,0)</f>
        <v>0</v>
      </c>
      <c r="X32" s="464">
        <f t="shared" si="1"/>
        <v>0</v>
      </c>
      <c r="Y32" s="53">
        <f t="shared" si="6"/>
        <v>0</v>
      </c>
      <c r="Z32" s="33">
        <f t="shared" si="7"/>
        <v>0</v>
      </c>
      <c r="AA32" s="156">
        <f>Z32/'BRA Load Pricing Results'!J49</f>
        <v>0</v>
      </c>
      <c r="AB32" s="156">
        <f>IF(Y32=0,0,Z32/Y32)</f>
        <v>0</v>
      </c>
      <c r="AC32" s="34"/>
      <c r="AD32" s="25"/>
    </row>
    <row r="33" spans="1:30" x14ac:dyDescent="0.2">
      <c r="A33" s="24" t="s">
        <v>12</v>
      </c>
      <c r="B33" s="97" t="s">
        <v>29</v>
      </c>
      <c r="C33" s="97" t="s">
        <v>36</v>
      </c>
      <c r="D33" s="97"/>
      <c r="E33" s="137">
        <f>IF(B33="MAAC",$I$5*'BRA Load Pricing Results'!J50/'BRA Load Pricing Results'!$B$14,0)</f>
        <v>0</v>
      </c>
      <c r="F33" s="464">
        <f t="shared" si="14"/>
        <v>0</v>
      </c>
      <c r="G33" s="137">
        <f>IF(C33="EMAAC",$I$6*'BRA Load Pricing Results'!J50/'BRA Load Pricing Results'!$B$15,0)</f>
        <v>824.59080300616608</v>
      </c>
      <c r="H33" s="464">
        <f>G33*$H$19</f>
        <v>50011.432202323973</v>
      </c>
      <c r="I33" s="137">
        <f>IF(C33="SWMAAC",$I$7*'BRA Load Pricing Results'!J50/'BRA Load Pricing Results'!$B$16,0)</f>
        <v>0</v>
      </c>
      <c r="J33" s="464">
        <f t="shared" si="8"/>
        <v>0</v>
      </c>
      <c r="K33" s="137">
        <f>IF(D33="PS",$I$8*'BRA Load Pricing Results'!J50/'BRA Load Pricing Results'!$J$56,0)</f>
        <v>0</v>
      </c>
      <c r="L33" s="464">
        <f t="shared" si="9"/>
        <v>0</v>
      </c>
      <c r="M33" s="137">
        <f>IF(D33="DPL",$I$9*'BRA Load Pricing Results'!J50/'BRA Load Pricing Results'!$J$48,0)</f>
        <v>0</v>
      </c>
      <c r="N33" s="464">
        <f t="shared" si="3"/>
        <v>0</v>
      </c>
      <c r="O33" s="137">
        <f>IF(D33="PEPCO",$I$10*'BRA Load Pricing Results'!J50/'BRA Load Pricing Results'!$J$54,0)</f>
        <v>0</v>
      </c>
      <c r="P33" s="464">
        <f t="shared" si="10"/>
        <v>0</v>
      </c>
      <c r="Q33" s="137">
        <f>IF(D33="ATSI",$I$11*'BRA Load Pricing Results'!J50/'BRA Load Pricing Results'!$J$41,0)</f>
        <v>0</v>
      </c>
      <c r="R33" s="464">
        <f t="shared" si="4"/>
        <v>0</v>
      </c>
      <c r="S33" s="137">
        <f>IF(D33="COMED",$I$12*'BRA Load Pricing Results'!J50/'BRA Load Pricing Results'!$J$43,0)</f>
        <v>0</v>
      </c>
      <c r="T33" s="464">
        <f t="shared" si="5"/>
        <v>0</v>
      </c>
      <c r="U33" s="137">
        <f>IF(D33="BGE",$I$13*'BRA Load Pricing Results'!J50/'BRA Load Pricing Results'!$J$42,0)</f>
        <v>0</v>
      </c>
      <c r="V33" s="464">
        <f t="shared" si="12"/>
        <v>0</v>
      </c>
      <c r="W33" s="137">
        <f>IF(D33="PL",$I$14*'BRA Load Pricing Results'!J50/'BRA Load Pricing Results'!$J$55,0)</f>
        <v>0</v>
      </c>
      <c r="X33" s="464">
        <f t="shared" si="1"/>
        <v>0</v>
      </c>
      <c r="Y33" s="53">
        <f t="shared" si="6"/>
        <v>824.59080300616608</v>
      </c>
      <c r="Z33" s="33">
        <f t="shared" si="7"/>
        <v>50011.432202323973</v>
      </c>
      <c r="AA33" s="156">
        <f>Z33/'BRA Load Pricing Results'!J50</f>
        <v>7.1253778810451802</v>
      </c>
      <c r="AB33" s="156">
        <f t="shared" si="13"/>
        <v>60.65</v>
      </c>
      <c r="AC33" s="34"/>
      <c r="AD33" s="25"/>
    </row>
    <row r="34" spans="1:30" x14ac:dyDescent="0.2">
      <c r="A34" s="24" t="s">
        <v>13</v>
      </c>
      <c r="B34" s="97" t="s">
        <v>29</v>
      </c>
      <c r="C34" s="97"/>
      <c r="D34" s="97"/>
      <c r="E34" s="137">
        <f>IF(B34="MAAC",$I$5*'BRA Load Pricing Results'!J51/'BRA Load Pricing Results'!$B$14,0)</f>
        <v>0</v>
      </c>
      <c r="F34" s="464">
        <f t="shared" si="14"/>
        <v>0</v>
      </c>
      <c r="G34" s="137">
        <f>IF(C34="EMAAC",$I$6*'BRA Load Pricing Results'!J51/'BRA Load Pricing Results'!$B$15,0)</f>
        <v>0</v>
      </c>
      <c r="H34" s="464">
        <f t="shared" si="11"/>
        <v>0</v>
      </c>
      <c r="I34" s="137">
        <f>IF(C34="SWMAAC",$I$7*'BRA Load Pricing Results'!J51/'BRA Load Pricing Results'!$B$16,0)</f>
        <v>0</v>
      </c>
      <c r="J34" s="464">
        <f t="shared" si="8"/>
        <v>0</v>
      </c>
      <c r="K34" s="137">
        <f>IF(D34="PS",$I$8*'BRA Load Pricing Results'!J51/'BRA Load Pricing Results'!$J$56,0)</f>
        <v>0</v>
      </c>
      <c r="L34" s="464">
        <f t="shared" si="9"/>
        <v>0</v>
      </c>
      <c r="M34" s="137">
        <f>IF(D34="DPL",$I$9*'BRA Load Pricing Results'!J51/'BRA Load Pricing Results'!$J$48,0)</f>
        <v>0</v>
      </c>
      <c r="N34" s="464">
        <f t="shared" si="3"/>
        <v>0</v>
      </c>
      <c r="O34" s="137">
        <f>IF(D34="PEPCO",$I$10*'BRA Load Pricing Results'!J51/'BRA Load Pricing Results'!$J$54,0)</f>
        <v>0</v>
      </c>
      <c r="P34" s="464">
        <f t="shared" si="10"/>
        <v>0</v>
      </c>
      <c r="Q34" s="137">
        <f>IF(D34="ATSI",$I$11*'BRA Load Pricing Results'!J51/'BRA Load Pricing Results'!$J$41,0)</f>
        <v>0</v>
      </c>
      <c r="R34" s="464">
        <f t="shared" si="4"/>
        <v>0</v>
      </c>
      <c r="S34" s="137">
        <f>IF(D34="COMED",$I$12*'BRA Load Pricing Results'!J51/'BRA Load Pricing Results'!$J$43,0)</f>
        <v>0</v>
      </c>
      <c r="T34" s="464">
        <f t="shared" si="5"/>
        <v>0</v>
      </c>
      <c r="U34" s="137">
        <f>IF(D34="BGE",$I$13*'BRA Load Pricing Results'!J51/'BRA Load Pricing Results'!$J$42,0)</f>
        <v>0</v>
      </c>
      <c r="V34" s="464">
        <f t="shared" si="12"/>
        <v>0</v>
      </c>
      <c r="W34" s="137">
        <f>IF(D34="PL",$I$14*'BRA Load Pricing Results'!J51/'BRA Load Pricing Results'!$J$55,0)</f>
        <v>0</v>
      </c>
      <c r="X34" s="464">
        <f t="shared" si="1"/>
        <v>0</v>
      </c>
      <c r="Y34" s="53">
        <f t="shared" si="6"/>
        <v>0</v>
      </c>
      <c r="Z34" s="33">
        <f t="shared" si="7"/>
        <v>0</v>
      </c>
      <c r="AA34" s="156">
        <f>Z34/'BRA Load Pricing Results'!J51</f>
        <v>0</v>
      </c>
      <c r="AB34" s="156">
        <f t="shared" si="13"/>
        <v>0</v>
      </c>
      <c r="AC34" s="34"/>
      <c r="AD34" s="25"/>
    </row>
    <row r="35" spans="1:30" x14ac:dyDescent="0.2">
      <c r="A35" s="24" t="s">
        <v>9</v>
      </c>
      <c r="B35" s="97" t="s">
        <v>29</v>
      </c>
      <c r="C35" s="97" t="s">
        <v>36</v>
      </c>
      <c r="D35" s="97"/>
      <c r="E35" s="137">
        <f>IF(B35="MAAC",$I$5*'BRA Load Pricing Results'!J52/'BRA Load Pricing Results'!$B$14,0)</f>
        <v>0</v>
      </c>
      <c r="F35" s="464">
        <f t="shared" si="14"/>
        <v>0</v>
      </c>
      <c r="G35" s="137">
        <f>IF(C35="EMAAC",$I$6*'BRA Load Pricing Results'!J52/'BRA Load Pricing Results'!$B$15,0)</f>
        <v>1140.0933135854975</v>
      </c>
      <c r="H35" s="464">
        <f>G35*$H$19</f>
        <v>69146.659468960424</v>
      </c>
      <c r="I35" s="137">
        <f>IF(C35="SWMAAC",$I$7*'BRA Load Pricing Results'!J52/'BRA Load Pricing Results'!$B$16,0)</f>
        <v>0</v>
      </c>
      <c r="J35" s="464">
        <f t="shared" si="8"/>
        <v>0</v>
      </c>
      <c r="K35" s="137">
        <f>IF(D35="PS",$I$8*'BRA Load Pricing Results'!J52/'BRA Load Pricing Results'!$J$56,0)</f>
        <v>0</v>
      </c>
      <c r="L35" s="464">
        <f t="shared" si="9"/>
        <v>0</v>
      </c>
      <c r="M35" s="137">
        <f>IF(D35="DPL",$I$9*'BRA Load Pricing Results'!J52/'BRA Load Pricing Results'!$J$48,0)</f>
        <v>0</v>
      </c>
      <c r="N35" s="464">
        <f t="shared" si="3"/>
        <v>0</v>
      </c>
      <c r="O35" s="137">
        <f>IF(D35="PEPCO",$I$10*'BRA Load Pricing Results'!J52/'BRA Load Pricing Results'!$J$54,0)</f>
        <v>0</v>
      </c>
      <c r="P35" s="464">
        <f t="shared" si="10"/>
        <v>0</v>
      </c>
      <c r="Q35" s="137">
        <f>IF(D35="ATSI",$I$11*'BRA Load Pricing Results'!J52/'BRA Load Pricing Results'!$J$41,0)</f>
        <v>0</v>
      </c>
      <c r="R35" s="464">
        <f t="shared" si="4"/>
        <v>0</v>
      </c>
      <c r="S35" s="137">
        <f>IF(D35="COMED",$I$12*'BRA Load Pricing Results'!J52/'BRA Load Pricing Results'!$J$43,0)</f>
        <v>0</v>
      </c>
      <c r="T35" s="464">
        <f t="shared" si="5"/>
        <v>0</v>
      </c>
      <c r="U35" s="137">
        <f>IF(D35="BGE",$I$13*'BRA Load Pricing Results'!J52/'BRA Load Pricing Results'!$J$42,0)</f>
        <v>0</v>
      </c>
      <c r="V35" s="464">
        <f t="shared" si="12"/>
        <v>0</v>
      </c>
      <c r="W35" s="137">
        <f>IF(D35="PL",$I$14*'BRA Load Pricing Results'!J52/'BRA Load Pricing Results'!$J$55,0)</f>
        <v>0</v>
      </c>
      <c r="X35" s="464">
        <f t="shared" si="1"/>
        <v>0</v>
      </c>
      <c r="Y35" s="53">
        <f t="shared" si="6"/>
        <v>1140.0933135854975</v>
      </c>
      <c r="Z35" s="33">
        <f t="shared" si="7"/>
        <v>69146.659468960424</v>
      </c>
      <c r="AA35" s="156">
        <f>Z35/'BRA Load Pricing Results'!J52</f>
        <v>7.1253778810451802</v>
      </c>
      <c r="AB35" s="156">
        <f t="shared" si="13"/>
        <v>60.65</v>
      </c>
      <c r="AC35" s="34"/>
      <c r="AD35" s="25"/>
    </row>
    <row r="36" spans="1:30" x14ac:dyDescent="0.2">
      <c r="A36" s="24" t="s">
        <v>14</v>
      </c>
      <c r="B36" s="97" t="s">
        <v>29</v>
      </c>
      <c r="C36" s="97"/>
      <c r="D36" s="97"/>
      <c r="E36" s="137">
        <f>IF(B36="MAAC",$I$5*'BRA Load Pricing Results'!J53/'BRA Load Pricing Results'!$B$14,0)</f>
        <v>0</v>
      </c>
      <c r="F36" s="464">
        <f t="shared" si="14"/>
        <v>0</v>
      </c>
      <c r="G36" s="137">
        <f>IF(C36="EMAAC",$I$6*'BRA Load Pricing Results'!J53/'BRA Load Pricing Results'!$B$15,0)</f>
        <v>0</v>
      </c>
      <c r="H36" s="464">
        <f t="shared" si="11"/>
        <v>0</v>
      </c>
      <c r="I36" s="137">
        <f>IF(C36="SWMAAC",$I$7*'BRA Load Pricing Results'!J53/'BRA Load Pricing Results'!$B$16,0)</f>
        <v>0</v>
      </c>
      <c r="J36" s="464">
        <f t="shared" si="8"/>
        <v>0</v>
      </c>
      <c r="K36" s="137">
        <f>IF(D36="PS",$I$8*'BRA Load Pricing Results'!J53/'BRA Load Pricing Results'!$J$56,0)</f>
        <v>0</v>
      </c>
      <c r="L36" s="464">
        <f t="shared" si="9"/>
        <v>0</v>
      </c>
      <c r="M36" s="137">
        <f>IF(D36="DPL",$I$9*'BRA Load Pricing Results'!J53/'BRA Load Pricing Results'!$J$48,0)</f>
        <v>0</v>
      </c>
      <c r="N36" s="464">
        <f t="shared" si="3"/>
        <v>0</v>
      </c>
      <c r="O36" s="137">
        <f>IF(D36="PEPCO",$I$10*'BRA Load Pricing Results'!J53/'BRA Load Pricing Results'!$J$54,0)</f>
        <v>0</v>
      </c>
      <c r="P36" s="464">
        <f t="shared" si="10"/>
        <v>0</v>
      </c>
      <c r="Q36" s="137">
        <f>IF(D36="ATSI",$I$11*'BRA Load Pricing Results'!J53/'BRA Load Pricing Results'!$J$41,0)</f>
        <v>0</v>
      </c>
      <c r="R36" s="464">
        <f t="shared" si="4"/>
        <v>0</v>
      </c>
      <c r="S36" s="137">
        <f>IF(D36="COMED",$I$12*'BRA Load Pricing Results'!J53/'BRA Load Pricing Results'!$J$43,0)</f>
        <v>0</v>
      </c>
      <c r="T36" s="464">
        <f t="shared" si="5"/>
        <v>0</v>
      </c>
      <c r="U36" s="137">
        <f>IF(D36="BGE",$I$13*'BRA Load Pricing Results'!J53/'BRA Load Pricing Results'!$J$42,0)</f>
        <v>0</v>
      </c>
      <c r="V36" s="464">
        <f t="shared" si="12"/>
        <v>0</v>
      </c>
      <c r="W36" s="137">
        <f>IF(D36="PL",$I$14*'BRA Load Pricing Results'!J53/'BRA Load Pricing Results'!$J$55,0)</f>
        <v>0</v>
      </c>
      <c r="X36" s="464">
        <f>W36*$X$19</f>
        <v>0</v>
      </c>
      <c r="Y36" s="53">
        <f t="shared" si="6"/>
        <v>0</v>
      </c>
      <c r="Z36" s="33">
        <f t="shared" si="7"/>
        <v>0</v>
      </c>
      <c r="AA36" s="156">
        <f>Z36/'BRA Load Pricing Results'!J53</f>
        <v>0</v>
      </c>
      <c r="AB36" s="156">
        <f t="shared" si="13"/>
        <v>0</v>
      </c>
      <c r="AC36" s="34"/>
      <c r="AD36" s="25"/>
    </row>
    <row r="37" spans="1:30" x14ac:dyDescent="0.2">
      <c r="A37" s="24" t="s">
        <v>15</v>
      </c>
      <c r="B37" s="97" t="s">
        <v>29</v>
      </c>
      <c r="C37" s="97" t="s">
        <v>5</v>
      </c>
      <c r="D37" s="97" t="s">
        <v>15</v>
      </c>
      <c r="E37" s="137">
        <f>IF(B37="MAAC",$I$5*'BRA Load Pricing Results'!J54/'BRA Load Pricing Results'!$B$14,0)</f>
        <v>0</v>
      </c>
      <c r="F37" s="464">
        <f t="shared" si="14"/>
        <v>0</v>
      </c>
      <c r="G37" s="137">
        <f>IF(C37="EMAAC",$I$6*'BRA Load Pricing Results'!J54/'BRA Load Pricing Results'!$B$15,0)</f>
        <v>0</v>
      </c>
      <c r="H37" s="464">
        <f t="shared" si="11"/>
        <v>0</v>
      </c>
      <c r="I37" s="137">
        <f>IF(C37="SWMAAC",$I$7*'BRA Load Pricing Results'!J54/'BRA Load Pricing Results'!$B$16,0)</f>
        <v>1456.8564279319007</v>
      </c>
      <c r="J37" s="464">
        <f t="shared" si="8"/>
        <v>0</v>
      </c>
      <c r="K37" s="137">
        <f>IF(D37="PS",$I$8*'BRA Load Pricing Results'!J54/'BRA Load Pricing Results'!$J$56,0)</f>
        <v>0</v>
      </c>
      <c r="L37" s="464">
        <f t="shared" si="9"/>
        <v>0</v>
      </c>
      <c r="M37" s="137">
        <f>IF(D37="DPL",$I$9*'BRA Load Pricing Results'!J54/'BRA Load Pricing Results'!$J$48,0)</f>
        <v>0</v>
      </c>
      <c r="N37" s="464">
        <f>M37*N19</f>
        <v>0</v>
      </c>
      <c r="O37" s="137">
        <f>IF(D37="PEPCO",$I$10*'BRA Load Pricing Results'!J54/'BRA Load Pricing Results'!$J$54,0)</f>
        <v>1522.2148263982035</v>
      </c>
      <c r="P37" s="464">
        <f>O37*$P$19</f>
        <v>0</v>
      </c>
      <c r="Q37" s="137">
        <f>IF(D37="ATSI",$I$11*'BRA Load Pricing Results'!J54/'BRA Load Pricing Results'!$J$41,0)</f>
        <v>0</v>
      </c>
      <c r="R37" s="464">
        <f t="shared" si="4"/>
        <v>0</v>
      </c>
      <c r="S37" s="137">
        <f>IF(D37="COMED",$I$12*'BRA Load Pricing Results'!J54/'BRA Load Pricing Results'!$J$43,0)</f>
        <v>0</v>
      </c>
      <c r="T37" s="464">
        <f t="shared" si="5"/>
        <v>0</v>
      </c>
      <c r="U37" s="137">
        <f>IF(D37="BGE",$I$13*'BRA Load Pricing Results'!J54/'BRA Load Pricing Results'!$J$42,0)</f>
        <v>0</v>
      </c>
      <c r="V37" s="464">
        <f t="shared" si="12"/>
        <v>0</v>
      </c>
      <c r="W37" s="137">
        <f>IF(D37="PL",$I$14*'BRA Load Pricing Results'!J54/'BRA Load Pricing Results'!$J$55,0)</f>
        <v>0</v>
      </c>
      <c r="X37" s="464">
        <f t="shared" si="1"/>
        <v>0</v>
      </c>
      <c r="Y37" s="53">
        <f t="shared" si="6"/>
        <v>1522.2148263982035</v>
      </c>
      <c r="Z37" s="33">
        <f t="shared" si="7"/>
        <v>0</v>
      </c>
      <c r="AA37" s="156">
        <f>Z37/'BRA Load Pricing Results'!J54</f>
        <v>0</v>
      </c>
      <c r="AB37" s="156">
        <f t="shared" si="13"/>
        <v>0</v>
      </c>
      <c r="AC37" s="34"/>
      <c r="AD37" s="25"/>
    </row>
    <row r="38" spans="1:30" x14ac:dyDescent="0.2">
      <c r="A38" s="24" t="s">
        <v>10</v>
      </c>
      <c r="B38" s="97" t="s">
        <v>29</v>
      </c>
      <c r="C38" s="97"/>
      <c r="D38" s="97" t="s">
        <v>10</v>
      </c>
      <c r="E38" s="137">
        <f>IF(B38="MAAC",$I$5*'BRA Load Pricing Results'!J55/'BRA Load Pricing Results'!$B$14,0)</f>
        <v>0</v>
      </c>
      <c r="F38" s="464">
        <f t="shared" si="14"/>
        <v>0</v>
      </c>
      <c r="G38" s="137">
        <f>IF(C38="EMAAC",$I$6*'BRA Load Pricing Results'!J55/'BRA Load Pricing Results'!$B$15,0)</f>
        <v>0</v>
      </c>
      <c r="H38" s="464">
        <f t="shared" si="11"/>
        <v>0</v>
      </c>
      <c r="I38" s="137">
        <f>IF(C38="SWMAAC",$I$7*'BRA Load Pricing Results'!J55/'BRA Load Pricing Results'!$B$16,0)</f>
        <v>0</v>
      </c>
      <c r="J38" s="464">
        <f t="shared" si="8"/>
        <v>0</v>
      </c>
      <c r="K38" s="137">
        <f>IF(D38="PS",$I$8*'BRA Load Pricing Results'!J55/'BRA Load Pricing Results'!$J$56,0)</f>
        <v>0</v>
      </c>
      <c r="L38" s="464">
        <f t="shared" si="9"/>
        <v>0</v>
      </c>
      <c r="M38" s="137">
        <f>IF(D38="DPL",$I$9*'BRA Load Pricing Results'!J55/'BRA Load Pricing Results'!$J$48,0)</f>
        <v>0</v>
      </c>
      <c r="N38" s="464">
        <f>M38*$N$19</f>
        <v>0</v>
      </c>
      <c r="O38" s="137">
        <f>IF(D38="PEPCO",$I$10*'BRA Load Pricing Results'!J55/'BRA Load Pricing Results'!$J$54,0)</f>
        <v>0</v>
      </c>
      <c r="P38" s="464">
        <f>O38*$P$19</f>
        <v>0</v>
      </c>
      <c r="Q38" s="137">
        <f>IF(D38="ATSI",$I$11*'BRA Load Pricing Results'!J55/'BRA Load Pricing Results'!$J$41,0)</f>
        <v>0</v>
      </c>
      <c r="R38" s="464">
        <f>Q38*$R$19</f>
        <v>0</v>
      </c>
      <c r="S38" s="137">
        <f>IF(D38="COMED",$I$12*'BRA Load Pricing Results'!J55/'BRA Load Pricing Results'!$J$43,0)</f>
        <v>0</v>
      </c>
      <c r="T38" s="464">
        <f t="shared" si="5"/>
        <v>0</v>
      </c>
      <c r="U38" s="137">
        <f>IF(D38="BGE",$I$13*'BRA Load Pricing Results'!J55/'BRA Load Pricing Results'!$J$42,0)</f>
        <v>0</v>
      </c>
      <c r="V38" s="464">
        <f t="shared" si="12"/>
        <v>0</v>
      </c>
      <c r="W38" s="137">
        <f>IF(D38="PL",$I$14*'BRA Load Pricing Results'!J55/'BRA Load Pricing Results'!$J$55,0)</f>
        <v>0</v>
      </c>
      <c r="X38" s="464">
        <f>W38*$X$19</f>
        <v>0</v>
      </c>
      <c r="Y38" s="53">
        <f t="shared" si="6"/>
        <v>0</v>
      </c>
      <c r="Z38" s="33">
        <f t="shared" si="7"/>
        <v>0</v>
      </c>
      <c r="AA38" s="156">
        <f>Z38/'BRA Load Pricing Results'!J55</f>
        <v>0</v>
      </c>
      <c r="AB38" s="156">
        <f t="shared" si="13"/>
        <v>0</v>
      </c>
      <c r="AC38" s="34"/>
      <c r="AD38" s="25"/>
    </row>
    <row r="39" spans="1:30" x14ac:dyDescent="0.2">
      <c r="A39" s="24" t="s">
        <v>8</v>
      </c>
      <c r="B39" s="97" t="s">
        <v>29</v>
      </c>
      <c r="C39" s="97" t="s">
        <v>36</v>
      </c>
      <c r="D39" s="97" t="s">
        <v>8</v>
      </c>
      <c r="E39" s="137">
        <f>IF(B39="MAAC",$I$5*'BRA Load Pricing Results'!J56/'BRA Load Pricing Results'!$B$14,0)</f>
        <v>0</v>
      </c>
      <c r="F39" s="464">
        <f t="shared" si="14"/>
        <v>0</v>
      </c>
      <c r="G39" s="137">
        <f>IF(C39="EMAAC",$I$6*'BRA Load Pricing Results'!J56/'BRA Load Pricing Results'!$B$15,0)</f>
        <v>1341.612938951341</v>
      </c>
      <c r="H39" s="464">
        <f>G39*$H$19</f>
        <v>81368.82474739883</v>
      </c>
      <c r="I39" s="137">
        <f>IF(C39="SWMAAC",$I$7*'BRA Load Pricing Results'!J56/'BRA Load Pricing Results'!$B$16,0)</f>
        <v>0</v>
      </c>
      <c r="J39" s="464">
        <f t="shared" si="8"/>
        <v>0</v>
      </c>
      <c r="K39" s="137">
        <f>IF(D39="PS",$I$8*'BRA Load Pricing Results'!J56/'BRA Load Pricing Results'!$J$56,0)</f>
        <v>6118.7802813286444</v>
      </c>
      <c r="L39" s="464">
        <f>K39*$L$19</f>
        <v>0</v>
      </c>
      <c r="M39" s="137">
        <f>IF(D39="DPL",$I$9*'BRA Load Pricing Results'!J56/'BRA Load Pricing Results'!$J$48,0)</f>
        <v>0</v>
      </c>
      <c r="N39" s="464">
        <f>M39*$N$19</f>
        <v>0</v>
      </c>
      <c r="O39" s="137">
        <f>IF(D39="PEPCO",$I$10*'BRA Load Pricing Results'!J56/'BRA Load Pricing Results'!$J$54,0)</f>
        <v>0</v>
      </c>
      <c r="P39" s="464">
        <f>O39*$P$19</f>
        <v>0</v>
      </c>
      <c r="Q39" s="137">
        <f>IF(D39="ATSI",$I$11*'BRA Load Pricing Results'!J56/'BRA Load Pricing Results'!$J$41,0)</f>
        <v>0</v>
      </c>
      <c r="R39" s="464">
        <f t="shared" si="4"/>
        <v>0</v>
      </c>
      <c r="S39" s="137">
        <f>IF(D39="COMED",$I$12*'BRA Load Pricing Results'!J56/'BRA Load Pricing Results'!$J$43,0)</f>
        <v>0</v>
      </c>
      <c r="T39" s="464">
        <f t="shared" si="5"/>
        <v>0</v>
      </c>
      <c r="U39" s="137">
        <f>IF(D39="BGE",$I$13*'BRA Load Pricing Results'!J56/'BRA Load Pricing Results'!$J$42,0)</f>
        <v>0</v>
      </c>
      <c r="V39" s="464">
        <f t="shared" si="12"/>
        <v>0</v>
      </c>
      <c r="W39" s="137">
        <f>IF(D39="PL",$I$14*'BRA Load Pricing Results'!J56/'BRA Load Pricing Results'!$J$55,0)</f>
        <v>0</v>
      </c>
      <c r="X39" s="464">
        <f>W39*$X$19</f>
        <v>0</v>
      </c>
      <c r="Y39" s="53">
        <f t="shared" si="6"/>
        <v>6118.7802813286444</v>
      </c>
      <c r="Z39" s="33">
        <f t="shared" si="7"/>
        <v>81368.82474739883</v>
      </c>
      <c r="AA39" s="156">
        <f>Z39/'BRA Load Pricing Results'!J56</f>
        <v>7.1253778810451811</v>
      </c>
      <c r="AB39" s="156">
        <f t="shared" si="13"/>
        <v>13.298209938293493</v>
      </c>
      <c r="AC39" s="34"/>
      <c r="AD39" s="25"/>
    </row>
    <row r="40" spans="1:30" x14ac:dyDescent="0.2">
      <c r="A40" s="24" t="s">
        <v>18</v>
      </c>
      <c r="B40" s="97" t="s">
        <v>29</v>
      </c>
      <c r="C40" s="97" t="s">
        <v>36</v>
      </c>
      <c r="D40" s="97"/>
      <c r="E40" s="137">
        <f>IF(B40="MAAC",$I$5*'BRA Load Pricing Results'!J57/'BRA Load Pricing Results'!$B$14,0)</f>
        <v>0</v>
      </c>
      <c r="F40" s="464">
        <f t="shared" si="14"/>
        <v>0</v>
      </c>
      <c r="G40" s="137">
        <f>IF(C40="EMAAC",$I$6*'BRA Load Pricing Results'!J57/'BRA Load Pricing Results'!$B$15,0)</f>
        <v>54.346828100630887</v>
      </c>
      <c r="H40" s="464">
        <f>G40*$H$19</f>
        <v>3296.1351243032632</v>
      </c>
      <c r="I40" s="137">
        <f>IF(C40="SWMAAC",$I$7*'BRA Load Pricing Results'!J57/'BRA Load Pricing Results'!$B$16,0)</f>
        <v>0</v>
      </c>
      <c r="J40" s="464">
        <f t="shared" si="8"/>
        <v>0</v>
      </c>
      <c r="K40" s="137">
        <f>IF(D40="PS",$I$8*'BRA Load Pricing Results'!J57/'BRA Load Pricing Results'!$J$56,0)</f>
        <v>0</v>
      </c>
      <c r="L40" s="464">
        <f t="shared" si="9"/>
        <v>0</v>
      </c>
      <c r="M40" s="137">
        <f>IF(D40="DPL",$I$9*'BRA Load Pricing Results'!J57/'BRA Load Pricing Results'!$J$48,0)</f>
        <v>0</v>
      </c>
      <c r="N40" s="464">
        <f>M40*$N$19</f>
        <v>0</v>
      </c>
      <c r="O40" s="137">
        <f>IF(D40="PEPCO",$I$10*'BRA Load Pricing Results'!J57/'BRA Load Pricing Results'!$J$54,0)</f>
        <v>0</v>
      </c>
      <c r="P40" s="464">
        <f>O40*$P$19</f>
        <v>0</v>
      </c>
      <c r="Q40" s="137">
        <f>IF(D40="ATSI",$I$11*'BRA Load Pricing Results'!J57/'BRA Load Pricing Results'!$J$41,0)</f>
        <v>0</v>
      </c>
      <c r="R40" s="464">
        <f t="shared" si="4"/>
        <v>0</v>
      </c>
      <c r="S40" s="137">
        <f>IF(D40="COMED",$I$12*'BRA Load Pricing Results'!J57/'BRA Load Pricing Results'!$J$43,0)</f>
        <v>0</v>
      </c>
      <c r="T40" s="464">
        <f t="shared" si="5"/>
        <v>0</v>
      </c>
      <c r="U40" s="137">
        <f>IF(D40="BGE",$I$13*'BRA Load Pricing Results'!J57/'BRA Load Pricing Results'!$J$42,0)</f>
        <v>0</v>
      </c>
      <c r="V40" s="464">
        <f t="shared" si="12"/>
        <v>0</v>
      </c>
      <c r="W40" s="137">
        <f>IF(D40="PL",$I$14*'BRA Load Pricing Results'!J57/'BRA Load Pricing Results'!$J$55,0)</f>
        <v>0</v>
      </c>
      <c r="X40" s="464">
        <f>W40*$X$19</f>
        <v>0</v>
      </c>
      <c r="Y40" s="53">
        <f t="shared" si="6"/>
        <v>54.346828100630887</v>
      </c>
      <c r="Z40" s="33">
        <f>F40+H40+J40+L40+N40+P40+R40+T40+V40+X40</f>
        <v>3296.1351243032632</v>
      </c>
      <c r="AA40" s="156">
        <f>Z40/'BRA Load Pricing Results'!J57</f>
        <v>7.1253778810451802</v>
      </c>
      <c r="AB40" s="156">
        <f t="shared" si="13"/>
        <v>60.65</v>
      </c>
      <c r="AC40" s="34"/>
      <c r="AD40" s="25"/>
    </row>
    <row r="41" spans="1:30" x14ac:dyDescent="0.2">
      <c r="A41" s="558" t="s">
        <v>73</v>
      </c>
      <c r="B41" s="558"/>
      <c r="C41" s="558"/>
      <c r="D41" s="558"/>
      <c r="E41" s="393">
        <f>SUM(E21:E40)</f>
        <v>0</v>
      </c>
      <c r="F41" s="465">
        <f>SUM(F21:F40)</f>
        <v>0</v>
      </c>
      <c r="G41" s="393">
        <f t="shared" ref="G41:L41" si="15">SUM(G21:G40)</f>
        <v>4259.5483542715883</v>
      </c>
      <c r="H41" s="465">
        <f t="shared" si="15"/>
        <v>258341.60768657186</v>
      </c>
      <c r="I41" s="393">
        <f t="shared" si="15"/>
        <v>3039.6749039403749</v>
      </c>
      <c r="J41" s="465">
        <f t="shared" si="15"/>
        <v>0</v>
      </c>
      <c r="K41" s="393">
        <f>SUM(K21:K40)</f>
        <v>6118.7802813286444</v>
      </c>
      <c r="L41" s="465">
        <f t="shared" si="15"/>
        <v>0</v>
      </c>
      <c r="M41" s="393">
        <f t="shared" ref="M41:R41" si="16">SUM(M21:M40)</f>
        <v>0</v>
      </c>
      <c r="N41" s="465">
        <f t="shared" si="16"/>
        <v>0</v>
      </c>
      <c r="O41" s="393">
        <f t="shared" si="16"/>
        <v>1522.2148263982035</v>
      </c>
      <c r="P41" s="465">
        <f t="shared" si="16"/>
        <v>0</v>
      </c>
      <c r="Q41" s="393">
        <f t="shared" si="16"/>
        <v>4374.6897255954445</v>
      </c>
      <c r="R41" s="465">
        <f t="shared" si="16"/>
        <v>0</v>
      </c>
      <c r="S41" s="393">
        <f t="shared" ref="S41:X41" si="17">SUM(S21:S40)</f>
        <v>2134.1576433394439</v>
      </c>
      <c r="T41" s="465">
        <f>SUM(T21:T40)</f>
        <v>107198.73842494025</v>
      </c>
      <c r="U41" s="393">
        <f t="shared" si="17"/>
        <v>4345.5600775421699</v>
      </c>
      <c r="V41" s="465">
        <f t="shared" si="17"/>
        <v>0</v>
      </c>
      <c r="W41" s="393">
        <f>SUM(W21:W40)</f>
        <v>0</v>
      </c>
      <c r="X41" s="465">
        <f t="shared" si="17"/>
        <v>0</v>
      </c>
      <c r="Y41" s="53"/>
      <c r="Z41" s="465">
        <f>SUM(Z21:Z40)</f>
        <v>365540.34611151216</v>
      </c>
      <c r="AA41" s="466"/>
      <c r="AB41" s="466"/>
      <c r="AC41" s="13"/>
    </row>
    <row r="42" spans="1:30" x14ac:dyDescent="0.2">
      <c r="A42" s="25" t="s">
        <v>74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spans="1:30" x14ac:dyDescent="0.2">
      <c r="A43" s="25" t="s">
        <v>75</v>
      </c>
      <c r="B43" s="23"/>
      <c r="C43" s="23"/>
      <c r="D43" s="23"/>
      <c r="E43" s="23"/>
      <c r="F43" s="23"/>
      <c r="G43" s="23"/>
      <c r="H43" s="23"/>
      <c r="I43" s="23"/>
      <c r="J43" s="23"/>
      <c r="K43" s="57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30" x14ac:dyDescent="0.2">
      <c r="A44" s="25" t="s">
        <v>169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30" x14ac:dyDescent="0.2">
      <c r="A45" s="25" t="s">
        <v>76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1:30" x14ac:dyDescent="0.2">
      <c r="A46" s="25" t="s">
        <v>77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3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spans="1:3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</sheetData>
  <mergeCells count="12">
    <mergeCell ref="K18:L18"/>
    <mergeCell ref="M18:N18"/>
    <mergeCell ref="I18:J18"/>
    <mergeCell ref="A17:D19"/>
    <mergeCell ref="A41:D41"/>
    <mergeCell ref="E18:F18"/>
    <mergeCell ref="G18:H18"/>
    <mergeCell ref="S18:T18"/>
    <mergeCell ref="U18:V18"/>
    <mergeCell ref="W18:X18"/>
    <mergeCell ref="Q18:R18"/>
    <mergeCell ref="O18:P18"/>
  </mergeCells>
  <printOptions horizontalCentered="1" verticalCentered="1"/>
  <pageMargins left="0" right="0" top="0" bottom="0" header="0.3" footer="0.3"/>
  <pageSetup paperSize="17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5"/>
  <sheetViews>
    <sheetView zoomScaleNormal="100" workbookViewId="0"/>
  </sheetViews>
  <sheetFormatPr defaultRowHeight="12.75" x14ac:dyDescent="0.2"/>
  <cols>
    <col min="1" max="1" width="54.7109375" customWidth="1"/>
    <col min="2" max="27" width="15.7109375" customWidth="1"/>
    <col min="28" max="28" width="19" bestFit="1" customWidth="1"/>
    <col min="29" max="29" width="12.7109375" customWidth="1"/>
  </cols>
  <sheetData>
    <row r="1" spans="1:22" ht="18.75" x14ac:dyDescent="0.3">
      <c r="A1" s="104" t="s">
        <v>200</v>
      </c>
      <c r="B1" s="11" t="s">
        <v>24</v>
      </c>
    </row>
    <row r="2" spans="1:22" ht="19.5" thickBot="1" x14ac:dyDescent="0.35">
      <c r="A2" s="3"/>
      <c r="C2" s="18"/>
    </row>
    <row r="3" spans="1:22" ht="13.5" thickBot="1" x14ac:dyDescent="0.25">
      <c r="A3" s="559" t="s">
        <v>65</v>
      </c>
      <c r="B3" s="23"/>
      <c r="C3" s="127" t="s">
        <v>141</v>
      </c>
      <c r="D3" s="23"/>
      <c r="E3" s="23"/>
      <c r="F3" s="23"/>
      <c r="G3" s="23"/>
      <c r="H3" s="23"/>
      <c r="I3" s="127" t="s">
        <v>141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8.75" customHeight="1" thickBot="1" x14ac:dyDescent="0.25">
      <c r="A4" s="560"/>
      <c r="B4" s="249" t="s">
        <v>29</v>
      </c>
      <c r="C4" s="249" t="s">
        <v>29</v>
      </c>
      <c r="D4" s="250" t="s">
        <v>36</v>
      </c>
      <c r="E4" s="250" t="s">
        <v>5</v>
      </c>
      <c r="F4" s="250" t="s">
        <v>8</v>
      </c>
      <c r="G4" s="250" t="s">
        <v>37</v>
      </c>
      <c r="H4" s="250" t="s">
        <v>38</v>
      </c>
      <c r="I4" s="250" t="s">
        <v>38</v>
      </c>
      <c r="J4" s="250" t="s">
        <v>15</v>
      </c>
      <c r="K4" s="250" t="s">
        <v>11</v>
      </c>
      <c r="L4" s="147"/>
      <c r="M4" s="147"/>
      <c r="N4" s="147"/>
      <c r="O4" s="147"/>
      <c r="P4" s="147"/>
      <c r="Q4" s="23"/>
      <c r="R4" s="23"/>
      <c r="S4" s="23"/>
      <c r="T4" s="23"/>
      <c r="U4" s="23"/>
      <c r="V4" s="23"/>
    </row>
    <row r="5" spans="1:22" ht="25.5" x14ac:dyDescent="0.2">
      <c r="A5" s="251" t="s">
        <v>105</v>
      </c>
      <c r="B5" s="252" t="s">
        <v>116</v>
      </c>
      <c r="C5" s="252" t="s">
        <v>142</v>
      </c>
      <c r="D5" s="253" t="s">
        <v>151</v>
      </c>
      <c r="E5" s="253" t="s">
        <v>151</v>
      </c>
      <c r="F5" s="253" t="s">
        <v>151</v>
      </c>
      <c r="G5" s="253" t="s">
        <v>151</v>
      </c>
      <c r="H5" s="253" t="s">
        <v>116</v>
      </c>
      <c r="I5" s="253" t="s">
        <v>142</v>
      </c>
      <c r="J5" s="253" t="s">
        <v>151</v>
      </c>
      <c r="K5" s="253" t="s">
        <v>151</v>
      </c>
      <c r="L5" s="147"/>
      <c r="M5" s="147"/>
      <c r="N5" s="147"/>
      <c r="O5" s="147"/>
      <c r="P5" s="147"/>
      <c r="Q5" s="34"/>
      <c r="R5" s="23"/>
      <c r="S5" s="23"/>
      <c r="T5" s="23"/>
      <c r="U5" s="23"/>
      <c r="V5" s="23"/>
    </row>
    <row r="6" spans="1:22" ht="20.100000000000001" customHeight="1" x14ac:dyDescent="0.2">
      <c r="A6" s="134" t="s">
        <v>201</v>
      </c>
      <c r="B6" s="195"/>
      <c r="C6" s="195"/>
      <c r="D6" s="196"/>
      <c r="E6" s="196"/>
      <c r="F6" s="196"/>
      <c r="G6" s="196"/>
      <c r="H6" s="196"/>
      <c r="I6" s="196"/>
      <c r="J6" s="196"/>
      <c r="K6" s="196"/>
      <c r="L6" s="147"/>
      <c r="M6" s="147"/>
      <c r="N6" s="147"/>
      <c r="O6" s="147"/>
      <c r="P6" s="147"/>
      <c r="Q6" s="34"/>
      <c r="R6" s="23"/>
      <c r="S6" s="23"/>
      <c r="T6" s="23"/>
      <c r="U6" s="23"/>
      <c r="V6" s="23"/>
    </row>
    <row r="7" spans="1:22" ht="20.100000000000001" customHeight="1" x14ac:dyDescent="0.2">
      <c r="A7" s="254" t="s">
        <v>97</v>
      </c>
      <c r="B7" s="197">
        <v>160</v>
      </c>
      <c r="C7" s="198">
        <f>B7*'BRA CTRs'!$F$5/$B$28</f>
        <v>26.566004528766896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40"/>
      <c r="M7" s="40"/>
      <c r="N7" s="40"/>
      <c r="O7" s="40"/>
      <c r="P7" s="40"/>
      <c r="Q7" s="34"/>
      <c r="R7" s="23"/>
      <c r="S7" s="23"/>
      <c r="T7" s="23"/>
      <c r="U7" s="23"/>
      <c r="V7" s="23"/>
    </row>
    <row r="8" spans="1:22" ht="20.100000000000001" customHeight="1" x14ac:dyDescent="0.2">
      <c r="A8" s="254" t="s">
        <v>98</v>
      </c>
      <c r="B8" s="197">
        <v>106</v>
      </c>
      <c r="C8" s="198">
        <f>B8*'BRA CTRs'!$F$5/$B$28</f>
        <v>17.59997800030807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40"/>
      <c r="M8" s="40"/>
      <c r="N8" s="40"/>
      <c r="O8" s="40"/>
      <c r="P8" s="40"/>
      <c r="Q8" s="34"/>
      <c r="R8" s="23"/>
      <c r="S8" s="23"/>
      <c r="T8" s="23"/>
      <c r="U8" s="23"/>
      <c r="V8" s="23"/>
    </row>
    <row r="9" spans="1:22" ht="20.100000000000001" customHeight="1" x14ac:dyDescent="0.2">
      <c r="A9" s="254" t="s">
        <v>101</v>
      </c>
      <c r="B9" s="197">
        <v>117</v>
      </c>
      <c r="C9" s="198">
        <f>B9*'BRA CTRs'!$F$5/$B$28</f>
        <v>19.426390811660795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40"/>
      <c r="M9" s="40"/>
      <c r="N9" s="40"/>
      <c r="O9" s="40"/>
      <c r="P9" s="40"/>
      <c r="Q9" s="34"/>
      <c r="R9" s="23"/>
      <c r="S9" s="23"/>
      <c r="T9" s="23"/>
      <c r="U9" s="23"/>
      <c r="V9" s="23"/>
    </row>
    <row r="10" spans="1:22" ht="24.95" customHeight="1" x14ac:dyDescent="0.2">
      <c r="A10" s="254" t="s">
        <v>102</v>
      </c>
      <c r="B10" s="197">
        <v>0</v>
      </c>
      <c r="C10" s="198">
        <f>B10*'BRA CTRs'!$F$5/$B$28</f>
        <v>0</v>
      </c>
      <c r="D10" s="198">
        <v>898</v>
      </c>
      <c r="E10" s="198">
        <v>0</v>
      </c>
      <c r="F10" s="198">
        <v>68.900000000000006</v>
      </c>
      <c r="G10" s="198">
        <v>105.5</v>
      </c>
      <c r="H10" s="198">
        <v>0</v>
      </c>
      <c r="I10" s="198">
        <v>0</v>
      </c>
      <c r="J10" s="198">
        <v>0</v>
      </c>
      <c r="K10" s="198">
        <v>0</v>
      </c>
      <c r="L10" s="40"/>
      <c r="M10" s="40"/>
      <c r="N10" s="40"/>
      <c r="O10" s="40"/>
      <c r="P10" s="40"/>
      <c r="Q10" s="34"/>
      <c r="R10" s="23"/>
      <c r="S10" s="23"/>
      <c r="T10" s="23"/>
      <c r="U10" s="23"/>
      <c r="V10" s="23"/>
    </row>
    <row r="11" spans="1:22" ht="20.100000000000001" customHeight="1" x14ac:dyDescent="0.2">
      <c r="A11" s="254" t="s">
        <v>134</v>
      </c>
      <c r="B11" s="197">
        <v>339</v>
      </c>
      <c r="C11" s="198">
        <f>B11*'BRA CTRs'!$F$5/$B$28</f>
        <v>56.286722095324862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40"/>
      <c r="M11" s="40"/>
      <c r="N11" s="40"/>
      <c r="O11" s="40"/>
      <c r="P11" s="40"/>
      <c r="Q11" s="34"/>
      <c r="R11" s="23"/>
      <c r="S11" s="23"/>
      <c r="T11" s="23"/>
      <c r="U11" s="23"/>
      <c r="V11" s="23"/>
    </row>
    <row r="12" spans="1:22" ht="24.95" customHeight="1" x14ac:dyDescent="0.2">
      <c r="A12" s="254" t="s">
        <v>203</v>
      </c>
      <c r="B12" s="197">
        <v>0</v>
      </c>
      <c r="C12" s="198">
        <f>B12*'BRA CTRs'!$F$5/$B$28</f>
        <v>0</v>
      </c>
      <c r="D12" s="198">
        <v>0</v>
      </c>
      <c r="E12" s="198">
        <v>256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40"/>
      <c r="M12" s="40"/>
      <c r="N12" s="40"/>
      <c r="O12" s="40"/>
      <c r="P12" s="40"/>
      <c r="Q12" s="34"/>
      <c r="R12" s="23"/>
      <c r="S12" s="23"/>
      <c r="T12" s="23"/>
      <c r="U12" s="23"/>
      <c r="V12" s="23"/>
    </row>
    <row r="13" spans="1:22" ht="20.100000000000001" customHeight="1" x14ac:dyDescent="0.2">
      <c r="A13" s="255" t="s">
        <v>202</v>
      </c>
      <c r="B13" s="199">
        <f t="shared" ref="B13:H13" si="0">SUM(B7:B12)</f>
        <v>722</v>
      </c>
      <c r="C13" s="199">
        <f>SUM(C7:C12)</f>
        <v>119.87909543606062</v>
      </c>
      <c r="D13" s="200">
        <f t="shared" si="0"/>
        <v>898</v>
      </c>
      <c r="E13" s="200">
        <f t="shared" si="0"/>
        <v>256</v>
      </c>
      <c r="F13" s="200">
        <f t="shared" si="0"/>
        <v>68.900000000000006</v>
      </c>
      <c r="G13" s="200">
        <f t="shared" si="0"/>
        <v>105.5</v>
      </c>
      <c r="H13" s="200">
        <f t="shared" si="0"/>
        <v>0</v>
      </c>
      <c r="I13" s="200">
        <f>SUM(I7:I12)</f>
        <v>0</v>
      </c>
      <c r="J13" s="200">
        <f>SUM(J7:J12)</f>
        <v>0</v>
      </c>
      <c r="K13" s="200">
        <f>SUM(K7:K12)</f>
        <v>0</v>
      </c>
      <c r="L13" s="40"/>
      <c r="M13" s="40"/>
      <c r="N13" s="40"/>
      <c r="O13" s="40"/>
      <c r="P13" s="40"/>
      <c r="Q13" s="34"/>
      <c r="R13" s="23"/>
      <c r="S13" s="23"/>
      <c r="T13" s="23"/>
      <c r="U13" s="23"/>
      <c r="V13" s="23"/>
    </row>
    <row r="14" spans="1:22" ht="20.100000000000001" customHeight="1" x14ac:dyDescent="0.2">
      <c r="A14" s="134" t="s">
        <v>174</v>
      </c>
      <c r="B14" s="197" t="s">
        <v>24</v>
      </c>
      <c r="C14" s="197" t="s">
        <v>24</v>
      </c>
      <c r="D14" s="198"/>
      <c r="E14" s="198"/>
      <c r="F14" s="198"/>
      <c r="G14" s="198"/>
      <c r="H14" s="198"/>
      <c r="I14" s="198"/>
      <c r="J14" s="198"/>
      <c r="K14" s="198"/>
      <c r="L14" s="148"/>
      <c r="M14" s="68"/>
      <c r="N14" s="68"/>
      <c r="O14" s="68"/>
      <c r="P14" s="148"/>
      <c r="Q14" s="34"/>
      <c r="R14" s="23"/>
      <c r="S14" s="23"/>
      <c r="T14" s="23"/>
      <c r="U14" s="23"/>
      <c r="V14" s="23"/>
    </row>
    <row r="15" spans="1:22" ht="24.95" customHeight="1" x14ac:dyDescent="0.2">
      <c r="A15" s="254" t="s">
        <v>234</v>
      </c>
      <c r="B15" s="197">
        <v>16</v>
      </c>
      <c r="C15" s="198">
        <f>B15*'BRA CTRs'!$F$5/$B$28</f>
        <v>2.65660045287669</v>
      </c>
      <c r="D15" s="198">
        <v>0</v>
      </c>
      <c r="E15" s="198">
        <v>237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124</v>
      </c>
      <c r="L15" s="206" t="s">
        <v>24</v>
      </c>
      <c r="M15" s="68"/>
      <c r="N15" s="68"/>
      <c r="O15" s="68"/>
      <c r="P15" s="148"/>
      <c r="Q15" s="34"/>
      <c r="R15" s="23"/>
      <c r="S15" s="23"/>
      <c r="T15" s="23"/>
      <c r="U15" s="23"/>
      <c r="V15" s="23"/>
    </row>
    <row r="16" spans="1:22" ht="24.95" customHeight="1" x14ac:dyDescent="0.2">
      <c r="A16" s="254" t="s">
        <v>128</v>
      </c>
      <c r="B16" s="197">
        <v>0</v>
      </c>
      <c r="C16" s="198">
        <f>B16*'BRA CTRs'!$F$5/$B$28</f>
        <v>0</v>
      </c>
      <c r="D16" s="198">
        <v>0</v>
      </c>
      <c r="E16" s="198">
        <v>0</v>
      </c>
      <c r="F16" s="198">
        <v>340.2</v>
      </c>
      <c r="G16" s="198">
        <v>494.5</v>
      </c>
      <c r="H16" s="198">
        <v>0</v>
      </c>
      <c r="I16" s="198">
        <v>0</v>
      </c>
      <c r="J16" s="198">
        <v>0</v>
      </c>
      <c r="K16" s="198">
        <v>0</v>
      </c>
      <c r="L16" s="148"/>
      <c r="M16" s="68"/>
      <c r="N16" s="68"/>
      <c r="O16" s="68"/>
      <c r="P16" s="148"/>
      <c r="Q16" s="34"/>
      <c r="R16" s="23"/>
      <c r="S16" s="23"/>
      <c r="T16" s="23"/>
      <c r="U16" s="23"/>
      <c r="V16" s="23"/>
    </row>
    <row r="17" spans="1:23" ht="24.95" customHeight="1" x14ac:dyDescent="0.2">
      <c r="A17" s="254" t="s">
        <v>99</v>
      </c>
      <c r="B17" s="197">
        <v>0</v>
      </c>
      <c r="C17" s="198">
        <f>B17*'BRA CTRs'!$F$5/$B$28</f>
        <v>0</v>
      </c>
      <c r="D17" s="198">
        <v>0</v>
      </c>
      <c r="E17" s="198">
        <v>0</v>
      </c>
      <c r="F17" s="198">
        <v>90.3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48"/>
      <c r="M17" s="68"/>
      <c r="N17" s="68"/>
      <c r="O17" s="68"/>
      <c r="P17" s="148"/>
      <c r="Q17" s="34"/>
      <c r="R17" s="23"/>
      <c r="S17" s="23"/>
      <c r="T17" s="23"/>
      <c r="U17" s="23"/>
      <c r="V17" s="23"/>
    </row>
    <row r="18" spans="1:23" ht="24.95" customHeight="1" x14ac:dyDescent="0.2">
      <c r="A18" s="254" t="s">
        <v>204</v>
      </c>
      <c r="B18" s="197">
        <v>0</v>
      </c>
      <c r="C18" s="198">
        <f>B18*'BRA CTRs'!$F$5/$B$28</f>
        <v>0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182</v>
      </c>
      <c r="L18" s="148"/>
      <c r="M18" s="68"/>
      <c r="N18" s="68"/>
      <c r="O18" s="68"/>
      <c r="P18" s="148"/>
      <c r="Q18" s="34"/>
      <c r="R18" s="23"/>
      <c r="S18" s="23"/>
      <c r="T18" s="23"/>
      <c r="U18" s="23"/>
      <c r="V18" s="23"/>
    </row>
    <row r="19" spans="1:23" ht="24.95" customHeight="1" x14ac:dyDescent="0.2">
      <c r="A19" s="254" t="s">
        <v>205</v>
      </c>
      <c r="B19" s="197">
        <v>0</v>
      </c>
      <c r="C19" s="198">
        <f>B19*'BRA CTRs'!$F$5/$B$28</f>
        <v>0</v>
      </c>
      <c r="D19" s="198">
        <v>0</v>
      </c>
      <c r="E19" s="198">
        <v>551</v>
      </c>
      <c r="F19" s="198">
        <v>0</v>
      </c>
      <c r="G19" s="198">
        <v>0</v>
      </c>
      <c r="H19" s="198">
        <v>0</v>
      </c>
      <c r="I19" s="198">
        <v>0</v>
      </c>
      <c r="J19" s="198">
        <v>315</v>
      </c>
      <c r="K19" s="198">
        <v>0</v>
      </c>
      <c r="L19" s="148"/>
      <c r="M19" s="68"/>
      <c r="N19" s="68"/>
      <c r="O19" s="68"/>
      <c r="P19" s="148"/>
      <c r="Q19" s="34"/>
      <c r="R19" s="23"/>
      <c r="S19" s="23"/>
      <c r="T19" s="23"/>
      <c r="U19" s="23"/>
      <c r="V19" s="23"/>
    </row>
    <row r="20" spans="1:23" ht="20.100000000000001" customHeight="1" x14ac:dyDescent="0.2">
      <c r="A20" s="255" t="s">
        <v>106</v>
      </c>
      <c r="B20" s="199">
        <f t="shared" ref="B20:H20" si="1">SUM(B15:B19)</f>
        <v>16</v>
      </c>
      <c r="C20" s="199">
        <f>SUM(C15:C19)</f>
        <v>2.65660045287669</v>
      </c>
      <c r="D20" s="200">
        <f t="shared" si="1"/>
        <v>0</v>
      </c>
      <c r="E20" s="200">
        <f>SUM(E15:E19)</f>
        <v>788</v>
      </c>
      <c r="F20" s="200">
        <f>SUM(F15:F19)</f>
        <v>430.5</v>
      </c>
      <c r="G20" s="200">
        <f>SUM(G15:G19)</f>
        <v>494.5</v>
      </c>
      <c r="H20" s="200">
        <f t="shared" si="1"/>
        <v>0</v>
      </c>
      <c r="I20" s="200">
        <f>SUM(I15:I19)</f>
        <v>0</v>
      </c>
      <c r="J20" s="200">
        <f>SUM(J15:J19)</f>
        <v>315</v>
      </c>
      <c r="K20" s="200">
        <f>SUM(K15:K19)</f>
        <v>306</v>
      </c>
      <c r="L20" s="148"/>
      <c r="M20" s="68"/>
      <c r="N20" s="68"/>
      <c r="O20" s="68"/>
      <c r="P20" s="148"/>
      <c r="Q20" s="34"/>
      <c r="R20" s="23"/>
      <c r="S20" s="23"/>
      <c r="T20" s="23"/>
      <c r="U20" s="23"/>
      <c r="V20" s="23"/>
    </row>
    <row r="21" spans="1:23" ht="20.100000000000001" customHeight="1" x14ac:dyDescent="0.2">
      <c r="A21" s="134" t="s">
        <v>81</v>
      </c>
      <c r="B21" s="201"/>
      <c r="C21" s="201"/>
      <c r="D21" s="202"/>
      <c r="E21" s="202"/>
      <c r="F21" s="202"/>
      <c r="G21" s="202"/>
      <c r="H21" s="202"/>
      <c r="I21" s="202"/>
      <c r="J21" s="202"/>
      <c r="K21" s="202"/>
      <c r="L21" s="148"/>
      <c r="M21" s="68"/>
      <c r="N21" s="68"/>
      <c r="O21" s="68"/>
      <c r="P21" s="148"/>
      <c r="Q21" s="34"/>
      <c r="R21" s="23"/>
      <c r="S21" s="23"/>
      <c r="T21" s="23"/>
      <c r="U21" s="23"/>
      <c r="V21" s="23"/>
    </row>
    <row r="22" spans="1:23" ht="24.95" customHeight="1" x14ac:dyDescent="0.2">
      <c r="A22" s="254" t="s">
        <v>100</v>
      </c>
      <c r="B22" s="197">
        <v>159</v>
      </c>
      <c r="C22" s="198">
        <f>B22*'BRA CTRs'!$F$5/$B$28</f>
        <v>26.399967000462105</v>
      </c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48"/>
      <c r="M22" s="68"/>
      <c r="N22" s="68"/>
      <c r="O22" s="68"/>
      <c r="P22" s="148"/>
      <c r="Q22" s="34"/>
      <c r="R22" s="23"/>
      <c r="S22" s="23"/>
      <c r="T22" s="23"/>
      <c r="U22" s="23"/>
      <c r="V22" s="23"/>
    </row>
    <row r="23" spans="1:23" ht="24.95" customHeight="1" x14ac:dyDescent="0.2">
      <c r="A23" s="254" t="s">
        <v>206</v>
      </c>
      <c r="B23" s="197">
        <v>0</v>
      </c>
      <c r="C23" s="198">
        <f>B23*'BRA CTRs'!$F$5/$B$28</f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37</v>
      </c>
      <c r="I23" s="198">
        <f>H23*'BRA CTRs'!$F$9/$H$28</f>
        <v>0</v>
      </c>
      <c r="J23" s="198">
        <v>0</v>
      </c>
      <c r="K23" s="198">
        <v>0</v>
      </c>
      <c r="L23" s="148"/>
      <c r="M23" s="68"/>
      <c r="N23" s="68"/>
      <c r="O23" s="68"/>
      <c r="P23" s="148"/>
      <c r="Q23" s="34"/>
      <c r="R23" s="23"/>
      <c r="S23" s="23"/>
      <c r="T23" s="23"/>
      <c r="U23" s="23"/>
      <c r="V23" s="23"/>
    </row>
    <row r="24" spans="1:23" ht="24.95" customHeight="1" x14ac:dyDescent="0.2">
      <c r="A24" s="254" t="s">
        <v>207</v>
      </c>
      <c r="B24" s="197">
        <v>0</v>
      </c>
      <c r="C24" s="198">
        <f>B24*'BRA CTRs'!$F$5/$B$28</f>
        <v>0</v>
      </c>
      <c r="D24" s="198">
        <v>0</v>
      </c>
      <c r="E24" s="203">
        <v>0</v>
      </c>
      <c r="F24" s="203">
        <v>0</v>
      </c>
      <c r="G24" s="203">
        <v>0</v>
      </c>
      <c r="H24" s="203">
        <v>35</v>
      </c>
      <c r="I24" s="198">
        <f>H24*'BRA CTRs'!$F$9/$H$28</f>
        <v>0</v>
      </c>
      <c r="J24" s="203">
        <v>0</v>
      </c>
      <c r="K24" s="198">
        <v>0</v>
      </c>
      <c r="L24" s="148"/>
      <c r="M24" s="68"/>
      <c r="N24" s="68"/>
      <c r="O24" s="68"/>
      <c r="P24" s="148"/>
      <c r="Q24" s="34"/>
      <c r="R24" s="23"/>
      <c r="S24" s="23"/>
      <c r="T24" s="23"/>
      <c r="U24" s="23"/>
      <c r="V24" s="23"/>
    </row>
    <row r="25" spans="1:23" ht="20.100000000000001" customHeight="1" x14ac:dyDescent="0.2">
      <c r="A25" s="254" t="s">
        <v>208</v>
      </c>
      <c r="B25" s="197">
        <v>733</v>
      </c>
      <c r="C25" s="198">
        <f>B25*'BRA CTRs'!$F$5/$B$28</f>
        <v>121.70550824741335</v>
      </c>
      <c r="D25" s="198">
        <v>0</v>
      </c>
      <c r="E25" s="203">
        <v>0</v>
      </c>
      <c r="F25" s="203">
        <v>0</v>
      </c>
      <c r="G25" s="203">
        <v>0</v>
      </c>
      <c r="H25" s="203">
        <v>35</v>
      </c>
      <c r="I25" s="198">
        <f>H25*'BRA CTRs'!$F$9/$H$28</f>
        <v>0</v>
      </c>
      <c r="J25" s="203">
        <v>0</v>
      </c>
      <c r="K25" s="198">
        <v>0</v>
      </c>
      <c r="L25" s="148"/>
      <c r="M25" s="68"/>
      <c r="N25" s="68"/>
      <c r="O25" s="68"/>
      <c r="P25" s="148"/>
      <c r="Q25" s="34"/>
      <c r="R25" s="23"/>
      <c r="S25" s="23"/>
      <c r="T25" s="23"/>
      <c r="U25" s="23"/>
      <c r="V25" s="23"/>
    </row>
    <row r="26" spans="1:23" ht="20.100000000000001" customHeight="1" x14ac:dyDescent="0.2">
      <c r="A26" s="255" t="s">
        <v>88</v>
      </c>
      <c r="B26" s="199">
        <f>SUM(B22:B25)</f>
        <v>892</v>
      </c>
      <c r="C26" s="199">
        <f>SUM(C22:C25)</f>
        <v>148.10547524787546</v>
      </c>
      <c r="D26" s="204">
        <f t="shared" ref="D26:K26" si="2">SUM(D22:D25)</f>
        <v>0</v>
      </c>
      <c r="E26" s="199">
        <f t="shared" si="2"/>
        <v>0</v>
      </c>
      <c r="F26" s="199">
        <f t="shared" si="2"/>
        <v>0</v>
      </c>
      <c r="G26" s="199">
        <f t="shared" si="2"/>
        <v>0</v>
      </c>
      <c r="H26" s="199">
        <f t="shared" si="2"/>
        <v>107</v>
      </c>
      <c r="I26" s="199">
        <f t="shared" si="2"/>
        <v>0</v>
      </c>
      <c r="J26" s="199">
        <f t="shared" si="2"/>
        <v>0</v>
      </c>
      <c r="K26" s="204">
        <f t="shared" si="2"/>
        <v>0</v>
      </c>
      <c r="L26" s="148"/>
      <c r="M26" s="68"/>
      <c r="N26" s="68"/>
      <c r="O26" s="68"/>
      <c r="P26" s="148"/>
      <c r="Q26" s="34"/>
      <c r="R26" s="23"/>
      <c r="S26" s="23"/>
      <c r="T26" s="23"/>
      <c r="U26" s="23"/>
      <c r="V26" s="23"/>
    </row>
    <row r="27" spans="1:23" x14ac:dyDescent="0.2">
      <c r="A27" s="256"/>
      <c r="B27" s="197"/>
      <c r="C27" s="197"/>
      <c r="D27" s="196"/>
      <c r="E27" s="196"/>
      <c r="F27" s="196"/>
      <c r="G27" s="196"/>
      <c r="H27" s="196"/>
      <c r="I27" s="196"/>
      <c r="J27" s="196"/>
      <c r="K27" s="196"/>
      <c r="L27" s="148"/>
      <c r="M27" s="68"/>
      <c r="N27" s="68"/>
      <c r="O27" s="68"/>
      <c r="P27" s="148"/>
      <c r="Q27" s="34"/>
      <c r="R27" s="23"/>
      <c r="S27" s="23"/>
      <c r="T27" s="23"/>
      <c r="U27" s="23"/>
      <c r="V27" s="23"/>
    </row>
    <row r="28" spans="1:23" ht="20.100000000000001" customHeight="1" thickBot="1" x14ac:dyDescent="0.25">
      <c r="A28" s="257" t="s">
        <v>89</v>
      </c>
      <c r="B28" s="258">
        <f>B13+B20+B26</f>
        <v>1630</v>
      </c>
      <c r="C28" s="258">
        <f>C13+C20+C26</f>
        <v>270.64117113681277</v>
      </c>
      <c r="D28" s="205">
        <f t="shared" ref="D28:J28" si="3">D13+D20+D26</f>
        <v>898</v>
      </c>
      <c r="E28" s="205">
        <f t="shared" si="3"/>
        <v>1044</v>
      </c>
      <c r="F28" s="205">
        <f t="shared" si="3"/>
        <v>499.4</v>
      </c>
      <c r="G28" s="205">
        <f t="shared" si="3"/>
        <v>600</v>
      </c>
      <c r="H28" s="205">
        <f t="shared" si="3"/>
        <v>107</v>
      </c>
      <c r="I28" s="205">
        <f t="shared" si="3"/>
        <v>0</v>
      </c>
      <c r="J28" s="205">
        <f t="shared" si="3"/>
        <v>315</v>
      </c>
      <c r="K28" s="205">
        <f>K13+K20+K26</f>
        <v>306</v>
      </c>
      <c r="L28" s="40"/>
      <c r="M28" s="149"/>
      <c r="N28" s="149"/>
      <c r="O28" s="149"/>
      <c r="P28" s="40"/>
      <c r="Q28" s="34"/>
      <c r="R28" s="23"/>
      <c r="S28" s="23"/>
      <c r="T28" s="23"/>
      <c r="U28" s="23"/>
      <c r="V28" s="23"/>
    </row>
    <row r="29" spans="1:23" s="15" customFormat="1" ht="19.5" customHeight="1" x14ac:dyDescent="0.2">
      <c r="A29" s="584" t="s">
        <v>119</v>
      </c>
      <c r="B29" s="585"/>
      <c r="C29" s="585"/>
      <c r="D29" s="585"/>
      <c r="E29" s="585"/>
      <c r="F29" s="585"/>
      <c r="G29" s="585"/>
      <c r="H29" s="585"/>
      <c r="I29" s="585"/>
      <c r="J29" s="585"/>
      <c r="K29" s="585"/>
      <c r="L29" s="223"/>
      <c r="M29" s="150"/>
      <c r="N29" s="36"/>
      <c r="O29" s="34"/>
      <c r="P29" s="34"/>
      <c r="Q29" s="34"/>
      <c r="R29" s="34"/>
      <c r="S29" s="34"/>
      <c r="T29" s="34"/>
      <c r="U29" s="34"/>
      <c r="V29" s="34"/>
      <c r="W29" s="34"/>
    </row>
    <row r="30" spans="1:23" s="15" customFormat="1" x14ac:dyDescent="0.2">
      <c r="A30" s="25"/>
      <c r="B30" s="151"/>
      <c r="C30" s="151"/>
      <c r="D30" s="42"/>
      <c r="E30" s="150"/>
      <c r="F30" s="150"/>
      <c r="G30" s="150"/>
      <c r="H30" s="150"/>
      <c r="I30" s="150"/>
      <c r="J30" s="36"/>
      <c r="K30" s="150"/>
      <c r="L30" s="150"/>
      <c r="M30" s="150"/>
      <c r="N30" s="36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15" customFormat="1" x14ac:dyDescent="0.2">
      <c r="A31" s="152"/>
      <c r="B31" s="151"/>
      <c r="C31" s="151"/>
      <c r="D31" s="42"/>
      <c r="E31" s="150"/>
      <c r="F31" s="150"/>
      <c r="G31" s="150"/>
      <c r="H31" s="150"/>
      <c r="I31" s="150"/>
      <c r="J31" s="36"/>
      <c r="K31" s="150"/>
      <c r="L31" s="150"/>
      <c r="M31" s="150"/>
      <c r="N31" s="36"/>
      <c r="O31" s="34"/>
      <c r="P31" s="34"/>
      <c r="Q31" s="34"/>
      <c r="R31" s="34"/>
      <c r="S31" s="34"/>
      <c r="T31" s="34"/>
      <c r="U31" s="34"/>
      <c r="V31" s="34"/>
      <c r="W31" s="34"/>
    </row>
    <row r="32" spans="1:23" ht="31.5" x14ac:dyDescent="0.25">
      <c r="A32" s="211" t="s">
        <v>107</v>
      </c>
      <c r="B32" s="153" t="s">
        <v>24</v>
      </c>
      <c r="C32" s="153" t="s">
        <v>24</v>
      </c>
      <c r="D32" s="72"/>
      <c r="E32" s="150"/>
      <c r="F32" s="150"/>
      <c r="G32" s="150"/>
      <c r="H32" s="150"/>
      <c r="I32" s="150"/>
      <c r="J32" s="36"/>
      <c r="K32" s="150"/>
      <c r="L32" s="150"/>
      <c r="M32" s="150"/>
      <c r="N32" s="36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38.25" x14ac:dyDescent="0.2">
      <c r="A33" s="212" t="s">
        <v>63</v>
      </c>
      <c r="B33" s="190" t="s">
        <v>210</v>
      </c>
      <c r="C33" s="128" t="s">
        <v>108</v>
      </c>
      <c r="D33" s="128" t="s">
        <v>109</v>
      </c>
      <c r="E33" s="128" t="s">
        <v>110</v>
      </c>
      <c r="F33" s="128" t="s">
        <v>152</v>
      </c>
      <c r="G33" s="128" t="s">
        <v>209</v>
      </c>
      <c r="H33" s="208"/>
      <c r="I33" s="208"/>
      <c r="J33" s="209"/>
      <c r="K33" s="209"/>
      <c r="L33" s="209"/>
      <c r="M33" s="150"/>
      <c r="N33" s="36"/>
      <c r="O33" s="23"/>
      <c r="P33" s="23"/>
      <c r="Q33" s="23"/>
      <c r="R33" s="23"/>
      <c r="S33" s="23"/>
      <c r="T33" s="23"/>
      <c r="U33" s="23"/>
      <c r="V33" s="23"/>
      <c r="W33" s="23"/>
    </row>
    <row r="34" spans="1:23" x14ac:dyDescent="0.2">
      <c r="A34" s="189" t="s">
        <v>16</v>
      </c>
      <c r="B34" s="129">
        <v>1.5299999999999999E-2</v>
      </c>
      <c r="C34" s="129">
        <v>8.9599999999999999E-2</v>
      </c>
      <c r="D34" s="129">
        <v>2.0999999999999999E-3</v>
      </c>
      <c r="E34" s="129">
        <v>0</v>
      </c>
      <c r="F34" s="129">
        <v>0</v>
      </c>
      <c r="G34" s="129">
        <v>0</v>
      </c>
      <c r="H34" s="210"/>
      <c r="I34" s="210"/>
      <c r="J34" s="210"/>
      <c r="K34" s="210"/>
      <c r="L34" s="210"/>
      <c r="M34" s="150"/>
      <c r="N34" s="36"/>
      <c r="O34" s="23"/>
      <c r="P34" s="23"/>
      <c r="Q34" s="23"/>
      <c r="R34" s="23"/>
      <c r="S34" s="23"/>
      <c r="T34" s="23"/>
      <c r="U34" s="23"/>
      <c r="V34" s="23"/>
      <c r="W34" s="23"/>
    </row>
    <row r="35" spans="1:23" x14ac:dyDescent="0.2">
      <c r="A35" s="189" t="s">
        <v>30</v>
      </c>
      <c r="B35" s="129">
        <v>0.1532</v>
      </c>
      <c r="C35" s="129">
        <v>0</v>
      </c>
      <c r="D35" s="129">
        <v>0</v>
      </c>
      <c r="E35" s="129">
        <v>0</v>
      </c>
      <c r="F35" s="129">
        <v>0</v>
      </c>
      <c r="G35" s="129">
        <v>0</v>
      </c>
      <c r="H35" s="210"/>
      <c r="I35" s="210"/>
      <c r="J35" s="210"/>
      <c r="K35" s="210"/>
      <c r="L35" s="210"/>
      <c r="M35" s="150"/>
      <c r="N35" s="36"/>
      <c r="O35" s="23"/>
      <c r="P35" s="23"/>
      <c r="Q35" s="23"/>
      <c r="R35" s="23"/>
      <c r="S35" s="23"/>
      <c r="T35" s="23"/>
      <c r="U35" s="23"/>
      <c r="V35" s="23"/>
      <c r="W35" s="23"/>
    </row>
    <row r="36" spans="1:23" x14ac:dyDescent="0.2">
      <c r="A36" s="189" t="s">
        <v>19</v>
      </c>
      <c r="B36" s="129">
        <v>5.8700000000000002E-2</v>
      </c>
      <c r="C36" s="129">
        <v>0</v>
      </c>
      <c r="D36" s="129">
        <v>0</v>
      </c>
      <c r="E36" s="129">
        <v>0</v>
      </c>
      <c r="F36" s="129">
        <v>4.4200000000000003E-2</v>
      </c>
      <c r="G36" s="129">
        <v>0</v>
      </c>
      <c r="H36" s="210"/>
      <c r="I36" s="210"/>
      <c r="J36" s="210"/>
      <c r="K36" s="210"/>
      <c r="L36" s="210"/>
      <c r="M36" s="150"/>
      <c r="N36" s="36"/>
      <c r="O36" s="23"/>
      <c r="P36" s="23"/>
      <c r="Q36" s="23"/>
      <c r="R36" s="23"/>
      <c r="S36" s="23"/>
      <c r="T36" s="23"/>
      <c r="U36" s="23"/>
      <c r="V36" s="23"/>
      <c r="W36" s="23"/>
    </row>
    <row r="37" spans="1:23" s="15" customFormat="1" x14ac:dyDescent="0.2">
      <c r="A37" s="189" t="s">
        <v>46</v>
      </c>
      <c r="B37" s="129">
        <v>7.7600000000000002E-2</v>
      </c>
      <c r="C37" s="129">
        <v>0</v>
      </c>
      <c r="D37" s="129">
        <v>0</v>
      </c>
      <c r="E37" s="129">
        <v>0</v>
      </c>
      <c r="F37" s="129">
        <v>0</v>
      </c>
      <c r="G37" s="129">
        <v>0</v>
      </c>
      <c r="H37" s="210"/>
      <c r="I37" s="210"/>
      <c r="J37" s="210"/>
      <c r="K37" s="210"/>
      <c r="L37" s="210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s="15" customFormat="1" x14ac:dyDescent="0.2">
      <c r="A38" s="189" t="s">
        <v>11</v>
      </c>
      <c r="B38" s="129">
        <v>4.1799999999999997E-2</v>
      </c>
      <c r="C38" s="129">
        <v>0</v>
      </c>
      <c r="D38" s="129">
        <v>8.8000000000000005E-3</v>
      </c>
      <c r="E38" s="129">
        <v>0</v>
      </c>
      <c r="F38" s="129">
        <v>0.66949999999999998</v>
      </c>
      <c r="G38" s="129">
        <v>0</v>
      </c>
      <c r="H38" s="210"/>
      <c r="I38" s="210"/>
      <c r="J38" s="210"/>
      <c r="K38" s="210"/>
      <c r="L38" s="210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15" customFormat="1" x14ac:dyDescent="0.2">
      <c r="A39" s="189" t="s">
        <v>20</v>
      </c>
      <c r="B39" s="129">
        <v>0.12379999999999999</v>
      </c>
      <c r="C39" s="129">
        <v>0</v>
      </c>
      <c r="D39" s="129">
        <v>2.1100000000000001E-2</v>
      </c>
      <c r="E39" s="129">
        <v>0</v>
      </c>
      <c r="F39" s="129">
        <v>4.1200000000000001E-2</v>
      </c>
      <c r="G39" s="129">
        <v>0</v>
      </c>
      <c r="H39" s="210"/>
      <c r="I39" s="210"/>
      <c r="J39" s="210"/>
      <c r="K39" s="210"/>
      <c r="L39" s="210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x14ac:dyDescent="0.2">
      <c r="A40" s="189" t="s">
        <v>21</v>
      </c>
      <c r="B40" s="129">
        <v>2.01E-2</v>
      </c>
      <c r="C40" s="129">
        <v>0</v>
      </c>
      <c r="D40" s="129">
        <v>1.1999999999999999E-3</v>
      </c>
      <c r="E40" s="129">
        <v>0</v>
      </c>
      <c r="F40" s="129">
        <v>4.8999999999999998E-3</v>
      </c>
      <c r="G40" s="129">
        <v>0</v>
      </c>
      <c r="H40" s="210"/>
      <c r="I40" s="210"/>
      <c r="J40" s="210"/>
      <c r="K40" s="210"/>
      <c r="L40" s="210"/>
      <c r="M40" s="34"/>
      <c r="N40" s="34"/>
      <c r="O40" s="23"/>
      <c r="P40" s="23"/>
      <c r="Q40" s="23"/>
      <c r="R40" s="23"/>
      <c r="S40" s="23"/>
      <c r="T40" s="23"/>
      <c r="U40" s="23"/>
      <c r="V40" s="23"/>
      <c r="W40" s="23"/>
    </row>
    <row r="41" spans="1:23" x14ac:dyDescent="0.2">
      <c r="A41" s="189" t="s">
        <v>56</v>
      </c>
      <c r="B41" s="129">
        <v>3.2099999999999997E-2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210"/>
      <c r="I41" s="210"/>
      <c r="J41" s="210"/>
      <c r="K41" s="210"/>
      <c r="L41" s="210"/>
      <c r="M41" s="34"/>
      <c r="N41" s="34"/>
      <c r="O41" s="23"/>
      <c r="P41" s="23"/>
      <c r="Q41" s="23"/>
      <c r="R41" s="23"/>
      <c r="S41" s="23"/>
      <c r="T41" s="23"/>
      <c r="U41" s="23"/>
      <c r="V41" s="23"/>
      <c r="W41" s="23"/>
    </row>
    <row r="42" spans="1:23" x14ac:dyDescent="0.2">
      <c r="A42" s="189" t="s">
        <v>45</v>
      </c>
      <c r="B42" s="129">
        <v>1.6899999999999998E-2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210"/>
      <c r="I42" s="210"/>
      <c r="J42" s="210"/>
      <c r="K42" s="210"/>
      <c r="L42" s="210"/>
      <c r="M42" s="34"/>
      <c r="N42" s="34"/>
      <c r="O42" s="23"/>
      <c r="P42" s="23"/>
      <c r="Q42" s="23"/>
      <c r="R42" s="23"/>
      <c r="S42" s="23"/>
      <c r="T42" s="23"/>
      <c r="U42" s="23"/>
      <c r="V42" s="23"/>
      <c r="W42" s="23"/>
    </row>
    <row r="43" spans="1:23" x14ac:dyDescent="0.2">
      <c r="A43" s="189" t="s">
        <v>31</v>
      </c>
      <c r="B43" s="129">
        <v>0.1242</v>
      </c>
      <c r="C43" s="129">
        <v>0</v>
      </c>
      <c r="D43" s="129">
        <v>0</v>
      </c>
      <c r="E43" s="129">
        <v>0</v>
      </c>
      <c r="F43" s="129">
        <v>0.18759999999999999</v>
      </c>
      <c r="G43" s="129">
        <v>0.97109999999999996</v>
      </c>
      <c r="H43" s="210"/>
      <c r="I43" s="210"/>
      <c r="J43" s="210"/>
      <c r="K43" s="210"/>
      <c r="L43" s="210"/>
      <c r="M43" s="34"/>
      <c r="N43" s="34"/>
      <c r="O43" s="23"/>
      <c r="P43" s="23"/>
      <c r="Q43" s="23"/>
      <c r="R43" s="23"/>
      <c r="S43" s="23"/>
      <c r="T43" s="23"/>
      <c r="U43" s="23"/>
      <c r="V43" s="23"/>
      <c r="W43" s="23"/>
    </row>
    <row r="44" spans="1:23" x14ac:dyDescent="0.2">
      <c r="A44" s="189" t="s">
        <v>17</v>
      </c>
      <c r="B44" s="129">
        <v>2.4299999999999999E-2</v>
      </c>
      <c r="C44" s="129">
        <v>0.16769999999999999</v>
      </c>
      <c r="D44" s="129">
        <v>0</v>
      </c>
      <c r="E44" s="129">
        <v>0</v>
      </c>
      <c r="F44" s="129">
        <v>0</v>
      </c>
      <c r="G44" s="129">
        <v>0</v>
      </c>
      <c r="H44" s="210"/>
      <c r="I44" s="210"/>
      <c r="J44" s="210"/>
      <c r="K44" s="210"/>
      <c r="L44" s="210"/>
      <c r="M44" s="34"/>
      <c r="N44" s="34"/>
      <c r="O44" s="23"/>
      <c r="P44" s="23"/>
      <c r="Q44" s="23"/>
      <c r="R44" s="23"/>
      <c r="S44" s="23"/>
      <c r="T44" s="23"/>
      <c r="U44" s="23"/>
      <c r="V44" s="23"/>
      <c r="W44" s="23"/>
    </row>
    <row r="45" spans="1:23" x14ac:dyDescent="0.2">
      <c r="A45" s="189" t="s">
        <v>133</v>
      </c>
      <c r="B45" s="129">
        <v>2.1499999999999998E-2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210"/>
      <c r="I45" s="210"/>
      <c r="J45" s="210"/>
      <c r="K45" s="210"/>
      <c r="L45" s="210"/>
      <c r="M45" s="34"/>
      <c r="N45" s="34"/>
      <c r="O45" s="23"/>
      <c r="P45" s="23"/>
      <c r="Q45" s="23"/>
      <c r="R45" s="23"/>
      <c r="S45" s="23"/>
      <c r="T45" s="23"/>
      <c r="U45" s="23"/>
      <c r="V45" s="23"/>
      <c r="W45" s="23"/>
    </row>
    <row r="46" spans="1:23" x14ac:dyDescent="0.2">
      <c r="A46" s="189" t="s">
        <v>12</v>
      </c>
      <c r="B46" s="129">
        <v>3.5400000000000001E-2</v>
      </c>
      <c r="C46" s="129">
        <v>9.5899999999999999E-2</v>
      </c>
      <c r="D46" s="129">
        <v>1.06E-2</v>
      </c>
      <c r="E46" s="129">
        <v>0.12820000000000001</v>
      </c>
      <c r="F46" s="129">
        <v>0</v>
      </c>
      <c r="G46" s="129">
        <v>0</v>
      </c>
      <c r="H46" s="210"/>
      <c r="I46" s="210"/>
      <c r="J46" s="210"/>
      <c r="K46" s="210"/>
      <c r="L46" s="210"/>
      <c r="M46" s="34"/>
      <c r="N46" s="34"/>
      <c r="O46" s="23"/>
      <c r="P46" s="23"/>
      <c r="Q46" s="23"/>
      <c r="R46" s="23"/>
      <c r="S46" s="23"/>
      <c r="T46" s="23"/>
      <c r="U46" s="23"/>
      <c r="V46" s="23"/>
      <c r="W46" s="23"/>
    </row>
    <row r="47" spans="1:23" x14ac:dyDescent="0.2">
      <c r="A47" s="189" t="s">
        <v>13</v>
      </c>
      <c r="B47" s="129">
        <v>1.77E-2</v>
      </c>
      <c r="C47" s="129">
        <v>1.47E-2</v>
      </c>
      <c r="D47" s="129">
        <v>0</v>
      </c>
      <c r="E47" s="129">
        <v>0</v>
      </c>
      <c r="F47" s="129">
        <v>0</v>
      </c>
      <c r="G47" s="129">
        <v>1.8E-3</v>
      </c>
      <c r="H47" s="210"/>
      <c r="I47" s="210"/>
      <c r="J47" s="210"/>
      <c r="K47" s="210"/>
      <c r="L47" s="210"/>
      <c r="M47" s="34"/>
      <c r="N47" s="34"/>
      <c r="O47" s="23"/>
      <c r="P47" s="23"/>
      <c r="Q47" s="23"/>
      <c r="R47" s="23"/>
      <c r="S47" s="23"/>
      <c r="T47" s="23"/>
      <c r="U47" s="23"/>
      <c r="V47" s="23"/>
      <c r="W47" s="23"/>
    </row>
    <row r="48" spans="1:23" x14ac:dyDescent="0.2">
      <c r="A48" s="189" t="s">
        <v>9</v>
      </c>
      <c r="B48" s="129">
        <v>5.1799999999999999E-2</v>
      </c>
      <c r="C48" s="129">
        <v>0.30640000000000001</v>
      </c>
      <c r="D48" s="129">
        <v>0</v>
      </c>
      <c r="E48" s="129">
        <v>0.51080000000000003</v>
      </c>
      <c r="F48" s="129">
        <v>0</v>
      </c>
      <c r="G48" s="129">
        <v>0</v>
      </c>
      <c r="H48" s="210"/>
      <c r="I48" s="210"/>
      <c r="J48" s="210"/>
      <c r="K48" s="210"/>
      <c r="L48" s="210"/>
      <c r="M48" s="34"/>
      <c r="N48" s="34"/>
      <c r="O48" s="23"/>
      <c r="P48" s="23"/>
      <c r="Q48" s="23"/>
      <c r="R48" s="23"/>
      <c r="S48" s="23"/>
      <c r="T48" s="23"/>
      <c r="U48" s="23"/>
      <c r="V48" s="23"/>
      <c r="W48" s="23"/>
    </row>
    <row r="49" spans="1:29" x14ac:dyDescent="0.2">
      <c r="A49" s="189" t="s">
        <v>14</v>
      </c>
      <c r="B49" s="129">
        <v>1.9199999999999998E-2</v>
      </c>
      <c r="C49" s="129">
        <v>0</v>
      </c>
      <c r="D49" s="129">
        <v>2.7E-2</v>
      </c>
      <c r="E49" s="129">
        <v>0</v>
      </c>
      <c r="F49" s="129">
        <v>5.0000000000000001E-4</v>
      </c>
      <c r="G49" s="129">
        <v>0</v>
      </c>
      <c r="H49" s="210"/>
      <c r="I49" s="210"/>
      <c r="J49" s="210"/>
      <c r="K49" s="210"/>
      <c r="L49" s="210"/>
      <c r="M49" s="34"/>
      <c r="N49" s="34"/>
      <c r="O49" s="23"/>
      <c r="P49" s="23"/>
      <c r="Q49" s="23"/>
      <c r="R49" s="23"/>
      <c r="S49" s="23"/>
      <c r="T49" s="23"/>
      <c r="U49" s="23"/>
      <c r="V49" s="23"/>
      <c r="W49" s="23"/>
    </row>
    <row r="50" spans="1:29" x14ac:dyDescent="0.2">
      <c r="A50" s="189" t="s">
        <v>15</v>
      </c>
      <c r="B50" s="129">
        <v>3.9800000000000002E-2</v>
      </c>
      <c r="C50" s="129">
        <v>0</v>
      </c>
      <c r="D50" s="129">
        <v>9.4999999999999998E-3</v>
      </c>
      <c r="E50" s="129">
        <v>5.7000000000000002E-3</v>
      </c>
      <c r="F50" s="129">
        <v>5.21E-2</v>
      </c>
      <c r="G50" s="129">
        <v>2.7099999999999999E-2</v>
      </c>
      <c r="H50" s="210"/>
      <c r="I50" s="210"/>
      <c r="J50" s="210"/>
      <c r="K50" s="210"/>
      <c r="L50" s="210"/>
      <c r="M50" s="34"/>
      <c r="N50" s="34"/>
      <c r="O50" s="23"/>
      <c r="P50" s="23"/>
      <c r="Q50" s="23"/>
      <c r="R50" s="23"/>
      <c r="S50" s="23"/>
      <c r="T50" s="23"/>
      <c r="U50" s="23"/>
      <c r="V50" s="23"/>
      <c r="W50" s="23"/>
    </row>
    <row r="51" spans="1:29" x14ac:dyDescent="0.2">
      <c r="A51" s="189" t="s">
        <v>10</v>
      </c>
      <c r="B51" s="129">
        <v>5.0500000000000003E-2</v>
      </c>
      <c r="C51" s="129">
        <v>0.1633</v>
      </c>
      <c r="D51" s="129">
        <v>0</v>
      </c>
      <c r="E51" s="129">
        <v>0</v>
      </c>
      <c r="F51" s="129">
        <v>0</v>
      </c>
      <c r="G51" s="129">
        <v>0</v>
      </c>
      <c r="H51" s="210"/>
      <c r="I51" s="210"/>
      <c r="J51" s="210"/>
      <c r="K51" s="210"/>
      <c r="L51" s="210"/>
      <c r="M51" s="34"/>
      <c r="N51" s="34"/>
      <c r="O51" s="23"/>
      <c r="P51" s="23"/>
      <c r="Q51" s="23"/>
      <c r="R51" s="23"/>
      <c r="S51" s="23"/>
      <c r="T51" s="23"/>
      <c r="U51" s="23"/>
      <c r="V51" s="23"/>
      <c r="W51" s="23"/>
    </row>
    <row r="52" spans="1:29" x14ac:dyDescent="0.2">
      <c r="A52" s="189" t="s">
        <v>8</v>
      </c>
      <c r="B52" s="129">
        <v>5.9700000000000003E-2</v>
      </c>
      <c r="C52" s="129">
        <v>0.14000000000000001</v>
      </c>
      <c r="D52" s="129">
        <v>0.6381</v>
      </c>
      <c r="E52" s="129">
        <v>0.31459999999999999</v>
      </c>
      <c r="F52" s="129">
        <v>0</v>
      </c>
      <c r="G52" s="129">
        <v>0</v>
      </c>
      <c r="H52" s="210"/>
      <c r="I52" s="210"/>
      <c r="J52" s="210"/>
      <c r="K52" s="210"/>
      <c r="L52" s="210"/>
      <c r="M52" s="34"/>
      <c r="N52" s="34"/>
      <c r="O52" s="23"/>
      <c r="P52" s="23"/>
      <c r="Q52" s="23"/>
      <c r="R52" s="23"/>
      <c r="S52" s="23"/>
      <c r="T52" s="23"/>
      <c r="U52" s="23"/>
      <c r="V52" s="23"/>
      <c r="W52" s="23"/>
    </row>
    <row r="53" spans="1:29" x14ac:dyDescent="0.2">
      <c r="A53" s="189" t="s">
        <v>18</v>
      </c>
      <c r="B53" s="129">
        <v>2.5000000000000001E-3</v>
      </c>
      <c r="C53" s="129">
        <v>5.1999999999999998E-3</v>
      </c>
      <c r="D53" s="129">
        <v>2.53E-2</v>
      </c>
      <c r="E53" s="129">
        <v>1.2500000000000001E-2</v>
      </c>
      <c r="F53" s="129">
        <v>0</v>
      </c>
      <c r="G53" s="129">
        <v>0</v>
      </c>
      <c r="H53" s="210"/>
      <c r="I53" s="210"/>
      <c r="J53" s="210"/>
      <c r="K53" s="210"/>
      <c r="L53" s="210"/>
      <c r="M53" s="34"/>
      <c r="N53" s="34"/>
      <c r="O53" s="23"/>
      <c r="P53" s="23"/>
      <c r="Q53" s="23"/>
      <c r="R53" s="23"/>
      <c r="S53" s="23"/>
      <c r="T53" s="23"/>
      <c r="U53" s="23"/>
      <c r="V53" s="23"/>
      <c r="W53" s="23"/>
    </row>
    <row r="54" spans="1:29" s="15" customFormat="1" x14ac:dyDescent="0.2">
      <c r="A54" s="189" t="s">
        <v>120</v>
      </c>
      <c r="B54" s="129">
        <v>5.7000000000000002E-3</v>
      </c>
      <c r="C54" s="129">
        <v>4.8999999999999998E-3</v>
      </c>
      <c r="D54" s="129">
        <v>9.0499999999999997E-2</v>
      </c>
      <c r="E54" s="129">
        <v>0</v>
      </c>
      <c r="F54" s="129">
        <v>0</v>
      </c>
      <c r="G54" s="129">
        <v>0</v>
      </c>
      <c r="H54" s="210"/>
      <c r="I54" s="210"/>
      <c r="J54" s="210"/>
      <c r="K54" s="210"/>
      <c r="L54" s="210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</row>
    <row r="55" spans="1:29" x14ac:dyDescent="0.2">
      <c r="A55" s="189" t="s">
        <v>121</v>
      </c>
      <c r="B55" s="129">
        <v>4.1999999999999997E-3</v>
      </c>
      <c r="C55" s="129">
        <v>9.4000000000000004E-3</v>
      </c>
      <c r="D55" s="129">
        <v>5.9999999999999995E-4</v>
      </c>
      <c r="E55" s="129">
        <v>1.18E-2</v>
      </c>
      <c r="F55" s="129">
        <v>0</v>
      </c>
      <c r="G55" s="129">
        <v>0</v>
      </c>
      <c r="H55" s="210"/>
      <c r="I55" s="210"/>
      <c r="J55" s="210"/>
      <c r="K55" s="210"/>
      <c r="L55" s="210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9" x14ac:dyDescent="0.2">
      <c r="A56" s="189" t="s">
        <v>103</v>
      </c>
      <c r="B56" s="129">
        <v>2E-3</v>
      </c>
      <c r="C56" s="129">
        <v>2.8999999999999998E-3</v>
      </c>
      <c r="D56" s="129">
        <v>1.9199999999999998E-2</v>
      </c>
      <c r="E56" s="129">
        <v>8.5000000000000006E-3</v>
      </c>
      <c r="F56" s="129">
        <v>0</v>
      </c>
      <c r="G56" s="129">
        <v>0</v>
      </c>
      <c r="H56" s="210"/>
      <c r="I56" s="210"/>
      <c r="J56" s="210"/>
      <c r="K56" s="210"/>
      <c r="L56" s="210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9" x14ac:dyDescent="0.2">
      <c r="A57" s="189" t="s">
        <v>104</v>
      </c>
      <c r="B57" s="129">
        <v>2E-3</v>
      </c>
      <c r="C57" s="129">
        <v>0</v>
      </c>
      <c r="D57" s="129">
        <v>0.14599999999999999</v>
      </c>
      <c r="E57" s="129">
        <v>7.9000000000000008E-3</v>
      </c>
      <c r="F57" s="129">
        <v>0</v>
      </c>
      <c r="G57" s="129">
        <v>0</v>
      </c>
      <c r="H57" s="210"/>
      <c r="I57" s="210"/>
      <c r="J57" s="210"/>
      <c r="K57" s="210"/>
      <c r="L57" s="210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9" x14ac:dyDescent="0.2">
      <c r="A58" s="213"/>
      <c r="B58" s="214">
        <f t="shared" ref="B58:G58" si="4">SUM(B34:B57)</f>
        <v>0.99999999999999989</v>
      </c>
      <c r="C58" s="214">
        <f t="shared" si="4"/>
        <v>0.99999999999999989</v>
      </c>
      <c r="D58" s="214">
        <f t="shared" si="4"/>
        <v>1</v>
      </c>
      <c r="E58" s="214">
        <f t="shared" si="4"/>
        <v>1</v>
      </c>
      <c r="F58" s="214">
        <f t="shared" si="4"/>
        <v>1</v>
      </c>
      <c r="G58" s="214">
        <f t="shared" si="4"/>
        <v>1</v>
      </c>
      <c r="H58" s="207"/>
      <c r="I58" s="207"/>
      <c r="J58" s="207"/>
      <c r="K58" s="207"/>
      <c r="L58" s="207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9" ht="42" customHeight="1" x14ac:dyDescent="0.2">
      <c r="A59" s="570" t="s">
        <v>236</v>
      </c>
      <c r="B59" s="571"/>
      <c r="C59" s="571"/>
      <c r="D59" s="571"/>
      <c r="E59" s="571"/>
      <c r="F59" s="571"/>
      <c r="G59" s="571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9" x14ac:dyDescent="0.2">
      <c r="A60" s="25"/>
      <c r="B60" s="130"/>
      <c r="C60" s="130"/>
      <c r="D60" s="13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9" ht="13.5" thickBot="1" x14ac:dyDescent="0.25">
      <c r="A61" s="25"/>
      <c r="B61" s="130"/>
      <c r="C61" s="130"/>
      <c r="D61" s="130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9" ht="13.5" thickBot="1" x14ac:dyDescent="0.25">
      <c r="A62" s="567" t="s">
        <v>173</v>
      </c>
      <c r="B62" s="151"/>
      <c r="C62" s="151"/>
      <c r="D62" s="42"/>
      <c r="E62" s="23"/>
      <c r="F62" s="113" t="s">
        <v>24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1:29" ht="13.5" thickBot="1" x14ac:dyDescent="0.25">
      <c r="A63" s="568"/>
      <c r="B63" s="561" t="s">
        <v>29</v>
      </c>
      <c r="C63" s="562"/>
      <c r="D63" s="562"/>
      <c r="E63" s="563"/>
      <c r="F63" s="572" t="s">
        <v>36</v>
      </c>
      <c r="G63" s="573"/>
      <c r="H63" s="577" t="s">
        <v>5</v>
      </c>
      <c r="I63" s="578"/>
      <c r="J63" s="578"/>
      <c r="K63" s="578"/>
      <c r="L63" s="579"/>
      <c r="M63" s="561" t="s">
        <v>8</v>
      </c>
      <c r="N63" s="562"/>
      <c r="O63" s="562"/>
      <c r="P63" s="562"/>
      <c r="Q63" s="563"/>
      <c r="R63" s="577" t="s">
        <v>37</v>
      </c>
      <c r="S63" s="578"/>
      <c r="T63" s="578"/>
      <c r="U63" s="579"/>
      <c r="V63" s="561" t="s">
        <v>15</v>
      </c>
      <c r="W63" s="563"/>
      <c r="X63" s="561" t="s">
        <v>11</v>
      </c>
      <c r="Y63" s="562"/>
      <c r="Z63" s="562"/>
      <c r="AA63" s="563"/>
      <c r="AB63" s="561" t="s">
        <v>38</v>
      </c>
      <c r="AC63" s="563"/>
    </row>
    <row r="64" spans="1:29" ht="26.25" thickBot="1" x14ac:dyDescent="0.25">
      <c r="A64" s="569"/>
      <c r="B64" s="564" t="s">
        <v>44</v>
      </c>
      <c r="C64" s="565"/>
      <c r="D64" s="566"/>
      <c r="E64" s="131">
        <f>'BRA Resource Clearing Results'!C6</f>
        <v>0</v>
      </c>
      <c r="F64" s="132" t="s">
        <v>44</v>
      </c>
      <c r="G64" s="238">
        <f>'BRA Resource Clearing Results'!C7</f>
        <v>60.65</v>
      </c>
      <c r="H64" s="580" t="s">
        <v>44</v>
      </c>
      <c r="I64" s="581"/>
      <c r="J64" s="581"/>
      <c r="K64" s="581"/>
      <c r="L64" s="239">
        <f>'BRA Resource Clearing Results'!C8</f>
        <v>0</v>
      </c>
      <c r="M64" s="574" t="s">
        <v>44</v>
      </c>
      <c r="N64" s="575"/>
      <c r="O64" s="575"/>
      <c r="P64" s="576"/>
      <c r="Q64" s="236">
        <f>'BRA Resource Clearing Results'!C9</f>
        <v>0</v>
      </c>
      <c r="R64" s="582" t="s">
        <v>44</v>
      </c>
      <c r="S64" s="583"/>
      <c r="T64" s="583"/>
      <c r="U64" s="239">
        <f>'BRA Resource Clearing Results'!C10</f>
        <v>0</v>
      </c>
      <c r="V64" s="241" t="s">
        <v>44</v>
      </c>
      <c r="W64" s="242">
        <f>'BRA Resource Clearing Results'!C12</f>
        <v>0</v>
      </c>
      <c r="X64" s="588" t="s">
        <v>44</v>
      </c>
      <c r="Y64" s="589"/>
      <c r="Z64" s="590"/>
      <c r="AA64" s="217">
        <f>'BRA Resource Clearing Results'!C16</f>
        <v>0</v>
      </c>
      <c r="AB64" s="244" t="s">
        <v>44</v>
      </c>
      <c r="AC64" s="242">
        <f>'BRA Resource Clearing Results'!C11</f>
        <v>0</v>
      </c>
    </row>
    <row r="65" spans="1:29" ht="64.5" thickBot="1" x14ac:dyDescent="0.25">
      <c r="A65" s="133" t="s">
        <v>63</v>
      </c>
      <c r="B65" s="134" t="s">
        <v>111</v>
      </c>
      <c r="C65" s="128" t="s">
        <v>112</v>
      </c>
      <c r="D65" s="135" t="s">
        <v>64</v>
      </c>
      <c r="E65" s="136" t="s">
        <v>78</v>
      </c>
      <c r="F65" s="134" t="s">
        <v>111</v>
      </c>
      <c r="G65" s="136" t="s">
        <v>78</v>
      </c>
      <c r="H65" s="232" t="s">
        <v>111</v>
      </c>
      <c r="I65" s="215" t="s">
        <v>112</v>
      </c>
      <c r="J65" s="215" t="s">
        <v>211</v>
      </c>
      <c r="K65" s="237" t="s">
        <v>64</v>
      </c>
      <c r="L65" s="229" t="s">
        <v>78</v>
      </c>
      <c r="M65" s="134" t="s">
        <v>111</v>
      </c>
      <c r="N65" s="128" t="s">
        <v>113</v>
      </c>
      <c r="O65" s="128" t="s">
        <v>114</v>
      </c>
      <c r="P65" s="135" t="s">
        <v>64</v>
      </c>
      <c r="Q65" s="136" t="s">
        <v>78</v>
      </c>
      <c r="R65" s="232" t="s">
        <v>111</v>
      </c>
      <c r="S65" s="215" t="s">
        <v>113</v>
      </c>
      <c r="T65" s="237" t="s">
        <v>64</v>
      </c>
      <c r="U65" s="240" t="s">
        <v>78</v>
      </c>
      <c r="V65" s="222" t="s">
        <v>211</v>
      </c>
      <c r="W65" s="136" t="s">
        <v>78</v>
      </c>
      <c r="X65" s="215" t="s">
        <v>112</v>
      </c>
      <c r="Y65" s="243" t="s">
        <v>153</v>
      </c>
      <c r="Z65" s="237" t="s">
        <v>64</v>
      </c>
      <c r="AA65" s="216" t="s">
        <v>78</v>
      </c>
      <c r="AB65" s="586" t="s">
        <v>143</v>
      </c>
      <c r="AC65" s="587"/>
    </row>
    <row r="66" spans="1:29" x14ac:dyDescent="0.2">
      <c r="A66" s="52" t="s">
        <v>16</v>
      </c>
      <c r="B66" s="124">
        <f>B34*$C$13</f>
        <v>1.8341501601717274</v>
      </c>
      <c r="C66" s="137">
        <f>C34*$C$15</f>
        <v>0.23803140057775143</v>
      </c>
      <c r="D66" s="137">
        <f>B66+C66</f>
        <v>2.0721815607494789</v>
      </c>
      <c r="E66" s="56">
        <f>D66*$E$64</f>
        <v>0</v>
      </c>
      <c r="F66" s="124">
        <f>B34*$D$13</f>
        <v>13.7394</v>
      </c>
      <c r="G66" s="125">
        <f>F66*$G$64</f>
        <v>833.29460999999992</v>
      </c>
      <c r="H66" s="124">
        <f>B34*$E$13</f>
        <v>3.9167999999999998</v>
      </c>
      <c r="I66" s="137">
        <f t="shared" ref="I66:I89" si="5">C34*$E$15</f>
        <v>21.235199999999999</v>
      </c>
      <c r="J66" s="234">
        <f t="shared" ref="J66:J89" si="6">G34*$E$19</f>
        <v>0</v>
      </c>
      <c r="K66" s="137">
        <f>H66+I66+J66</f>
        <v>25.151999999999997</v>
      </c>
      <c r="L66" s="230">
        <f>K66*$L$64</f>
        <v>0</v>
      </c>
      <c r="M66" s="124">
        <f t="shared" ref="M66:M89" si="7">B34*$F$13</f>
        <v>1.0541700000000001</v>
      </c>
      <c r="N66" s="137">
        <f t="shared" ref="N66:N89" si="8">D34*$F$16</f>
        <v>0.71441999999999994</v>
      </c>
      <c r="O66" s="137">
        <f t="shared" ref="O66:O89" si="9">E34*$F$17</f>
        <v>0</v>
      </c>
      <c r="P66" s="137">
        <f>M66+N66+O66</f>
        <v>1.7685900000000001</v>
      </c>
      <c r="Q66" s="56">
        <f t="shared" ref="Q66:Q89" si="10">P66*$Q$64</f>
        <v>0</v>
      </c>
      <c r="R66" s="124">
        <f t="shared" ref="R66:R89" si="11">B34*$G$13</f>
        <v>1.61415</v>
      </c>
      <c r="S66" s="137">
        <f t="shared" ref="S66:S89" si="12">D34*$G$16</f>
        <v>1.0384499999999999</v>
      </c>
      <c r="T66" s="137">
        <f t="shared" ref="T66:T71" si="13">R66+S66</f>
        <v>2.6525999999999996</v>
      </c>
      <c r="U66" s="218">
        <f t="shared" ref="U66:U89" si="14">T66*$U$64</f>
        <v>0</v>
      </c>
      <c r="V66" s="124">
        <f t="shared" ref="V66:V89" si="15">G34*$J$19</f>
        <v>0</v>
      </c>
      <c r="W66" s="125">
        <f t="shared" ref="W66:W89" si="16">V66*$W$64</f>
        <v>0</v>
      </c>
      <c r="X66" s="137">
        <f>C34*$K$15</f>
        <v>11.1104</v>
      </c>
      <c r="Y66" s="220">
        <f>F34*$K$18</f>
        <v>0</v>
      </c>
      <c r="Z66" s="233">
        <f>X66+Y66</f>
        <v>11.1104</v>
      </c>
      <c r="AA66" s="125">
        <f t="shared" ref="AA66:AA89" si="17">Y66*$AA$64</f>
        <v>0</v>
      </c>
      <c r="AB66" s="4"/>
      <c r="AC66" s="4"/>
    </row>
    <row r="67" spans="1:29" x14ac:dyDescent="0.2">
      <c r="A67" s="52" t="s">
        <v>30</v>
      </c>
      <c r="B67" s="124">
        <f t="shared" ref="B67:B89" si="18">B35*$C$13</f>
        <v>18.365477420804488</v>
      </c>
      <c r="C67" s="137">
        <f t="shared" ref="C67:C89" si="19">C35*$C$15</f>
        <v>0</v>
      </c>
      <c r="D67" s="137">
        <f>B67+C67</f>
        <v>18.365477420804488</v>
      </c>
      <c r="E67" s="56">
        <f>D67*$E$64</f>
        <v>0</v>
      </c>
      <c r="F67" s="124">
        <f t="shared" ref="F67:F74" si="20">B35*$D$13</f>
        <v>137.5736</v>
      </c>
      <c r="G67" s="125">
        <f t="shared" ref="G67:G89" si="21">F67*$G$64</f>
        <v>8343.8388400000003</v>
      </c>
      <c r="H67" s="124">
        <f t="shared" ref="H67:H89" si="22">B35*$E$13</f>
        <v>39.219200000000001</v>
      </c>
      <c r="I67" s="137">
        <f t="shared" si="5"/>
        <v>0</v>
      </c>
      <c r="J67" s="234">
        <f t="shared" si="6"/>
        <v>0</v>
      </c>
      <c r="K67" s="137">
        <f t="shared" ref="K67:K89" si="23">H67+I67+J67</f>
        <v>39.219200000000001</v>
      </c>
      <c r="L67" s="230">
        <f>K67*$L$64</f>
        <v>0</v>
      </c>
      <c r="M67" s="124">
        <f t="shared" si="7"/>
        <v>10.555480000000001</v>
      </c>
      <c r="N67" s="137">
        <f t="shared" si="8"/>
        <v>0</v>
      </c>
      <c r="O67" s="137">
        <f t="shared" si="9"/>
        <v>0</v>
      </c>
      <c r="P67" s="137">
        <f>M67+N67+O67</f>
        <v>10.555480000000001</v>
      </c>
      <c r="Q67" s="56">
        <f t="shared" si="10"/>
        <v>0</v>
      </c>
      <c r="R67" s="124">
        <f t="shared" si="11"/>
        <v>16.162600000000001</v>
      </c>
      <c r="S67" s="137">
        <f t="shared" si="12"/>
        <v>0</v>
      </c>
      <c r="T67" s="137">
        <f t="shared" si="13"/>
        <v>16.162600000000001</v>
      </c>
      <c r="U67" s="218">
        <f t="shared" si="14"/>
        <v>0</v>
      </c>
      <c r="V67" s="124">
        <f t="shared" si="15"/>
        <v>0</v>
      </c>
      <c r="W67" s="125">
        <f t="shared" si="16"/>
        <v>0</v>
      </c>
      <c r="X67" s="137">
        <f t="shared" ref="X67:X89" si="24">C35*$K$15</f>
        <v>0</v>
      </c>
      <c r="Y67" s="220">
        <f t="shared" ref="Y67:Y89" si="25">F35*$K$18</f>
        <v>0</v>
      </c>
      <c r="Z67" s="233">
        <f t="shared" ref="Z67:Z89" si="26">X67+Y67</f>
        <v>0</v>
      </c>
      <c r="AA67" s="125">
        <f t="shared" si="17"/>
        <v>0</v>
      </c>
      <c r="AB67" s="4"/>
      <c r="AC67" s="4"/>
    </row>
    <row r="68" spans="1:29" x14ac:dyDescent="0.2">
      <c r="A68" s="52" t="s">
        <v>19</v>
      </c>
      <c r="B68" s="124">
        <f t="shared" si="18"/>
        <v>7.0369029020967586</v>
      </c>
      <c r="C68" s="137">
        <f t="shared" si="19"/>
        <v>0</v>
      </c>
      <c r="D68" s="137">
        <f>B68+C68</f>
        <v>7.0369029020967586</v>
      </c>
      <c r="E68" s="56">
        <f t="shared" ref="E68:E88" si="27">D68*$E$64</f>
        <v>0</v>
      </c>
      <c r="F68" s="124">
        <f t="shared" si="20"/>
        <v>52.712600000000002</v>
      </c>
      <c r="G68" s="125">
        <f>F68*$G$64</f>
        <v>3197.01919</v>
      </c>
      <c r="H68" s="124">
        <f t="shared" si="22"/>
        <v>15.027200000000001</v>
      </c>
      <c r="I68" s="137">
        <f t="shared" si="5"/>
        <v>0</v>
      </c>
      <c r="J68" s="234">
        <f t="shared" si="6"/>
        <v>0</v>
      </c>
      <c r="K68" s="137">
        <f t="shared" si="23"/>
        <v>15.027200000000001</v>
      </c>
      <c r="L68" s="230">
        <f>K68*$L$64</f>
        <v>0</v>
      </c>
      <c r="M68" s="124">
        <f t="shared" si="7"/>
        <v>4.0444300000000002</v>
      </c>
      <c r="N68" s="137">
        <f t="shared" si="8"/>
        <v>0</v>
      </c>
      <c r="O68" s="137">
        <f t="shared" si="9"/>
        <v>0</v>
      </c>
      <c r="P68" s="137">
        <f>M68+N68+O68</f>
        <v>4.0444300000000002</v>
      </c>
      <c r="Q68" s="56">
        <f t="shared" si="10"/>
        <v>0</v>
      </c>
      <c r="R68" s="124">
        <f t="shared" si="11"/>
        <v>6.19285</v>
      </c>
      <c r="S68" s="137">
        <f t="shared" si="12"/>
        <v>0</v>
      </c>
      <c r="T68" s="137">
        <f t="shared" si="13"/>
        <v>6.19285</v>
      </c>
      <c r="U68" s="218">
        <f t="shared" si="14"/>
        <v>0</v>
      </c>
      <c r="V68" s="124">
        <f t="shared" si="15"/>
        <v>0</v>
      </c>
      <c r="W68" s="125">
        <f t="shared" si="16"/>
        <v>0</v>
      </c>
      <c r="X68" s="137">
        <f t="shared" si="24"/>
        <v>0</v>
      </c>
      <c r="Y68" s="220">
        <f t="shared" si="25"/>
        <v>8.0444000000000013</v>
      </c>
      <c r="Z68" s="233">
        <f t="shared" si="26"/>
        <v>8.0444000000000013</v>
      </c>
      <c r="AA68" s="125">
        <f t="shared" si="17"/>
        <v>0</v>
      </c>
      <c r="AB68" s="4"/>
      <c r="AC68" s="4"/>
    </row>
    <row r="69" spans="1:29" x14ac:dyDescent="0.2">
      <c r="A69" s="52" t="s">
        <v>46</v>
      </c>
      <c r="B69" s="124">
        <f t="shared" si="18"/>
        <v>9.3026178058383042</v>
      </c>
      <c r="C69" s="137">
        <f t="shared" si="19"/>
        <v>0</v>
      </c>
      <c r="D69" s="137">
        <f t="shared" ref="D69:D88" si="28">B69+C69</f>
        <v>9.3026178058383042</v>
      </c>
      <c r="E69" s="56">
        <f t="shared" si="27"/>
        <v>0</v>
      </c>
      <c r="F69" s="124">
        <f t="shared" si="20"/>
        <v>69.684799999999996</v>
      </c>
      <c r="G69" s="125">
        <f t="shared" si="21"/>
        <v>4226.3831199999995</v>
      </c>
      <c r="H69" s="124">
        <f t="shared" si="22"/>
        <v>19.865600000000001</v>
      </c>
      <c r="I69" s="137">
        <f t="shared" si="5"/>
        <v>0</v>
      </c>
      <c r="J69" s="234">
        <f t="shared" si="6"/>
        <v>0</v>
      </c>
      <c r="K69" s="137">
        <f t="shared" si="23"/>
        <v>19.865600000000001</v>
      </c>
      <c r="L69" s="230">
        <f>K69*$L$64</f>
        <v>0</v>
      </c>
      <c r="M69" s="124">
        <f t="shared" si="7"/>
        <v>5.3466400000000007</v>
      </c>
      <c r="N69" s="137">
        <f t="shared" si="8"/>
        <v>0</v>
      </c>
      <c r="O69" s="137">
        <f t="shared" si="9"/>
        <v>0</v>
      </c>
      <c r="P69" s="137">
        <f t="shared" ref="P69:P84" si="29">M69+N69+O69</f>
        <v>5.3466400000000007</v>
      </c>
      <c r="Q69" s="56">
        <f t="shared" si="10"/>
        <v>0</v>
      </c>
      <c r="R69" s="124">
        <f t="shared" si="11"/>
        <v>8.1867999999999999</v>
      </c>
      <c r="S69" s="137">
        <f t="shared" si="12"/>
        <v>0</v>
      </c>
      <c r="T69" s="137">
        <f t="shared" si="13"/>
        <v>8.1867999999999999</v>
      </c>
      <c r="U69" s="218">
        <f t="shared" si="14"/>
        <v>0</v>
      </c>
      <c r="V69" s="124">
        <f t="shared" si="15"/>
        <v>0</v>
      </c>
      <c r="W69" s="125">
        <f t="shared" si="16"/>
        <v>0</v>
      </c>
      <c r="X69" s="137">
        <f t="shared" si="24"/>
        <v>0</v>
      </c>
      <c r="Y69" s="220">
        <f t="shared" si="25"/>
        <v>0</v>
      </c>
      <c r="Z69" s="233">
        <f t="shared" si="26"/>
        <v>0</v>
      </c>
      <c r="AA69" s="125">
        <f t="shared" si="17"/>
        <v>0</v>
      </c>
      <c r="AB69" s="4"/>
      <c r="AC69" s="4"/>
    </row>
    <row r="70" spans="1:29" x14ac:dyDescent="0.2">
      <c r="A70" s="52" t="s">
        <v>11</v>
      </c>
      <c r="B70" s="124">
        <f t="shared" si="18"/>
        <v>5.0109461892273339</v>
      </c>
      <c r="C70" s="137">
        <f t="shared" si="19"/>
        <v>0</v>
      </c>
      <c r="D70" s="137">
        <f t="shared" si="28"/>
        <v>5.0109461892273339</v>
      </c>
      <c r="E70" s="56">
        <f t="shared" si="27"/>
        <v>0</v>
      </c>
      <c r="F70" s="124">
        <f t="shared" si="20"/>
        <v>37.5364</v>
      </c>
      <c r="G70" s="125">
        <f t="shared" si="21"/>
        <v>2276.58266</v>
      </c>
      <c r="H70" s="124">
        <f t="shared" si="22"/>
        <v>10.700799999999999</v>
      </c>
      <c r="I70" s="137">
        <f t="shared" si="5"/>
        <v>0</v>
      </c>
      <c r="J70" s="234">
        <f t="shared" si="6"/>
        <v>0</v>
      </c>
      <c r="K70" s="137">
        <f t="shared" si="23"/>
        <v>10.700799999999999</v>
      </c>
      <c r="L70" s="230">
        <f t="shared" ref="L70:L84" si="30">K70*$L$64</f>
        <v>0</v>
      </c>
      <c r="M70" s="124">
        <f t="shared" si="7"/>
        <v>2.88002</v>
      </c>
      <c r="N70" s="137">
        <f t="shared" si="8"/>
        <v>2.99376</v>
      </c>
      <c r="O70" s="137">
        <f t="shared" si="9"/>
        <v>0</v>
      </c>
      <c r="P70" s="137">
        <f t="shared" si="29"/>
        <v>5.87378</v>
      </c>
      <c r="Q70" s="56">
        <f t="shared" si="10"/>
        <v>0</v>
      </c>
      <c r="R70" s="124">
        <f t="shared" si="11"/>
        <v>4.4098999999999995</v>
      </c>
      <c r="S70" s="137">
        <f t="shared" si="12"/>
        <v>4.3516000000000004</v>
      </c>
      <c r="T70" s="137">
        <f t="shared" si="13"/>
        <v>8.7614999999999998</v>
      </c>
      <c r="U70" s="218">
        <f t="shared" si="14"/>
        <v>0</v>
      </c>
      <c r="V70" s="124">
        <f t="shared" si="15"/>
        <v>0</v>
      </c>
      <c r="W70" s="125">
        <f t="shared" si="16"/>
        <v>0</v>
      </c>
      <c r="X70" s="137">
        <f t="shared" si="24"/>
        <v>0</v>
      </c>
      <c r="Y70" s="220">
        <f t="shared" si="25"/>
        <v>121.849</v>
      </c>
      <c r="Z70" s="233">
        <f t="shared" si="26"/>
        <v>121.849</v>
      </c>
      <c r="AA70" s="125">
        <f t="shared" si="17"/>
        <v>0</v>
      </c>
      <c r="AB70" s="4"/>
      <c r="AC70" s="4"/>
    </row>
    <row r="71" spans="1:29" x14ac:dyDescent="0.2">
      <c r="A71" s="52" t="s">
        <v>20</v>
      </c>
      <c r="B71" s="124">
        <f t="shared" si="18"/>
        <v>14.841032014984304</v>
      </c>
      <c r="C71" s="137">
        <f t="shared" si="19"/>
        <v>0</v>
      </c>
      <c r="D71" s="137">
        <f t="shared" si="28"/>
        <v>14.841032014984304</v>
      </c>
      <c r="E71" s="56">
        <f t="shared" si="27"/>
        <v>0</v>
      </c>
      <c r="F71" s="124">
        <f t="shared" si="20"/>
        <v>111.1724</v>
      </c>
      <c r="G71" s="125">
        <f t="shared" si="21"/>
        <v>6742.6060599999992</v>
      </c>
      <c r="H71" s="124">
        <f t="shared" si="22"/>
        <v>31.692799999999998</v>
      </c>
      <c r="I71" s="137">
        <f t="shared" si="5"/>
        <v>0</v>
      </c>
      <c r="J71" s="234">
        <f t="shared" si="6"/>
        <v>0</v>
      </c>
      <c r="K71" s="137">
        <f t="shared" si="23"/>
        <v>31.692799999999998</v>
      </c>
      <c r="L71" s="230">
        <f t="shared" si="30"/>
        <v>0</v>
      </c>
      <c r="M71" s="124">
        <f t="shared" si="7"/>
        <v>8.5298200000000008</v>
      </c>
      <c r="N71" s="137">
        <f t="shared" si="8"/>
        <v>7.1782199999999996</v>
      </c>
      <c r="O71" s="137">
        <f t="shared" si="9"/>
        <v>0</v>
      </c>
      <c r="P71" s="137">
        <f t="shared" si="29"/>
        <v>15.70804</v>
      </c>
      <c r="Q71" s="56">
        <f t="shared" si="10"/>
        <v>0</v>
      </c>
      <c r="R71" s="124">
        <f t="shared" si="11"/>
        <v>13.0609</v>
      </c>
      <c r="S71" s="137">
        <f t="shared" si="12"/>
        <v>10.433950000000001</v>
      </c>
      <c r="T71" s="137">
        <f t="shared" si="13"/>
        <v>23.49485</v>
      </c>
      <c r="U71" s="218">
        <f t="shared" si="14"/>
        <v>0</v>
      </c>
      <c r="V71" s="124">
        <f t="shared" si="15"/>
        <v>0</v>
      </c>
      <c r="W71" s="125">
        <f t="shared" si="16"/>
        <v>0</v>
      </c>
      <c r="X71" s="137">
        <f t="shared" si="24"/>
        <v>0</v>
      </c>
      <c r="Y71" s="220">
        <f t="shared" si="25"/>
        <v>7.4984000000000002</v>
      </c>
      <c r="Z71" s="233">
        <f t="shared" si="26"/>
        <v>7.4984000000000002</v>
      </c>
      <c r="AA71" s="125">
        <f t="shared" si="17"/>
        <v>0</v>
      </c>
      <c r="AB71" s="4"/>
      <c r="AC71" s="4"/>
    </row>
    <row r="72" spans="1:29" x14ac:dyDescent="0.2">
      <c r="A72" s="52" t="s">
        <v>21</v>
      </c>
      <c r="B72" s="124">
        <f t="shared" si="18"/>
        <v>2.4095698182648184</v>
      </c>
      <c r="C72" s="137">
        <f t="shared" si="19"/>
        <v>0</v>
      </c>
      <c r="D72" s="137">
        <f t="shared" si="28"/>
        <v>2.4095698182648184</v>
      </c>
      <c r="E72" s="56">
        <f t="shared" si="27"/>
        <v>0</v>
      </c>
      <c r="F72" s="124">
        <f t="shared" si="20"/>
        <v>18.049800000000001</v>
      </c>
      <c r="G72" s="125">
        <f t="shared" si="21"/>
        <v>1094.72037</v>
      </c>
      <c r="H72" s="124">
        <f t="shared" si="22"/>
        <v>5.1456</v>
      </c>
      <c r="I72" s="137">
        <f t="shared" si="5"/>
        <v>0</v>
      </c>
      <c r="J72" s="234">
        <f t="shared" si="6"/>
        <v>0</v>
      </c>
      <c r="K72" s="137">
        <f t="shared" si="23"/>
        <v>5.1456</v>
      </c>
      <c r="L72" s="230">
        <f t="shared" si="30"/>
        <v>0</v>
      </c>
      <c r="M72" s="124">
        <f t="shared" si="7"/>
        <v>1.3848900000000002</v>
      </c>
      <c r="N72" s="137">
        <f t="shared" si="8"/>
        <v>0.40823999999999994</v>
      </c>
      <c r="O72" s="137">
        <f t="shared" si="9"/>
        <v>0</v>
      </c>
      <c r="P72" s="137">
        <f t="shared" si="29"/>
        <v>1.7931300000000001</v>
      </c>
      <c r="Q72" s="56">
        <f t="shared" si="10"/>
        <v>0</v>
      </c>
      <c r="R72" s="124">
        <f t="shared" si="11"/>
        <v>2.1205500000000002</v>
      </c>
      <c r="S72" s="137">
        <f t="shared" si="12"/>
        <v>0.59339999999999993</v>
      </c>
      <c r="T72" s="137">
        <f t="shared" ref="T72:T88" si="31">R72+S72</f>
        <v>2.7139500000000001</v>
      </c>
      <c r="U72" s="218">
        <f t="shared" si="14"/>
        <v>0</v>
      </c>
      <c r="V72" s="124">
        <f t="shared" si="15"/>
        <v>0</v>
      </c>
      <c r="W72" s="125">
        <f t="shared" si="16"/>
        <v>0</v>
      </c>
      <c r="X72" s="137">
        <f t="shared" si="24"/>
        <v>0</v>
      </c>
      <c r="Y72" s="220">
        <f t="shared" si="25"/>
        <v>0.89179999999999993</v>
      </c>
      <c r="Z72" s="233">
        <f t="shared" si="26"/>
        <v>0.89179999999999993</v>
      </c>
      <c r="AA72" s="125">
        <f t="shared" si="17"/>
        <v>0</v>
      </c>
      <c r="AB72" s="4"/>
      <c r="AC72" s="4"/>
    </row>
    <row r="73" spans="1:29" x14ac:dyDescent="0.2">
      <c r="A73" s="52" t="s">
        <v>56</v>
      </c>
      <c r="B73" s="124">
        <f t="shared" si="18"/>
        <v>3.8481189634975457</v>
      </c>
      <c r="C73" s="137">
        <f t="shared" si="19"/>
        <v>0</v>
      </c>
      <c r="D73" s="137">
        <f t="shared" si="28"/>
        <v>3.8481189634975457</v>
      </c>
      <c r="E73" s="56">
        <f t="shared" si="27"/>
        <v>0</v>
      </c>
      <c r="F73" s="124">
        <f t="shared" si="20"/>
        <v>28.825799999999997</v>
      </c>
      <c r="G73" s="125">
        <f t="shared" si="21"/>
        <v>1748.2847699999998</v>
      </c>
      <c r="H73" s="124">
        <f t="shared" si="22"/>
        <v>8.2175999999999991</v>
      </c>
      <c r="I73" s="137">
        <f t="shared" si="5"/>
        <v>0</v>
      </c>
      <c r="J73" s="234">
        <f t="shared" si="6"/>
        <v>0</v>
      </c>
      <c r="K73" s="137">
        <f t="shared" si="23"/>
        <v>8.2175999999999991</v>
      </c>
      <c r="L73" s="230">
        <f t="shared" si="30"/>
        <v>0</v>
      </c>
      <c r="M73" s="124">
        <f t="shared" si="7"/>
        <v>2.2116899999999999</v>
      </c>
      <c r="N73" s="137">
        <f t="shared" si="8"/>
        <v>0</v>
      </c>
      <c r="O73" s="137">
        <f t="shared" si="9"/>
        <v>0</v>
      </c>
      <c r="P73" s="137">
        <f t="shared" si="29"/>
        <v>2.2116899999999999</v>
      </c>
      <c r="Q73" s="56">
        <f t="shared" si="10"/>
        <v>0</v>
      </c>
      <c r="R73" s="124">
        <f t="shared" si="11"/>
        <v>3.3865499999999997</v>
      </c>
      <c r="S73" s="137">
        <f t="shared" si="12"/>
        <v>0</v>
      </c>
      <c r="T73" s="137">
        <f t="shared" si="31"/>
        <v>3.3865499999999997</v>
      </c>
      <c r="U73" s="218">
        <f t="shared" si="14"/>
        <v>0</v>
      </c>
      <c r="V73" s="124">
        <f t="shared" si="15"/>
        <v>0</v>
      </c>
      <c r="W73" s="125">
        <f t="shared" si="16"/>
        <v>0</v>
      </c>
      <c r="X73" s="137">
        <f t="shared" si="24"/>
        <v>0</v>
      </c>
      <c r="Y73" s="220">
        <f t="shared" si="25"/>
        <v>0</v>
      </c>
      <c r="Z73" s="233">
        <f t="shared" si="26"/>
        <v>0</v>
      </c>
      <c r="AA73" s="125">
        <f t="shared" si="17"/>
        <v>0</v>
      </c>
      <c r="AB73" s="4"/>
      <c r="AC73" s="4"/>
    </row>
    <row r="74" spans="1:29" x14ac:dyDescent="0.2">
      <c r="A74" s="52" t="s">
        <v>45</v>
      </c>
      <c r="B74" s="124">
        <f t="shared" si="18"/>
        <v>2.0259567128694242</v>
      </c>
      <c r="C74" s="137">
        <f t="shared" si="19"/>
        <v>0</v>
      </c>
      <c r="D74" s="137">
        <f t="shared" si="28"/>
        <v>2.0259567128694242</v>
      </c>
      <c r="E74" s="56">
        <f t="shared" si="27"/>
        <v>0</v>
      </c>
      <c r="F74" s="124">
        <f t="shared" si="20"/>
        <v>15.176199999999998</v>
      </c>
      <c r="G74" s="125">
        <f t="shared" si="21"/>
        <v>920.43652999999983</v>
      </c>
      <c r="H74" s="124">
        <f t="shared" si="22"/>
        <v>4.3263999999999996</v>
      </c>
      <c r="I74" s="137">
        <f t="shared" si="5"/>
        <v>0</v>
      </c>
      <c r="J74" s="234">
        <f t="shared" si="6"/>
        <v>0</v>
      </c>
      <c r="K74" s="137">
        <f t="shared" si="23"/>
        <v>4.3263999999999996</v>
      </c>
      <c r="L74" s="230">
        <f t="shared" si="30"/>
        <v>0</v>
      </c>
      <c r="M74" s="124">
        <f t="shared" si="7"/>
        <v>1.1644099999999999</v>
      </c>
      <c r="N74" s="137">
        <f t="shared" si="8"/>
        <v>0</v>
      </c>
      <c r="O74" s="137">
        <f t="shared" si="9"/>
        <v>0</v>
      </c>
      <c r="P74" s="137">
        <f t="shared" si="29"/>
        <v>1.1644099999999999</v>
      </c>
      <c r="Q74" s="56">
        <f t="shared" si="10"/>
        <v>0</v>
      </c>
      <c r="R74" s="124">
        <f t="shared" si="11"/>
        <v>1.7829499999999998</v>
      </c>
      <c r="S74" s="137">
        <f t="shared" si="12"/>
        <v>0</v>
      </c>
      <c r="T74" s="137">
        <f t="shared" si="31"/>
        <v>1.7829499999999998</v>
      </c>
      <c r="U74" s="218">
        <f t="shared" si="14"/>
        <v>0</v>
      </c>
      <c r="V74" s="124">
        <f t="shared" si="15"/>
        <v>0</v>
      </c>
      <c r="W74" s="125">
        <f t="shared" si="16"/>
        <v>0</v>
      </c>
      <c r="X74" s="137">
        <f t="shared" si="24"/>
        <v>0</v>
      </c>
      <c r="Y74" s="220">
        <f t="shared" si="25"/>
        <v>0</v>
      </c>
      <c r="Z74" s="233">
        <f t="shared" si="26"/>
        <v>0</v>
      </c>
      <c r="AA74" s="125">
        <f t="shared" si="17"/>
        <v>0</v>
      </c>
      <c r="AB74" s="4"/>
      <c r="AC74" s="4"/>
    </row>
    <row r="75" spans="1:29" x14ac:dyDescent="0.2">
      <c r="A75" s="52" t="s">
        <v>31</v>
      </c>
      <c r="B75" s="124">
        <f t="shared" si="18"/>
        <v>14.88898365315873</v>
      </c>
      <c r="C75" s="137">
        <f t="shared" si="19"/>
        <v>0</v>
      </c>
      <c r="D75" s="137">
        <f t="shared" si="28"/>
        <v>14.88898365315873</v>
      </c>
      <c r="E75" s="56">
        <f t="shared" si="27"/>
        <v>0</v>
      </c>
      <c r="F75" s="124">
        <f t="shared" ref="F75:F89" si="32">B43*$D$13</f>
        <v>111.5316</v>
      </c>
      <c r="G75" s="125">
        <f t="shared" si="21"/>
        <v>6764.3915399999996</v>
      </c>
      <c r="H75" s="124">
        <f t="shared" si="22"/>
        <v>31.795200000000001</v>
      </c>
      <c r="I75" s="137">
        <f t="shared" si="5"/>
        <v>0</v>
      </c>
      <c r="J75" s="234">
        <f t="shared" si="6"/>
        <v>535.0761</v>
      </c>
      <c r="K75" s="137">
        <f t="shared" si="23"/>
        <v>566.87130000000002</v>
      </c>
      <c r="L75" s="230">
        <f t="shared" si="30"/>
        <v>0</v>
      </c>
      <c r="M75" s="124">
        <f t="shared" si="7"/>
        <v>8.5573800000000002</v>
      </c>
      <c r="N75" s="137">
        <f t="shared" si="8"/>
        <v>0</v>
      </c>
      <c r="O75" s="137">
        <f t="shared" si="9"/>
        <v>0</v>
      </c>
      <c r="P75" s="137">
        <f t="shared" si="29"/>
        <v>8.5573800000000002</v>
      </c>
      <c r="Q75" s="56">
        <f t="shared" si="10"/>
        <v>0</v>
      </c>
      <c r="R75" s="124">
        <f t="shared" si="11"/>
        <v>13.103100000000001</v>
      </c>
      <c r="S75" s="137">
        <f t="shared" si="12"/>
        <v>0</v>
      </c>
      <c r="T75" s="137">
        <f t="shared" si="31"/>
        <v>13.103100000000001</v>
      </c>
      <c r="U75" s="218">
        <f t="shared" si="14"/>
        <v>0</v>
      </c>
      <c r="V75" s="124">
        <f t="shared" si="15"/>
        <v>305.8965</v>
      </c>
      <c r="W75" s="125">
        <f t="shared" si="16"/>
        <v>0</v>
      </c>
      <c r="X75" s="137">
        <f t="shared" si="24"/>
        <v>0</v>
      </c>
      <c r="Y75" s="220">
        <f t="shared" si="25"/>
        <v>34.1432</v>
      </c>
      <c r="Z75" s="233">
        <f t="shared" si="26"/>
        <v>34.1432</v>
      </c>
      <c r="AA75" s="125">
        <f t="shared" si="17"/>
        <v>0</v>
      </c>
      <c r="AB75" s="4"/>
      <c r="AC75" s="4"/>
    </row>
    <row r="76" spans="1:29" x14ac:dyDescent="0.2">
      <c r="A76" s="52" t="s">
        <v>17</v>
      </c>
      <c r="B76" s="124">
        <f t="shared" si="18"/>
        <v>2.913062019096273</v>
      </c>
      <c r="C76" s="137">
        <f t="shared" si="19"/>
        <v>0.44551189594742086</v>
      </c>
      <c r="D76" s="137">
        <f t="shared" si="28"/>
        <v>3.358573915043694</v>
      </c>
      <c r="E76" s="56">
        <f t="shared" si="27"/>
        <v>0</v>
      </c>
      <c r="F76" s="124">
        <f t="shared" si="32"/>
        <v>21.821400000000001</v>
      </c>
      <c r="G76" s="125">
        <f t="shared" si="21"/>
        <v>1323.4679100000001</v>
      </c>
      <c r="H76" s="124">
        <f t="shared" si="22"/>
        <v>6.2207999999999997</v>
      </c>
      <c r="I76" s="137">
        <f t="shared" si="5"/>
        <v>39.744899999999994</v>
      </c>
      <c r="J76" s="234">
        <f t="shared" si="6"/>
        <v>0</v>
      </c>
      <c r="K76" s="137">
        <f t="shared" si="23"/>
        <v>45.965699999999991</v>
      </c>
      <c r="L76" s="230">
        <f t="shared" si="30"/>
        <v>0</v>
      </c>
      <c r="M76" s="124">
        <f t="shared" si="7"/>
        <v>1.6742700000000001</v>
      </c>
      <c r="N76" s="137">
        <f t="shared" si="8"/>
        <v>0</v>
      </c>
      <c r="O76" s="137">
        <f t="shared" si="9"/>
        <v>0</v>
      </c>
      <c r="P76" s="137">
        <f t="shared" si="29"/>
        <v>1.6742700000000001</v>
      </c>
      <c r="Q76" s="56">
        <f t="shared" si="10"/>
        <v>0</v>
      </c>
      <c r="R76" s="124">
        <f t="shared" si="11"/>
        <v>2.56365</v>
      </c>
      <c r="S76" s="137">
        <f t="shared" si="12"/>
        <v>0</v>
      </c>
      <c r="T76" s="137">
        <f t="shared" si="31"/>
        <v>2.56365</v>
      </c>
      <c r="U76" s="218">
        <f t="shared" si="14"/>
        <v>0</v>
      </c>
      <c r="V76" s="124">
        <f t="shared" si="15"/>
        <v>0</v>
      </c>
      <c r="W76" s="125">
        <f t="shared" si="16"/>
        <v>0</v>
      </c>
      <c r="X76" s="137">
        <f t="shared" si="24"/>
        <v>20.794799999999999</v>
      </c>
      <c r="Y76" s="220">
        <f t="shared" si="25"/>
        <v>0</v>
      </c>
      <c r="Z76" s="233">
        <f t="shared" si="26"/>
        <v>20.794799999999999</v>
      </c>
      <c r="AA76" s="125">
        <f t="shared" si="17"/>
        <v>0</v>
      </c>
      <c r="AB76" s="4"/>
      <c r="AC76" s="4"/>
    </row>
    <row r="77" spans="1:29" x14ac:dyDescent="0.2">
      <c r="A77" s="52" t="s">
        <v>133</v>
      </c>
      <c r="B77" s="124">
        <f t="shared" si="18"/>
        <v>2.5774005518753031</v>
      </c>
      <c r="C77" s="137">
        <f t="shared" si="19"/>
        <v>0</v>
      </c>
      <c r="D77" s="137">
        <f>B77+C77</f>
        <v>2.5774005518753031</v>
      </c>
      <c r="E77" s="56">
        <f>D77*$E$64</f>
        <v>0</v>
      </c>
      <c r="F77" s="124">
        <f t="shared" si="32"/>
        <v>19.306999999999999</v>
      </c>
      <c r="G77" s="125">
        <f>F77*$G$64</f>
        <v>1170.9695499999998</v>
      </c>
      <c r="H77" s="124">
        <f t="shared" si="22"/>
        <v>5.5039999999999996</v>
      </c>
      <c r="I77" s="137">
        <f t="shared" si="5"/>
        <v>0</v>
      </c>
      <c r="J77" s="234">
        <f t="shared" si="6"/>
        <v>0</v>
      </c>
      <c r="K77" s="137">
        <f t="shared" si="23"/>
        <v>5.5039999999999996</v>
      </c>
      <c r="L77" s="230">
        <f t="shared" si="30"/>
        <v>0</v>
      </c>
      <c r="M77" s="124">
        <f t="shared" si="7"/>
        <v>1.4813499999999999</v>
      </c>
      <c r="N77" s="137">
        <f t="shared" si="8"/>
        <v>0</v>
      </c>
      <c r="O77" s="137">
        <f t="shared" si="9"/>
        <v>0</v>
      </c>
      <c r="P77" s="137">
        <f>M77+N77+O77</f>
        <v>1.4813499999999999</v>
      </c>
      <c r="Q77" s="56">
        <f t="shared" si="10"/>
        <v>0</v>
      </c>
      <c r="R77" s="124">
        <f t="shared" si="11"/>
        <v>2.2682499999999997</v>
      </c>
      <c r="S77" s="137">
        <f t="shared" si="12"/>
        <v>0</v>
      </c>
      <c r="T77" s="137">
        <f>R77+S77</f>
        <v>2.2682499999999997</v>
      </c>
      <c r="U77" s="218">
        <f t="shared" si="14"/>
        <v>0</v>
      </c>
      <c r="V77" s="124">
        <f t="shared" si="15"/>
        <v>0</v>
      </c>
      <c r="W77" s="125">
        <f t="shared" si="16"/>
        <v>0</v>
      </c>
      <c r="X77" s="137">
        <f t="shared" si="24"/>
        <v>0</v>
      </c>
      <c r="Y77" s="220">
        <f t="shared" si="25"/>
        <v>0</v>
      </c>
      <c r="Z77" s="233">
        <f t="shared" si="26"/>
        <v>0</v>
      </c>
      <c r="AA77" s="125">
        <f t="shared" si="17"/>
        <v>0</v>
      </c>
      <c r="AB77" s="4"/>
      <c r="AC77" s="4"/>
    </row>
    <row r="78" spans="1:29" x14ac:dyDescent="0.2">
      <c r="A78" s="52" t="s">
        <v>12</v>
      </c>
      <c r="B78" s="124">
        <f t="shared" si="18"/>
        <v>4.2437199784365465</v>
      </c>
      <c r="C78" s="137">
        <f t="shared" si="19"/>
        <v>0.25476798343087459</v>
      </c>
      <c r="D78" s="137">
        <f t="shared" si="28"/>
        <v>4.4984879618674212</v>
      </c>
      <c r="E78" s="56">
        <f t="shared" si="27"/>
        <v>0</v>
      </c>
      <c r="F78" s="124">
        <f t="shared" si="32"/>
        <v>31.789200000000001</v>
      </c>
      <c r="G78" s="125">
        <f t="shared" si="21"/>
        <v>1928.0149799999999</v>
      </c>
      <c r="H78" s="124">
        <f t="shared" si="22"/>
        <v>9.0624000000000002</v>
      </c>
      <c r="I78" s="137">
        <f t="shared" si="5"/>
        <v>22.728300000000001</v>
      </c>
      <c r="J78" s="234">
        <f t="shared" si="6"/>
        <v>0</v>
      </c>
      <c r="K78" s="137">
        <f t="shared" si="23"/>
        <v>31.790700000000001</v>
      </c>
      <c r="L78" s="230">
        <f t="shared" si="30"/>
        <v>0</v>
      </c>
      <c r="M78" s="124">
        <f t="shared" si="7"/>
        <v>2.4390600000000004</v>
      </c>
      <c r="N78" s="137">
        <f t="shared" si="8"/>
        <v>3.6061199999999998</v>
      </c>
      <c r="O78" s="137">
        <f t="shared" si="9"/>
        <v>11.576460000000001</v>
      </c>
      <c r="P78" s="137">
        <f t="shared" si="29"/>
        <v>17.621639999999999</v>
      </c>
      <c r="Q78" s="56">
        <f t="shared" si="10"/>
        <v>0</v>
      </c>
      <c r="R78" s="124">
        <f t="shared" si="11"/>
        <v>3.7347000000000001</v>
      </c>
      <c r="S78" s="137">
        <f t="shared" si="12"/>
        <v>5.2416999999999998</v>
      </c>
      <c r="T78" s="137">
        <f t="shared" si="31"/>
        <v>8.9763999999999999</v>
      </c>
      <c r="U78" s="218">
        <f t="shared" si="14"/>
        <v>0</v>
      </c>
      <c r="V78" s="124">
        <f t="shared" si="15"/>
        <v>0</v>
      </c>
      <c r="W78" s="125">
        <f t="shared" si="16"/>
        <v>0</v>
      </c>
      <c r="X78" s="137">
        <f t="shared" si="24"/>
        <v>11.8916</v>
      </c>
      <c r="Y78" s="220">
        <f t="shared" si="25"/>
        <v>0</v>
      </c>
      <c r="Z78" s="233">
        <f t="shared" si="26"/>
        <v>11.8916</v>
      </c>
      <c r="AA78" s="125">
        <f t="shared" si="17"/>
        <v>0</v>
      </c>
      <c r="AB78" s="4"/>
      <c r="AC78" s="4"/>
    </row>
    <row r="79" spans="1:29" x14ac:dyDescent="0.2">
      <c r="A79" s="52" t="s">
        <v>13</v>
      </c>
      <c r="B79" s="124">
        <f t="shared" si="18"/>
        <v>2.1218599892182732</v>
      </c>
      <c r="C79" s="137">
        <f t="shared" si="19"/>
        <v>3.9052026657287339E-2</v>
      </c>
      <c r="D79" s="137">
        <f t="shared" si="28"/>
        <v>2.1609120158755606</v>
      </c>
      <c r="E79" s="56">
        <f t="shared" si="27"/>
        <v>0</v>
      </c>
      <c r="F79" s="124">
        <f t="shared" si="32"/>
        <v>15.894600000000001</v>
      </c>
      <c r="G79" s="125">
        <f t="shared" si="21"/>
        <v>964.00748999999996</v>
      </c>
      <c r="H79" s="124">
        <f t="shared" si="22"/>
        <v>4.5312000000000001</v>
      </c>
      <c r="I79" s="137">
        <f t="shared" si="5"/>
        <v>3.4838999999999998</v>
      </c>
      <c r="J79" s="234">
        <f t="shared" si="6"/>
        <v>0.99180000000000001</v>
      </c>
      <c r="K79" s="137">
        <f t="shared" si="23"/>
        <v>9.0068999999999999</v>
      </c>
      <c r="L79" s="230">
        <f t="shared" si="30"/>
        <v>0</v>
      </c>
      <c r="M79" s="124">
        <f t="shared" si="7"/>
        <v>1.2195300000000002</v>
      </c>
      <c r="N79" s="137">
        <f t="shared" si="8"/>
        <v>0</v>
      </c>
      <c r="O79" s="137">
        <f t="shared" si="9"/>
        <v>0</v>
      </c>
      <c r="P79" s="137">
        <f t="shared" si="29"/>
        <v>1.2195300000000002</v>
      </c>
      <c r="Q79" s="56">
        <f t="shared" si="10"/>
        <v>0</v>
      </c>
      <c r="R79" s="124">
        <f t="shared" si="11"/>
        <v>1.8673500000000001</v>
      </c>
      <c r="S79" s="137">
        <f t="shared" si="12"/>
        <v>0</v>
      </c>
      <c r="T79" s="137">
        <f t="shared" si="31"/>
        <v>1.8673500000000001</v>
      </c>
      <c r="U79" s="218">
        <f t="shared" si="14"/>
        <v>0</v>
      </c>
      <c r="V79" s="124">
        <f t="shared" si="15"/>
        <v>0.56699999999999995</v>
      </c>
      <c r="W79" s="125">
        <f t="shared" si="16"/>
        <v>0</v>
      </c>
      <c r="X79" s="137">
        <f t="shared" si="24"/>
        <v>1.8228</v>
      </c>
      <c r="Y79" s="220">
        <f t="shared" si="25"/>
        <v>0</v>
      </c>
      <c r="Z79" s="233">
        <f t="shared" si="26"/>
        <v>1.8228</v>
      </c>
      <c r="AA79" s="125">
        <f t="shared" si="17"/>
        <v>0</v>
      </c>
      <c r="AB79" s="4"/>
      <c r="AC79" s="4"/>
    </row>
    <row r="80" spans="1:29" x14ac:dyDescent="0.2">
      <c r="A80" s="52" t="s">
        <v>9</v>
      </c>
      <c r="B80" s="124">
        <f t="shared" si="18"/>
        <v>6.2097371435879403</v>
      </c>
      <c r="C80" s="137">
        <f t="shared" si="19"/>
        <v>0.81398237876141788</v>
      </c>
      <c r="D80" s="137">
        <f t="shared" si="28"/>
        <v>7.0237195223493583</v>
      </c>
      <c r="E80" s="56">
        <f t="shared" si="27"/>
        <v>0</v>
      </c>
      <c r="F80" s="124">
        <f t="shared" si="32"/>
        <v>46.516399999999997</v>
      </c>
      <c r="G80" s="125">
        <f t="shared" si="21"/>
        <v>2821.2196599999997</v>
      </c>
      <c r="H80" s="124">
        <f t="shared" si="22"/>
        <v>13.2608</v>
      </c>
      <c r="I80" s="137">
        <f t="shared" si="5"/>
        <v>72.616799999999998</v>
      </c>
      <c r="J80" s="234">
        <f t="shared" si="6"/>
        <v>0</v>
      </c>
      <c r="K80" s="137">
        <f t="shared" si="23"/>
        <v>85.877600000000001</v>
      </c>
      <c r="L80" s="230">
        <f t="shared" si="30"/>
        <v>0</v>
      </c>
      <c r="M80" s="124">
        <f t="shared" si="7"/>
        <v>3.5690200000000001</v>
      </c>
      <c r="N80" s="137">
        <f t="shared" si="8"/>
        <v>0</v>
      </c>
      <c r="O80" s="137">
        <f t="shared" si="9"/>
        <v>46.125239999999998</v>
      </c>
      <c r="P80" s="137">
        <f t="shared" si="29"/>
        <v>49.69426</v>
      </c>
      <c r="Q80" s="56">
        <f t="shared" si="10"/>
        <v>0</v>
      </c>
      <c r="R80" s="124">
        <f t="shared" si="11"/>
        <v>5.4649000000000001</v>
      </c>
      <c r="S80" s="137">
        <f t="shared" si="12"/>
        <v>0</v>
      </c>
      <c r="T80" s="137">
        <f t="shared" si="31"/>
        <v>5.4649000000000001</v>
      </c>
      <c r="U80" s="218">
        <f t="shared" si="14"/>
        <v>0</v>
      </c>
      <c r="V80" s="124">
        <f t="shared" si="15"/>
        <v>0</v>
      </c>
      <c r="W80" s="125">
        <f t="shared" si="16"/>
        <v>0</v>
      </c>
      <c r="X80" s="137">
        <f t="shared" si="24"/>
        <v>37.993600000000001</v>
      </c>
      <c r="Y80" s="220">
        <f t="shared" si="25"/>
        <v>0</v>
      </c>
      <c r="Z80" s="233">
        <f t="shared" si="26"/>
        <v>37.993600000000001</v>
      </c>
      <c r="AA80" s="125">
        <f t="shared" si="17"/>
        <v>0</v>
      </c>
      <c r="AB80" s="4"/>
      <c r="AC80" s="4"/>
    </row>
    <row r="81" spans="1:29" x14ac:dyDescent="0.2">
      <c r="A81" s="52" t="s">
        <v>14</v>
      </c>
      <c r="B81" s="124">
        <f t="shared" si="18"/>
        <v>2.3016786323723637</v>
      </c>
      <c r="C81" s="137">
        <f t="shared" si="19"/>
        <v>0</v>
      </c>
      <c r="D81" s="137">
        <f t="shared" si="28"/>
        <v>2.3016786323723637</v>
      </c>
      <c r="E81" s="56">
        <f t="shared" si="27"/>
        <v>0</v>
      </c>
      <c r="F81" s="124">
        <f t="shared" si="32"/>
        <v>17.241599999999998</v>
      </c>
      <c r="G81" s="125">
        <f t="shared" si="21"/>
        <v>1045.7030399999999</v>
      </c>
      <c r="H81" s="124">
        <f t="shared" si="22"/>
        <v>4.9151999999999996</v>
      </c>
      <c r="I81" s="137">
        <f t="shared" si="5"/>
        <v>0</v>
      </c>
      <c r="J81" s="234">
        <f t="shared" si="6"/>
        <v>0</v>
      </c>
      <c r="K81" s="137">
        <f t="shared" si="23"/>
        <v>4.9151999999999996</v>
      </c>
      <c r="L81" s="230">
        <f t="shared" si="30"/>
        <v>0</v>
      </c>
      <c r="M81" s="124">
        <f t="shared" si="7"/>
        <v>1.3228800000000001</v>
      </c>
      <c r="N81" s="137">
        <f t="shared" si="8"/>
        <v>9.1853999999999996</v>
      </c>
      <c r="O81" s="137">
        <f t="shared" si="9"/>
        <v>0</v>
      </c>
      <c r="P81" s="137">
        <f t="shared" si="29"/>
        <v>10.508279999999999</v>
      </c>
      <c r="Q81" s="56">
        <f t="shared" si="10"/>
        <v>0</v>
      </c>
      <c r="R81" s="124">
        <f t="shared" si="11"/>
        <v>2.0255999999999998</v>
      </c>
      <c r="S81" s="137">
        <f t="shared" si="12"/>
        <v>13.3515</v>
      </c>
      <c r="T81" s="137">
        <f t="shared" si="31"/>
        <v>15.377099999999999</v>
      </c>
      <c r="U81" s="218">
        <f t="shared" si="14"/>
        <v>0</v>
      </c>
      <c r="V81" s="124">
        <f t="shared" si="15"/>
        <v>0</v>
      </c>
      <c r="W81" s="125">
        <f t="shared" si="16"/>
        <v>0</v>
      </c>
      <c r="X81" s="137">
        <f t="shared" si="24"/>
        <v>0</v>
      </c>
      <c r="Y81" s="220">
        <f t="shared" si="25"/>
        <v>9.0999999999999998E-2</v>
      </c>
      <c r="Z81" s="233">
        <f t="shared" si="26"/>
        <v>9.0999999999999998E-2</v>
      </c>
      <c r="AA81" s="125">
        <f t="shared" si="17"/>
        <v>0</v>
      </c>
      <c r="AB81" s="4"/>
      <c r="AC81" s="4"/>
    </row>
    <row r="82" spans="1:29" x14ac:dyDescent="0.2">
      <c r="A82" s="52" t="s">
        <v>15</v>
      </c>
      <c r="B82" s="124">
        <f t="shared" si="18"/>
        <v>4.771187998355213</v>
      </c>
      <c r="C82" s="137">
        <f t="shared" si="19"/>
        <v>0</v>
      </c>
      <c r="D82" s="137">
        <f t="shared" si="28"/>
        <v>4.771187998355213</v>
      </c>
      <c r="E82" s="56">
        <f t="shared" si="27"/>
        <v>0</v>
      </c>
      <c r="F82" s="124">
        <f t="shared" si="32"/>
        <v>35.740400000000001</v>
      </c>
      <c r="G82" s="125">
        <f t="shared" si="21"/>
        <v>2167.65526</v>
      </c>
      <c r="H82" s="124">
        <f t="shared" si="22"/>
        <v>10.188800000000001</v>
      </c>
      <c r="I82" s="137">
        <f t="shared" si="5"/>
        <v>0</v>
      </c>
      <c r="J82" s="234">
        <f t="shared" si="6"/>
        <v>14.9321</v>
      </c>
      <c r="K82" s="137">
        <f t="shared" si="23"/>
        <v>25.120899999999999</v>
      </c>
      <c r="L82" s="230">
        <f t="shared" si="30"/>
        <v>0</v>
      </c>
      <c r="M82" s="124">
        <f t="shared" si="7"/>
        <v>2.7422200000000005</v>
      </c>
      <c r="N82" s="137">
        <f t="shared" si="8"/>
        <v>3.2319</v>
      </c>
      <c r="O82" s="137">
        <f t="shared" si="9"/>
        <v>0.51471</v>
      </c>
      <c r="P82" s="137">
        <f t="shared" si="29"/>
        <v>6.488830000000001</v>
      </c>
      <c r="Q82" s="56">
        <f t="shared" si="10"/>
        <v>0</v>
      </c>
      <c r="R82" s="124">
        <f t="shared" si="11"/>
        <v>4.1989000000000001</v>
      </c>
      <c r="S82" s="137">
        <f t="shared" si="12"/>
        <v>4.6977500000000001</v>
      </c>
      <c r="T82" s="137">
        <f t="shared" si="31"/>
        <v>8.8966500000000011</v>
      </c>
      <c r="U82" s="218">
        <f t="shared" si="14"/>
        <v>0</v>
      </c>
      <c r="V82" s="124">
        <f t="shared" si="15"/>
        <v>8.5365000000000002</v>
      </c>
      <c r="W82" s="125">
        <f t="shared" si="16"/>
        <v>0</v>
      </c>
      <c r="X82" s="137">
        <f t="shared" si="24"/>
        <v>0</v>
      </c>
      <c r="Y82" s="220">
        <f t="shared" si="25"/>
        <v>9.4822000000000006</v>
      </c>
      <c r="Z82" s="233">
        <f t="shared" si="26"/>
        <v>9.4822000000000006</v>
      </c>
      <c r="AA82" s="125">
        <f t="shared" si="17"/>
        <v>0</v>
      </c>
      <c r="AB82" s="4"/>
      <c r="AC82" s="4"/>
    </row>
    <row r="83" spans="1:29" x14ac:dyDescent="0.2">
      <c r="A83" s="52" t="s">
        <v>10</v>
      </c>
      <c r="B83" s="124">
        <f t="shared" si="18"/>
        <v>6.0538943195210617</v>
      </c>
      <c r="C83" s="137">
        <f t="shared" si="19"/>
        <v>0.4338228539547635</v>
      </c>
      <c r="D83" s="137">
        <f t="shared" si="28"/>
        <v>6.4877171734758257</v>
      </c>
      <c r="E83" s="56">
        <f t="shared" si="27"/>
        <v>0</v>
      </c>
      <c r="F83" s="124">
        <f t="shared" si="32"/>
        <v>45.349000000000004</v>
      </c>
      <c r="G83" s="125">
        <f t="shared" si="21"/>
        <v>2750.4168500000001</v>
      </c>
      <c r="H83" s="124">
        <f t="shared" si="22"/>
        <v>12.928000000000001</v>
      </c>
      <c r="I83" s="137">
        <f t="shared" si="5"/>
        <v>38.702100000000002</v>
      </c>
      <c r="J83" s="234">
        <f t="shared" si="6"/>
        <v>0</v>
      </c>
      <c r="K83" s="137">
        <f t="shared" si="23"/>
        <v>51.630099999999999</v>
      </c>
      <c r="L83" s="230">
        <f t="shared" si="30"/>
        <v>0</v>
      </c>
      <c r="M83" s="124">
        <f t="shared" si="7"/>
        <v>3.4794500000000004</v>
      </c>
      <c r="N83" s="137">
        <f t="shared" si="8"/>
        <v>0</v>
      </c>
      <c r="O83" s="137">
        <f t="shared" si="9"/>
        <v>0</v>
      </c>
      <c r="P83" s="137">
        <f t="shared" si="29"/>
        <v>3.4794500000000004</v>
      </c>
      <c r="Q83" s="56">
        <f t="shared" si="10"/>
        <v>0</v>
      </c>
      <c r="R83" s="124">
        <f t="shared" si="11"/>
        <v>5.32775</v>
      </c>
      <c r="S83" s="137">
        <f t="shared" si="12"/>
        <v>0</v>
      </c>
      <c r="T83" s="137">
        <f t="shared" si="31"/>
        <v>5.32775</v>
      </c>
      <c r="U83" s="218">
        <f t="shared" si="14"/>
        <v>0</v>
      </c>
      <c r="V83" s="124">
        <f t="shared" si="15"/>
        <v>0</v>
      </c>
      <c r="W83" s="125">
        <f t="shared" si="16"/>
        <v>0</v>
      </c>
      <c r="X83" s="137">
        <f t="shared" si="24"/>
        <v>20.249200000000002</v>
      </c>
      <c r="Y83" s="220">
        <f t="shared" si="25"/>
        <v>0</v>
      </c>
      <c r="Z83" s="233">
        <f t="shared" si="26"/>
        <v>20.249200000000002</v>
      </c>
      <c r="AA83" s="125">
        <f t="shared" si="17"/>
        <v>0</v>
      </c>
      <c r="AB83" s="4"/>
      <c r="AC83" s="4"/>
    </row>
    <row r="84" spans="1:29" x14ac:dyDescent="0.2">
      <c r="A84" s="52" t="s">
        <v>8</v>
      </c>
      <c r="B84" s="124">
        <f t="shared" si="18"/>
        <v>7.1567819975328195</v>
      </c>
      <c r="C84" s="137">
        <f t="shared" si="19"/>
        <v>0.37192406340273665</v>
      </c>
      <c r="D84" s="137">
        <f t="shared" si="28"/>
        <v>7.5287060609355558</v>
      </c>
      <c r="E84" s="56">
        <f t="shared" si="27"/>
        <v>0</v>
      </c>
      <c r="F84" s="124">
        <f t="shared" si="32"/>
        <v>53.610600000000005</v>
      </c>
      <c r="G84" s="125">
        <f t="shared" si="21"/>
        <v>3251.4828900000002</v>
      </c>
      <c r="H84" s="124">
        <f t="shared" si="22"/>
        <v>15.283200000000001</v>
      </c>
      <c r="I84" s="137">
        <f t="shared" si="5"/>
        <v>33.18</v>
      </c>
      <c r="J84" s="234">
        <f t="shared" si="6"/>
        <v>0</v>
      </c>
      <c r="K84" s="137">
        <f t="shared" si="23"/>
        <v>48.463200000000001</v>
      </c>
      <c r="L84" s="230">
        <f t="shared" si="30"/>
        <v>0</v>
      </c>
      <c r="M84" s="124">
        <f t="shared" si="7"/>
        <v>4.1133300000000004</v>
      </c>
      <c r="N84" s="137">
        <f t="shared" si="8"/>
        <v>217.08161999999999</v>
      </c>
      <c r="O84" s="137">
        <f t="shared" si="9"/>
        <v>28.408379999999998</v>
      </c>
      <c r="P84" s="137">
        <f t="shared" si="29"/>
        <v>249.60332999999997</v>
      </c>
      <c r="Q84" s="56">
        <f t="shared" si="10"/>
        <v>0</v>
      </c>
      <c r="R84" s="124">
        <f t="shared" si="11"/>
        <v>6.2983500000000001</v>
      </c>
      <c r="S84" s="137">
        <f t="shared" si="12"/>
        <v>315.54045000000002</v>
      </c>
      <c r="T84" s="137">
        <f t="shared" si="31"/>
        <v>321.83880000000005</v>
      </c>
      <c r="U84" s="218">
        <f t="shared" si="14"/>
        <v>0</v>
      </c>
      <c r="V84" s="124">
        <f t="shared" si="15"/>
        <v>0</v>
      </c>
      <c r="W84" s="125">
        <f t="shared" si="16"/>
        <v>0</v>
      </c>
      <c r="X84" s="137">
        <f t="shared" si="24"/>
        <v>17.360000000000003</v>
      </c>
      <c r="Y84" s="220">
        <f t="shared" si="25"/>
        <v>0</v>
      </c>
      <c r="Z84" s="233">
        <f t="shared" si="26"/>
        <v>17.360000000000003</v>
      </c>
      <c r="AA84" s="125">
        <f t="shared" si="17"/>
        <v>0</v>
      </c>
      <c r="AB84" s="4"/>
      <c r="AC84" s="4"/>
    </row>
    <row r="85" spans="1:29" x14ac:dyDescent="0.2">
      <c r="A85" s="52" t="s">
        <v>18</v>
      </c>
      <c r="B85" s="124">
        <f t="shared" si="18"/>
        <v>0.29969773859015159</v>
      </c>
      <c r="C85" s="137">
        <f t="shared" si="19"/>
        <v>1.3814322354958787E-2</v>
      </c>
      <c r="D85" s="137">
        <f t="shared" si="28"/>
        <v>0.31351206094511036</v>
      </c>
      <c r="E85" s="56">
        <f t="shared" si="27"/>
        <v>0</v>
      </c>
      <c r="F85" s="124">
        <f t="shared" si="32"/>
        <v>2.2450000000000001</v>
      </c>
      <c r="G85" s="125">
        <f t="shared" si="21"/>
        <v>136.15925000000001</v>
      </c>
      <c r="H85" s="124">
        <f t="shared" si="22"/>
        <v>0.64</v>
      </c>
      <c r="I85" s="137">
        <f t="shared" si="5"/>
        <v>1.2323999999999999</v>
      </c>
      <c r="J85" s="234">
        <f t="shared" si="6"/>
        <v>0</v>
      </c>
      <c r="K85" s="137">
        <f t="shared" si="23"/>
        <v>1.8723999999999998</v>
      </c>
      <c r="L85" s="230">
        <f>K85*$L$64</f>
        <v>0</v>
      </c>
      <c r="M85" s="124">
        <f t="shared" si="7"/>
        <v>0.17225000000000001</v>
      </c>
      <c r="N85" s="137">
        <f t="shared" si="8"/>
        <v>8.6070599999999988</v>
      </c>
      <c r="O85" s="137">
        <f t="shared" si="9"/>
        <v>1.1287499999999999</v>
      </c>
      <c r="P85" s="137">
        <f>M85+N85+O85</f>
        <v>9.908059999999999</v>
      </c>
      <c r="Q85" s="56">
        <f t="shared" si="10"/>
        <v>0</v>
      </c>
      <c r="R85" s="124">
        <f t="shared" si="11"/>
        <v>0.26374999999999998</v>
      </c>
      <c r="S85" s="137">
        <f t="shared" si="12"/>
        <v>12.51085</v>
      </c>
      <c r="T85" s="137">
        <f t="shared" si="31"/>
        <v>12.7746</v>
      </c>
      <c r="U85" s="218">
        <f t="shared" si="14"/>
        <v>0</v>
      </c>
      <c r="V85" s="124">
        <f t="shared" si="15"/>
        <v>0</v>
      </c>
      <c r="W85" s="125">
        <f t="shared" si="16"/>
        <v>0</v>
      </c>
      <c r="X85" s="137">
        <f t="shared" si="24"/>
        <v>0.64479999999999993</v>
      </c>
      <c r="Y85" s="220">
        <f t="shared" si="25"/>
        <v>0</v>
      </c>
      <c r="Z85" s="233">
        <f t="shared" si="26"/>
        <v>0.64479999999999993</v>
      </c>
      <c r="AA85" s="125">
        <f t="shared" si="17"/>
        <v>0</v>
      </c>
      <c r="AB85" s="4"/>
      <c r="AC85" s="4"/>
    </row>
    <row r="86" spans="1:29" x14ac:dyDescent="0.2">
      <c r="A86" s="52" t="s">
        <v>120</v>
      </c>
      <c r="B86" s="124">
        <f t="shared" si="18"/>
        <v>0.68331084398554554</v>
      </c>
      <c r="C86" s="137">
        <f t="shared" si="19"/>
        <v>1.3017342219095781E-2</v>
      </c>
      <c r="D86" s="137">
        <f>B86+C86</f>
        <v>0.69632818620464132</v>
      </c>
      <c r="E86" s="56">
        <f>D86*$E$64</f>
        <v>0</v>
      </c>
      <c r="F86" s="124">
        <f t="shared" si="32"/>
        <v>5.1185999999999998</v>
      </c>
      <c r="G86" s="125">
        <f>F86*$G$64</f>
        <v>310.44308999999998</v>
      </c>
      <c r="H86" s="124">
        <f t="shared" si="22"/>
        <v>1.4592000000000001</v>
      </c>
      <c r="I86" s="137">
        <f t="shared" si="5"/>
        <v>1.1613</v>
      </c>
      <c r="J86" s="234">
        <f t="shared" si="6"/>
        <v>0</v>
      </c>
      <c r="K86" s="137">
        <f t="shared" si="23"/>
        <v>2.6204999999999998</v>
      </c>
      <c r="L86" s="230">
        <f>K86*$L$64</f>
        <v>0</v>
      </c>
      <c r="M86" s="124">
        <f t="shared" si="7"/>
        <v>0.39273000000000002</v>
      </c>
      <c r="N86" s="137">
        <f t="shared" si="8"/>
        <v>30.788099999999996</v>
      </c>
      <c r="O86" s="137">
        <f t="shared" si="9"/>
        <v>0</v>
      </c>
      <c r="P86" s="137">
        <f>M86+N86+O86</f>
        <v>31.180829999999997</v>
      </c>
      <c r="Q86" s="56">
        <f t="shared" si="10"/>
        <v>0</v>
      </c>
      <c r="R86" s="124">
        <f t="shared" si="11"/>
        <v>0.60135000000000005</v>
      </c>
      <c r="S86" s="137">
        <f t="shared" si="12"/>
        <v>44.752249999999997</v>
      </c>
      <c r="T86" s="137">
        <f>R86+S86</f>
        <v>45.3536</v>
      </c>
      <c r="U86" s="218">
        <f t="shared" si="14"/>
        <v>0</v>
      </c>
      <c r="V86" s="124">
        <f t="shared" si="15"/>
        <v>0</v>
      </c>
      <c r="W86" s="125">
        <f t="shared" si="16"/>
        <v>0</v>
      </c>
      <c r="X86" s="137">
        <f t="shared" si="24"/>
        <v>0.60760000000000003</v>
      </c>
      <c r="Y86" s="220">
        <f t="shared" si="25"/>
        <v>0</v>
      </c>
      <c r="Z86" s="233">
        <f t="shared" si="26"/>
        <v>0.60760000000000003</v>
      </c>
      <c r="AA86" s="125">
        <f t="shared" si="17"/>
        <v>0</v>
      </c>
      <c r="AB86" s="4"/>
      <c r="AC86" s="4"/>
    </row>
    <row r="87" spans="1:29" x14ac:dyDescent="0.2">
      <c r="A87" s="52" t="s">
        <v>121</v>
      </c>
      <c r="B87" s="124">
        <f t="shared" si="18"/>
        <v>0.50349220083145463</v>
      </c>
      <c r="C87" s="137">
        <f t="shared" si="19"/>
        <v>2.4972044257040887E-2</v>
      </c>
      <c r="D87" s="137">
        <f t="shared" si="28"/>
        <v>0.52846424508849554</v>
      </c>
      <c r="E87" s="56">
        <f t="shared" si="27"/>
        <v>0</v>
      </c>
      <c r="F87" s="124">
        <f t="shared" si="32"/>
        <v>3.7715999999999998</v>
      </c>
      <c r="G87" s="125">
        <f t="shared" si="21"/>
        <v>228.74753999999999</v>
      </c>
      <c r="H87" s="124">
        <f t="shared" si="22"/>
        <v>1.0751999999999999</v>
      </c>
      <c r="I87" s="137">
        <f t="shared" si="5"/>
        <v>2.2278000000000002</v>
      </c>
      <c r="J87" s="234">
        <f t="shared" si="6"/>
        <v>0</v>
      </c>
      <c r="K87" s="137">
        <f t="shared" si="23"/>
        <v>3.3029999999999999</v>
      </c>
      <c r="L87" s="230">
        <f>K87*$L$64</f>
        <v>0</v>
      </c>
      <c r="M87" s="124">
        <f t="shared" si="7"/>
        <v>0.28938000000000003</v>
      </c>
      <c r="N87" s="137">
        <f t="shared" si="8"/>
        <v>0.20411999999999997</v>
      </c>
      <c r="O87" s="137">
        <f t="shared" si="9"/>
        <v>1.0655399999999999</v>
      </c>
      <c r="P87" s="137">
        <f>M87+N87+O87</f>
        <v>1.55904</v>
      </c>
      <c r="Q87" s="56">
        <f t="shared" si="10"/>
        <v>0</v>
      </c>
      <c r="R87" s="124">
        <f t="shared" si="11"/>
        <v>0.44309999999999999</v>
      </c>
      <c r="S87" s="137">
        <f t="shared" si="12"/>
        <v>0.29669999999999996</v>
      </c>
      <c r="T87" s="137">
        <f t="shared" si="31"/>
        <v>0.73980000000000001</v>
      </c>
      <c r="U87" s="218">
        <f t="shared" si="14"/>
        <v>0</v>
      </c>
      <c r="V87" s="124">
        <f t="shared" si="15"/>
        <v>0</v>
      </c>
      <c r="W87" s="125">
        <f t="shared" si="16"/>
        <v>0</v>
      </c>
      <c r="X87" s="137">
        <f t="shared" si="24"/>
        <v>1.1656</v>
      </c>
      <c r="Y87" s="220">
        <f t="shared" si="25"/>
        <v>0</v>
      </c>
      <c r="Z87" s="233">
        <f t="shared" si="26"/>
        <v>1.1656</v>
      </c>
      <c r="AA87" s="125">
        <f t="shared" si="17"/>
        <v>0</v>
      </c>
      <c r="AB87" s="4"/>
      <c r="AC87" s="4"/>
    </row>
    <row r="88" spans="1:29" x14ac:dyDescent="0.2">
      <c r="A88" s="52" t="s">
        <v>103</v>
      </c>
      <c r="B88" s="124">
        <f t="shared" si="18"/>
        <v>0.23975819087212125</v>
      </c>
      <c r="C88" s="137">
        <f t="shared" si="19"/>
        <v>7.7041413133424001E-3</v>
      </c>
      <c r="D88" s="137">
        <f t="shared" si="28"/>
        <v>0.24746233218546365</v>
      </c>
      <c r="E88" s="56">
        <f t="shared" si="27"/>
        <v>0</v>
      </c>
      <c r="F88" s="124">
        <f t="shared" si="32"/>
        <v>1.796</v>
      </c>
      <c r="G88" s="125">
        <f t="shared" si="21"/>
        <v>108.92740000000001</v>
      </c>
      <c r="H88" s="124">
        <f t="shared" si="22"/>
        <v>0.51200000000000001</v>
      </c>
      <c r="I88" s="137">
        <f t="shared" si="5"/>
        <v>0.68729999999999991</v>
      </c>
      <c r="J88" s="234">
        <f t="shared" si="6"/>
        <v>0</v>
      </c>
      <c r="K88" s="137">
        <f t="shared" si="23"/>
        <v>1.1993</v>
      </c>
      <c r="L88" s="230">
        <f>K88*$L$64</f>
        <v>0</v>
      </c>
      <c r="M88" s="124">
        <f t="shared" si="7"/>
        <v>0.13780000000000001</v>
      </c>
      <c r="N88" s="137">
        <f t="shared" si="8"/>
        <v>6.531839999999999</v>
      </c>
      <c r="O88" s="137">
        <f t="shared" si="9"/>
        <v>0.76755000000000007</v>
      </c>
      <c r="P88" s="137">
        <f>M88+N88+O88</f>
        <v>7.4371899999999993</v>
      </c>
      <c r="Q88" s="56">
        <f t="shared" si="10"/>
        <v>0</v>
      </c>
      <c r="R88" s="124">
        <f t="shared" si="11"/>
        <v>0.21099999999999999</v>
      </c>
      <c r="S88" s="137">
        <f t="shared" si="12"/>
        <v>9.4943999999999988</v>
      </c>
      <c r="T88" s="137">
        <f t="shared" si="31"/>
        <v>9.7053999999999991</v>
      </c>
      <c r="U88" s="218">
        <f t="shared" si="14"/>
        <v>0</v>
      </c>
      <c r="V88" s="124">
        <f t="shared" si="15"/>
        <v>0</v>
      </c>
      <c r="W88" s="125">
        <f t="shared" si="16"/>
        <v>0</v>
      </c>
      <c r="X88" s="137">
        <f t="shared" si="24"/>
        <v>0.35959999999999998</v>
      </c>
      <c r="Y88" s="220">
        <f t="shared" si="25"/>
        <v>0</v>
      </c>
      <c r="Z88" s="233">
        <f t="shared" si="26"/>
        <v>0.35959999999999998</v>
      </c>
      <c r="AA88" s="125">
        <f t="shared" si="17"/>
        <v>0</v>
      </c>
      <c r="AB88" s="4"/>
      <c r="AC88" s="4"/>
    </row>
    <row r="89" spans="1:29" ht="13.5" thickBot="1" x14ac:dyDescent="0.25">
      <c r="A89" s="52" t="s">
        <v>104</v>
      </c>
      <c r="B89" s="124">
        <f t="shared" si="18"/>
        <v>0.23975819087212125</v>
      </c>
      <c r="C89" s="137">
        <f t="shared" si="19"/>
        <v>0</v>
      </c>
      <c r="D89" s="137">
        <f>B89+C89</f>
        <v>0.23975819087212125</v>
      </c>
      <c r="E89" s="56">
        <f>D89*$E$64</f>
        <v>0</v>
      </c>
      <c r="F89" s="124">
        <f t="shared" si="32"/>
        <v>1.796</v>
      </c>
      <c r="G89" s="125">
        <f t="shared" si="21"/>
        <v>108.92740000000001</v>
      </c>
      <c r="H89" s="124">
        <f t="shared" si="22"/>
        <v>0.51200000000000001</v>
      </c>
      <c r="I89" s="137">
        <f t="shared" si="5"/>
        <v>0</v>
      </c>
      <c r="J89" s="234">
        <f t="shared" si="6"/>
        <v>0</v>
      </c>
      <c r="K89" s="137">
        <f t="shared" si="23"/>
        <v>0.51200000000000001</v>
      </c>
      <c r="L89" s="230">
        <f>K89*$L$64</f>
        <v>0</v>
      </c>
      <c r="M89" s="124">
        <f t="shared" si="7"/>
        <v>0.13780000000000001</v>
      </c>
      <c r="N89" s="137">
        <f t="shared" si="8"/>
        <v>49.669199999999996</v>
      </c>
      <c r="O89" s="137">
        <f t="shared" si="9"/>
        <v>0.71337000000000006</v>
      </c>
      <c r="P89" s="137">
        <f>M89+N89+O89</f>
        <v>50.520369999999993</v>
      </c>
      <c r="Q89" s="56">
        <f t="shared" si="10"/>
        <v>0</v>
      </c>
      <c r="R89" s="124">
        <f t="shared" si="11"/>
        <v>0.21099999999999999</v>
      </c>
      <c r="S89" s="137">
        <f t="shared" si="12"/>
        <v>72.196999999999989</v>
      </c>
      <c r="T89" s="137">
        <f>R89+S89</f>
        <v>72.407999999999987</v>
      </c>
      <c r="U89" s="218">
        <f t="shared" si="14"/>
        <v>0</v>
      </c>
      <c r="V89" s="124">
        <f t="shared" si="15"/>
        <v>0</v>
      </c>
      <c r="W89" s="125">
        <f t="shared" si="16"/>
        <v>0</v>
      </c>
      <c r="X89" s="137">
        <f t="shared" si="24"/>
        <v>0</v>
      </c>
      <c r="Y89" s="220">
        <f t="shared" si="25"/>
        <v>0</v>
      </c>
      <c r="Z89" s="233">
        <f t="shared" si="26"/>
        <v>0</v>
      </c>
      <c r="AA89" s="125">
        <f t="shared" si="17"/>
        <v>0</v>
      </c>
      <c r="AB89" s="4"/>
      <c r="AC89" s="4"/>
    </row>
    <row r="90" spans="1:29" ht="13.5" thickBot="1" x14ac:dyDescent="0.25">
      <c r="A90" s="127" t="s">
        <v>51</v>
      </c>
      <c r="B90" s="138">
        <f>SUM(B66:B89)</f>
        <v>119.87909543606065</v>
      </c>
      <c r="C90" s="139">
        <f t="shared" ref="C90:Z90" si="33">SUM(C66:C89)</f>
        <v>2.65660045287669</v>
      </c>
      <c r="D90" s="139">
        <f t="shared" si="33"/>
        <v>122.53569588893734</v>
      </c>
      <c r="E90" s="140">
        <f t="shared" si="33"/>
        <v>0</v>
      </c>
      <c r="F90" s="138">
        <f t="shared" si="33"/>
        <v>898.00000000000023</v>
      </c>
      <c r="G90" s="140">
        <f t="shared" si="33"/>
        <v>54463.7</v>
      </c>
      <c r="H90" s="138">
        <f>SUM(H66:H89)</f>
        <v>255.99999999999997</v>
      </c>
      <c r="I90" s="139">
        <f t="shared" si="33"/>
        <v>237.00000000000003</v>
      </c>
      <c r="J90" s="235">
        <f>SUM(J66:J89)</f>
        <v>551</v>
      </c>
      <c r="K90" s="139">
        <f>SUM(K66:K89)</f>
        <v>1044</v>
      </c>
      <c r="L90" s="231">
        <f>SUM(L66:L89)</f>
        <v>0</v>
      </c>
      <c r="M90" s="138">
        <f t="shared" si="33"/>
        <v>68.899999999999991</v>
      </c>
      <c r="N90" s="139">
        <f t="shared" si="33"/>
        <v>340.19999999999993</v>
      </c>
      <c r="O90" s="139">
        <f t="shared" si="33"/>
        <v>90.3</v>
      </c>
      <c r="P90" s="139">
        <f>SUM(P66:P89)</f>
        <v>499.39999999999992</v>
      </c>
      <c r="Q90" s="140">
        <f t="shared" si="33"/>
        <v>0</v>
      </c>
      <c r="R90" s="138">
        <f t="shared" si="33"/>
        <v>105.49999999999999</v>
      </c>
      <c r="S90" s="139">
        <f t="shared" si="33"/>
        <v>494.5</v>
      </c>
      <c r="T90" s="139">
        <f t="shared" si="33"/>
        <v>600.00000000000011</v>
      </c>
      <c r="U90" s="219">
        <f t="shared" si="33"/>
        <v>0</v>
      </c>
      <c r="V90" s="138">
        <f t="shared" si="33"/>
        <v>315</v>
      </c>
      <c r="W90" s="140">
        <f>SUM(W66:W89)</f>
        <v>0</v>
      </c>
      <c r="X90" s="138">
        <f t="shared" si="33"/>
        <v>124.00000000000001</v>
      </c>
      <c r="Y90" s="221">
        <f>SUM(Y66:Y89)</f>
        <v>182.00000000000003</v>
      </c>
      <c r="Z90" s="139">
        <f t="shared" si="33"/>
        <v>305.99999999999994</v>
      </c>
      <c r="AA90" s="140">
        <f>SUM(AA66:AA89)</f>
        <v>0</v>
      </c>
      <c r="AB90" s="4"/>
      <c r="AC90" s="4"/>
    </row>
    <row r="91" spans="1:29" x14ac:dyDescent="0.2">
      <c r="A91" s="141" t="s">
        <v>74</v>
      </c>
      <c r="B91" s="41"/>
      <c r="C91" s="41"/>
      <c r="D91" s="41"/>
      <c r="E91" s="38"/>
      <c r="F91" s="41"/>
      <c r="G91" s="38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4"/>
      <c r="Y91" s="4"/>
    </row>
    <row r="92" spans="1:29" x14ac:dyDescent="0.2">
      <c r="A92" s="123" t="s">
        <v>79</v>
      </c>
      <c r="B92" s="151"/>
      <c r="C92" s="151"/>
      <c r="D92" s="4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4"/>
      <c r="Y92" s="4"/>
    </row>
    <row r="93" spans="1:29" x14ac:dyDescent="0.2">
      <c r="A93" s="123" t="s">
        <v>82</v>
      </c>
      <c r="B93" s="151"/>
      <c r="C93" s="151"/>
      <c r="D93" s="42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4"/>
      <c r="Y93" s="4"/>
    </row>
    <row r="94" spans="1:29" ht="13.5" thickBot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9" ht="16.5" thickBot="1" x14ac:dyDescent="0.3">
      <c r="A95" s="162" t="s">
        <v>66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9" ht="76.5" x14ac:dyDescent="0.2">
      <c r="A96" s="142" t="s">
        <v>3</v>
      </c>
      <c r="B96" s="115" t="s">
        <v>83</v>
      </c>
      <c r="C96" s="116" t="s">
        <v>115</v>
      </c>
      <c r="D96" s="31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x14ac:dyDescent="0.2">
      <c r="A97" s="52" t="s">
        <v>29</v>
      </c>
      <c r="B97" s="55">
        <f>C26*E64</f>
        <v>0</v>
      </c>
      <c r="C97" s="56">
        <f>(C13+C20)*E64</f>
        <v>0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x14ac:dyDescent="0.2">
      <c r="A98" s="52" t="s">
        <v>36</v>
      </c>
      <c r="B98" s="55">
        <f>D26*G64</f>
        <v>0</v>
      </c>
      <c r="C98" s="56">
        <f>(D13+D20)*G64</f>
        <v>54463.7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x14ac:dyDescent="0.2">
      <c r="A99" s="52" t="s">
        <v>5</v>
      </c>
      <c r="B99" s="55">
        <f>E26*J64</f>
        <v>0</v>
      </c>
      <c r="C99" s="56">
        <f>(E13+E20)*J64</f>
        <v>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x14ac:dyDescent="0.2">
      <c r="A100" s="143" t="s">
        <v>8</v>
      </c>
      <c r="B100" s="55">
        <f>F26*Q64</f>
        <v>0</v>
      </c>
      <c r="C100" s="56">
        <f>(F13+F20)*Q64</f>
        <v>0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x14ac:dyDescent="0.2">
      <c r="A101" s="143" t="s">
        <v>37</v>
      </c>
      <c r="B101" s="55">
        <f>G26*U64</f>
        <v>0</v>
      </c>
      <c r="C101" s="56">
        <f>(G13+G20)*U64</f>
        <v>0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x14ac:dyDescent="0.2">
      <c r="A102" s="143" t="s">
        <v>38</v>
      </c>
      <c r="B102" s="144">
        <f>I26*AC64</f>
        <v>0</v>
      </c>
      <c r="C102" s="56">
        <f>(I13+I20)*AC64</f>
        <v>0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x14ac:dyDescent="0.2">
      <c r="A103" s="143" t="s">
        <v>15</v>
      </c>
      <c r="B103" s="144">
        <f>J26*W64</f>
        <v>0</v>
      </c>
      <c r="C103" s="56">
        <f>(J13+J20)*W64</f>
        <v>0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x14ac:dyDescent="0.2">
      <c r="A104" s="143" t="s">
        <v>11</v>
      </c>
      <c r="B104" s="144">
        <f>K26*AA64</f>
        <v>0</v>
      </c>
      <c r="C104" s="145">
        <f>(K13+K20)*AA64</f>
        <v>0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ht="13.5" thickBot="1" x14ac:dyDescent="0.25">
      <c r="A105" s="126" t="s">
        <v>51</v>
      </c>
      <c r="B105" s="146">
        <f>SUM(B97:B104)</f>
        <v>0</v>
      </c>
      <c r="C105" s="62">
        <f>SUM(C97:C104)</f>
        <v>54463.7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spans="1:23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spans="1:23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spans="1:23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spans="1:23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spans="1:23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1:23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1:23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spans="1:23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1:23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spans="1:23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spans="1:23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spans="1:23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spans="1:23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spans="1:23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spans="1:23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spans="1:23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spans="1:23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spans="1:23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spans="1:23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spans="1:23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spans="1:23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spans="1:23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spans="1:23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spans="1:23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spans="1:23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spans="1:23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spans="1:23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spans="1:23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spans="1:23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spans="1:23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spans="1:23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spans="1:23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spans="1:23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spans="1:23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spans="1:23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spans="1:23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spans="1:23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spans="1:23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spans="1:23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spans="1:23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spans="1:23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spans="1:23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spans="1:23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spans="1:23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 spans="1:23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 spans="1:23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 spans="1:23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 spans="1:23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</row>
    <row r="154" spans="1:23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</row>
    <row r="155" spans="1:23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</row>
    <row r="156" spans="1:23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</row>
    <row r="157" spans="1:23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 spans="1:23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 spans="1:23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</row>
    <row r="160" spans="1:23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</row>
    <row r="161" spans="1:23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 spans="1:23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</row>
    <row r="163" spans="1:23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</row>
    <row r="164" spans="1:23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 spans="1:23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</row>
  </sheetData>
  <mergeCells count="18">
    <mergeCell ref="AB65:AC65"/>
    <mergeCell ref="X63:AA63"/>
    <mergeCell ref="X64:Z64"/>
    <mergeCell ref="AB63:AC63"/>
    <mergeCell ref="A3:A4"/>
    <mergeCell ref="B63:E63"/>
    <mergeCell ref="B64:D64"/>
    <mergeCell ref="A62:A64"/>
    <mergeCell ref="V63:W63"/>
    <mergeCell ref="A59:G59"/>
    <mergeCell ref="F63:G63"/>
    <mergeCell ref="M64:P64"/>
    <mergeCell ref="M63:Q63"/>
    <mergeCell ref="H63:L63"/>
    <mergeCell ref="H64:K64"/>
    <mergeCell ref="R63:U63"/>
    <mergeCell ref="R64:T64"/>
    <mergeCell ref="A29:K29"/>
  </mergeCells>
  <pageMargins left="0" right="0" top="0" bottom="0" header="0.3" footer="0.3"/>
  <pageSetup paperSize="17" scale="42" orientation="landscape" r:id="rId1"/>
  <rowBreaks count="1" manualBreakCount="1">
    <brk id="61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4"/>
  <sheetViews>
    <sheetView workbookViewId="0"/>
  </sheetViews>
  <sheetFormatPr defaultRowHeight="12.75" x14ac:dyDescent="0.2"/>
  <cols>
    <col min="1" max="24" width="16.7109375" customWidth="1"/>
    <col min="25" max="25" width="16.42578125" customWidth="1"/>
  </cols>
  <sheetData>
    <row r="1" spans="1:16" ht="18.75" x14ac:dyDescent="0.3">
      <c r="A1" s="260" t="s">
        <v>255</v>
      </c>
      <c r="B1" s="4"/>
      <c r="C1" s="4"/>
      <c r="D1" s="4"/>
      <c r="E1" s="4"/>
      <c r="F1" s="4"/>
      <c r="G1" s="4"/>
      <c r="H1" s="4"/>
      <c r="I1" s="4"/>
      <c r="J1" s="4"/>
    </row>
    <row r="2" spans="1:16" ht="18.75" x14ac:dyDescent="0.3">
      <c r="A2" s="3"/>
      <c r="B2" s="7"/>
      <c r="C2" s="4" t="s">
        <v>24</v>
      </c>
      <c r="D2" s="4" t="s">
        <v>24</v>
      </c>
      <c r="E2" s="263" t="s">
        <v>24</v>
      </c>
      <c r="F2" s="264"/>
      <c r="G2" s="16"/>
      <c r="H2" s="4"/>
    </row>
    <row r="3" spans="1:16" ht="15.75" x14ac:dyDescent="0.2">
      <c r="A3" s="598" t="s">
        <v>59</v>
      </c>
      <c r="B3" s="598"/>
      <c r="C3" s="265"/>
      <c r="D3" s="265"/>
      <c r="E3" s="265"/>
      <c r="F3" s="265"/>
      <c r="G3" s="265"/>
      <c r="H3" s="265"/>
      <c r="I3" s="266" t="s">
        <v>24</v>
      </c>
      <c r="J3" s="266"/>
    </row>
    <row r="4" spans="1:16" ht="51" x14ac:dyDescent="0.2">
      <c r="A4" s="190" t="s">
        <v>155</v>
      </c>
      <c r="B4" s="166" t="s">
        <v>159</v>
      </c>
      <c r="C4" s="166" t="s">
        <v>161</v>
      </c>
      <c r="D4" s="191" t="s">
        <v>176</v>
      </c>
      <c r="E4" s="166" t="s">
        <v>292</v>
      </c>
      <c r="F4" s="191" t="s">
        <v>181</v>
      </c>
      <c r="G4" s="166" t="s">
        <v>182</v>
      </c>
      <c r="H4" s="191" t="s">
        <v>225</v>
      </c>
      <c r="I4" s="331"/>
      <c r="J4" s="331"/>
      <c r="K4" s="331"/>
      <c r="L4" s="331"/>
      <c r="M4" s="331"/>
      <c r="N4" s="331"/>
      <c r="O4" s="331"/>
      <c r="P4" s="331"/>
    </row>
    <row r="5" spans="1:16" x14ac:dyDescent="0.2">
      <c r="A5" s="189" t="s">
        <v>6</v>
      </c>
      <c r="B5" s="33">
        <v>27.15</v>
      </c>
      <c r="C5" s="33">
        <v>0</v>
      </c>
      <c r="D5" s="154">
        <f>B5+C5</f>
        <v>27.15</v>
      </c>
      <c r="E5" s="259">
        <v>-4.6399999999999997</v>
      </c>
      <c r="F5" s="154">
        <f>D5+E5</f>
        <v>22.509999999999998</v>
      </c>
      <c r="G5" s="259">
        <v>0</v>
      </c>
      <c r="H5" s="154">
        <f>F5+G5</f>
        <v>22.509999999999998</v>
      </c>
      <c r="I5" s="25"/>
      <c r="J5" s="440" t="s">
        <v>24</v>
      </c>
      <c r="K5" s="35"/>
      <c r="L5" s="35"/>
      <c r="M5" s="332"/>
      <c r="N5" s="35"/>
      <c r="O5" s="332"/>
      <c r="P5" s="35"/>
    </row>
    <row r="6" spans="1:16" x14ac:dyDescent="0.2">
      <c r="A6" s="189" t="s">
        <v>29</v>
      </c>
      <c r="B6" s="33">
        <f>$B$5</f>
        <v>27.15</v>
      </c>
      <c r="C6" s="33">
        <v>0</v>
      </c>
      <c r="D6" s="154">
        <f>B6+C6</f>
        <v>27.15</v>
      </c>
      <c r="E6" s="259">
        <v>-4.6399999999999997</v>
      </c>
      <c r="F6" s="154">
        <f t="shared" ref="F6:F17" si="0">D6+E6</f>
        <v>22.509999999999998</v>
      </c>
      <c r="G6" s="259">
        <v>0</v>
      </c>
      <c r="H6" s="154">
        <f t="shared" ref="H6:H17" si="1">F6+G6</f>
        <v>22.509999999999998</v>
      </c>
      <c r="I6" s="25"/>
      <c r="J6" s="35"/>
      <c r="K6" s="35"/>
      <c r="L6" s="35"/>
      <c r="M6" s="332"/>
      <c r="N6" s="35"/>
      <c r="O6" s="332"/>
      <c r="P6" s="35"/>
    </row>
    <row r="7" spans="1:16" x14ac:dyDescent="0.2">
      <c r="A7" s="189" t="s">
        <v>36</v>
      </c>
      <c r="B7" s="33">
        <f t="shared" ref="B7:B17" si="2">$B$5</f>
        <v>27.15</v>
      </c>
      <c r="C7" s="33">
        <v>57.53</v>
      </c>
      <c r="D7" s="154">
        <f>B7+C6+C7</f>
        <v>84.68</v>
      </c>
      <c r="E7" s="259">
        <v>-4.6399999999999997</v>
      </c>
      <c r="F7" s="154">
        <f t="shared" si="0"/>
        <v>80.040000000000006</v>
      </c>
      <c r="G7" s="259">
        <v>0</v>
      </c>
      <c r="H7" s="154">
        <f t="shared" si="1"/>
        <v>80.040000000000006</v>
      </c>
      <c r="I7" s="25"/>
      <c r="J7" s="35"/>
      <c r="K7" s="35"/>
      <c r="L7" s="35"/>
      <c r="M7" s="332"/>
      <c r="N7" s="35"/>
      <c r="O7" s="332"/>
      <c r="P7" s="35"/>
    </row>
    <row r="8" spans="1:16" x14ac:dyDescent="0.2">
      <c r="A8" s="189" t="s">
        <v>5</v>
      </c>
      <c r="B8" s="33">
        <f t="shared" si="2"/>
        <v>27.15</v>
      </c>
      <c r="C8" s="33">
        <v>0</v>
      </c>
      <c r="D8" s="154">
        <f>B8+C6+C8</f>
        <v>27.15</v>
      </c>
      <c r="E8" s="259">
        <v>-4.6399999999999997</v>
      </c>
      <c r="F8" s="154">
        <f t="shared" si="0"/>
        <v>22.509999999999998</v>
      </c>
      <c r="G8" s="259">
        <v>0</v>
      </c>
      <c r="H8" s="154">
        <f t="shared" si="1"/>
        <v>22.509999999999998</v>
      </c>
      <c r="I8" s="25"/>
      <c r="J8" s="35"/>
      <c r="K8" s="35"/>
      <c r="L8" s="35"/>
      <c r="M8" s="332"/>
      <c r="N8" s="35"/>
      <c r="O8" s="332"/>
      <c r="P8" s="35"/>
    </row>
    <row r="9" spans="1:16" x14ac:dyDescent="0.2">
      <c r="A9" s="189" t="s">
        <v>8</v>
      </c>
      <c r="B9" s="33">
        <f t="shared" si="2"/>
        <v>27.15</v>
      </c>
      <c r="C9" s="33">
        <v>0</v>
      </c>
      <c r="D9" s="154">
        <f>B9+C6+C7+C9</f>
        <v>84.68</v>
      </c>
      <c r="E9" s="259">
        <v>-4.6399999999999997</v>
      </c>
      <c r="F9" s="154">
        <f t="shared" si="0"/>
        <v>80.040000000000006</v>
      </c>
      <c r="G9" s="259">
        <v>0</v>
      </c>
      <c r="H9" s="154">
        <f t="shared" si="1"/>
        <v>80.040000000000006</v>
      </c>
      <c r="I9" s="25"/>
      <c r="J9" s="35"/>
      <c r="K9" s="35"/>
      <c r="L9" s="35"/>
      <c r="M9" s="332"/>
      <c r="N9" s="35"/>
      <c r="O9" s="332"/>
      <c r="P9" s="35"/>
    </row>
    <row r="10" spans="1:16" x14ac:dyDescent="0.2">
      <c r="A10" s="189" t="s">
        <v>37</v>
      </c>
      <c r="B10" s="33">
        <f t="shared" si="2"/>
        <v>27.15</v>
      </c>
      <c r="C10" s="33">
        <v>0</v>
      </c>
      <c r="D10" s="154">
        <f>B10+C6+C7+C9+C10</f>
        <v>84.68</v>
      </c>
      <c r="E10" s="259">
        <v>-4.6399999999999997</v>
      </c>
      <c r="F10" s="154">
        <f t="shared" si="0"/>
        <v>80.040000000000006</v>
      </c>
      <c r="G10" s="259">
        <v>0</v>
      </c>
      <c r="H10" s="154">
        <f t="shared" si="1"/>
        <v>80.040000000000006</v>
      </c>
      <c r="I10" s="25"/>
      <c r="J10" s="35"/>
      <c r="K10" s="35"/>
      <c r="L10" s="35"/>
      <c r="M10" s="332"/>
      <c r="N10" s="35"/>
      <c r="O10" s="332"/>
      <c r="P10" s="35"/>
    </row>
    <row r="11" spans="1:16" x14ac:dyDescent="0.2">
      <c r="A11" s="189" t="s">
        <v>38</v>
      </c>
      <c r="B11" s="33">
        <f t="shared" si="2"/>
        <v>27.15</v>
      </c>
      <c r="C11" s="33">
        <v>0</v>
      </c>
      <c r="D11" s="154">
        <f>B11+C6+C7+C11</f>
        <v>84.68</v>
      </c>
      <c r="E11" s="259">
        <v>-49</v>
      </c>
      <c r="F11" s="154">
        <f t="shared" si="0"/>
        <v>35.680000000000007</v>
      </c>
      <c r="G11" s="259">
        <v>0</v>
      </c>
      <c r="H11" s="154">
        <f t="shared" si="1"/>
        <v>35.680000000000007</v>
      </c>
      <c r="I11" s="25"/>
      <c r="J11" s="35"/>
      <c r="K11" s="35"/>
      <c r="L11" s="35"/>
      <c r="M11" s="332"/>
      <c r="N11" s="35"/>
      <c r="O11" s="332"/>
      <c r="P11" s="35"/>
    </row>
    <row r="12" spans="1:16" x14ac:dyDescent="0.2">
      <c r="A12" s="24" t="s">
        <v>15</v>
      </c>
      <c r="B12" s="33">
        <f t="shared" si="2"/>
        <v>27.15</v>
      </c>
      <c r="C12" s="37">
        <v>0</v>
      </c>
      <c r="D12" s="154">
        <f>B12+C6+C8+C12</f>
        <v>27.15</v>
      </c>
      <c r="E12" s="259">
        <v>-4.6399999999999997</v>
      </c>
      <c r="F12" s="154">
        <f t="shared" si="0"/>
        <v>22.509999999999998</v>
      </c>
      <c r="G12" s="259">
        <v>0</v>
      </c>
      <c r="H12" s="154">
        <f t="shared" si="1"/>
        <v>22.509999999999998</v>
      </c>
      <c r="I12" s="25"/>
      <c r="J12" s="35"/>
      <c r="K12" s="35"/>
      <c r="L12" s="35"/>
      <c r="M12" s="332"/>
      <c r="N12" s="35"/>
      <c r="O12" s="332"/>
      <c r="P12" s="35"/>
    </row>
    <row r="13" spans="1:16" x14ac:dyDescent="0.2">
      <c r="A13" s="24" t="s">
        <v>46</v>
      </c>
      <c r="B13" s="33">
        <f t="shared" si="2"/>
        <v>27.15</v>
      </c>
      <c r="C13" s="37">
        <v>0</v>
      </c>
      <c r="D13" s="154">
        <f>B13+C13</f>
        <v>27.15</v>
      </c>
      <c r="E13" s="259">
        <v>-4.6399999999999997</v>
      </c>
      <c r="F13" s="154">
        <f t="shared" si="0"/>
        <v>22.509999999999998</v>
      </c>
      <c r="G13" s="259">
        <v>0</v>
      </c>
      <c r="H13" s="154">
        <f>F13+G13</f>
        <v>22.509999999999998</v>
      </c>
      <c r="I13" s="25"/>
      <c r="J13" s="35"/>
      <c r="K13" s="35"/>
      <c r="L13" s="35"/>
      <c r="M13" s="332"/>
      <c r="N13" s="35"/>
      <c r="O13" s="332"/>
      <c r="P13" s="35"/>
    </row>
    <row r="14" spans="1:16" x14ac:dyDescent="0.2">
      <c r="A14" s="24" t="s">
        <v>129</v>
      </c>
      <c r="B14" s="33">
        <f t="shared" si="2"/>
        <v>27.15</v>
      </c>
      <c r="C14" s="37">
        <v>0</v>
      </c>
      <c r="D14" s="154">
        <f>B14+C13+C14</f>
        <v>27.15</v>
      </c>
      <c r="E14" s="259">
        <v>-4.6399999999999997</v>
      </c>
      <c r="F14" s="154">
        <f t="shared" si="0"/>
        <v>22.509999999999998</v>
      </c>
      <c r="G14" s="259">
        <v>0</v>
      </c>
      <c r="H14" s="154">
        <f t="shared" si="1"/>
        <v>22.509999999999998</v>
      </c>
      <c r="I14" s="25"/>
      <c r="J14" s="35"/>
      <c r="K14" s="35"/>
      <c r="L14" s="35"/>
      <c r="M14" s="332"/>
      <c r="N14" s="35"/>
      <c r="O14" s="332"/>
      <c r="P14" s="35"/>
    </row>
    <row r="15" spans="1:16" x14ac:dyDescent="0.2">
      <c r="A15" s="24" t="s">
        <v>20</v>
      </c>
      <c r="B15" s="33">
        <f t="shared" si="2"/>
        <v>27.15</v>
      </c>
      <c r="C15" s="37">
        <v>2.85</v>
      </c>
      <c r="D15" s="154">
        <f>B15+C15</f>
        <v>30</v>
      </c>
      <c r="E15" s="259">
        <v>-4.6399999999999997</v>
      </c>
      <c r="F15" s="154">
        <f t="shared" si="0"/>
        <v>25.36</v>
      </c>
      <c r="G15" s="259">
        <v>0</v>
      </c>
      <c r="H15" s="154">
        <f t="shared" si="1"/>
        <v>25.36</v>
      </c>
      <c r="I15" s="25"/>
      <c r="J15" s="35"/>
      <c r="K15" s="35"/>
      <c r="L15" s="35"/>
      <c r="M15" s="332"/>
      <c r="N15" s="35"/>
      <c r="O15" s="332"/>
      <c r="P15" s="35"/>
    </row>
    <row r="16" spans="1:16" x14ac:dyDescent="0.2">
      <c r="A16" s="24" t="s">
        <v>11</v>
      </c>
      <c r="B16" s="33">
        <f t="shared" si="2"/>
        <v>27.15</v>
      </c>
      <c r="C16" s="37">
        <v>0</v>
      </c>
      <c r="D16" s="154">
        <f>B16+C6+C8+C16</f>
        <v>27.15</v>
      </c>
      <c r="E16" s="259">
        <v>-4.6399999999999997</v>
      </c>
      <c r="F16" s="154">
        <f t="shared" si="0"/>
        <v>22.509999999999998</v>
      </c>
      <c r="G16" s="259">
        <v>0</v>
      </c>
      <c r="H16" s="154">
        <f t="shared" si="1"/>
        <v>22.509999999999998</v>
      </c>
      <c r="I16" s="25"/>
      <c r="J16" s="35"/>
      <c r="K16" s="35"/>
      <c r="L16" s="35"/>
      <c r="M16" s="332"/>
      <c r="N16" s="35"/>
      <c r="O16" s="332"/>
      <c r="P16" s="35"/>
    </row>
    <row r="17" spans="1:18" x14ac:dyDescent="0.2">
      <c r="A17" s="24" t="s">
        <v>10</v>
      </c>
      <c r="B17" s="33">
        <f t="shared" si="2"/>
        <v>27.15</v>
      </c>
      <c r="C17" s="37">
        <v>0</v>
      </c>
      <c r="D17" s="154">
        <f>B17+C6+C17</f>
        <v>27.15</v>
      </c>
      <c r="E17" s="259">
        <v>-4.6399999999999997</v>
      </c>
      <c r="F17" s="154">
        <f t="shared" si="0"/>
        <v>22.509999999999998</v>
      </c>
      <c r="G17" s="259">
        <v>0</v>
      </c>
      <c r="H17" s="154">
        <f t="shared" si="1"/>
        <v>22.509999999999998</v>
      </c>
      <c r="I17" s="25"/>
      <c r="J17" s="35"/>
      <c r="K17" s="35"/>
      <c r="L17" s="35"/>
      <c r="M17" s="332"/>
      <c r="N17" s="35"/>
      <c r="O17" s="332"/>
      <c r="P17" s="35"/>
    </row>
    <row r="18" spans="1:18" x14ac:dyDescent="0.2">
      <c r="A18" s="24" t="s">
        <v>322</v>
      </c>
      <c r="B18" s="33" t="s">
        <v>149</v>
      </c>
      <c r="C18" s="37" t="s">
        <v>149</v>
      </c>
      <c r="D18" s="154" t="s">
        <v>149</v>
      </c>
      <c r="E18" s="33" t="s">
        <v>149</v>
      </c>
      <c r="F18" s="154" t="s">
        <v>149</v>
      </c>
      <c r="G18" s="33" t="s">
        <v>149</v>
      </c>
      <c r="H18" s="154" t="s">
        <v>149</v>
      </c>
      <c r="I18" s="25"/>
      <c r="J18" s="35"/>
      <c r="K18" s="35"/>
      <c r="L18" s="35"/>
      <c r="M18" s="35"/>
      <c r="N18" s="35"/>
      <c r="O18" s="35"/>
      <c r="P18" s="35"/>
    </row>
    <row r="19" spans="1:18" x14ac:dyDescent="0.2">
      <c r="A19" s="24" t="s">
        <v>221</v>
      </c>
      <c r="B19" s="33" t="s">
        <v>149</v>
      </c>
      <c r="C19" s="37" t="s">
        <v>149</v>
      </c>
      <c r="D19" s="154" t="s">
        <v>149</v>
      </c>
      <c r="E19" s="33" t="s">
        <v>149</v>
      </c>
      <c r="F19" s="154" t="s">
        <v>149</v>
      </c>
      <c r="G19" s="33" t="s">
        <v>149</v>
      </c>
      <c r="H19" s="154" t="s">
        <v>149</v>
      </c>
      <c r="I19" s="25"/>
      <c r="J19" s="35"/>
      <c r="K19" s="35"/>
      <c r="L19" s="35"/>
      <c r="M19" s="35"/>
      <c r="N19" s="35"/>
      <c r="O19" s="35"/>
      <c r="P19" s="35"/>
    </row>
    <row r="20" spans="1:18" x14ac:dyDescent="0.2">
      <c r="A20" s="24" t="s">
        <v>323</v>
      </c>
      <c r="B20" s="33" t="s">
        <v>149</v>
      </c>
      <c r="C20" s="37" t="s">
        <v>149</v>
      </c>
      <c r="D20" s="154" t="s">
        <v>149</v>
      </c>
      <c r="E20" s="33" t="s">
        <v>149</v>
      </c>
      <c r="F20" s="154" t="s">
        <v>149</v>
      </c>
      <c r="G20" s="33" t="s">
        <v>149</v>
      </c>
      <c r="H20" s="154" t="s">
        <v>149</v>
      </c>
      <c r="I20" s="25"/>
      <c r="J20" s="35"/>
      <c r="K20" s="35"/>
      <c r="L20" s="35"/>
      <c r="M20" s="35"/>
      <c r="N20" s="35"/>
      <c r="O20" s="35"/>
      <c r="P20" s="35"/>
    </row>
    <row r="21" spans="1:18" x14ac:dyDescent="0.2">
      <c r="A21" s="24" t="s">
        <v>223</v>
      </c>
      <c r="B21" s="33" t="s">
        <v>149</v>
      </c>
      <c r="C21" s="37" t="s">
        <v>149</v>
      </c>
      <c r="D21" s="154" t="s">
        <v>149</v>
      </c>
      <c r="E21" s="33" t="s">
        <v>149</v>
      </c>
      <c r="F21" s="154" t="s">
        <v>149</v>
      </c>
      <c r="G21" s="33" t="s">
        <v>149</v>
      </c>
      <c r="H21" s="154" t="s">
        <v>149</v>
      </c>
      <c r="I21" s="25"/>
      <c r="J21" s="35"/>
      <c r="K21" s="35"/>
      <c r="L21" s="35"/>
      <c r="M21" s="35"/>
      <c r="N21" s="35"/>
      <c r="O21" s="35"/>
      <c r="P21" s="35"/>
    </row>
    <row r="22" spans="1:18" x14ac:dyDescent="0.2">
      <c r="A22" s="24" t="s">
        <v>224</v>
      </c>
      <c r="B22" s="33" t="s">
        <v>149</v>
      </c>
      <c r="C22" s="37" t="s">
        <v>149</v>
      </c>
      <c r="D22" s="154" t="s">
        <v>149</v>
      </c>
      <c r="E22" s="33" t="s">
        <v>149</v>
      </c>
      <c r="F22" s="154" t="s">
        <v>149</v>
      </c>
      <c r="G22" s="33" t="s">
        <v>149</v>
      </c>
      <c r="H22" s="154" t="s">
        <v>149</v>
      </c>
      <c r="I22" s="25"/>
      <c r="J22" s="35"/>
      <c r="K22" s="35"/>
      <c r="L22" s="35"/>
      <c r="M22" s="35"/>
      <c r="N22" s="35"/>
      <c r="O22" s="35"/>
      <c r="P22" s="35"/>
    </row>
    <row r="23" spans="1:18" x14ac:dyDescent="0.2">
      <c r="A23" s="25" t="s">
        <v>213</v>
      </c>
      <c r="B23" s="36"/>
      <c r="C23" s="35"/>
      <c r="D23" s="35"/>
      <c r="E23" s="35"/>
      <c r="F23" s="35"/>
      <c r="G23" s="35"/>
      <c r="H23" s="35"/>
      <c r="I23" s="268"/>
      <c r="J23" s="268"/>
      <c r="M23" t="s">
        <v>24</v>
      </c>
    </row>
    <row r="24" spans="1:18" ht="24.95" customHeight="1" x14ac:dyDescent="0.2">
      <c r="A24" s="599" t="s">
        <v>160</v>
      </c>
      <c r="B24" s="599"/>
      <c r="C24" s="599"/>
      <c r="D24" s="599"/>
      <c r="E24" s="599"/>
      <c r="F24" s="599"/>
      <c r="G24" s="599"/>
      <c r="H24" s="599"/>
      <c r="I24" s="268"/>
      <c r="J24" s="268"/>
    </row>
    <row r="25" spans="1:18" x14ac:dyDescent="0.2">
      <c r="A25" s="442" t="s">
        <v>324</v>
      </c>
      <c r="B25" s="269"/>
      <c r="C25" s="269"/>
      <c r="D25" s="269"/>
      <c r="E25" s="270"/>
      <c r="F25" s="271"/>
      <c r="G25" s="271"/>
      <c r="H25" s="271"/>
      <c r="I25" s="268"/>
      <c r="J25" s="268"/>
    </row>
    <row r="26" spans="1:18" ht="15.75" x14ac:dyDescent="0.25">
      <c r="A26" s="600" t="s">
        <v>237</v>
      </c>
      <c r="B26" s="600"/>
      <c r="C26" s="600"/>
      <c r="D26" s="600"/>
      <c r="E26" s="270"/>
      <c r="F26" s="271"/>
      <c r="G26" s="271"/>
      <c r="H26" s="271"/>
      <c r="I26" s="268"/>
      <c r="J26" s="268"/>
      <c r="N26" s="18" t="s">
        <v>24</v>
      </c>
    </row>
    <row r="27" spans="1:18" x14ac:dyDescent="0.2">
      <c r="A27" s="596" t="s">
        <v>3</v>
      </c>
      <c r="B27" s="595" t="s">
        <v>238</v>
      </c>
      <c r="C27" s="595"/>
      <c r="D27" s="595"/>
      <c r="E27" s="595"/>
      <c r="F27" s="595" t="s">
        <v>239</v>
      </c>
      <c r="G27" s="595"/>
      <c r="H27" s="595"/>
      <c r="I27" s="595"/>
      <c r="J27" s="595" t="s">
        <v>240</v>
      </c>
      <c r="K27" s="595"/>
      <c r="L27" s="595"/>
      <c r="M27" s="595"/>
      <c r="N27" s="595" t="s">
        <v>241</v>
      </c>
      <c r="O27" s="595"/>
      <c r="P27" s="595"/>
      <c r="Q27" s="595"/>
      <c r="R27" s="268"/>
    </row>
    <row r="28" spans="1:18" ht="38.25" x14ac:dyDescent="0.2">
      <c r="A28" s="596"/>
      <c r="B28" s="190" t="s">
        <v>293</v>
      </c>
      <c r="C28" s="166" t="s">
        <v>317</v>
      </c>
      <c r="D28" s="166" t="s">
        <v>294</v>
      </c>
      <c r="E28" s="166" t="s">
        <v>242</v>
      </c>
      <c r="F28" s="190" t="s">
        <v>293</v>
      </c>
      <c r="G28" s="166" t="s">
        <v>317</v>
      </c>
      <c r="H28" s="166" t="s">
        <v>294</v>
      </c>
      <c r="I28" s="166" t="s">
        <v>242</v>
      </c>
      <c r="J28" s="190" t="s">
        <v>293</v>
      </c>
      <c r="K28" s="166" t="s">
        <v>317</v>
      </c>
      <c r="L28" s="166" t="s">
        <v>294</v>
      </c>
      <c r="M28" s="166" t="s">
        <v>242</v>
      </c>
      <c r="N28" s="190" t="s">
        <v>293</v>
      </c>
      <c r="O28" s="166" t="s">
        <v>317</v>
      </c>
      <c r="P28" s="166" t="s">
        <v>294</v>
      </c>
      <c r="Q28" s="166" t="s">
        <v>242</v>
      </c>
    </row>
    <row r="29" spans="1:18" x14ac:dyDescent="0.2">
      <c r="A29" s="189" t="s">
        <v>6</v>
      </c>
      <c r="B29" s="338">
        <v>1261.0999999999999</v>
      </c>
      <c r="C29" s="338">
        <v>549.9</v>
      </c>
      <c r="D29" s="338">
        <v>554.79999999999995</v>
      </c>
      <c r="E29" s="47">
        <f>B29+C29+D29</f>
        <v>2365.8000000000002</v>
      </c>
      <c r="F29" s="339">
        <v>1433.7</v>
      </c>
      <c r="G29" s="339">
        <v>916.3</v>
      </c>
      <c r="H29" s="339">
        <v>195.3</v>
      </c>
      <c r="I29" s="47">
        <f>F29+G29+H29</f>
        <v>2545.3000000000002</v>
      </c>
      <c r="J29" s="339">
        <f>B29-F29</f>
        <v>-172.60000000000014</v>
      </c>
      <c r="K29" s="339">
        <f>C29-G29</f>
        <v>-366.4</v>
      </c>
      <c r="L29" s="339">
        <f>D29-H29</f>
        <v>359.49999999999994</v>
      </c>
      <c r="M29" s="340">
        <f>J29+K29+L29</f>
        <v>-179.50000000000017</v>
      </c>
      <c r="N29" s="54">
        <v>0</v>
      </c>
      <c r="O29" s="54">
        <v>0</v>
      </c>
      <c r="P29" s="54">
        <v>0</v>
      </c>
      <c r="Q29" s="47">
        <f>N29+O29+P29</f>
        <v>0</v>
      </c>
    </row>
    <row r="30" spans="1:18" x14ac:dyDescent="0.2">
      <c r="A30" s="189" t="s">
        <v>29</v>
      </c>
      <c r="B30" s="338">
        <v>233.9</v>
      </c>
      <c r="C30" s="338">
        <v>318.7</v>
      </c>
      <c r="D30" s="338">
        <v>141.9</v>
      </c>
      <c r="E30" s="47">
        <f t="shared" ref="E30:E36" si="3">B30+C30+D30</f>
        <v>694.5</v>
      </c>
      <c r="F30" s="339">
        <v>1000.1</v>
      </c>
      <c r="G30" s="339">
        <v>85.6</v>
      </c>
      <c r="H30" s="339">
        <v>120.1</v>
      </c>
      <c r="I30" s="47">
        <f t="shared" ref="I30:I41" si="4">F30+G30+H30</f>
        <v>1205.8</v>
      </c>
      <c r="J30" s="339">
        <f>B30-F30</f>
        <v>-766.2</v>
      </c>
      <c r="K30" s="339">
        <f>C30-G30</f>
        <v>233.1</v>
      </c>
      <c r="L30" s="339">
        <f t="shared" ref="K30:L41" si="5">D30-H30</f>
        <v>21.800000000000011</v>
      </c>
      <c r="M30" s="47">
        <f>J30+K30+L30</f>
        <v>-511.3</v>
      </c>
      <c r="N30" s="54">
        <v>0</v>
      </c>
      <c r="O30" s="54">
        <v>0</v>
      </c>
      <c r="P30" s="54">
        <v>0</v>
      </c>
      <c r="Q30" s="47">
        <f t="shared" ref="Q30:Q36" si="6">N30+O30+P30</f>
        <v>0</v>
      </c>
    </row>
    <row r="31" spans="1:18" x14ac:dyDescent="0.2">
      <c r="A31" s="189" t="s">
        <v>36</v>
      </c>
      <c r="B31" s="338">
        <v>112.8</v>
      </c>
      <c r="C31" s="338">
        <v>16.3</v>
      </c>
      <c r="D31" s="338">
        <v>81.7</v>
      </c>
      <c r="E31" s="47">
        <f t="shared" si="3"/>
        <v>210.8</v>
      </c>
      <c r="F31" s="339">
        <v>123.1</v>
      </c>
      <c r="G31" s="339">
        <v>71.5</v>
      </c>
      <c r="H31" s="339">
        <v>79</v>
      </c>
      <c r="I31" s="47">
        <f t="shared" si="4"/>
        <v>273.60000000000002</v>
      </c>
      <c r="J31" s="339">
        <f t="shared" ref="J31:J41" si="7">B31-F31</f>
        <v>-10.299999999999997</v>
      </c>
      <c r="K31" s="339">
        <f t="shared" si="5"/>
        <v>-55.2</v>
      </c>
      <c r="L31" s="339">
        <f t="shared" si="5"/>
        <v>2.7000000000000028</v>
      </c>
      <c r="M31" s="47">
        <f t="shared" ref="M31:M36" si="8">J31+K31+L31</f>
        <v>-62.8</v>
      </c>
      <c r="N31" s="54">
        <v>0</v>
      </c>
      <c r="O31" s="54">
        <v>0</v>
      </c>
      <c r="P31" s="54">
        <v>0</v>
      </c>
      <c r="Q31" s="47">
        <f t="shared" si="6"/>
        <v>0</v>
      </c>
    </row>
    <row r="32" spans="1:18" x14ac:dyDescent="0.2">
      <c r="A32" s="189" t="s">
        <v>5</v>
      </c>
      <c r="B32" s="338">
        <v>10.4</v>
      </c>
      <c r="C32" s="338">
        <v>0.8</v>
      </c>
      <c r="D32" s="338">
        <v>7.2</v>
      </c>
      <c r="E32" s="47">
        <f t="shared" si="3"/>
        <v>18.400000000000002</v>
      </c>
      <c r="F32" s="339">
        <v>23.3</v>
      </c>
      <c r="G32" s="339">
        <v>0</v>
      </c>
      <c r="H32" s="339">
        <v>39.9</v>
      </c>
      <c r="I32" s="47">
        <f t="shared" si="4"/>
        <v>63.2</v>
      </c>
      <c r="J32" s="339">
        <f t="shared" si="7"/>
        <v>-12.9</v>
      </c>
      <c r="K32" s="339">
        <f t="shared" si="5"/>
        <v>0.8</v>
      </c>
      <c r="L32" s="339">
        <f t="shared" si="5"/>
        <v>-32.699999999999996</v>
      </c>
      <c r="M32" s="47">
        <f t="shared" si="8"/>
        <v>-44.8</v>
      </c>
      <c r="N32" s="341">
        <v>0</v>
      </c>
      <c r="O32" s="341">
        <v>0</v>
      </c>
      <c r="P32" s="341">
        <v>0</v>
      </c>
      <c r="Q32" s="47">
        <f t="shared" si="6"/>
        <v>0</v>
      </c>
    </row>
    <row r="33" spans="1:19" x14ac:dyDescent="0.2">
      <c r="A33" s="189" t="s">
        <v>8</v>
      </c>
      <c r="B33" s="338">
        <v>13.5</v>
      </c>
      <c r="C33" s="338">
        <v>0</v>
      </c>
      <c r="D33" s="338">
        <v>27</v>
      </c>
      <c r="E33" s="47">
        <f t="shared" si="3"/>
        <v>40.5</v>
      </c>
      <c r="F33" s="339">
        <v>15.5</v>
      </c>
      <c r="G33" s="339">
        <v>26.4</v>
      </c>
      <c r="H33" s="339">
        <v>24.2</v>
      </c>
      <c r="I33" s="47">
        <f>F33+G33+H33</f>
        <v>66.099999999999994</v>
      </c>
      <c r="J33" s="339">
        <f t="shared" si="7"/>
        <v>-2</v>
      </c>
      <c r="K33" s="339">
        <f t="shared" si="5"/>
        <v>-26.4</v>
      </c>
      <c r="L33" s="339">
        <f>D33-H33</f>
        <v>2.8000000000000007</v>
      </c>
      <c r="M33" s="47">
        <f t="shared" si="8"/>
        <v>-25.599999999999998</v>
      </c>
      <c r="N33" s="341">
        <v>0</v>
      </c>
      <c r="O33" s="341">
        <v>0</v>
      </c>
      <c r="P33" s="341">
        <v>0</v>
      </c>
      <c r="Q33" s="47">
        <f t="shared" si="6"/>
        <v>0</v>
      </c>
    </row>
    <row r="34" spans="1:19" x14ac:dyDescent="0.2">
      <c r="A34" s="189" t="s">
        <v>37</v>
      </c>
      <c r="B34" s="338">
        <v>1</v>
      </c>
      <c r="C34" s="338">
        <v>0</v>
      </c>
      <c r="D34" s="338">
        <v>10.199999999999999</v>
      </c>
      <c r="E34" s="47">
        <f t="shared" si="3"/>
        <v>11.2</v>
      </c>
      <c r="F34" s="339">
        <v>4.9000000000000004</v>
      </c>
      <c r="G34" s="339">
        <v>12.2</v>
      </c>
      <c r="H34" s="339">
        <v>10.8</v>
      </c>
      <c r="I34" s="47">
        <f t="shared" si="4"/>
        <v>27.900000000000002</v>
      </c>
      <c r="J34" s="339">
        <f t="shared" si="7"/>
        <v>-3.9000000000000004</v>
      </c>
      <c r="K34" s="339">
        <f t="shared" si="5"/>
        <v>-12.2</v>
      </c>
      <c r="L34" s="339">
        <f t="shared" si="5"/>
        <v>-0.60000000000000142</v>
      </c>
      <c r="M34" s="47">
        <f t="shared" si="8"/>
        <v>-16.700000000000003</v>
      </c>
      <c r="N34" s="341">
        <v>0</v>
      </c>
      <c r="O34" s="341">
        <v>0</v>
      </c>
      <c r="P34" s="341">
        <v>0</v>
      </c>
      <c r="Q34" s="47">
        <f t="shared" si="6"/>
        <v>0</v>
      </c>
    </row>
    <row r="35" spans="1:19" x14ac:dyDescent="0.2">
      <c r="A35" s="189" t="s">
        <v>38</v>
      </c>
      <c r="B35" s="338">
        <v>0.3</v>
      </c>
      <c r="C35" s="338">
        <v>0</v>
      </c>
      <c r="D35" s="338">
        <v>11.4</v>
      </c>
      <c r="E35" s="47">
        <f t="shared" si="3"/>
        <v>11.700000000000001</v>
      </c>
      <c r="F35" s="339">
        <v>21.7</v>
      </c>
      <c r="G35" s="339">
        <v>7</v>
      </c>
      <c r="H35" s="339">
        <v>0.3</v>
      </c>
      <c r="I35" s="47">
        <f t="shared" si="4"/>
        <v>29</v>
      </c>
      <c r="J35" s="339">
        <f t="shared" si="7"/>
        <v>-21.4</v>
      </c>
      <c r="K35" s="339">
        <f t="shared" si="5"/>
        <v>-7</v>
      </c>
      <c r="L35" s="339">
        <f t="shared" si="5"/>
        <v>11.1</v>
      </c>
      <c r="M35" s="47">
        <f t="shared" si="8"/>
        <v>-17.299999999999997</v>
      </c>
      <c r="N35" s="341">
        <v>0</v>
      </c>
      <c r="O35" s="341">
        <v>0</v>
      </c>
      <c r="P35" s="341">
        <v>0</v>
      </c>
      <c r="Q35" s="47">
        <f t="shared" si="6"/>
        <v>0</v>
      </c>
    </row>
    <row r="36" spans="1:19" x14ac:dyDescent="0.2">
      <c r="A36" s="24" t="s">
        <v>15</v>
      </c>
      <c r="B36" s="338">
        <v>3.9</v>
      </c>
      <c r="C36" s="338">
        <v>0</v>
      </c>
      <c r="D36" s="338">
        <v>0</v>
      </c>
      <c r="E36" s="47">
        <f t="shared" si="3"/>
        <v>3.9</v>
      </c>
      <c r="F36" s="339">
        <v>19.8</v>
      </c>
      <c r="G36" s="339">
        <v>0</v>
      </c>
      <c r="H36" s="339">
        <v>38.9</v>
      </c>
      <c r="I36" s="47">
        <f t="shared" si="4"/>
        <v>58.7</v>
      </c>
      <c r="J36" s="339">
        <f t="shared" si="7"/>
        <v>-15.9</v>
      </c>
      <c r="K36" s="339">
        <f t="shared" si="5"/>
        <v>0</v>
      </c>
      <c r="L36" s="339">
        <f t="shared" si="5"/>
        <v>-38.9</v>
      </c>
      <c r="M36" s="47">
        <f t="shared" si="8"/>
        <v>-54.8</v>
      </c>
      <c r="N36" s="341">
        <v>0</v>
      </c>
      <c r="O36" s="341">
        <v>0</v>
      </c>
      <c r="P36" s="341">
        <v>0</v>
      </c>
      <c r="Q36" s="47">
        <f t="shared" si="6"/>
        <v>0</v>
      </c>
    </row>
    <row r="37" spans="1:19" x14ac:dyDescent="0.2">
      <c r="A37" s="24" t="s">
        <v>46</v>
      </c>
      <c r="B37" s="338">
        <v>38</v>
      </c>
      <c r="C37" s="338">
        <v>0</v>
      </c>
      <c r="D37" s="338">
        <v>73.3</v>
      </c>
      <c r="E37" s="47">
        <f>B37+C37+D37</f>
        <v>111.3</v>
      </c>
      <c r="F37" s="339">
        <v>339.8</v>
      </c>
      <c r="G37" s="339">
        <v>250</v>
      </c>
      <c r="H37" s="339">
        <v>20.6</v>
      </c>
      <c r="I37" s="47">
        <f t="shared" si="4"/>
        <v>610.4</v>
      </c>
      <c r="J37" s="339">
        <f t="shared" si="7"/>
        <v>-301.8</v>
      </c>
      <c r="K37" s="339">
        <f t="shared" si="5"/>
        <v>-250</v>
      </c>
      <c r="L37" s="339">
        <f t="shared" si="5"/>
        <v>52.699999999999996</v>
      </c>
      <c r="M37" s="47">
        <f>J37+K37+L37</f>
        <v>-499.09999999999997</v>
      </c>
      <c r="N37" s="341">
        <v>0</v>
      </c>
      <c r="O37" s="341">
        <v>0</v>
      </c>
      <c r="P37" s="341">
        <v>0</v>
      </c>
      <c r="Q37" s="47">
        <f>N37+O37+P37</f>
        <v>0</v>
      </c>
    </row>
    <row r="38" spans="1:19" x14ac:dyDescent="0.2">
      <c r="A38" s="24" t="s">
        <v>129</v>
      </c>
      <c r="B38" s="338">
        <v>0.7</v>
      </c>
      <c r="C38" s="338">
        <v>0</v>
      </c>
      <c r="D38" s="338">
        <v>45.7</v>
      </c>
      <c r="E38" s="47">
        <f>B38+C38+D38</f>
        <v>46.400000000000006</v>
      </c>
      <c r="F38" s="339">
        <v>19.600000000000001</v>
      </c>
      <c r="G38" s="339">
        <v>0</v>
      </c>
      <c r="H38" s="339">
        <v>8.3000000000000007</v>
      </c>
      <c r="I38" s="47">
        <f t="shared" si="4"/>
        <v>27.900000000000002</v>
      </c>
      <c r="J38" s="339">
        <f t="shared" si="7"/>
        <v>-18.900000000000002</v>
      </c>
      <c r="K38" s="339">
        <f t="shared" si="5"/>
        <v>0</v>
      </c>
      <c r="L38" s="339">
        <f t="shared" si="5"/>
        <v>37.400000000000006</v>
      </c>
      <c r="M38" s="47">
        <f>J38+K38+L38</f>
        <v>18.500000000000004</v>
      </c>
      <c r="N38" s="341">
        <v>0</v>
      </c>
      <c r="O38" s="341">
        <v>0</v>
      </c>
      <c r="P38" s="341">
        <v>0</v>
      </c>
      <c r="Q38" s="47">
        <f>N38+O38+P38</f>
        <v>0</v>
      </c>
    </row>
    <row r="39" spans="1:19" x14ac:dyDescent="0.2">
      <c r="A39" s="24" t="s">
        <v>20</v>
      </c>
      <c r="B39" s="338">
        <v>288.89999999999998</v>
      </c>
      <c r="C39" s="338">
        <v>0</v>
      </c>
      <c r="D39" s="338">
        <v>184.8</v>
      </c>
      <c r="E39" s="47">
        <f>B39+C39+D39</f>
        <v>473.7</v>
      </c>
      <c r="F39" s="339">
        <v>10.9</v>
      </c>
      <c r="G39" s="339">
        <v>435.5</v>
      </c>
      <c r="H39" s="339">
        <v>22.2</v>
      </c>
      <c r="I39" s="47">
        <f t="shared" si="4"/>
        <v>468.59999999999997</v>
      </c>
      <c r="J39" s="339">
        <f t="shared" si="7"/>
        <v>278</v>
      </c>
      <c r="K39" s="339">
        <f t="shared" si="5"/>
        <v>-435.5</v>
      </c>
      <c r="L39" s="339">
        <f t="shared" si="5"/>
        <v>162.60000000000002</v>
      </c>
      <c r="M39" s="47">
        <f>J39+K39+L39</f>
        <v>5.1000000000000227</v>
      </c>
      <c r="N39" s="341">
        <v>0</v>
      </c>
      <c r="O39" s="341">
        <v>0</v>
      </c>
      <c r="P39" s="341">
        <v>0</v>
      </c>
      <c r="Q39" s="47">
        <f>N39+O39+P39</f>
        <v>0</v>
      </c>
    </row>
    <row r="40" spans="1:19" x14ac:dyDescent="0.2">
      <c r="A40" s="24" t="s">
        <v>11</v>
      </c>
      <c r="B40" s="338">
        <v>6.5</v>
      </c>
      <c r="C40" s="338">
        <v>0.8</v>
      </c>
      <c r="D40" s="338">
        <v>7.2</v>
      </c>
      <c r="E40" s="47">
        <f>B40+C40+D40</f>
        <v>14.5</v>
      </c>
      <c r="F40" s="339">
        <v>3.5</v>
      </c>
      <c r="G40" s="339">
        <v>0</v>
      </c>
      <c r="H40" s="339">
        <v>1</v>
      </c>
      <c r="I40" s="47">
        <f t="shared" si="4"/>
        <v>4.5</v>
      </c>
      <c r="J40" s="339">
        <f t="shared" si="7"/>
        <v>3</v>
      </c>
      <c r="K40" s="339">
        <f t="shared" si="5"/>
        <v>0.8</v>
      </c>
      <c r="L40" s="339">
        <f t="shared" si="5"/>
        <v>6.2</v>
      </c>
      <c r="M40" s="47">
        <f>J40+K40+L40</f>
        <v>10</v>
      </c>
      <c r="N40" s="341">
        <v>0</v>
      </c>
      <c r="O40" s="341">
        <v>0</v>
      </c>
      <c r="P40" s="341">
        <v>0</v>
      </c>
      <c r="Q40" s="47">
        <f>N40+O40+P40</f>
        <v>0</v>
      </c>
    </row>
    <row r="41" spans="1:19" x14ac:dyDescent="0.2">
      <c r="A41" s="24" t="s">
        <v>10</v>
      </c>
      <c r="B41" s="338">
        <v>26.5</v>
      </c>
      <c r="C41" s="338">
        <v>1.1000000000000001</v>
      </c>
      <c r="D41" s="338">
        <v>4.4000000000000004</v>
      </c>
      <c r="E41" s="47">
        <f>B41+C41+D41</f>
        <v>32</v>
      </c>
      <c r="F41" s="339">
        <v>36.5</v>
      </c>
      <c r="G41" s="339">
        <v>0.4</v>
      </c>
      <c r="H41" s="339">
        <v>0.8</v>
      </c>
      <c r="I41" s="47">
        <f t="shared" si="4"/>
        <v>37.699999999999996</v>
      </c>
      <c r="J41" s="339">
        <f t="shared" si="7"/>
        <v>-10</v>
      </c>
      <c r="K41" s="339">
        <f t="shared" si="5"/>
        <v>0.70000000000000007</v>
      </c>
      <c r="L41" s="339">
        <f t="shared" si="5"/>
        <v>3.6000000000000005</v>
      </c>
      <c r="M41" s="47">
        <f>J41+K41+L41</f>
        <v>-5.7</v>
      </c>
      <c r="N41" s="341">
        <v>0</v>
      </c>
      <c r="O41" s="341">
        <v>0</v>
      </c>
      <c r="P41" s="341">
        <v>0</v>
      </c>
      <c r="Q41" s="47">
        <f>N41+O41+P41</f>
        <v>0</v>
      </c>
    </row>
    <row r="42" spans="1:19" x14ac:dyDescent="0.2">
      <c r="A42" s="9"/>
      <c r="B42" s="272"/>
      <c r="C42" s="273"/>
      <c r="D42" s="272"/>
      <c r="E42" s="274"/>
      <c r="F42" s="272"/>
      <c r="G42" s="273"/>
      <c r="H42" s="272"/>
      <c r="I42" s="274"/>
      <c r="J42" s="275"/>
      <c r="K42" s="275"/>
      <c r="L42" s="275"/>
      <c r="M42" s="274"/>
      <c r="N42" s="9"/>
      <c r="O42" s="9"/>
      <c r="P42" s="9"/>
      <c r="Q42" s="9"/>
    </row>
    <row r="43" spans="1:19" ht="15.75" x14ac:dyDescent="0.25">
      <c r="A43" s="597" t="s">
        <v>243</v>
      </c>
      <c r="B43" s="597"/>
      <c r="C43" s="597"/>
      <c r="D43" s="272"/>
      <c r="E43" s="274"/>
      <c r="F43" s="272"/>
      <c r="G43" s="273"/>
      <c r="H43" s="272"/>
      <c r="I43" s="274"/>
      <c r="J43" s="275"/>
      <c r="K43" s="275"/>
      <c r="L43" s="275"/>
      <c r="M43" s="274"/>
      <c r="N43" s="9"/>
      <c r="O43" s="9"/>
      <c r="P43" s="9"/>
      <c r="Q43" s="7"/>
    </row>
    <row r="44" spans="1:19" x14ac:dyDescent="0.2">
      <c r="A44" s="596" t="s">
        <v>3</v>
      </c>
      <c r="B44" s="595" t="s">
        <v>244</v>
      </c>
      <c r="C44" s="595"/>
      <c r="D44" s="595"/>
      <c r="E44" s="595"/>
      <c r="F44" s="595" t="s">
        <v>245</v>
      </c>
      <c r="G44" s="595"/>
      <c r="H44" s="595"/>
      <c r="I44" s="595"/>
      <c r="J44" s="595" t="s">
        <v>246</v>
      </c>
      <c r="K44" s="595"/>
      <c r="L44" s="595"/>
      <c r="M44" s="595"/>
      <c r="N44" s="276"/>
      <c r="O44" s="277"/>
      <c r="P44" s="277"/>
      <c r="Q44" s="277"/>
      <c r="R44" s="268"/>
    </row>
    <row r="45" spans="1:19" ht="38.25" x14ac:dyDescent="0.2">
      <c r="A45" s="596"/>
      <c r="B45" s="190" t="s">
        <v>293</v>
      </c>
      <c r="C45" s="166" t="s">
        <v>317</v>
      </c>
      <c r="D45" s="166" t="s">
        <v>294</v>
      </c>
      <c r="E45" s="166" t="s">
        <v>242</v>
      </c>
      <c r="F45" s="190" t="s">
        <v>293</v>
      </c>
      <c r="G45" s="166" t="s">
        <v>317</v>
      </c>
      <c r="H45" s="166" t="s">
        <v>294</v>
      </c>
      <c r="I45" s="166" t="s">
        <v>242</v>
      </c>
      <c r="J45" s="190" t="s">
        <v>293</v>
      </c>
      <c r="K45" s="166" t="s">
        <v>317</v>
      </c>
      <c r="L45" s="166" t="s">
        <v>294</v>
      </c>
      <c r="M45" s="166" t="s">
        <v>242</v>
      </c>
      <c r="N45" s="278"/>
      <c r="O45" s="19"/>
      <c r="P45" s="19"/>
      <c r="Q45" s="19"/>
    </row>
    <row r="46" spans="1:19" x14ac:dyDescent="0.2">
      <c r="A46" s="189" t="s">
        <v>6</v>
      </c>
      <c r="B46" s="339">
        <v>172.6</v>
      </c>
      <c r="C46" s="339">
        <v>0</v>
      </c>
      <c r="D46" s="339">
        <v>160.69999999999999</v>
      </c>
      <c r="E46" s="47">
        <f t="shared" ref="E46:E53" si="9">B46+C46+D46</f>
        <v>333.29999999999995</v>
      </c>
      <c r="F46" s="339">
        <v>0</v>
      </c>
      <c r="G46" s="339">
        <v>153.80000000000001</v>
      </c>
      <c r="H46" s="339">
        <v>0</v>
      </c>
      <c r="I46" s="47">
        <f t="shared" ref="I46:I53" si="10">F46+G46+H46</f>
        <v>153.80000000000001</v>
      </c>
      <c r="J46" s="338">
        <f t="shared" ref="J46:L58" si="11">B46-F46</f>
        <v>172.6</v>
      </c>
      <c r="K46" s="339">
        <f>C46-G46</f>
        <v>-153.80000000000001</v>
      </c>
      <c r="L46" s="339">
        <f t="shared" si="11"/>
        <v>160.69999999999999</v>
      </c>
      <c r="M46" s="340">
        <f>J46+K46+L46</f>
        <v>179.49999999999997</v>
      </c>
      <c r="N46" s="279" t="s">
        <v>24</v>
      </c>
      <c r="O46" s="280" t="s">
        <v>24</v>
      </c>
      <c r="P46" s="281"/>
      <c r="Q46" s="281"/>
      <c r="R46" s="282"/>
      <c r="S46" s="170"/>
    </row>
    <row r="47" spans="1:19" x14ac:dyDescent="0.2">
      <c r="A47" s="189" t="s">
        <v>29</v>
      </c>
      <c r="B47" s="339">
        <v>80.7</v>
      </c>
      <c r="C47" s="339">
        <v>0</v>
      </c>
      <c r="D47" s="339">
        <v>104</v>
      </c>
      <c r="E47" s="47">
        <f t="shared" si="9"/>
        <v>184.7</v>
      </c>
      <c r="F47" s="339">
        <v>0</v>
      </c>
      <c r="G47" s="339">
        <v>139.30000000000001</v>
      </c>
      <c r="H47" s="339">
        <v>0</v>
      </c>
      <c r="I47" s="47">
        <f t="shared" si="10"/>
        <v>139.30000000000001</v>
      </c>
      <c r="J47" s="339">
        <f t="shared" si="11"/>
        <v>80.7</v>
      </c>
      <c r="K47" s="339">
        <f>C47-G47</f>
        <v>-139.30000000000001</v>
      </c>
      <c r="L47" s="339">
        <f t="shared" si="11"/>
        <v>104</v>
      </c>
      <c r="M47" s="47">
        <f t="shared" ref="M47:M53" si="12">J47+K47+L47</f>
        <v>45.399999999999991</v>
      </c>
      <c r="N47" s="7"/>
      <c r="O47" s="9"/>
      <c r="P47" s="281"/>
      <c r="Q47" s="281"/>
      <c r="R47" s="169"/>
      <c r="S47" s="170"/>
    </row>
    <row r="48" spans="1:19" x14ac:dyDescent="0.2">
      <c r="A48" s="189" t="s">
        <v>36</v>
      </c>
      <c r="B48" s="339">
        <v>53.5</v>
      </c>
      <c r="C48" s="339">
        <v>0</v>
      </c>
      <c r="D48" s="339">
        <v>62.9</v>
      </c>
      <c r="E48" s="47">
        <f t="shared" si="9"/>
        <v>116.4</v>
      </c>
      <c r="F48" s="339">
        <v>0</v>
      </c>
      <c r="G48" s="339">
        <v>53.6</v>
      </c>
      <c r="H48" s="339">
        <v>0</v>
      </c>
      <c r="I48" s="47">
        <f t="shared" si="10"/>
        <v>53.6</v>
      </c>
      <c r="J48" s="339">
        <f t="shared" si="11"/>
        <v>53.5</v>
      </c>
      <c r="K48" s="339">
        <f t="shared" si="11"/>
        <v>-53.6</v>
      </c>
      <c r="L48" s="339">
        <f t="shared" si="11"/>
        <v>62.9</v>
      </c>
      <c r="M48" s="47">
        <f t="shared" si="12"/>
        <v>62.8</v>
      </c>
      <c r="N48" s="7"/>
      <c r="O48" s="9"/>
      <c r="P48" s="281"/>
      <c r="Q48" s="9"/>
      <c r="R48" s="169"/>
      <c r="S48" s="170"/>
    </row>
    <row r="49" spans="1:25" x14ac:dyDescent="0.2">
      <c r="A49" s="189" t="s">
        <v>5</v>
      </c>
      <c r="B49" s="339">
        <v>23</v>
      </c>
      <c r="C49" s="339">
        <v>0</v>
      </c>
      <c r="D49" s="339">
        <v>39.9</v>
      </c>
      <c r="E49" s="47">
        <f t="shared" si="9"/>
        <v>62.9</v>
      </c>
      <c r="F49" s="339">
        <v>0</v>
      </c>
      <c r="G49" s="339">
        <v>0</v>
      </c>
      <c r="H49" s="339">
        <v>0</v>
      </c>
      <c r="I49" s="47">
        <f t="shared" si="10"/>
        <v>0</v>
      </c>
      <c r="J49" s="339">
        <f t="shared" si="11"/>
        <v>23</v>
      </c>
      <c r="K49" s="339">
        <f t="shared" si="11"/>
        <v>0</v>
      </c>
      <c r="L49" s="339">
        <f t="shared" si="11"/>
        <v>39.9</v>
      </c>
      <c r="M49" s="47">
        <f t="shared" si="12"/>
        <v>62.9</v>
      </c>
      <c r="N49" s="9"/>
      <c r="O49" s="9"/>
      <c r="P49" s="281"/>
      <c r="Q49" s="9"/>
      <c r="R49" s="169"/>
      <c r="S49" s="170"/>
    </row>
    <row r="50" spans="1:25" x14ac:dyDescent="0.2">
      <c r="A50" s="189" t="s">
        <v>8</v>
      </c>
      <c r="B50" s="339">
        <v>13.8</v>
      </c>
      <c r="C50" s="339">
        <v>0</v>
      </c>
      <c r="D50" s="339">
        <v>16.5</v>
      </c>
      <c r="E50" s="47">
        <f t="shared" si="9"/>
        <v>30.3</v>
      </c>
      <c r="F50" s="339">
        <v>0</v>
      </c>
      <c r="G50" s="339">
        <v>0</v>
      </c>
      <c r="H50" s="339">
        <v>0</v>
      </c>
      <c r="I50" s="47">
        <f t="shared" si="10"/>
        <v>0</v>
      </c>
      <c r="J50" s="339">
        <f t="shared" si="11"/>
        <v>13.8</v>
      </c>
      <c r="K50" s="339">
        <f t="shared" si="11"/>
        <v>0</v>
      </c>
      <c r="L50" s="339">
        <f t="shared" si="11"/>
        <v>16.5</v>
      </c>
      <c r="M50" s="47">
        <f t="shared" si="12"/>
        <v>30.3</v>
      </c>
      <c r="N50" s="9"/>
      <c r="O50" s="9"/>
      <c r="P50" s="281"/>
      <c r="Q50" s="9"/>
      <c r="R50" s="169"/>
      <c r="S50" s="170"/>
    </row>
    <row r="51" spans="1:25" x14ac:dyDescent="0.2">
      <c r="A51" s="189" t="s">
        <v>37</v>
      </c>
      <c r="B51" s="339">
        <v>4.9000000000000004</v>
      </c>
      <c r="C51" s="339">
        <v>0</v>
      </c>
      <c r="D51" s="339">
        <v>4.2</v>
      </c>
      <c r="E51" s="47">
        <f t="shared" si="9"/>
        <v>9.1000000000000014</v>
      </c>
      <c r="F51" s="339">
        <v>0</v>
      </c>
      <c r="G51" s="339">
        <v>0</v>
      </c>
      <c r="H51" s="339">
        <v>0</v>
      </c>
      <c r="I51" s="47">
        <f t="shared" si="10"/>
        <v>0</v>
      </c>
      <c r="J51" s="339">
        <f t="shared" si="11"/>
        <v>4.9000000000000004</v>
      </c>
      <c r="K51" s="339">
        <f t="shared" si="11"/>
        <v>0</v>
      </c>
      <c r="L51" s="339">
        <f t="shared" si="11"/>
        <v>4.2</v>
      </c>
      <c r="M51" s="47">
        <f t="shared" si="12"/>
        <v>9.1000000000000014</v>
      </c>
      <c r="N51" s="9"/>
      <c r="O51" s="281"/>
      <c r="P51" s="9"/>
      <c r="Q51" s="9"/>
    </row>
    <row r="52" spans="1:25" x14ac:dyDescent="0.2">
      <c r="A52" s="189" t="s">
        <v>38</v>
      </c>
      <c r="B52" s="339">
        <v>3.2</v>
      </c>
      <c r="C52" s="339">
        <v>0</v>
      </c>
      <c r="D52" s="339">
        <v>0.3</v>
      </c>
      <c r="E52" s="47">
        <f t="shared" si="9"/>
        <v>3.5</v>
      </c>
      <c r="F52" s="339">
        <v>0</v>
      </c>
      <c r="G52" s="339">
        <v>4.4000000000000004</v>
      </c>
      <c r="H52" s="339">
        <v>0</v>
      </c>
      <c r="I52" s="47">
        <f t="shared" si="10"/>
        <v>4.4000000000000004</v>
      </c>
      <c r="J52" s="339">
        <f t="shared" si="11"/>
        <v>3.2</v>
      </c>
      <c r="K52" s="339">
        <f t="shared" si="11"/>
        <v>-4.4000000000000004</v>
      </c>
      <c r="L52" s="339">
        <f t="shared" si="11"/>
        <v>0.3</v>
      </c>
      <c r="M52" s="47">
        <f t="shared" si="12"/>
        <v>-0.90000000000000013</v>
      </c>
      <c r="N52" s="9"/>
      <c r="O52" s="9"/>
      <c r="P52" s="9"/>
      <c r="Q52" s="9"/>
    </row>
    <row r="53" spans="1:25" x14ac:dyDescent="0.2">
      <c r="A53" s="24" t="s">
        <v>15</v>
      </c>
      <c r="B53" s="339">
        <v>19.8</v>
      </c>
      <c r="C53" s="339">
        <v>0</v>
      </c>
      <c r="D53" s="339">
        <v>38.9</v>
      </c>
      <c r="E53" s="47">
        <f t="shared" si="9"/>
        <v>58.7</v>
      </c>
      <c r="F53" s="339">
        <v>0</v>
      </c>
      <c r="G53" s="339">
        <v>0</v>
      </c>
      <c r="H53" s="339">
        <v>0</v>
      </c>
      <c r="I53" s="47">
        <f t="shared" si="10"/>
        <v>0</v>
      </c>
      <c r="J53" s="339">
        <f t="shared" si="11"/>
        <v>19.8</v>
      </c>
      <c r="K53" s="339">
        <f t="shared" si="11"/>
        <v>0</v>
      </c>
      <c r="L53" s="339">
        <f t="shared" si="11"/>
        <v>38.9</v>
      </c>
      <c r="M53" s="47">
        <f t="shared" si="12"/>
        <v>58.7</v>
      </c>
      <c r="N53" s="9"/>
      <c r="O53" s="283"/>
      <c r="P53" s="284"/>
      <c r="Q53" s="285"/>
    </row>
    <row r="54" spans="1:25" x14ac:dyDescent="0.2">
      <c r="A54" s="24" t="s">
        <v>46</v>
      </c>
      <c r="B54" s="339">
        <v>8.1999999999999993</v>
      </c>
      <c r="C54" s="339">
        <v>0</v>
      </c>
      <c r="D54" s="339">
        <v>20.6</v>
      </c>
      <c r="E54" s="47">
        <f>B54+C54+D54</f>
        <v>28.8</v>
      </c>
      <c r="F54" s="339">
        <v>0</v>
      </c>
      <c r="G54" s="339">
        <v>0</v>
      </c>
      <c r="H54" s="339">
        <v>0</v>
      </c>
      <c r="I54" s="47">
        <f>F54+G54+H54</f>
        <v>0</v>
      </c>
      <c r="J54" s="339">
        <f t="shared" si="11"/>
        <v>8.1999999999999993</v>
      </c>
      <c r="K54" s="339">
        <f t="shared" si="11"/>
        <v>0</v>
      </c>
      <c r="L54" s="339">
        <f t="shared" si="11"/>
        <v>20.6</v>
      </c>
      <c r="M54" s="47">
        <f>J54+K54+L54</f>
        <v>28.8</v>
      </c>
      <c r="N54" s="9"/>
      <c r="O54" s="283"/>
      <c r="P54" s="284"/>
      <c r="Q54" s="285"/>
    </row>
    <row r="55" spans="1:25" x14ac:dyDescent="0.2">
      <c r="A55" s="24" t="s">
        <v>129</v>
      </c>
      <c r="B55" s="339">
        <v>0</v>
      </c>
      <c r="C55" s="339">
        <v>0</v>
      </c>
      <c r="D55" s="339">
        <v>8.3000000000000007</v>
      </c>
      <c r="E55" s="47">
        <f>B55+C55+D55</f>
        <v>8.3000000000000007</v>
      </c>
      <c r="F55" s="339">
        <v>0</v>
      </c>
      <c r="G55" s="339">
        <v>0</v>
      </c>
      <c r="H55" s="339">
        <v>0</v>
      </c>
      <c r="I55" s="47">
        <f>F55+G55+H55</f>
        <v>0</v>
      </c>
      <c r="J55" s="339">
        <f t="shared" si="11"/>
        <v>0</v>
      </c>
      <c r="K55" s="339">
        <f t="shared" si="11"/>
        <v>0</v>
      </c>
      <c r="L55" s="339">
        <f t="shared" si="11"/>
        <v>8.3000000000000007</v>
      </c>
      <c r="M55" s="47">
        <f>J55+K55+L55</f>
        <v>8.3000000000000007</v>
      </c>
      <c r="N55" s="9"/>
      <c r="O55" s="283"/>
      <c r="P55" s="284"/>
      <c r="Q55" s="285"/>
    </row>
    <row r="56" spans="1:25" x14ac:dyDescent="0.2">
      <c r="A56" s="24" t="s">
        <v>20</v>
      </c>
      <c r="B56" s="339">
        <v>5.7</v>
      </c>
      <c r="C56" s="339">
        <v>0</v>
      </c>
      <c r="D56" s="339">
        <v>3.7</v>
      </c>
      <c r="E56" s="47">
        <f>B56+C56+D56</f>
        <v>9.4</v>
      </c>
      <c r="F56" s="339">
        <v>0</v>
      </c>
      <c r="G56" s="339">
        <v>14.5</v>
      </c>
      <c r="H56" s="339">
        <v>0</v>
      </c>
      <c r="I56" s="47">
        <f>F56+G56+H56</f>
        <v>14.5</v>
      </c>
      <c r="J56" s="339">
        <f t="shared" si="11"/>
        <v>5.7</v>
      </c>
      <c r="K56" s="339">
        <f t="shared" si="11"/>
        <v>-14.5</v>
      </c>
      <c r="L56" s="339">
        <f t="shared" si="11"/>
        <v>3.7</v>
      </c>
      <c r="M56" s="47">
        <f>J56+K56+L56</f>
        <v>-5.1000000000000005</v>
      </c>
      <c r="N56" s="9"/>
      <c r="O56" s="283"/>
      <c r="P56" s="284"/>
      <c r="Q56" s="285"/>
    </row>
    <row r="57" spans="1:25" x14ac:dyDescent="0.2">
      <c r="A57" s="24" t="s">
        <v>11</v>
      </c>
      <c r="B57" s="339">
        <v>3.2</v>
      </c>
      <c r="C57" s="339">
        <v>0</v>
      </c>
      <c r="D57" s="339">
        <v>1</v>
      </c>
      <c r="E57" s="47">
        <f>B57+C57+D57</f>
        <v>4.2</v>
      </c>
      <c r="F57" s="339">
        <v>0</v>
      </c>
      <c r="G57" s="339">
        <v>0</v>
      </c>
      <c r="H57" s="339">
        <v>0</v>
      </c>
      <c r="I57" s="47">
        <f>F57+G57+H57</f>
        <v>0</v>
      </c>
      <c r="J57" s="339">
        <f t="shared" si="11"/>
        <v>3.2</v>
      </c>
      <c r="K57" s="339">
        <f t="shared" si="11"/>
        <v>0</v>
      </c>
      <c r="L57" s="339">
        <f t="shared" si="11"/>
        <v>1</v>
      </c>
      <c r="M57" s="47">
        <f>J57+K57+L57</f>
        <v>4.2</v>
      </c>
      <c r="N57" s="9"/>
      <c r="O57" s="283"/>
      <c r="P57" s="284"/>
      <c r="Q57" s="285"/>
    </row>
    <row r="58" spans="1:25" x14ac:dyDescent="0.2">
      <c r="A58" s="24" t="s">
        <v>10</v>
      </c>
      <c r="B58" s="339">
        <v>3.1</v>
      </c>
      <c r="C58" s="339">
        <v>0</v>
      </c>
      <c r="D58" s="339">
        <v>0.8</v>
      </c>
      <c r="E58" s="47">
        <f>B58+C58+D58</f>
        <v>3.9000000000000004</v>
      </c>
      <c r="F58" s="339">
        <v>0</v>
      </c>
      <c r="G58" s="339">
        <v>0</v>
      </c>
      <c r="H58" s="339">
        <v>0</v>
      </c>
      <c r="I58" s="47">
        <f>F58+G58+H58</f>
        <v>0</v>
      </c>
      <c r="J58" s="339">
        <f t="shared" si="11"/>
        <v>3.1</v>
      </c>
      <c r="K58" s="339">
        <f t="shared" si="11"/>
        <v>0</v>
      </c>
      <c r="L58" s="339">
        <f t="shared" si="11"/>
        <v>0.8</v>
      </c>
      <c r="M58" s="47">
        <f>J58+K58+L58</f>
        <v>3.9000000000000004</v>
      </c>
      <c r="N58" s="9"/>
      <c r="O58" s="283"/>
      <c r="P58" s="284"/>
      <c r="Q58" s="285"/>
    </row>
    <row r="59" spans="1:25" x14ac:dyDescent="0.2">
      <c r="A59" s="9"/>
      <c r="B59" s="272"/>
      <c r="C59" s="273"/>
      <c r="D59" s="272"/>
      <c r="E59" s="274"/>
      <c r="F59" s="272"/>
      <c r="G59" s="273"/>
      <c r="H59" s="272"/>
      <c r="I59" s="274"/>
      <c r="J59" s="275"/>
      <c r="K59" s="275"/>
      <c r="L59" s="275"/>
      <c r="M59" s="274"/>
      <c r="N59" s="9"/>
      <c r="O59" s="9"/>
      <c r="P59" s="9"/>
      <c r="Q59" s="7"/>
    </row>
    <row r="60" spans="1:25" ht="15.75" x14ac:dyDescent="0.25">
      <c r="A60" s="592" t="s">
        <v>247</v>
      </c>
      <c r="B60" s="592"/>
      <c r="C60" s="269"/>
      <c r="D60" s="269"/>
      <c r="E60" s="270"/>
      <c r="F60" s="271"/>
      <c r="G60" s="271"/>
      <c r="H60" s="271"/>
      <c r="I60" s="268"/>
      <c r="J60" s="268"/>
    </row>
    <row r="61" spans="1:25" x14ac:dyDescent="0.2">
      <c r="A61" s="596" t="s">
        <v>3</v>
      </c>
      <c r="B61" s="595" t="s">
        <v>238</v>
      </c>
      <c r="C61" s="595"/>
      <c r="D61" s="595"/>
      <c r="E61" s="595"/>
      <c r="F61" s="595" t="s">
        <v>239</v>
      </c>
      <c r="G61" s="595"/>
      <c r="H61" s="595"/>
      <c r="I61" s="595"/>
      <c r="J61" s="595" t="s">
        <v>240</v>
      </c>
      <c r="K61" s="595"/>
      <c r="L61" s="595"/>
      <c r="M61" s="595"/>
      <c r="N61" s="591" t="s">
        <v>248</v>
      </c>
      <c r="O61" s="591"/>
      <c r="P61" s="591"/>
      <c r="Q61" s="591"/>
      <c r="R61" s="591" t="s">
        <v>249</v>
      </c>
      <c r="S61" s="591"/>
      <c r="T61" s="591"/>
      <c r="U61" s="591"/>
      <c r="V61" s="591" t="s">
        <v>250</v>
      </c>
      <c r="W61" s="591"/>
      <c r="X61" s="591"/>
      <c r="Y61" s="591"/>
    </row>
    <row r="62" spans="1:25" ht="38.25" x14ac:dyDescent="0.2">
      <c r="A62" s="596"/>
      <c r="B62" s="190" t="s">
        <v>293</v>
      </c>
      <c r="C62" s="166" t="s">
        <v>317</v>
      </c>
      <c r="D62" s="166" t="s">
        <v>294</v>
      </c>
      <c r="E62" s="166" t="s">
        <v>242</v>
      </c>
      <c r="F62" s="190" t="s">
        <v>293</v>
      </c>
      <c r="G62" s="166" t="s">
        <v>317</v>
      </c>
      <c r="H62" s="166" t="s">
        <v>294</v>
      </c>
      <c r="I62" s="166" t="s">
        <v>242</v>
      </c>
      <c r="J62" s="190" t="s">
        <v>293</v>
      </c>
      <c r="K62" s="166" t="s">
        <v>317</v>
      </c>
      <c r="L62" s="166" t="s">
        <v>294</v>
      </c>
      <c r="M62" s="166" t="s">
        <v>242</v>
      </c>
      <c r="N62" s="190" t="s">
        <v>293</v>
      </c>
      <c r="O62" s="166" t="s">
        <v>317</v>
      </c>
      <c r="P62" s="166" t="s">
        <v>294</v>
      </c>
      <c r="Q62" s="166" t="s">
        <v>242</v>
      </c>
      <c r="R62" s="190" t="s">
        <v>293</v>
      </c>
      <c r="S62" s="166" t="s">
        <v>317</v>
      </c>
      <c r="T62" s="166" t="s">
        <v>294</v>
      </c>
      <c r="U62" s="166" t="s">
        <v>242</v>
      </c>
      <c r="V62" s="190" t="s">
        <v>293</v>
      </c>
      <c r="W62" s="166" t="s">
        <v>317</v>
      </c>
      <c r="X62" s="166" t="s">
        <v>294</v>
      </c>
      <c r="Y62" s="166" t="s">
        <v>242</v>
      </c>
    </row>
    <row r="63" spans="1:25" x14ac:dyDescent="0.2">
      <c r="A63" s="189" t="s">
        <v>47</v>
      </c>
      <c r="B63" s="53">
        <f>B29-B30-B37-B39</f>
        <v>700.29999999999984</v>
      </c>
      <c r="C63" s="53">
        <f>C29-C30-C37-C39</f>
        <v>231.2</v>
      </c>
      <c r="D63" s="53">
        <f>D29-D30-D37-D39</f>
        <v>154.79999999999995</v>
      </c>
      <c r="E63" s="54">
        <f t="shared" ref="E63:E75" si="13">B63+C63+D63</f>
        <v>1086.2999999999997</v>
      </c>
      <c r="F63" s="53">
        <f>F29-F30-F37-F39</f>
        <v>82.9</v>
      </c>
      <c r="G63" s="53">
        <f>G29-G30-G37-G39</f>
        <v>145.19999999999993</v>
      </c>
      <c r="H63" s="53">
        <f>H29-H30-H37-H39</f>
        <v>32.40000000000002</v>
      </c>
      <c r="I63" s="54">
        <f t="shared" ref="I63:I75" si="14">F63+G63+H63</f>
        <v>260.49999999999994</v>
      </c>
      <c r="J63" s="342">
        <f>B63-F63</f>
        <v>617.39999999999986</v>
      </c>
      <c r="K63" s="342">
        <f>C63-G63</f>
        <v>86.000000000000057</v>
      </c>
      <c r="L63" s="342">
        <f>D63-H63</f>
        <v>122.39999999999993</v>
      </c>
      <c r="M63" s="47">
        <f>J63+K63+L63</f>
        <v>825.79999999999984</v>
      </c>
      <c r="N63" s="55">
        <f>B63*D5</f>
        <v>19013.144999999993</v>
      </c>
      <c r="O63" s="55">
        <f t="shared" ref="O63:O75" si="15">C63*F5</f>
        <v>5204.311999999999</v>
      </c>
      <c r="P63" s="55">
        <f>D63*H5</f>
        <v>3484.5479999999989</v>
      </c>
      <c r="Q63" s="55">
        <f t="shared" ref="Q63:Q75" si="16">N63+O63+P63</f>
        <v>27702.00499999999</v>
      </c>
      <c r="R63" s="55">
        <f>F63*D5</f>
        <v>2250.7350000000001</v>
      </c>
      <c r="S63" s="55">
        <f t="shared" ref="S63:S75" si="17">G63*F5</f>
        <v>3268.451999999998</v>
      </c>
      <c r="T63" s="55">
        <f t="shared" ref="T63:T75" si="18">H63*H5</f>
        <v>729.32400000000041</v>
      </c>
      <c r="U63" s="55">
        <f>R63+S63+T63</f>
        <v>6248.5109999999986</v>
      </c>
      <c r="V63" s="438">
        <f>N63-R63</f>
        <v>16762.409999999993</v>
      </c>
      <c r="W63" s="438">
        <f>O63-S63</f>
        <v>1935.860000000001</v>
      </c>
      <c r="X63" s="438">
        <f>P63-T63</f>
        <v>2755.2239999999983</v>
      </c>
      <c r="Y63" s="438">
        <f t="shared" ref="Y63:Y70" si="19">V63+W63+X63</f>
        <v>21453.493999999992</v>
      </c>
    </row>
    <row r="64" spans="1:25" x14ac:dyDescent="0.2">
      <c r="A64" s="189" t="s">
        <v>50</v>
      </c>
      <c r="B64" s="53">
        <f>B30-B31-B32-B41</f>
        <v>84.2</v>
      </c>
      <c r="C64" s="53">
        <f>C30-C31-C32-C41</f>
        <v>300.49999999999994</v>
      </c>
      <c r="D64" s="53">
        <f>D30-D31-D32-D41</f>
        <v>48.6</v>
      </c>
      <c r="E64" s="54">
        <f t="shared" si="13"/>
        <v>433.29999999999995</v>
      </c>
      <c r="F64" s="53">
        <f>F30-F31-F32-F41</f>
        <v>817.2</v>
      </c>
      <c r="G64" s="53">
        <f>G30-G31-G32-G41</f>
        <v>13.699999999999994</v>
      </c>
      <c r="H64" s="53">
        <f>H30-H31-H32-H41</f>
        <v>0.39999999999999569</v>
      </c>
      <c r="I64" s="54">
        <f t="shared" si="14"/>
        <v>831.30000000000007</v>
      </c>
      <c r="J64" s="342">
        <f t="shared" ref="J64:L75" si="20">B64-F64</f>
        <v>-733</v>
      </c>
      <c r="K64" s="342">
        <f t="shared" si="20"/>
        <v>286.79999999999995</v>
      </c>
      <c r="L64" s="342">
        <f t="shared" si="20"/>
        <v>48.2</v>
      </c>
      <c r="M64" s="47">
        <f t="shared" ref="M64:M72" si="21">J64+K64+L64</f>
        <v>-398.00000000000006</v>
      </c>
      <c r="N64" s="55">
        <f t="shared" ref="N64:N74" si="22">B64*D6</f>
        <v>2286.0299999999997</v>
      </c>
      <c r="O64" s="55">
        <f t="shared" si="15"/>
        <v>6764.2549999999983</v>
      </c>
      <c r="P64" s="55">
        <f t="shared" ref="P64:P75" si="23">D64*H6</f>
        <v>1093.9859999999999</v>
      </c>
      <c r="Q64" s="55">
        <f t="shared" si="16"/>
        <v>10144.270999999997</v>
      </c>
      <c r="R64" s="55">
        <f>F64*D6</f>
        <v>22186.98</v>
      </c>
      <c r="S64" s="55">
        <f t="shared" si="17"/>
        <v>308.38699999999983</v>
      </c>
      <c r="T64" s="55">
        <f t="shared" si="18"/>
        <v>9.0039999999999019</v>
      </c>
      <c r="U64" s="55">
        <f t="shared" ref="U64:U75" si="24">R64+S64+T64</f>
        <v>22504.370999999999</v>
      </c>
      <c r="V64" s="438">
        <f>N64-R64</f>
        <v>-19900.95</v>
      </c>
      <c r="W64" s="438">
        <f t="shared" ref="V64:X75" si="25">O64-S64</f>
        <v>6455.8679999999986</v>
      </c>
      <c r="X64" s="438">
        <f t="shared" si="25"/>
        <v>1084.982</v>
      </c>
      <c r="Y64" s="438">
        <f t="shared" si="19"/>
        <v>-12360.100000000002</v>
      </c>
    </row>
    <row r="65" spans="1:25" x14ac:dyDescent="0.2">
      <c r="A65" s="189" t="s">
        <v>49</v>
      </c>
      <c r="B65" s="53">
        <f>B31-B33-B35</f>
        <v>99</v>
      </c>
      <c r="C65" s="53">
        <f>C31-C33-C35</f>
        <v>16.3</v>
      </c>
      <c r="D65" s="53">
        <f>D31-D33-D35</f>
        <v>43.300000000000004</v>
      </c>
      <c r="E65" s="54">
        <f t="shared" si="13"/>
        <v>158.6</v>
      </c>
      <c r="F65" s="53">
        <f>F31-F33-F35</f>
        <v>85.899999999999991</v>
      </c>
      <c r="G65" s="53">
        <f>G31-G33-G35</f>
        <v>38.1</v>
      </c>
      <c r="H65" s="53">
        <f>H31-H33-H35</f>
        <v>54.5</v>
      </c>
      <c r="I65" s="54">
        <f t="shared" si="14"/>
        <v>178.5</v>
      </c>
      <c r="J65" s="342">
        <f t="shared" si="20"/>
        <v>13.100000000000009</v>
      </c>
      <c r="K65" s="342">
        <f t="shared" si="20"/>
        <v>-21.8</v>
      </c>
      <c r="L65" s="342">
        <f t="shared" si="20"/>
        <v>-11.199999999999996</v>
      </c>
      <c r="M65" s="47">
        <f t="shared" si="21"/>
        <v>-19.899999999999988</v>
      </c>
      <c r="N65" s="55">
        <f t="shared" si="22"/>
        <v>8383.3200000000015</v>
      </c>
      <c r="O65" s="55">
        <f t="shared" si="15"/>
        <v>1304.6520000000003</v>
      </c>
      <c r="P65" s="55">
        <f t="shared" si="23"/>
        <v>3465.7320000000004</v>
      </c>
      <c r="Q65" s="55">
        <f t="shared" si="16"/>
        <v>13153.704000000002</v>
      </c>
      <c r="R65" s="55">
        <f t="shared" ref="R65:R75" si="26">F65*D7</f>
        <v>7274.0119999999997</v>
      </c>
      <c r="S65" s="55">
        <f t="shared" si="17"/>
        <v>3049.5240000000003</v>
      </c>
      <c r="T65" s="55">
        <f t="shared" si="18"/>
        <v>4362.18</v>
      </c>
      <c r="U65" s="55">
        <f t="shared" si="24"/>
        <v>14685.716</v>
      </c>
      <c r="V65" s="438">
        <f>N65-R65</f>
        <v>1109.3080000000018</v>
      </c>
      <c r="W65" s="438">
        <f t="shared" si="25"/>
        <v>-1744.8720000000001</v>
      </c>
      <c r="X65" s="438">
        <f t="shared" si="25"/>
        <v>-896.44799999999987</v>
      </c>
      <c r="Y65" s="438">
        <f t="shared" si="19"/>
        <v>-1532.0119999999981</v>
      </c>
    </row>
    <row r="66" spans="1:25" x14ac:dyDescent="0.2">
      <c r="A66" s="189" t="s">
        <v>48</v>
      </c>
      <c r="B66" s="53">
        <f>B32-B36-B40</f>
        <v>0</v>
      </c>
      <c r="C66" s="53">
        <f>C32-C36-C40</f>
        <v>0</v>
      </c>
      <c r="D66" s="53">
        <f>D32-D36-D40</f>
        <v>0</v>
      </c>
      <c r="E66" s="54">
        <f t="shared" si="13"/>
        <v>0</v>
      </c>
      <c r="F66" s="53">
        <f>F32-F36-F40</f>
        <v>0</v>
      </c>
      <c r="G66" s="53">
        <f>G32-G36-G40</f>
        <v>0</v>
      </c>
      <c r="H66" s="53">
        <f>H32-H36-H40</f>
        <v>0</v>
      </c>
      <c r="I66" s="54">
        <f t="shared" si="14"/>
        <v>0</v>
      </c>
      <c r="J66" s="342">
        <f t="shared" si="20"/>
        <v>0</v>
      </c>
      <c r="K66" s="342">
        <f t="shared" si="20"/>
        <v>0</v>
      </c>
      <c r="L66" s="342">
        <f t="shared" si="20"/>
        <v>0</v>
      </c>
      <c r="M66" s="47">
        <f t="shared" si="21"/>
        <v>0</v>
      </c>
      <c r="N66" s="55">
        <f t="shared" si="22"/>
        <v>0</v>
      </c>
      <c r="O66" s="55">
        <f t="shared" si="15"/>
        <v>0</v>
      </c>
      <c r="P66" s="55">
        <f t="shared" si="23"/>
        <v>0</v>
      </c>
      <c r="Q66" s="55">
        <f t="shared" si="16"/>
        <v>0</v>
      </c>
      <c r="R66" s="55">
        <f t="shared" si="26"/>
        <v>0</v>
      </c>
      <c r="S66" s="55">
        <f t="shared" si="17"/>
        <v>0</v>
      </c>
      <c r="T66" s="55">
        <f t="shared" si="18"/>
        <v>0</v>
      </c>
      <c r="U66" s="55">
        <f t="shared" si="24"/>
        <v>0</v>
      </c>
      <c r="V66" s="438">
        <f t="shared" si="25"/>
        <v>0</v>
      </c>
      <c r="W66" s="438">
        <f t="shared" si="25"/>
        <v>0</v>
      </c>
      <c r="X66" s="438">
        <f t="shared" si="25"/>
        <v>0</v>
      </c>
      <c r="Y66" s="438">
        <f t="shared" si="19"/>
        <v>0</v>
      </c>
    </row>
    <row r="67" spans="1:25" x14ac:dyDescent="0.2">
      <c r="A67" s="189" t="s">
        <v>40</v>
      </c>
      <c r="B67" s="53">
        <f>B33-B34</f>
        <v>12.5</v>
      </c>
      <c r="C67" s="53">
        <f>C33-C34</f>
        <v>0</v>
      </c>
      <c r="D67" s="53">
        <f>D33-D34</f>
        <v>16.8</v>
      </c>
      <c r="E67" s="54">
        <f t="shared" si="13"/>
        <v>29.3</v>
      </c>
      <c r="F67" s="53">
        <f>F33-F34</f>
        <v>10.6</v>
      </c>
      <c r="G67" s="53">
        <f>G33-G34</f>
        <v>14.2</v>
      </c>
      <c r="H67" s="53">
        <f>H33-H34</f>
        <v>13.399999999999999</v>
      </c>
      <c r="I67" s="54">
        <f t="shared" si="14"/>
        <v>38.199999999999996</v>
      </c>
      <c r="J67" s="342">
        <f t="shared" si="20"/>
        <v>1.9000000000000004</v>
      </c>
      <c r="K67" s="342">
        <f t="shared" si="20"/>
        <v>-14.2</v>
      </c>
      <c r="L67" s="342">
        <f t="shared" si="20"/>
        <v>3.4000000000000021</v>
      </c>
      <c r="M67" s="47">
        <f t="shared" si="21"/>
        <v>-8.8999999999999968</v>
      </c>
      <c r="N67" s="55">
        <f t="shared" si="22"/>
        <v>1058.5</v>
      </c>
      <c r="O67" s="55">
        <f t="shared" si="15"/>
        <v>0</v>
      </c>
      <c r="P67" s="55">
        <f t="shared" si="23"/>
        <v>1344.6720000000003</v>
      </c>
      <c r="Q67" s="55">
        <f t="shared" si="16"/>
        <v>2403.1720000000005</v>
      </c>
      <c r="R67" s="55">
        <f t="shared" si="26"/>
        <v>897.60800000000006</v>
      </c>
      <c r="S67" s="55">
        <f t="shared" si="17"/>
        <v>1136.568</v>
      </c>
      <c r="T67" s="55">
        <f t="shared" si="18"/>
        <v>1072.5360000000001</v>
      </c>
      <c r="U67" s="55">
        <f t="shared" si="24"/>
        <v>3106.712</v>
      </c>
      <c r="V67" s="438">
        <f t="shared" si="25"/>
        <v>160.89199999999994</v>
      </c>
      <c r="W67" s="438">
        <f t="shared" si="25"/>
        <v>-1136.568</v>
      </c>
      <c r="X67" s="438">
        <f t="shared" si="25"/>
        <v>272.13600000000019</v>
      </c>
      <c r="Y67" s="438">
        <f t="shared" si="19"/>
        <v>-703.53999999999985</v>
      </c>
    </row>
    <row r="68" spans="1:25" x14ac:dyDescent="0.2">
      <c r="A68" s="189" t="s">
        <v>37</v>
      </c>
      <c r="B68" s="53">
        <f t="shared" ref="B68:D70" si="27">B34</f>
        <v>1</v>
      </c>
      <c r="C68" s="53">
        <f t="shared" si="27"/>
        <v>0</v>
      </c>
      <c r="D68" s="53">
        <f t="shared" si="27"/>
        <v>10.199999999999999</v>
      </c>
      <c r="E68" s="54">
        <f t="shared" si="13"/>
        <v>11.2</v>
      </c>
      <c r="F68" s="53">
        <f t="shared" ref="F68:H70" si="28">F34</f>
        <v>4.9000000000000004</v>
      </c>
      <c r="G68" s="53">
        <f t="shared" si="28"/>
        <v>12.2</v>
      </c>
      <c r="H68" s="53">
        <f t="shared" si="28"/>
        <v>10.8</v>
      </c>
      <c r="I68" s="54">
        <f t="shared" si="14"/>
        <v>27.900000000000002</v>
      </c>
      <c r="J68" s="342">
        <f t="shared" si="20"/>
        <v>-3.9000000000000004</v>
      </c>
      <c r="K68" s="342">
        <f t="shared" si="20"/>
        <v>-12.2</v>
      </c>
      <c r="L68" s="342">
        <f t="shared" si="20"/>
        <v>-0.60000000000000142</v>
      </c>
      <c r="M68" s="47">
        <f t="shared" si="21"/>
        <v>-16.700000000000003</v>
      </c>
      <c r="N68" s="55">
        <f t="shared" si="22"/>
        <v>84.68</v>
      </c>
      <c r="O68" s="55">
        <f t="shared" si="15"/>
        <v>0</v>
      </c>
      <c r="P68" s="55">
        <f t="shared" si="23"/>
        <v>816.40800000000002</v>
      </c>
      <c r="Q68" s="55">
        <f t="shared" si="16"/>
        <v>901.08799999999997</v>
      </c>
      <c r="R68" s="55">
        <f t="shared" si="26"/>
        <v>414.93200000000007</v>
      </c>
      <c r="S68" s="55">
        <f t="shared" si="17"/>
        <v>976.48800000000006</v>
      </c>
      <c r="T68" s="55">
        <f t="shared" si="18"/>
        <v>864.43200000000013</v>
      </c>
      <c r="U68" s="55">
        <f t="shared" si="24"/>
        <v>2255.8520000000003</v>
      </c>
      <c r="V68" s="438">
        <f t="shared" si="25"/>
        <v>-330.25200000000007</v>
      </c>
      <c r="W68" s="438">
        <f t="shared" si="25"/>
        <v>-976.48800000000006</v>
      </c>
      <c r="X68" s="438">
        <f t="shared" si="25"/>
        <v>-48.024000000000115</v>
      </c>
      <c r="Y68" s="438">
        <f t="shared" si="19"/>
        <v>-1354.7640000000004</v>
      </c>
    </row>
    <row r="69" spans="1:25" x14ac:dyDescent="0.2">
      <c r="A69" s="189" t="s">
        <v>38</v>
      </c>
      <c r="B69" s="53">
        <f t="shared" si="27"/>
        <v>0.3</v>
      </c>
      <c r="C69" s="53">
        <f t="shared" si="27"/>
        <v>0</v>
      </c>
      <c r="D69" s="53">
        <f t="shared" si="27"/>
        <v>11.4</v>
      </c>
      <c r="E69" s="54">
        <f t="shared" si="13"/>
        <v>11.700000000000001</v>
      </c>
      <c r="F69" s="53">
        <f t="shared" si="28"/>
        <v>21.7</v>
      </c>
      <c r="G69" s="53">
        <f t="shared" si="28"/>
        <v>7</v>
      </c>
      <c r="H69" s="53">
        <f t="shared" si="28"/>
        <v>0.3</v>
      </c>
      <c r="I69" s="54">
        <f t="shared" si="14"/>
        <v>29</v>
      </c>
      <c r="J69" s="342">
        <f t="shared" si="20"/>
        <v>-21.4</v>
      </c>
      <c r="K69" s="342">
        <f t="shared" si="20"/>
        <v>-7</v>
      </c>
      <c r="L69" s="342">
        <f t="shared" si="20"/>
        <v>11.1</v>
      </c>
      <c r="M69" s="47">
        <f>J69+K69+L69</f>
        <v>-17.299999999999997</v>
      </c>
      <c r="N69" s="55">
        <f t="shared" si="22"/>
        <v>25.404</v>
      </c>
      <c r="O69" s="55">
        <f t="shared" si="15"/>
        <v>0</v>
      </c>
      <c r="P69" s="55">
        <f t="shared" si="23"/>
        <v>406.75200000000007</v>
      </c>
      <c r="Q69" s="55">
        <f t="shared" si="16"/>
        <v>432.15600000000006</v>
      </c>
      <c r="R69" s="55">
        <f t="shared" si="26"/>
        <v>1837.556</v>
      </c>
      <c r="S69" s="55">
        <f t="shared" si="17"/>
        <v>249.76000000000005</v>
      </c>
      <c r="T69" s="55">
        <f t="shared" si="18"/>
        <v>10.704000000000002</v>
      </c>
      <c r="U69" s="55">
        <f t="shared" si="24"/>
        <v>2098.0200000000004</v>
      </c>
      <c r="V69" s="438">
        <f t="shared" si="25"/>
        <v>-1812.152</v>
      </c>
      <c r="W69" s="438">
        <f t="shared" si="25"/>
        <v>-249.76000000000005</v>
      </c>
      <c r="X69" s="438">
        <f t="shared" si="25"/>
        <v>396.04800000000006</v>
      </c>
      <c r="Y69" s="438">
        <f t="shared" si="19"/>
        <v>-1665.8640000000003</v>
      </c>
    </row>
    <row r="70" spans="1:25" x14ac:dyDescent="0.2">
      <c r="A70" s="189" t="s">
        <v>15</v>
      </c>
      <c r="B70" s="53">
        <f t="shared" si="27"/>
        <v>3.9</v>
      </c>
      <c r="C70" s="53">
        <f t="shared" si="27"/>
        <v>0</v>
      </c>
      <c r="D70" s="53">
        <f t="shared" si="27"/>
        <v>0</v>
      </c>
      <c r="E70" s="54">
        <f t="shared" si="13"/>
        <v>3.9</v>
      </c>
      <c r="F70" s="53">
        <f t="shared" si="28"/>
        <v>19.8</v>
      </c>
      <c r="G70" s="53">
        <f t="shared" si="28"/>
        <v>0</v>
      </c>
      <c r="H70" s="53">
        <f t="shared" si="28"/>
        <v>38.9</v>
      </c>
      <c r="I70" s="54">
        <f t="shared" si="14"/>
        <v>58.7</v>
      </c>
      <c r="J70" s="342">
        <f t="shared" si="20"/>
        <v>-15.9</v>
      </c>
      <c r="K70" s="342">
        <f t="shared" si="20"/>
        <v>0</v>
      </c>
      <c r="L70" s="342">
        <f t="shared" si="20"/>
        <v>-38.9</v>
      </c>
      <c r="M70" s="47">
        <f>J70+K70+L70</f>
        <v>-54.8</v>
      </c>
      <c r="N70" s="55">
        <f t="shared" si="22"/>
        <v>105.88499999999999</v>
      </c>
      <c r="O70" s="55">
        <f t="shared" si="15"/>
        <v>0</v>
      </c>
      <c r="P70" s="55">
        <f t="shared" si="23"/>
        <v>0</v>
      </c>
      <c r="Q70" s="55">
        <f t="shared" si="16"/>
        <v>105.88499999999999</v>
      </c>
      <c r="R70" s="55">
        <f t="shared" si="26"/>
        <v>537.56999999999994</v>
      </c>
      <c r="S70" s="55">
        <f t="shared" si="17"/>
        <v>0</v>
      </c>
      <c r="T70" s="55">
        <f t="shared" si="18"/>
        <v>875.6389999999999</v>
      </c>
      <c r="U70" s="55">
        <f t="shared" si="24"/>
        <v>1413.2089999999998</v>
      </c>
      <c r="V70" s="438">
        <f t="shared" si="25"/>
        <v>-431.68499999999995</v>
      </c>
      <c r="W70" s="438">
        <f t="shared" si="25"/>
        <v>0</v>
      </c>
      <c r="X70" s="438">
        <f t="shared" si="25"/>
        <v>-875.6389999999999</v>
      </c>
      <c r="Y70" s="438">
        <f t="shared" si="19"/>
        <v>-1307.3239999999998</v>
      </c>
    </row>
    <row r="71" spans="1:25" x14ac:dyDescent="0.2">
      <c r="A71" s="189" t="s">
        <v>130</v>
      </c>
      <c r="B71" s="53">
        <f>B37-B38</f>
        <v>37.299999999999997</v>
      </c>
      <c r="C71" s="53">
        <f>C37-C38</f>
        <v>0</v>
      </c>
      <c r="D71" s="53">
        <f>D37-D38</f>
        <v>27.599999999999994</v>
      </c>
      <c r="E71" s="54">
        <f t="shared" si="13"/>
        <v>64.899999999999991</v>
      </c>
      <c r="F71" s="53">
        <f>F37-F38</f>
        <v>320.2</v>
      </c>
      <c r="G71" s="53">
        <f>G37-G38</f>
        <v>250</v>
      </c>
      <c r="H71" s="53">
        <f>H37-H38</f>
        <v>12.3</v>
      </c>
      <c r="I71" s="54">
        <f t="shared" si="14"/>
        <v>582.5</v>
      </c>
      <c r="J71" s="342">
        <f t="shared" si="20"/>
        <v>-282.89999999999998</v>
      </c>
      <c r="K71" s="342">
        <f t="shared" si="20"/>
        <v>-250</v>
      </c>
      <c r="L71" s="342">
        <f t="shared" si="20"/>
        <v>15.299999999999994</v>
      </c>
      <c r="M71" s="47">
        <f t="shared" si="21"/>
        <v>-517.6</v>
      </c>
      <c r="N71" s="55">
        <f t="shared" si="22"/>
        <v>1012.6949999999998</v>
      </c>
      <c r="O71" s="55">
        <f t="shared" si="15"/>
        <v>0</v>
      </c>
      <c r="P71" s="55">
        <f t="shared" si="23"/>
        <v>621.27599999999984</v>
      </c>
      <c r="Q71" s="55">
        <f t="shared" si="16"/>
        <v>1633.9709999999995</v>
      </c>
      <c r="R71" s="55">
        <f t="shared" si="26"/>
        <v>8693.4299999999985</v>
      </c>
      <c r="S71" s="55">
        <f t="shared" si="17"/>
        <v>5627.4999999999991</v>
      </c>
      <c r="T71" s="55">
        <f t="shared" si="18"/>
        <v>276.87299999999999</v>
      </c>
      <c r="U71" s="55">
        <f t="shared" si="24"/>
        <v>14597.802999999996</v>
      </c>
      <c r="V71" s="438">
        <f t="shared" si="25"/>
        <v>-7680.7349999999988</v>
      </c>
      <c r="W71" s="438">
        <f t="shared" si="25"/>
        <v>-5627.4999999999991</v>
      </c>
      <c r="X71" s="438">
        <f t="shared" si="25"/>
        <v>344.40299999999985</v>
      </c>
      <c r="Y71" s="438">
        <f t="shared" ref="Y71:Y72" si="29">V71+W71+X71</f>
        <v>-12963.831999999997</v>
      </c>
    </row>
    <row r="72" spans="1:25" x14ac:dyDescent="0.2">
      <c r="A72" s="189" t="s">
        <v>129</v>
      </c>
      <c r="B72" s="53">
        <f t="shared" ref="B72:D75" si="30">B38</f>
        <v>0.7</v>
      </c>
      <c r="C72" s="53">
        <f t="shared" si="30"/>
        <v>0</v>
      </c>
      <c r="D72" s="53">
        <f t="shared" si="30"/>
        <v>45.7</v>
      </c>
      <c r="E72" s="54">
        <f t="shared" si="13"/>
        <v>46.400000000000006</v>
      </c>
      <c r="F72" s="53">
        <f t="shared" ref="F72:H75" si="31">F38</f>
        <v>19.600000000000001</v>
      </c>
      <c r="G72" s="53">
        <f t="shared" si="31"/>
        <v>0</v>
      </c>
      <c r="H72" s="53">
        <f t="shared" si="31"/>
        <v>8.3000000000000007</v>
      </c>
      <c r="I72" s="54">
        <f t="shared" si="14"/>
        <v>27.900000000000002</v>
      </c>
      <c r="J72" s="342">
        <f t="shared" si="20"/>
        <v>-18.900000000000002</v>
      </c>
      <c r="K72" s="342">
        <f t="shared" si="20"/>
        <v>0</v>
      </c>
      <c r="L72" s="342">
        <f t="shared" si="20"/>
        <v>37.400000000000006</v>
      </c>
      <c r="M72" s="47">
        <f t="shared" si="21"/>
        <v>18.500000000000004</v>
      </c>
      <c r="N72" s="55">
        <f t="shared" si="22"/>
        <v>19.004999999999999</v>
      </c>
      <c r="O72" s="55">
        <f t="shared" si="15"/>
        <v>0</v>
      </c>
      <c r="P72" s="55">
        <f t="shared" si="23"/>
        <v>1028.7069999999999</v>
      </c>
      <c r="Q72" s="55">
        <f t="shared" si="16"/>
        <v>1047.712</v>
      </c>
      <c r="R72" s="55">
        <f t="shared" si="26"/>
        <v>532.14</v>
      </c>
      <c r="S72" s="55">
        <f t="shared" si="17"/>
        <v>0</v>
      </c>
      <c r="T72" s="55">
        <f t="shared" si="18"/>
        <v>186.833</v>
      </c>
      <c r="U72" s="55">
        <f t="shared" si="24"/>
        <v>718.97299999999996</v>
      </c>
      <c r="V72" s="438">
        <f t="shared" si="25"/>
        <v>-513.13499999999999</v>
      </c>
      <c r="W72" s="438">
        <f t="shared" si="25"/>
        <v>0</v>
      </c>
      <c r="X72" s="438">
        <f t="shared" si="25"/>
        <v>841.87399999999991</v>
      </c>
      <c r="Y72" s="438">
        <f t="shared" si="29"/>
        <v>328.73899999999992</v>
      </c>
    </row>
    <row r="73" spans="1:25" x14ac:dyDescent="0.2">
      <c r="A73" s="24" t="s">
        <v>20</v>
      </c>
      <c r="B73" s="53">
        <f t="shared" si="30"/>
        <v>288.89999999999998</v>
      </c>
      <c r="C73" s="53">
        <f t="shared" si="30"/>
        <v>0</v>
      </c>
      <c r="D73" s="53">
        <f t="shared" si="30"/>
        <v>184.8</v>
      </c>
      <c r="E73" s="54">
        <f t="shared" si="13"/>
        <v>473.7</v>
      </c>
      <c r="F73" s="53">
        <f t="shared" si="31"/>
        <v>10.9</v>
      </c>
      <c r="G73" s="53">
        <f t="shared" si="31"/>
        <v>435.5</v>
      </c>
      <c r="H73" s="53">
        <f t="shared" si="31"/>
        <v>22.2</v>
      </c>
      <c r="I73" s="54">
        <f t="shared" si="14"/>
        <v>468.59999999999997</v>
      </c>
      <c r="J73" s="342">
        <f t="shared" si="20"/>
        <v>278</v>
      </c>
      <c r="K73" s="342">
        <f t="shared" si="20"/>
        <v>-435.5</v>
      </c>
      <c r="L73" s="342">
        <f t="shared" si="20"/>
        <v>162.60000000000002</v>
      </c>
      <c r="M73" s="47">
        <f>J73+K73+L73</f>
        <v>5.1000000000000227</v>
      </c>
      <c r="N73" s="55">
        <f t="shared" si="22"/>
        <v>8667</v>
      </c>
      <c r="O73" s="55">
        <f t="shared" si="15"/>
        <v>0</v>
      </c>
      <c r="P73" s="55">
        <f t="shared" si="23"/>
        <v>4686.5280000000002</v>
      </c>
      <c r="Q73" s="55">
        <f t="shared" si="16"/>
        <v>13353.528</v>
      </c>
      <c r="R73" s="55">
        <f t="shared" si="26"/>
        <v>327</v>
      </c>
      <c r="S73" s="55">
        <f t="shared" si="17"/>
        <v>11044.28</v>
      </c>
      <c r="T73" s="55">
        <f t="shared" si="18"/>
        <v>562.99199999999996</v>
      </c>
      <c r="U73" s="55">
        <f t="shared" si="24"/>
        <v>11934.272000000001</v>
      </c>
      <c r="V73" s="438">
        <f t="shared" si="25"/>
        <v>8340</v>
      </c>
      <c r="W73" s="438">
        <f t="shared" si="25"/>
        <v>-11044.28</v>
      </c>
      <c r="X73" s="438">
        <f>P73-T73</f>
        <v>4123.5360000000001</v>
      </c>
      <c r="Y73" s="438">
        <f>V73+W73+X73</f>
        <v>1419.2559999999994</v>
      </c>
    </row>
    <row r="74" spans="1:25" x14ac:dyDescent="0.2">
      <c r="A74" s="24" t="s">
        <v>11</v>
      </c>
      <c r="B74" s="53">
        <f t="shared" si="30"/>
        <v>6.5</v>
      </c>
      <c r="C74" s="53">
        <f t="shared" si="30"/>
        <v>0.8</v>
      </c>
      <c r="D74" s="53">
        <f t="shared" si="30"/>
        <v>7.2</v>
      </c>
      <c r="E74" s="54">
        <f t="shared" si="13"/>
        <v>14.5</v>
      </c>
      <c r="F74" s="53">
        <f t="shared" si="31"/>
        <v>3.5</v>
      </c>
      <c r="G74" s="53">
        <f t="shared" si="31"/>
        <v>0</v>
      </c>
      <c r="H74" s="53">
        <f t="shared" si="31"/>
        <v>1</v>
      </c>
      <c r="I74" s="54">
        <f t="shared" si="14"/>
        <v>4.5</v>
      </c>
      <c r="J74" s="342">
        <f t="shared" si="20"/>
        <v>3</v>
      </c>
      <c r="K74" s="342">
        <f t="shared" si="20"/>
        <v>0.8</v>
      </c>
      <c r="L74" s="342">
        <f t="shared" si="20"/>
        <v>6.2</v>
      </c>
      <c r="M74" s="47">
        <f>J74+K74+L74</f>
        <v>10</v>
      </c>
      <c r="N74" s="55">
        <f t="shared" si="22"/>
        <v>176.47499999999999</v>
      </c>
      <c r="O74" s="55">
        <f t="shared" si="15"/>
        <v>18.007999999999999</v>
      </c>
      <c r="P74" s="55">
        <f t="shared" si="23"/>
        <v>162.072</v>
      </c>
      <c r="Q74" s="55">
        <f t="shared" si="16"/>
        <v>356.55500000000001</v>
      </c>
      <c r="R74" s="55">
        <f t="shared" si="26"/>
        <v>95.024999999999991</v>
      </c>
      <c r="S74" s="55">
        <f t="shared" si="17"/>
        <v>0</v>
      </c>
      <c r="T74" s="55">
        <f t="shared" si="18"/>
        <v>22.509999999999998</v>
      </c>
      <c r="U74" s="55">
        <f t="shared" si="24"/>
        <v>117.535</v>
      </c>
      <c r="V74" s="438">
        <f t="shared" si="25"/>
        <v>81.45</v>
      </c>
      <c r="W74" s="438">
        <f t="shared" si="25"/>
        <v>18.007999999999999</v>
      </c>
      <c r="X74" s="438">
        <f t="shared" si="25"/>
        <v>139.56200000000001</v>
      </c>
      <c r="Y74" s="438">
        <f>V74+W74+X74</f>
        <v>239.02</v>
      </c>
    </row>
    <row r="75" spans="1:25" x14ac:dyDescent="0.2">
      <c r="A75" s="24" t="s">
        <v>10</v>
      </c>
      <c r="B75" s="53">
        <f t="shared" si="30"/>
        <v>26.5</v>
      </c>
      <c r="C75" s="53">
        <f t="shared" si="30"/>
        <v>1.1000000000000001</v>
      </c>
      <c r="D75" s="53">
        <f t="shared" si="30"/>
        <v>4.4000000000000004</v>
      </c>
      <c r="E75" s="54">
        <f t="shared" si="13"/>
        <v>32</v>
      </c>
      <c r="F75" s="53">
        <f t="shared" si="31"/>
        <v>36.5</v>
      </c>
      <c r="G75" s="53">
        <f t="shared" si="31"/>
        <v>0.4</v>
      </c>
      <c r="H75" s="53">
        <f t="shared" si="31"/>
        <v>0.8</v>
      </c>
      <c r="I75" s="54">
        <f t="shared" si="14"/>
        <v>37.699999999999996</v>
      </c>
      <c r="J75" s="342">
        <f t="shared" si="20"/>
        <v>-10</v>
      </c>
      <c r="K75" s="342">
        <f t="shared" si="20"/>
        <v>0.70000000000000007</v>
      </c>
      <c r="L75" s="342">
        <f t="shared" si="20"/>
        <v>3.6000000000000005</v>
      </c>
      <c r="M75" s="47">
        <f>J75+K75+L75</f>
        <v>-5.7</v>
      </c>
      <c r="N75" s="55">
        <f>B75*D17</f>
        <v>719.47499999999991</v>
      </c>
      <c r="O75" s="55">
        <f t="shared" si="15"/>
        <v>24.760999999999999</v>
      </c>
      <c r="P75" s="55">
        <f t="shared" si="23"/>
        <v>99.043999999999997</v>
      </c>
      <c r="Q75" s="55">
        <f t="shared" si="16"/>
        <v>843.27999999999986</v>
      </c>
      <c r="R75" s="55">
        <f t="shared" si="26"/>
        <v>990.97499999999991</v>
      </c>
      <c r="S75" s="55">
        <f t="shared" si="17"/>
        <v>9.0039999999999996</v>
      </c>
      <c r="T75" s="55">
        <f t="shared" si="18"/>
        <v>18.007999999999999</v>
      </c>
      <c r="U75" s="55">
        <f t="shared" si="24"/>
        <v>1017.987</v>
      </c>
      <c r="V75" s="438">
        <f t="shared" si="25"/>
        <v>-271.5</v>
      </c>
      <c r="W75" s="438">
        <f>O75-S75</f>
        <v>15.757</v>
      </c>
      <c r="X75" s="438">
        <f t="shared" si="25"/>
        <v>81.036000000000001</v>
      </c>
      <c r="Y75" s="438">
        <f>V75+W75+X75</f>
        <v>-174.70699999999999</v>
      </c>
    </row>
    <row r="76" spans="1:25" x14ac:dyDescent="0.2">
      <c r="A76" s="189" t="s">
        <v>51</v>
      </c>
      <c r="B76" s="58">
        <f t="shared" ref="B76:N76" si="32">SUM(B63:B75)</f>
        <v>1261.0999999999999</v>
      </c>
      <c r="C76" s="58">
        <f t="shared" si="32"/>
        <v>549.89999999999986</v>
      </c>
      <c r="D76" s="58">
        <f t="shared" si="32"/>
        <v>554.79999999999995</v>
      </c>
      <c r="E76" s="74">
        <f t="shared" si="32"/>
        <v>2365.7999999999997</v>
      </c>
      <c r="F76" s="58">
        <f t="shared" si="32"/>
        <v>1433.7</v>
      </c>
      <c r="G76" s="58">
        <f t="shared" si="32"/>
        <v>916.29999999999984</v>
      </c>
      <c r="H76" s="58">
        <f t="shared" si="32"/>
        <v>195.30000000000004</v>
      </c>
      <c r="I76" s="74">
        <f t="shared" si="32"/>
        <v>2545.3000000000002</v>
      </c>
      <c r="J76" s="74">
        <f t="shared" si="32"/>
        <v>-172.60000000000008</v>
      </c>
      <c r="K76" s="74">
        <f t="shared" si="32"/>
        <v>-366.4</v>
      </c>
      <c r="L76" s="74">
        <f t="shared" si="32"/>
        <v>359.49999999999994</v>
      </c>
      <c r="M76" s="74">
        <f t="shared" si="32"/>
        <v>-179.50000000000017</v>
      </c>
      <c r="N76" s="75">
        <f t="shared" si="32"/>
        <v>41551.613999999987</v>
      </c>
      <c r="O76" s="75">
        <f t="shared" ref="O76:W76" si="33">SUM(O63:O75)</f>
        <v>13315.987999999998</v>
      </c>
      <c r="P76" s="75">
        <f t="shared" si="33"/>
        <v>17209.725000000002</v>
      </c>
      <c r="Q76" s="75">
        <f>SUM(Q63:Q75)</f>
        <v>72077.326999999976</v>
      </c>
      <c r="R76" s="75">
        <f t="shared" si="33"/>
        <v>46037.962999999996</v>
      </c>
      <c r="S76" s="75">
        <f t="shared" si="33"/>
        <v>25669.962999999996</v>
      </c>
      <c r="T76" s="75">
        <f t="shared" si="33"/>
        <v>8991.0350000000017</v>
      </c>
      <c r="U76" s="75">
        <f>SUM(U63:U75)</f>
        <v>80698.960999999996</v>
      </c>
      <c r="V76" s="439">
        <f t="shared" si="33"/>
        <v>-4486.3490000000047</v>
      </c>
      <c r="W76" s="439">
        <f t="shared" si="33"/>
        <v>-12353.975000000002</v>
      </c>
      <c r="X76" s="439">
        <f>SUM(X63:X75)</f>
        <v>8218.6899999999987</v>
      </c>
      <c r="Y76" s="439">
        <f>SUM(Y63:Y75)</f>
        <v>-8621.6340000000073</v>
      </c>
    </row>
    <row r="77" spans="1:25" x14ac:dyDescent="0.2">
      <c r="A77" s="7"/>
      <c r="B77" s="286"/>
      <c r="C77" s="286"/>
      <c r="D77" s="286"/>
      <c r="E77" s="287"/>
      <c r="F77" s="286"/>
      <c r="G77" s="286"/>
      <c r="H77" s="286"/>
      <c r="I77" s="287"/>
      <c r="J77" s="286"/>
      <c r="K77" s="286"/>
      <c r="L77" s="286"/>
      <c r="M77" s="286"/>
      <c r="N77" s="288"/>
      <c r="O77" s="288"/>
      <c r="P77" s="288"/>
      <c r="Q77" s="288"/>
      <c r="R77" s="288"/>
      <c r="S77" s="288"/>
      <c r="T77" s="288"/>
      <c r="U77" s="288"/>
      <c r="V77" s="288"/>
      <c r="W77" s="288"/>
      <c r="X77" s="288"/>
      <c r="Y77" s="288" t="s">
        <v>24</v>
      </c>
    </row>
    <row r="78" spans="1:25" ht="15.75" x14ac:dyDescent="0.25">
      <c r="A78" s="592" t="s">
        <v>251</v>
      </c>
      <c r="B78" s="592"/>
      <c r="C78" s="289"/>
      <c r="D78" s="289"/>
      <c r="F78" s="290"/>
      <c r="G78" s="269"/>
      <c r="H78" s="269"/>
      <c r="I78" s="267"/>
      <c r="J78" s="289"/>
    </row>
    <row r="79" spans="1:25" x14ac:dyDescent="0.2">
      <c r="A79" s="593" t="s">
        <v>3</v>
      </c>
      <c r="B79" s="595" t="s">
        <v>241</v>
      </c>
      <c r="C79" s="595"/>
      <c r="D79" s="595"/>
      <c r="E79" s="595" t="s">
        <v>252</v>
      </c>
      <c r="F79" s="595"/>
      <c r="G79" s="595"/>
      <c r="H79" s="595"/>
      <c r="I79" s="38"/>
      <c r="J79" s="59"/>
    </row>
    <row r="80" spans="1:25" ht="63.75" x14ac:dyDescent="0.2">
      <c r="A80" s="594"/>
      <c r="B80" s="190" t="s">
        <v>293</v>
      </c>
      <c r="C80" s="166" t="s">
        <v>317</v>
      </c>
      <c r="D80" s="166" t="s">
        <v>294</v>
      </c>
      <c r="E80" s="190" t="s">
        <v>293</v>
      </c>
      <c r="F80" s="166" t="s">
        <v>317</v>
      </c>
      <c r="G80" s="166" t="s">
        <v>294</v>
      </c>
      <c r="H80" s="343" t="s">
        <v>163</v>
      </c>
      <c r="I80" s="190" t="s">
        <v>253</v>
      </c>
      <c r="J80" s="190" t="s">
        <v>254</v>
      </c>
    </row>
    <row r="81" spans="1:11" x14ac:dyDescent="0.2">
      <c r="A81" s="189" t="s">
        <v>47</v>
      </c>
      <c r="B81" s="53">
        <f>N29-N30-N37-N39</f>
        <v>0</v>
      </c>
      <c r="C81" s="53">
        <f>O29-O30-O37-O39</f>
        <v>0</v>
      </c>
      <c r="D81" s="53">
        <f>P29-P30-P37-P39</f>
        <v>0</v>
      </c>
      <c r="E81" s="33">
        <f t="shared" ref="E81:E93" si="34">B81*D5</f>
        <v>0</v>
      </c>
      <c r="F81" s="33">
        <f t="shared" ref="F81:F93" si="35">C81*F5</f>
        <v>0</v>
      </c>
      <c r="G81" s="33">
        <f t="shared" ref="G81:G93" si="36">D81*H5</f>
        <v>0</v>
      </c>
      <c r="H81" s="33">
        <f>E81+F81+G81</f>
        <v>0</v>
      </c>
      <c r="I81" s="33">
        <v>0</v>
      </c>
      <c r="J81" s="33">
        <v>0</v>
      </c>
    </row>
    <row r="82" spans="1:11" x14ac:dyDescent="0.2">
      <c r="A82" s="189" t="s">
        <v>50</v>
      </c>
      <c r="B82" s="53">
        <f>N30-N31-N32-N41</f>
        <v>0</v>
      </c>
      <c r="C82" s="53">
        <f>O30-O31-O32-O41</f>
        <v>0</v>
      </c>
      <c r="D82" s="53">
        <f>P30-P31-P32-P41</f>
        <v>0</v>
      </c>
      <c r="E82" s="33">
        <f>B82*D6</f>
        <v>0</v>
      </c>
      <c r="F82" s="33">
        <f t="shared" si="35"/>
        <v>0</v>
      </c>
      <c r="G82" s="33">
        <f t="shared" si="36"/>
        <v>0</v>
      </c>
      <c r="H82" s="33">
        <f>E82+F82+G82</f>
        <v>0</v>
      </c>
      <c r="I82" s="33">
        <v>0</v>
      </c>
      <c r="J82" s="33">
        <f>H82</f>
        <v>0</v>
      </c>
      <c r="K82" s="4" t="s">
        <v>24</v>
      </c>
    </row>
    <row r="83" spans="1:11" x14ac:dyDescent="0.2">
      <c r="A83" s="189" t="s">
        <v>49</v>
      </c>
      <c r="B83" s="53">
        <f>N31-N33-N35</f>
        <v>0</v>
      </c>
      <c r="C83" s="53">
        <f>O31-O33-O35</f>
        <v>0</v>
      </c>
      <c r="D83" s="53">
        <f>P31-P33-P35</f>
        <v>0</v>
      </c>
      <c r="E83" s="33">
        <f t="shared" si="34"/>
        <v>0</v>
      </c>
      <c r="F83" s="33">
        <f t="shared" si="35"/>
        <v>0</v>
      </c>
      <c r="G83" s="33">
        <f t="shared" si="36"/>
        <v>0</v>
      </c>
      <c r="H83" s="33">
        <f>E83+F83+G83</f>
        <v>0</v>
      </c>
      <c r="I83" s="33">
        <v>0</v>
      </c>
      <c r="J83" s="33">
        <v>0</v>
      </c>
    </row>
    <row r="84" spans="1:11" x14ac:dyDescent="0.2">
      <c r="A84" s="189" t="s">
        <v>48</v>
      </c>
      <c r="B84" s="53">
        <f>N32-N36-N40</f>
        <v>0</v>
      </c>
      <c r="C84" s="53">
        <f>O32-O36-O40</f>
        <v>0</v>
      </c>
      <c r="D84" s="53">
        <f>P32-P36-P40</f>
        <v>0</v>
      </c>
      <c r="E84" s="33">
        <f t="shared" si="34"/>
        <v>0</v>
      </c>
      <c r="F84" s="33">
        <f t="shared" si="35"/>
        <v>0</v>
      </c>
      <c r="G84" s="33">
        <f t="shared" si="36"/>
        <v>0</v>
      </c>
      <c r="H84" s="33">
        <f t="shared" ref="H84:H89" si="37">E84+F84+G84</f>
        <v>0</v>
      </c>
      <c r="I84" s="33">
        <v>0</v>
      </c>
      <c r="J84" s="33">
        <v>0</v>
      </c>
    </row>
    <row r="85" spans="1:11" x14ac:dyDescent="0.2">
      <c r="A85" s="189" t="s">
        <v>40</v>
      </c>
      <c r="B85" s="53">
        <f>N33-N34</f>
        <v>0</v>
      </c>
      <c r="C85" s="53">
        <f>O33-O34</f>
        <v>0</v>
      </c>
      <c r="D85" s="53">
        <f>P33-P34</f>
        <v>0</v>
      </c>
      <c r="E85" s="33">
        <f t="shared" si="34"/>
        <v>0</v>
      </c>
      <c r="F85" s="33">
        <f t="shared" si="35"/>
        <v>0</v>
      </c>
      <c r="G85" s="33">
        <f t="shared" si="36"/>
        <v>0</v>
      </c>
      <c r="H85" s="33">
        <f t="shared" si="37"/>
        <v>0</v>
      </c>
      <c r="I85" s="33">
        <v>0</v>
      </c>
      <c r="J85" s="33">
        <v>0</v>
      </c>
    </row>
    <row r="86" spans="1:11" x14ac:dyDescent="0.2">
      <c r="A86" s="189" t="s">
        <v>37</v>
      </c>
      <c r="B86" s="53">
        <f t="shared" ref="B86:D88" si="38">N34</f>
        <v>0</v>
      </c>
      <c r="C86" s="53">
        <f t="shared" si="38"/>
        <v>0</v>
      </c>
      <c r="D86" s="53">
        <f t="shared" si="38"/>
        <v>0</v>
      </c>
      <c r="E86" s="33">
        <f t="shared" si="34"/>
        <v>0</v>
      </c>
      <c r="F86" s="33">
        <f t="shared" si="35"/>
        <v>0</v>
      </c>
      <c r="G86" s="33">
        <f t="shared" si="36"/>
        <v>0</v>
      </c>
      <c r="H86" s="33">
        <f t="shared" si="37"/>
        <v>0</v>
      </c>
      <c r="I86" s="33">
        <v>0</v>
      </c>
      <c r="J86" s="33">
        <v>0</v>
      </c>
    </row>
    <row r="87" spans="1:11" x14ac:dyDescent="0.2">
      <c r="A87" s="189" t="s">
        <v>38</v>
      </c>
      <c r="B87" s="53">
        <f t="shared" si="38"/>
        <v>0</v>
      </c>
      <c r="C87" s="53">
        <f t="shared" si="38"/>
        <v>0</v>
      </c>
      <c r="D87" s="53">
        <f t="shared" si="38"/>
        <v>0</v>
      </c>
      <c r="E87" s="33">
        <f t="shared" si="34"/>
        <v>0</v>
      </c>
      <c r="F87" s="33">
        <f t="shared" si="35"/>
        <v>0</v>
      </c>
      <c r="G87" s="33">
        <f t="shared" si="36"/>
        <v>0</v>
      </c>
      <c r="H87" s="33">
        <f t="shared" si="37"/>
        <v>0</v>
      </c>
      <c r="I87" s="33">
        <v>0</v>
      </c>
      <c r="J87" s="33">
        <v>0</v>
      </c>
    </row>
    <row r="88" spans="1:11" x14ac:dyDescent="0.2">
      <c r="A88" s="189" t="s">
        <v>15</v>
      </c>
      <c r="B88" s="53">
        <f t="shared" si="38"/>
        <v>0</v>
      </c>
      <c r="C88" s="53">
        <f t="shared" si="38"/>
        <v>0</v>
      </c>
      <c r="D88" s="53">
        <f t="shared" si="38"/>
        <v>0</v>
      </c>
      <c r="E88" s="33">
        <f t="shared" si="34"/>
        <v>0</v>
      </c>
      <c r="F88" s="33">
        <f t="shared" si="35"/>
        <v>0</v>
      </c>
      <c r="G88" s="33">
        <f t="shared" si="36"/>
        <v>0</v>
      </c>
      <c r="H88" s="33">
        <f t="shared" si="37"/>
        <v>0</v>
      </c>
      <c r="I88" s="33">
        <v>0</v>
      </c>
      <c r="J88" s="33">
        <v>0</v>
      </c>
    </row>
    <row r="89" spans="1:11" x14ac:dyDescent="0.2">
      <c r="A89" s="189" t="s">
        <v>130</v>
      </c>
      <c r="B89" s="53">
        <f>N37-N38</f>
        <v>0</v>
      </c>
      <c r="C89" s="53">
        <f>O37-O38</f>
        <v>0</v>
      </c>
      <c r="D89" s="53">
        <f>P37-P38</f>
        <v>0</v>
      </c>
      <c r="E89" s="33">
        <f t="shared" si="34"/>
        <v>0</v>
      </c>
      <c r="F89" s="33">
        <f t="shared" si="35"/>
        <v>0</v>
      </c>
      <c r="G89" s="33">
        <f t="shared" si="36"/>
        <v>0</v>
      </c>
      <c r="H89" s="33">
        <f t="shared" si="37"/>
        <v>0</v>
      </c>
      <c r="I89" s="33">
        <f>H89*0</f>
        <v>0</v>
      </c>
      <c r="J89" s="33">
        <f>H89*1</f>
        <v>0</v>
      </c>
    </row>
    <row r="90" spans="1:11" x14ac:dyDescent="0.2">
      <c r="A90" s="24" t="s">
        <v>129</v>
      </c>
      <c r="B90" s="53">
        <f t="shared" ref="B90:D93" si="39">N38</f>
        <v>0</v>
      </c>
      <c r="C90" s="53">
        <f t="shared" si="39"/>
        <v>0</v>
      </c>
      <c r="D90" s="53">
        <f t="shared" si="39"/>
        <v>0</v>
      </c>
      <c r="E90" s="33">
        <f t="shared" si="34"/>
        <v>0</v>
      </c>
      <c r="F90" s="33">
        <f t="shared" si="35"/>
        <v>0</v>
      </c>
      <c r="G90" s="33">
        <f t="shared" si="36"/>
        <v>0</v>
      </c>
      <c r="H90" s="33">
        <f>E90+F90+G90</f>
        <v>0</v>
      </c>
      <c r="I90" s="33">
        <f>H90*0</f>
        <v>0</v>
      </c>
      <c r="J90" s="33">
        <f>H90*1</f>
        <v>0</v>
      </c>
    </row>
    <row r="91" spans="1:11" x14ac:dyDescent="0.2">
      <c r="A91" s="24" t="s">
        <v>20</v>
      </c>
      <c r="B91" s="53">
        <f t="shared" si="39"/>
        <v>0</v>
      </c>
      <c r="C91" s="53">
        <f t="shared" si="39"/>
        <v>0</v>
      </c>
      <c r="D91" s="53">
        <f t="shared" si="39"/>
        <v>0</v>
      </c>
      <c r="E91" s="33">
        <f t="shared" si="34"/>
        <v>0</v>
      </c>
      <c r="F91" s="33">
        <f t="shared" si="35"/>
        <v>0</v>
      </c>
      <c r="G91" s="33">
        <f t="shared" si="36"/>
        <v>0</v>
      </c>
      <c r="H91" s="33">
        <f>E91+F91+G91</f>
        <v>0</v>
      </c>
      <c r="I91" s="33">
        <f>H91*0</f>
        <v>0</v>
      </c>
      <c r="J91" s="33">
        <f>H91*1</f>
        <v>0</v>
      </c>
    </row>
    <row r="92" spans="1:11" x14ac:dyDescent="0.2">
      <c r="A92" s="24" t="s">
        <v>11</v>
      </c>
      <c r="B92" s="53">
        <f t="shared" si="39"/>
        <v>0</v>
      </c>
      <c r="C92" s="53">
        <f t="shared" si="39"/>
        <v>0</v>
      </c>
      <c r="D92" s="53">
        <f t="shared" si="39"/>
        <v>0</v>
      </c>
      <c r="E92" s="33">
        <f t="shared" si="34"/>
        <v>0</v>
      </c>
      <c r="F92" s="33">
        <f t="shared" si="35"/>
        <v>0</v>
      </c>
      <c r="G92" s="33">
        <f t="shared" si="36"/>
        <v>0</v>
      </c>
      <c r="H92" s="33">
        <f>E92+F92+G92</f>
        <v>0</v>
      </c>
      <c r="I92" s="33">
        <f>H92*0</f>
        <v>0</v>
      </c>
      <c r="J92" s="33">
        <f>H92*1</f>
        <v>0</v>
      </c>
    </row>
    <row r="93" spans="1:11" x14ac:dyDescent="0.2">
      <c r="A93" s="24" t="s">
        <v>10</v>
      </c>
      <c r="B93" s="53">
        <f t="shared" si="39"/>
        <v>0</v>
      </c>
      <c r="C93" s="53">
        <f t="shared" si="39"/>
        <v>0</v>
      </c>
      <c r="D93" s="53">
        <f t="shared" si="39"/>
        <v>0</v>
      </c>
      <c r="E93" s="33">
        <f t="shared" si="34"/>
        <v>0</v>
      </c>
      <c r="F93" s="33">
        <f t="shared" si="35"/>
        <v>0</v>
      </c>
      <c r="G93" s="33">
        <f t="shared" si="36"/>
        <v>0</v>
      </c>
      <c r="H93" s="33">
        <f>E93+F93+G93</f>
        <v>0</v>
      </c>
      <c r="I93" s="33">
        <f>H93*0</f>
        <v>0</v>
      </c>
      <c r="J93" s="33">
        <f>H93*1</f>
        <v>0</v>
      </c>
    </row>
    <row r="94" spans="1:11" x14ac:dyDescent="0.2">
      <c r="A94" s="189" t="s">
        <v>51</v>
      </c>
      <c r="B94" s="58">
        <f t="shared" ref="B94:J94" si="40">SUM(B81:B93)</f>
        <v>0</v>
      </c>
      <c r="C94" s="58">
        <f t="shared" si="40"/>
        <v>0</v>
      </c>
      <c r="D94" s="58">
        <f t="shared" si="40"/>
        <v>0</v>
      </c>
      <c r="E94" s="44">
        <f t="shared" si="40"/>
        <v>0</v>
      </c>
      <c r="F94" s="44">
        <f t="shared" si="40"/>
        <v>0</v>
      </c>
      <c r="G94" s="44">
        <f t="shared" si="40"/>
        <v>0</v>
      </c>
      <c r="H94" s="44">
        <f t="shared" si="40"/>
        <v>0</v>
      </c>
      <c r="I94" s="75">
        <f>SUM(I81:I93)</f>
        <v>0</v>
      </c>
      <c r="J94" s="44">
        <f t="shared" si="40"/>
        <v>0</v>
      </c>
    </row>
  </sheetData>
  <mergeCells count="25">
    <mergeCell ref="A3:B3"/>
    <mergeCell ref="A24:H24"/>
    <mergeCell ref="A26:D26"/>
    <mergeCell ref="A27:A28"/>
    <mergeCell ref="B27:E27"/>
    <mergeCell ref="F27:I27"/>
    <mergeCell ref="J27:M27"/>
    <mergeCell ref="N27:Q27"/>
    <mergeCell ref="A43:C43"/>
    <mergeCell ref="A44:A45"/>
    <mergeCell ref="B44:E44"/>
    <mergeCell ref="F44:I44"/>
    <mergeCell ref="J44:M44"/>
    <mergeCell ref="A60:B60"/>
    <mergeCell ref="A61:A62"/>
    <mergeCell ref="B61:E61"/>
    <mergeCell ref="F61:I61"/>
    <mergeCell ref="J61:M61"/>
    <mergeCell ref="R61:U61"/>
    <mergeCell ref="V61:Y61"/>
    <mergeCell ref="A78:B78"/>
    <mergeCell ref="A79:A80"/>
    <mergeCell ref="B79:D79"/>
    <mergeCell ref="E79:H79"/>
    <mergeCell ref="N61:Q61"/>
  </mergeCells>
  <pageMargins left="0.5" right="0.5" top="0.5" bottom="0.5" header="0" footer="0"/>
  <pageSetup paperSize="5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workbookViewId="0"/>
  </sheetViews>
  <sheetFormatPr defaultRowHeight="12.75" x14ac:dyDescent="0.2"/>
  <cols>
    <col min="1" max="1" width="40.7109375" customWidth="1"/>
    <col min="2" max="13" width="16.7109375" customWidth="1"/>
  </cols>
  <sheetData>
    <row r="1" spans="1:12" ht="18.75" x14ac:dyDescent="0.3">
      <c r="A1" s="104" t="s">
        <v>275</v>
      </c>
      <c r="B1" s="4"/>
      <c r="C1" s="4"/>
      <c r="D1" s="4"/>
      <c r="G1" s="16" t="s">
        <v>24</v>
      </c>
      <c r="H1" s="4"/>
      <c r="I1" s="4"/>
      <c r="J1" s="4"/>
      <c r="K1" s="4"/>
      <c r="L1" s="4"/>
    </row>
    <row r="2" spans="1:12" ht="13.5" thickBot="1" x14ac:dyDescent="0.25">
      <c r="A2" s="291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9.5" thickBot="1" x14ac:dyDescent="0.35">
      <c r="A3" s="443" t="s">
        <v>0</v>
      </c>
      <c r="B3" s="4"/>
      <c r="C3" s="4"/>
      <c r="D3" s="1" t="s">
        <v>24</v>
      </c>
      <c r="E3" s="4"/>
      <c r="F3" s="4"/>
      <c r="G3" s="4"/>
      <c r="H3" s="4"/>
      <c r="I3" s="4"/>
      <c r="J3" s="4"/>
      <c r="K3" s="4"/>
      <c r="L3" s="4"/>
    </row>
    <row r="4" spans="1:12" x14ac:dyDescent="0.2">
      <c r="A4" s="345" t="s">
        <v>1</v>
      </c>
      <c r="B4" s="346">
        <v>0.16500000000000001</v>
      </c>
      <c r="C4" s="4"/>
      <c r="D4" s="292" t="s">
        <v>24</v>
      </c>
      <c r="E4" s="278" t="s">
        <v>24</v>
      </c>
      <c r="F4" s="278" t="s">
        <v>24</v>
      </c>
      <c r="G4" s="278" t="s">
        <v>24</v>
      </c>
      <c r="H4" s="278" t="s">
        <v>24</v>
      </c>
      <c r="I4" s="278" t="s">
        <v>24</v>
      </c>
      <c r="J4" s="278" t="s">
        <v>24</v>
      </c>
      <c r="K4" s="4"/>
      <c r="L4" s="278" t="s">
        <v>24</v>
      </c>
    </row>
    <row r="5" spans="1:12" ht="12.75" customHeight="1" x14ac:dyDescent="0.2">
      <c r="A5" s="347" t="s">
        <v>2</v>
      </c>
      <c r="B5" s="348">
        <v>6.5799999999999997E-2</v>
      </c>
      <c r="C5" s="4"/>
      <c r="D5" s="293" t="s">
        <v>24</v>
      </c>
      <c r="E5" s="294" t="s">
        <v>24</v>
      </c>
      <c r="F5" s="295" t="s">
        <v>24</v>
      </c>
      <c r="G5" s="295" t="s">
        <v>24</v>
      </c>
      <c r="H5" s="295" t="s">
        <v>24</v>
      </c>
      <c r="I5" s="295" t="s">
        <v>24</v>
      </c>
      <c r="J5" s="278" t="s">
        <v>24</v>
      </c>
      <c r="K5" s="278" t="s">
        <v>24</v>
      </c>
      <c r="L5" s="294" t="s">
        <v>24</v>
      </c>
    </row>
    <row r="6" spans="1:12" x14ac:dyDescent="0.2">
      <c r="A6" s="52" t="s">
        <v>4</v>
      </c>
      <c r="B6" s="349">
        <v>1.0883</v>
      </c>
      <c r="C6" s="4"/>
      <c r="D6" s="296" t="s">
        <v>24</v>
      </c>
      <c r="E6" s="297" t="s">
        <v>24</v>
      </c>
      <c r="F6" s="298" t="s">
        <v>24</v>
      </c>
      <c r="G6" s="299" t="s">
        <v>24</v>
      </c>
      <c r="H6" s="300" t="s">
        <v>24</v>
      </c>
      <c r="I6" s="300" t="s">
        <v>24</v>
      </c>
      <c r="J6" s="300" t="s">
        <v>24</v>
      </c>
      <c r="K6" s="301" t="s">
        <v>24</v>
      </c>
      <c r="L6" s="302" t="s">
        <v>24</v>
      </c>
    </row>
    <row r="7" spans="1:12" x14ac:dyDescent="0.2">
      <c r="A7" s="52" t="s">
        <v>35</v>
      </c>
      <c r="B7" s="350">
        <v>156940.9</v>
      </c>
      <c r="C7" s="4"/>
      <c r="D7" s="7" t="s">
        <v>24</v>
      </c>
      <c r="E7" s="294" t="s">
        <v>24</v>
      </c>
      <c r="F7" s="303" t="s">
        <v>24</v>
      </c>
      <c r="G7" s="298" t="s">
        <v>24</v>
      </c>
      <c r="H7" s="298" t="s">
        <v>24</v>
      </c>
      <c r="I7" s="298" t="s">
        <v>24</v>
      </c>
      <c r="J7" s="299" t="s">
        <v>24</v>
      </c>
      <c r="K7" s="300"/>
      <c r="L7" s="294" t="s">
        <v>24</v>
      </c>
    </row>
    <row r="8" spans="1:12" ht="13.5" thickBot="1" x14ac:dyDescent="0.25">
      <c r="A8" s="351" t="s">
        <v>23</v>
      </c>
      <c r="B8" s="352">
        <f>B13/(G60*B6)</f>
        <v>1.072719523708012</v>
      </c>
      <c r="C8" s="304" t="s">
        <v>24</v>
      </c>
      <c r="D8" s="305" t="s">
        <v>24</v>
      </c>
      <c r="E8" s="294" t="s">
        <v>24</v>
      </c>
      <c r="F8" s="303" t="s">
        <v>24</v>
      </c>
      <c r="G8" s="299" t="s">
        <v>24</v>
      </c>
      <c r="H8" s="299" t="s">
        <v>24</v>
      </c>
      <c r="I8" s="299" t="s">
        <v>24</v>
      </c>
      <c r="J8" s="299" t="s">
        <v>24</v>
      </c>
      <c r="K8" s="300" t="s">
        <v>24</v>
      </c>
      <c r="L8" s="294" t="s">
        <v>24</v>
      </c>
    </row>
    <row r="9" spans="1:12" x14ac:dyDescent="0.2">
      <c r="A9" s="4"/>
      <c r="B9" s="5"/>
      <c r="C9" s="4"/>
      <c r="D9" s="9" t="s">
        <v>24</v>
      </c>
      <c r="E9" s="5" t="s">
        <v>24</v>
      </c>
      <c r="F9" s="306" t="s">
        <v>24</v>
      </c>
      <c r="G9" s="5" t="s">
        <v>24</v>
      </c>
      <c r="H9" s="12" t="s">
        <v>24</v>
      </c>
      <c r="I9" s="4"/>
      <c r="J9" s="4"/>
      <c r="K9" s="4"/>
      <c r="L9" s="4" t="s">
        <v>24</v>
      </c>
    </row>
    <row r="10" spans="1:12" x14ac:dyDescent="0.2">
      <c r="A10" s="9"/>
      <c r="B10" s="307"/>
      <c r="C10" s="307" t="s">
        <v>24</v>
      </c>
      <c r="D10" s="269" t="s">
        <v>24</v>
      </c>
      <c r="E10" s="270"/>
      <c r="F10" s="271"/>
      <c r="G10" s="308" t="s">
        <v>24</v>
      </c>
      <c r="H10" s="271"/>
      <c r="I10" s="333" t="s">
        <v>24</v>
      </c>
      <c r="J10" s="268"/>
      <c r="K10" s="268"/>
      <c r="L10" s="276"/>
    </row>
    <row r="11" spans="1:12" ht="15.75" x14ac:dyDescent="0.25">
      <c r="A11" s="444" t="s">
        <v>256</v>
      </c>
      <c r="B11" s="269"/>
      <c r="C11" s="269"/>
      <c r="D11" s="269"/>
      <c r="E11" s="309" t="s">
        <v>24</v>
      </c>
      <c r="F11" s="310"/>
      <c r="G11" s="310"/>
      <c r="H11" s="310"/>
      <c r="I11" s="333" t="s">
        <v>24</v>
      </c>
      <c r="J11" s="268"/>
      <c r="K11" s="268"/>
      <c r="L11" s="276"/>
    </row>
    <row r="12" spans="1:12" ht="63.75" x14ac:dyDescent="0.2">
      <c r="A12" s="337" t="s">
        <v>3</v>
      </c>
      <c r="B12" s="337" t="s">
        <v>257</v>
      </c>
      <c r="C12" s="337" t="s">
        <v>258</v>
      </c>
      <c r="D12" s="337" t="s">
        <v>259</v>
      </c>
      <c r="E12" s="441" t="s">
        <v>192</v>
      </c>
      <c r="F12" s="441" t="s">
        <v>189</v>
      </c>
      <c r="G12" s="441" t="s">
        <v>230</v>
      </c>
      <c r="H12" s="441" t="s">
        <v>231</v>
      </c>
      <c r="I12" s="337" t="s">
        <v>325</v>
      </c>
      <c r="J12" s="441" t="s">
        <v>193</v>
      </c>
      <c r="K12" s="337" t="s">
        <v>260</v>
      </c>
      <c r="L12" s="311"/>
    </row>
    <row r="13" spans="1:12" x14ac:dyDescent="0.2">
      <c r="A13" s="189" t="s">
        <v>6</v>
      </c>
      <c r="B13" s="353">
        <f>'BRA Resource Clearing Results'!E69-'1stIA Resource Clearing Results'!M29</f>
        <v>167016.4</v>
      </c>
      <c r="C13" s="157">
        <f>('BRA Resource Clearing Results'!E69*'BRA Resource Clearing Results'!B5-'1stIA Resource Clearing Results'!M29*'1stIA Resource Clearing Results'!B5)/('BRA Resource Clearing Results'!E69-'1stIA Resource Clearing Results'!M29)</f>
        <v>164.62209362673369</v>
      </c>
      <c r="D13" s="157">
        <f>('BRA Resource Clearing Results'!E69*'BRA Resource Clearing Results'!C5-'1stIA Resource Clearing Results'!M29*'1stIA Resource Clearing Results'!C5)/('BRA Resource Clearing Results'!E69-'1stIA Resource Clearing Results'!M29)</f>
        <v>0</v>
      </c>
      <c r="E13" s="105">
        <f>('BRA Resource Clearing Results'!C29+'BRA Resource Clearing Results'!D29)*'BRA Resource Clearing Results'!E5-('1stIA Resource Clearing Results'!K29+'1stIA Resource Clearing Results'!L29)*'1stIA Resource Clearing Results'!E5</f>
        <v>-388069.85099999997</v>
      </c>
      <c r="F13" s="157">
        <f>E13/B13</f>
        <v>-2.3235433825660232</v>
      </c>
      <c r="G13" s="105">
        <f>'BRA Resource Clearing Results'!D29*'BRA Resource Clearing Results'!G5-'1stIA Resource Clearing Results'!L29*'1stIA Resource Clearing Results'!G5</f>
        <v>0</v>
      </c>
      <c r="H13" s="157">
        <f>G13/B13</f>
        <v>0</v>
      </c>
      <c r="I13" s="37">
        <f>'BRA Resource Clearing Results'!J73+'1stIA Resource Clearing Results'!I81</f>
        <v>0</v>
      </c>
      <c r="J13" s="156">
        <f>I13/B13</f>
        <v>0</v>
      </c>
      <c r="K13" s="158">
        <f t="shared" ref="K13:K20" si="0">C13+D13+F13+H13+J13</f>
        <v>162.29855024416767</v>
      </c>
      <c r="L13" s="312"/>
    </row>
    <row r="14" spans="1:12" x14ac:dyDescent="0.2">
      <c r="A14" s="189" t="s">
        <v>29</v>
      </c>
      <c r="B14" s="353">
        <f>J40+J44+J50+(SUM(J52:J59))</f>
        <v>66523.103554293761</v>
      </c>
      <c r="C14" s="157">
        <f t="shared" ref="C14:C20" si="1">$C$13</f>
        <v>164.62209362673369</v>
      </c>
      <c r="D14" s="157">
        <f>D13+('BRA Resource Clearing Results'!E30*'BRA Resource Clearing Results'!C6-'1stIA Resource Clearing Results'!M30*'1stIA Resource Clearing Results'!C6)/('BRA Resource Clearing Results'!E30-'1stIA Resource Clearing Results'!M30)</f>
        <v>0</v>
      </c>
      <c r="E14" s="105">
        <f>('BRA Resource Clearing Results'!C30+'BRA Resource Clearing Results'!D30)*('BRA Resource Clearing Results'!E6-'BRA Resource Clearing Results'!E5)-('1stIA Resource Clearing Results'!K30+'1stIA Resource Clearing Results'!L30)*('1stIA Resource Clearing Results'!E6-'1stIA Resource Clearing Results'!E5)</f>
        <v>0</v>
      </c>
      <c r="F14" s="157">
        <f>F13+(E14/B14)</f>
        <v>-2.3235433825660232</v>
      </c>
      <c r="G14" s="37">
        <f>'BRA Resource Clearing Results'!D30*('BRA Resource Clearing Results'!G6-'BRA Resource Clearing Results'!G5)-'1stIA Resource Clearing Results'!L30*('1stIA Resource Clearing Results'!G6-'1stIA Resource Clearing Results'!G5)</f>
        <v>0</v>
      </c>
      <c r="H14" s="157">
        <f>H13+(G14/B14)</f>
        <v>0</v>
      </c>
      <c r="I14" s="37">
        <f>'BRA Resource Clearing Results'!J74+'1stIA Resource Clearing Results'!I82</f>
        <v>0</v>
      </c>
      <c r="J14" s="156">
        <f>J13+I14/B14</f>
        <v>0</v>
      </c>
      <c r="K14" s="158">
        <f t="shared" si="0"/>
        <v>162.29855024416767</v>
      </c>
      <c r="L14" s="312"/>
    </row>
    <row r="15" spans="1:12" x14ac:dyDescent="0.2">
      <c r="A15" s="189" t="s">
        <v>36</v>
      </c>
      <c r="B15" s="353">
        <f>J40+J50+J52+J54+J58+J59</f>
        <v>36128.786032338787</v>
      </c>
      <c r="C15" s="157">
        <f t="shared" si="1"/>
        <v>164.62209362673369</v>
      </c>
      <c r="D15" s="157">
        <f>D14+('BRA Resource Clearing Results'!E31*'BRA Resource Clearing Results'!C7-'1stIA Resource Clearing Results'!M31*'1stIA Resource Clearing Results'!C7)/('BRA Resource Clearing Results'!E31-'1stIA Resource Clearing Results'!M31)</f>
        <v>60.643706242491596</v>
      </c>
      <c r="E15" s="105">
        <f>('BRA Resource Clearing Results'!C31+'BRA Resource Clearing Results'!D31)*('BRA Resource Clearing Results'!E7-'BRA Resource Clearing Results'!E6)-('1stIA Resource Clearing Results'!K31+'1stIA Resource Clearing Results'!L31)*('1stIA Resource Clearing Results'!E7-'1stIA Resource Clearing Results'!E6)</f>
        <v>0</v>
      </c>
      <c r="F15" s="157">
        <f>F14+(E15/B15)</f>
        <v>-2.3235433825660232</v>
      </c>
      <c r="G15" s="37">
        <f>'BRA Resource Clearing Results'!D31*('BRA Resource Clearing Results'!G7-'BRA Resource Clearing Results'!G6)-'1stIA Resource Clearing Results'!L31*('1stIA Resource Clearing Results'!G7-'1stIA Resource Clearing Results'!G6)</f>
        <v>0</v>
      </c>
      <c r="H15" s="157">
        <f>H14+(G15/B15)</f>
        <v>0</v>
      </c>
      <c r="I15" s="37">
        <f>'BRA Resource Clearing Results'!J75+'1stIA Resource Clearing Results'!I83</f>
        <v>0</v>
      </c>
      <c r="J15" s="156">
        <f>J14+I15/B15</f>
        <v>0</v>
      </c>
      <c r="K15" s="158">
        <f t="shared" si="0"/>
        <v>222.94225648665926</v>
      </c>
      <c r="L15" s="312"/>
    </row>
    <row r="16" spans="1:12" x14ac:dyDescent="0.2">
      <c r="A16" s="189" t="s">
        <v>5</v>
      </c>
      <c r="B16" s="353">
        <f>J44+J56</f>
        <v>15314.486547071454</v>
      </c>
      <c r="C16" s="157">
        <f t="shared" si="1"/>
        <v>164.62209362673369</v>
      </c>
      <c r="D16" s="157">
        <f>D14+('BRA Resource Clearing Results'!E32*'BRA Resource Clearing Results'!C8-'1stIA Resource Clearing Results'!M32*'1stIA Resource Clearing Results'!C8)/('BRA Resource Clearing Results'!E32-'1stIA Resource Clearing Results'!M32)</f>
        <v>0</v>
      </c>
      <c r="E16" s="105">
        <f>('BRA Resource Clearing Results'!C32+'BRA Resource Clearing Results'!D32)*('BRA Resource Clearing Results'!E8-'BRA Resource Clearing Results'!E6)-('1stIA Resource Clearing Results'!K32+'1stIA Resource Clearing Results'!L32)*('1stIA Resource Clearing Results'!E8-'1stIA Resource Clearing Results'!E6)</f>
        <v>0</v>
      </c>
      <c r="F16" s="157">
        <f>F14+(E16/B16)</f>
        <v>-2.3235433825660232</v>
      </c>
      <c r="G16" s="105">
        <f>'BRA Resource Clearing Results'!D32*('BRA Resource Clearing Results'!G8-'BRA Resource Clearing Results'!G6)-'1stIA Resource Clearing Results'!L32*('1stIA Resource Clearing Results'!G8-'1stIA Resource Clearing Results'!G6)</f>
        <v>-97898.622000000003</v>
      </c>
      <c r="H16" s="157">
        <f>H14+(G16/B16)</f>
        <v>-6.3925500668333459</v>
      </c>
      <c r="I16" s="37">
        <f>'BRA Resource Clearing Results'!J76+'1stIA Resource Clearing Results'!I84</f>
        <v>0</v>
      </c>
      <c r="J16" s="156">
        <f>J14+I16/B16</f>
        <v>0</v>
      </c>
      <c r="K16" s="158">
        <f t="shared" si="0"/>
        <v>155.90600017733433</v>
      </c>
      <c r="L16" s="312"/>
    </row>
    <row r="17" spans="1:12" x14ac:dyDescent="0.2">
      <c r="A17" s="189" t="s">
        <v>15</v>
      </c>
      <c r="B17" s="353">
        <f>J56</f>
        <v>7416.7504980595322</v>
      </c>
      <c r="C17" s="157">
        <f t="shared" si="1"/>
        <v>164.62209362673369</v>
      </c>
      <c r="D17" s="157">
        <f>D16+('BRA Resource Clearing Results'!E36*'BRA Resource Clearing Results'!C12-'1stIA Resource Clearing Results'!M36*'1stIA Resource Clearing Results'!C12)/('BRA Resource Clearing Results'!E36-'1stIA Resource Clearing Results'!M36)</f>
        <v>0</v>
      </c>
      <c r="E17" s="105">
        <f>('BRA Resource Clearing Results'!C36+'BRA Resource Clearing Results'!D36)*('BRA Resource Clearing Results'!E12-'BRA Resource Clearing Results'!E8)-('1stIA Resource Clearing Results'!K36+'1stIA Resource Clearing Results'!L36)*('1stIA Resource Clearing Results'!E12-'1stIA Resource Clearing Results'!E8)</f>
        <v>0</v>
      </c>
      <c r="F17" s="157">
        <f>F16+(E17/B17)</f>
        <v>-2.3235433825660232</v>
      </c>
      <c r="G17" s="105">
        <f>'BRA Resource Clearing Results'!D36*('BRA Resource Clearing Results'!G12-'BRA Resource Clearing Results'!G8)-'1stIA Resource Clearing Results'!L36*('1stIA Resource Clearing Results'!G12-'1stIA Resource Clearing Results'!G8)</f>
        <v>-9430</v>
      </c>
      <c r="H17" s="157">
        <f>H16+(G17/B17)</f>
        <v>-7.663996369694309</v>
      </c>
      <c r="I17" s="37">
        <f>'BRA Resource Clearing Results'!J80+'1stIA Resource Clearing Results'!I88</f>
        <v>0</v>
      </c>
      <c r="J17" s="156">
        <f>J16+I17/B17</f>
        <v>0</v>
      </c>
      <c r="K17" s="158">
        <f t="shared" si="0"/>
        <v>154.63455387447337</v>
      </c>
      <c r="L17" s="312"/>
    </row>
    <row r="18" spans="1:12" x14ac:dyDescent="0.2">
      <c r="A18" s="189" t="s">
        <v>20</v>
      </c>
      <c r="B18" s="353">
        <f>J45</f>
        <v>24909.664610645556</v>
      </c>
      <c r="C18" s="157">
        <f t="shared" si="1"/>
        <v>164.62209362673369</v>
      </c>
      <c r="D18" s="157">
        <f>D13+('BRA Resource Clearing Results'!E39*'BRA Resource Clearing Results'!C15-'1stIA Resource Clearing Results'!M39*'1stIA Resource Clearing Results'!C15)/('BRA Resource Clearing Results'!E39-'1stIA Resource Clearing Results'!M39)</f>
        <v>50.240363924118498</v>
      </c>
      <c r="E18" s="105">
        <f>('BRA Resource Clearing Results'!C39+'BRA Resource Clearing Results'!D39)*('BRA Resource Clearing Results'!E15-'BRA Resource Clearing Results'!E5)-('1stIA Resource Clearing Results'!K39+'1stIA Resource Clearing Results'!L39)*('1stIA Resource Clearing Results'!E15-'1stIA Resource Clearing Results'!E5)</f>
        <v>0</v>
      </c>
      <c r="F18" s="157">
        <f>F13+(E18/B18)</f>
        <v>-2.3235433825660232</v>
      </c>
      <c r="G18" s="37">
        <f>'BRA Resource Clearing Results'!D39*('BRA Resource Clearing Results'!G15-'BRA Resource Clearing Results'!G5)-'1stIA Resource Clearing Results'!L39*('1stIA Resource Clearing Results'!G15-'1stIA Resource Clearing Results'!G5)</f>
        <v>0</v>
      </c>
      <c r="H18" s="157">
        <f>H13+(G18/B18)</f>
        <v>0</v>
      </c>
      <c r="I18" s="37">
        <f>'BRA Resource Clearing Results'!J83+'1stIA Resource Clearing Results'!I91</f>
        <v>0</v>
      </c>
      <c r="J18" s="156">
        <f>J13+I18/B18</f>
        <v>0</v>
      </c>
      <c r="K18" s="158">
        <f t="shared" si="0"/>
        <v>212.53891416828617</v>
      </c>
      <c r="L18" s="312"/>
    </row>
    <row r="19" spans="1:12" x14ac:dyDescent="0.2">
      <c r="A19" s="189" t="s">
        <v>11</v>
      </c>
      <c r="B19" s="353">
        <f>J44</f>
        <v>7897.7360490119208</v>
      </c>
      <c r="C19" s="157">
        <f t="shared" si="1"/>
        <v>164.62209362673369</v>
      </c>
      <c r="D19" s="157">
        <f>D16+('BRA Resource Clearing Results'!E40*'BRA Resource Clearing Results'!C16-'1stIA Resource Clearing Results'!M40*'1stIA Resource Clearing Results'!C16)/('BRA Resource Clearing Results'!E40-'1stIA Resource Clearing Results'!M40)</f>
        <v>0</v>
      </c>
      <c r="E19" s="105">
        <f>('BRA Resource Clearing Results'!C40+'BRA Resource Clearing Results'!D40)*('BRA Resource Clearing Results'!E16-'BRA Resource Clearing Results'!E8)-('1stIA Resource Clearing Results'!K40+'1stIA Resource Clearing Results'!L40)*('1stIA Resource Clearing Results'!E16-'1stIA Resource Clearing Results'!E8)</f>
        <v>0</v>
      </c>
      <c r="F19" s="157">
        <f>F16+(E19/B19)</f>
        <v>-2.3235433825660232</v>
      </c>
      <c r="G19" s="37">
        <f>'BRA Resource Clearing Results'!D40*('BRA Resource Clearing Results'!G16-'BRA Resource Clearing Results'!G8)-'1stIA Resource Clearing Results'!L40*('1stIA Resource Clearing Results'!G16-'1stIA Resource Clearing Results'!G8)</f>
        <v>0</v>
      </c>
      <c r="H19" s="157">
        <f>H16+(G19/B19)</f>
        <v>-6.3925500668333459</v>
      </c>
      <c r="I19" s="37">
        <f>'BRA Resource Clearing Results'!J84+'1stIA Resource Clearing Results'!I92</f>
        <v>0</v>
      </c>
      <c r="J19" s="156">
        <f>J16+I19/B19</f>
        <v>0</v>
      </c>
      <c r="K19" s="158">
        <f t="shared" si="0"/>
        <v>155.90600017733433</v>
      </c>
      <c r="L19" s="312"/>
    </row>
    <row r="20" spans="1:12" x14ac:dyDescent="0.2">
      <c r="A20" s="189" t="s">
        <v>10</v>
      </c>
      <c r="B20" s="353">
        <f>J57</f>
        <v>8445.2657174504402</v>
      </c>
      <c r="C20" s="157">
        <f t="shared" si="1"/>
        <v>164.62209362673369</v>
      </c>
      <c r="D20" s="157">
        <f>D14+('BRA Resource Clearing Results'!E41*'BRA Resource Clearing Results'!C17-'1stIA Resource Clearing Results'!M41*'1stIA Resource Clearing Results'!C17)/('BRA Resource Clearing Results'!E41-'1stIA Resource Clearing Results'!M41)</f>
        <v>0</v>
      </c>
      <c r="E20" s="105">
        <f>('BRA Resource Clearing Results'!C41+'BRA Resource Clearing Results'!D41)*('BRA Resource Clearing Results'!E17-'BRA Resource Clearing Results'!E6)-('1stIA Resource Clearing Results'!K41+'1stIA Resource Clearing Results'!L41)*('1stIA Resource Clearing Results'!E17-'1stIA Resource Clearing Results'!E6)</f>
        <v>-85964.569999999992</v>
      </c>
      <c r="F20" s="157">
        <f>F14+(E20/B20)</f>
        <v>-12.502568279600528</v>
      </c>
      <c r="G20" s="37">
        <f>'BRA Resource Clearing Results'!D41*('BRA Resource Clearing Results'!G17-'BRA Resource Clearing Results'!G6)-'1stIA Resource Clearing Results'!L41*('1stIA Resource Clearing Results'!G17-'1stIA Resource Clearing Results'!G6)</f>
        <v>0</v>
      </c>
      <c r="H20" s="157">
        <f>H13+(G20/B20)</f>
        <v>0</v>
      </c>
      <c r="I20" s="37">
        <f>'BRA Resource Clearing Results'!J85+'1stIA Resource Clearing Results'!I93</f>
        <v>6360.1220000000003</v>
      </c>
      <c r="J20" s="156">
        <f>J14+I20/B20</f>
        <v>0.75309909868887714</v>
      </c>
      <c r="K20" s="158">
        <f t="shared" si="0"/>
        <v>152.87262444582203</v>
      </c>
      <c r="L20" s="312"/>
    </row>
    <row r="21" spans="1:12" x14ac:dyDescent="0.2">
      <c r="A21" s="25" t="s">
        <v>92</v>
      </c>
      <c r="B21" s="36"/>
      <c r="C21" s="59"/>
      <c r="D21" s="354" t="s">
        <v>24</v>
      </c>
      <c r="E21" s="355" t="s">
        <v>24</v>
      </c>
      <c r="F21" s="61"/>
      <c r="G21" s="57" t="s">
        <v>24</v>
      </c>
      <c r="H21" s="35"/>
      <c r="I21" s="35"/>
      <c r="J21" s="356"/>
      <c r="K21" s="35"/>
      <c r="L21" s="298"/>
    </row>
    <row r="22" spans="1:12" x14ac:dyDescent="0.2">
      <c r="A22" s="313" t="s">
        <v>24</v>
      </c>
      <c r="B22" s="269"/>
      <c r="C22" s="289"/>
      <c r="D22" s="289"/>
      <c r="E22" s="289"/>
      <c r="F22" s="290"/>
      <c r="H22" s="269"/>
      <c r="I22" s="269"/>
      <c r="J22" s="289"/>
      <c r="K22" s="269"/>
      <c r="L22" s="298"/>
    </row>
    <row r="23" spans="1:12" x14ac:dyDescent="0.2">
      <c r="A23" s="313"/>
      <c r="B23" s="269"/>
      <c r="C23" s="289"/>
      <c r="D23" s="289"/>
      <c r="E23" s="289"/>
      <c r="F23" s="290"/>
      <c r="H23" s="269"/>
      <c r="I23" s="269"/>
      <c r="J23" s="289"/>
      <c r="K23" s="269"/>
      <c r="L23" s="298"/>
    </row>
    <row r="24" spans="1:12" ht="31.5" x14ac:dyDescent="0.25">
      <c r="A24" s="445" t="s">
        <v>135</v>
      </c>
      <c r="B24" s="4"/>
      <c r="C24" s="4" t="s">
        <v>24</v>
      </c>
      <c r="D24" s="314" t="s">
        <v>24</v>
      </c>
      <c r="E24" s="315" t="s">
        <v>24</v>
      </c>
      <c r="F24" s="4"/>
      <c r="G24" s="4"/>
      <c r="H24" s="4"/>
      <c r="I24" s="4"/>
      <c r="J24" s="14" t="s">
        <v>24</v>
      </c>
      <c r="K24" s="316" t="s">
        <v>24</v>
      </c>
      <c r="L24" s="4"/>
    </row>
    <row r="25" spans="1:12" ht="102" x14ac:dyDescent="0.2">
      <c r="A25" s="194" t="s">
        <v>61</v>
      </c>
      <c r="B25" s="337" t="s">
        <v>261</v>
      </c>
      <c r="C25" s="337" t="s">
        <v>262</v>
      </c>
      <c r="D25" s="166" t="s">
        <v>263</v>
      </c>
      <c r="E25" s="441" t="s">
        <v>195</v>
      </c>
      <c r="F25" s="441" t="s">
        <v>196</v>
      </c>
      <c r="G25" s="441" t="s">
        <v>232</v>
      </c>
      <c r="H25" s="441" t="s">
        <v>233</v>
      </c>
      <c r="I25" s="166" t="s">
        <v>197</v>
      </c>
      <c r="J25" s="166" t="s">
        <v>172</v>
      </c>
      <c r="K25" s="166" t="s">
        <v>264</v>
      </c>
      <c r="L25" s="4"/>
    </row>
    <row r="26" spans="1:12" x14ac:dyDescent="0.2">
      <c r="A26" s="189" t="s">
        <v>40</v>
      </c>
      <c r="B26" s="189"/>
      <c r="C26" s="353">
        <f>'BRA Resource Clearing Results'!E55-'1stIA Resource Clearing Results'!M67</f>
        <v>2141.6999999999998</v>
      </c>
      <c r="D26" s="33">
        <f>('BRA Resource Clearing Results'!E33*'BRA Resource Clearing Results'!C9-'1stIA Resource Clearing Results'!M33*'1stIA Resource Clearing Results'!C9)/('BRA Resource Clearing Results'!E33-'1stIA Resource Clearing Results'!M33)</f>
        <v>0</v>
      </c>
      <c r="E26" s="33">
        <f>('BRA Resource Clearing Results'!C55+'BRA Resource Clearing Results'!D55)*('BRA Resource Clearing Results'!E9-'BRA Resource Clearing Results'!E7)-('1stIA Resource Clearing Results'!K67+'1stIA Resource Clearing Results'!L67)*('1stIA Resource Clearing Results'!E9-'1stIA Resource Clearing Results'!E7)</f>
        <v>0</v>
      </c>
      <c r="F26" s="33"/>
      <c r="G26" s="33">
        <f>'BRA Resource Clearing Results'!D55*('BRA Resource Clearing Results'!G9-'BRA Resource Clearing Results'!G7)-'1stIA Resource Clearing Results'!L67*('1stIA Resource Clearing Results'!G9-'1stIA Resource Clearing Results'!G7)</f>
        <v>0</v>
      </c>
      <c r="H26" s="33"/>
      <c r="I26" s="37">
        <f>'BRA Resource Clearing Results'!J77+'1stIA Resource Clearing Results'!I85</f>
        <v>0</v>
      </c>
      <c r="J26" s="189"/>
      <c r="K26" s="189"/>
      <c r="L26" s="4"/>
    </row>
    <row r="27" spans="1:12" x14ac:dyDescent="0.2">
      <c r="A27" s="189" t="s">
        <v>37</v>
      </c>
      <c r="B27" s="189"/>
      <c r="C27" s="353">
        <f>'BRA Resource Clearing Results'!E56-'1stIA Resource Clearing Results'!M68</f>
        <v>3184.7</v>
      </c>
      <c r="D27" s="33">
        <f>D26+('BRA Resource Clearing Results'!E34*'BRA Resource Clearing Results'!C10-'1stIA Resource Clearing Results'!M34*'1stIA Resource Clearing Results'!C10)/('BRA Resource Clearing Results'!E34-'1stIA Resource Clearing Results'!M34)</f>
        <v>0</v>
      </c>
      <c r="E27" s="33">
        <f>('BRA Resource Clearing Results'!C56+'BRA Resource Clearing Results'!D56)*('BRA Resource Clearing Results'!E10-'BRA Resource Clearing Results'!E7)-('1stIA Resource Clearing Results'!K68+'1stIA Resource Clearing Results'!L68)*('1stIA Resource Clearing Results'!E10-'1stIA Resource Clearing Results'!E7)</f>
        <v>0</v>
      </c>
      <c r="F27" s="33"/>
      <c r="G27" s="33">
        <f>'BRA Resource Clearing Results'!D56*('BRA Resource Clearing Results'!G10-'BRA Resource Clearing Results'!G7)-'1stIA Resource Clearing Results'!L68*('1stIA Resource Clearing Results'!G10-'1stIA Resource Clearing Results'!G7)</f>
        <v>0</v>
      </c>
      <c r="H27" s="33"/>
      <c r="I27" s="37">
        <f>'BRA Resource Clearing Results'!J78+'1stIA Resource Clearing Results'!I86</f>
        <v>0</v>
      </c>
      <c r="J27" s="189"/>
      <c r="K27" s="189"/>
      <c r="L27" s="4"/>
    </row>
    <row r="28" spans="1:12" x14ac:dyDescent="0.2">
      <c r="A28" s="73" t="s">
        <v>8</v>
      </c>
      <c r="B28" s="155">
        <f>K15</f>
        <v>222.94225648665926</v>
      </c>
      <c r="C28" s="47">
        <f>C27+C26</f>
        <v>5326.4</v>
      </c>
      <c r="D28" s="446">
        <f>(C27*D27+C26*D26)/C28</f>
        <v>0</v>
      </c>
      <c r="E28" s="357">
        <f>E26+E27</f>
        <v>0</v>
      </c>
      <c r="F28" s="446">
        <f>E28/J58</f>
        <v>0</v>
      </c>
      <c r="G28" s="357">
        <f>G26+G27</f>
        <v>0</v>
      </c>
      <c r="H28" s="446">
        <f>G28/J58</f>
        <v>0</v>
      </c>
      <c r="I28" s="358">
        <f>I26+I27</f>
        <v>0</v>
      </c>
      <c r="J28" s="447">
        <f>I28/J58</f>
        <v>0</v>
      </c>
      <c r="K28" s="448">
        <f>B28+D28+F28+H28+J28</f>
        <v>222.94225648665926</v>
      </c>
      <c r="L28" s="317"/>
    </row>
    <row r="29" spans="1:12" x14ac:dyDescent="0.2">
      <c r="A29" s="189" t="s">
        <v>39</v>
      </c>
      <c r="B29" s="189"/>
      <c r="C29" s="47">
        <v>3928.8</v>
      </c>
      <c r="D29" s="33">
        <v>0</v>
      </c>
      <c r="E29" s="33">
        <v>0</v>
      </c>
      <c r="F29" s="33"/>
      <c r="G29" s="33">
        <v>0</v>
      </c>
      <c r="H29" s="33"/>
      <c r="I29" s="37">
        <v>0</v>
      </c>
      <c r="J29" s="189"/>
      <c r="K29" s="55"/>
      <c r="L29" s="4"/>
    </row>
    <row r="30" spans="1:12" x14ac:dyDescent="0.2">
      <c r="A30" s="189" t="s">
        <v>38</v>
      </c>
      <c r="B30" s="189"/>
      <c r="C30" s="353">
        <f>'BRA Resource Clearing Results'!E57-'1stIA Resource Clearing Results'!M69</f>
        <v>1710.7999999999997</v>
      </c>
      <c r="D30" s="33">
        <f>('BRA Resource Clearing Results'!E35*'BRA Resource Clearing Results'!C11-'1stIA Resource Clearing Results'!M35*'1stIA Resource Clearing Results'!C11)/('BRA Resource Clearing Results'!E35-'1stIA Resource Clearing Results'!M35)</f>
        <v>0</v>
      </c>
      <c r="E30" s="33">
        <f>('BRA Resource Clearing Results'!C57+'BRA Resource Clearing Results'!D57)*('BRA Resource Clearing Results'!E11-'BRA Resource Clearing Results'!E7)-('1stIA Resource Clearing Results'!K69+'1stIA Resource Clearing Results'!L69)*('1stIA Resource Clearing Results'!E11-'1stIA Resource Clearing Results'!E7)</f>
        <v>181.87599999999998</v>
      </c>
      <c r="F30" s="92"/>
      <c r="G30" s="33">
        <f>'BRA Resource Clearing Results'!D57*('BRA Resource Clearing Results'!G11-'BRA Resource Clearing Results'!G7)-'1stIA Resource Clearing Results'!L69*('1stIA Resource Clearing Results'!G11-'1stIA Resource Clearing Results'!G7)</f>
        <v>0</v>
      </c>
      <c r="H30" s="92"/>
      <c r="I30" s="37">
        <f>'BRA Resource Clearing Results'!J79+'1stIA Resource Clearing Results'!I87</f>
        <v>0</v>
      </c>
      <c r="J30" s="189"/>
      <c r="K30" s="55"/>
      <c r="L30" s="4"/>
    </row>
    <row r="31" spans="1:12" x14ac:dyDescent="0.2">
      <c r="A31" s="73" t="s">
        <v>17</v>
      </c>
      <c r="B31" s="155">
        <f>K15</f>
        <v>222.94225648665926</v>
      </c>
      <c r="C31" s="47">
        <f>C29+C30</f>
        <v>5639.6</v>
      </c>
      <c r="D31" s="446">
        <f>(C30*D30+C29*D29)/C31</f>
        <v>0</v>
      </c>
      <c r="E31" s="357">
        <f>E29+E30</f>
        <v>181.87599999999998</v>
      </c>
      <c r="F31" s="446">
        <f>E31/J50</f>
        <v>3.9874676148905309E-2</v>
      </c>
      <c r="G31" s="357">
        <f>G29+G30</f>
        <v>0</v>
      </c>
      <c r="H31" s="446">
        <f>G31/J50</f>
        <v>0</v>
      </c>
      <c r="I31" s="358">
        <f>I29+I30</f>
        <v>0</v>
      </c>
      <c r="J31" s="447">
        <f>I31/J50</f>
        <v>0</v>
      </c>
      <c r="K31" s="448">
        <f>B31+D31+F31+H31+J31</f>
        <v>222.98213116280817</v>
      </c>
      <c r="L31" s="317"/>
    </row>
    <row r="32" spans="1:12" x14ac:dyDescent="0.2">
      <c r="A32" s="189" t="s">
        <v>130</v>
      </c>
      <c r="B32" s="189"/>
      <c r="C32" s="353">
        <f>'BRA Resource Clearing Results'!E59-'1stIA Resource Clearing Results'!M71</f>
        <v>8431.1</v>
      </c>
      <c r="D32" s="33">
        <f>('BRA Resource Clearing Results'!E37*'BRA Resource Clearing Results'!C13-'1stIA Resource Clearing Results'!M37*'1stIA Resource Clearing Results'!C13)/('BRA Resource Clearing Results'!E37-'1stIA Resource Clearing Results'!M37)</f>
        <v>0</v>
      </c>
      <c r="E32" s="33">
        <f>('BRA Resource Clearing Results'!C59+'BRA Resource Clearing Results'!D59)*('BRA Resource Clearing Results'!E13-'BRA Resource Clearing Results'!E5)-('1stIA Resource Clearing Results'!K71+'1stIA Resource Clearing Results'!L71)*('1stIA Resource Clearing Results'!E13-'1stIA Resource Clearing Results'!E5)</f>
        <v>0</v>
      </c>
      <c r="F32" s="33"/>
      <c r="G32" s="33">
        <f>'BRA Resource Clearing Results'!D59*('BRA Resource Clearing Results'!G13-'BRA Resource Clearing Results'!G5)-'1stIA Resource Clearing Results'!L71*('1stIA Resource Clearing Results'!G13-'1stIA Resource Clearing Results'!G5)</f>
        <v>0</v>
      </c>
      <c r="H32" s="33"/>
      <c r="I32" s="37">
        <f>'BRA Resource Clearing Results'!J81+'1stIA Resource Clearing Results'!I89</f>
        <v>0</v>
      </c>
      <c r="J32" s="189"/>
      <c r="K32" s="55"/>
      <c r="L32" s="317"/>
    </row>
    <row r="33" spans="1:12" x14ac:dyDescent="0.2">
      <c r="A33" s="189" t="s">
        <v>129</v>
      </c>
      <c r="B33" s="189"/>
      <c r="C33" s="353">
        <f>'BRA Resource Clearing Results'!E60-'1stIA Resource Clearing Results'!M72</f>
        <v>2239.6</v>
      </c>
      <c r="D33" s="33">
        <f>D32+('BRA Resource Clearing Results'!E38*'BRA Resource Clearing Results'!C14-'1stIA Resource Clearing Results'!M38*'1stIA Resource Clearing Results'!C14)/('BRA Resource Clearing Results'!E38-'1stIA Resource Clearing Results'!M38)</f>
        <v>0</v>
      </c>
      <c r="E33" s="33">
        <f>('BRA Resource Clearing Results'!C60+'BRA Resource Clearing Results'!D60)*('BRA Resource Clearing Results'!E14-'BRA Resource Clearing Results'!E5)-('1stIA Resource Clearing Results'!K72+'1stIA Resource Clearing Results'!L72)*('1stIA Resource Clearing Results'!E14-'1stIA Resource Clearing Results'!E5)</f>
        <v>0</v>
      </c>
      <c r="F33" s="92"/>
      <c r="G33" s="33">
        <f>'BRA Resource Clearing Results'!D60*('BRA Resource Clearing Results'!G14-'BRA Resource Clearing Results'!G5)-'1stIA Resource Clearing Results'!L72*('1stIA Resource Clearing Results'!G14-'1stIA Resource Clearing Results'!G5)</f>
        <v>0</v>
      </c>
      <c r="H33" s="92"/>
      <c r="I33" s="37">
        <f>'BRA Resource Clearing Results'!J82+'1stIA Resource Clearing Results'!I90</f>
        <v>0</v>
      </c>
      <c r="J33" s="189"/>
      <c r="K33" s="55"/>
      <c r="L33" s="317"/>
    </row>
    <row r="34" spans="1:12" x14ac:dyDescent="0.2">
      <c r="A34" s="73" t="s">
        <v>46</v>
      </c>
      <c r="B34" s="155">
        <f>K13</f>
        <v>162.29855024416767</v>
      </c>
      <c r="C34" s="47">
        <f>C32+C33</f>
        <v>10670.7</v>
      </c>
      <c r="D34" s="446">
        <f>(C33*D33+C32*D32)/C34</f>
        <v>0</v>
      </c>
      <c r="E34" s="357">
        <f>E32+E33</f>
        <v>0</v>
      </c>
      <c r="F34" s="446">
        <f>E34/J43</f>
        <v>0</v>
      </c>
      <c r="G34" s="357">
        <f>G32+G33</f>
        <v>0</v>
      </c>
      <c r="H34" s="446">
        <f>G34/J43</f>
        <v>0</v>
      </c>
      <c r="I34" s="358">
        <f>I32+I33</f>
        <v>0</v>
      </c>
      <c r="J34" s="447">
        <f>I34/J43</f>
        <v>0</v>
      </c>
      <c r="K34" s="448">
        <f>B34+D34+F34+H34+J34</f>
        <v>162.29855024416767</v>
      </c>
      <c r="L34" s="317"/>
    </row>
    <row r="35" spans="1:12" x14ac:dyDescent="0.2">
      <c r="A35" s="601" t="s">
        <v>265</v>
      </c>
      <c r="B35" s="601"/>
      <c r="C35" s="356"/>
      <c r="D35" s="359"/>
      <c r="E35" s="360" t="s">
        <v>24</v>
      </c>
      <c r="F35" s="359"/>
      <c r="G35" s="359"/>
      <c r="H35" s="359"/>
      <c r="I35" s="361"/>
      <c r="J35" s="361"/>
      <c r="K35" s="362"/>
      <c r="L35" s="317"/>
    </row>
    <row r="36" spans="1:12" x14ac:dyDescent="0.2">
      <c r="A36" s="313" t="s">
        <v>24</v>
      </c>
      <c r="B36" s="313"/>
      <c r="C36" s="313"/>
      <c r="D36" s="313"/>
      <c r="E36" s="313" t="s">
        <v>24</v>
      </c>
      <c r="F36" s="313" t="s">
        <v>24</v>
      </c>
      <c r="G36" s="313" t="s">
        <v>24</v>
      </c>
      <c r="H36" s="16"/>
      <c r="I36" s="16"/>
      <c r="J36" s="16"/>
      <c r="K36" s="16"/>
      <c r="L36" s="4"/>
    </row>
    <row r="37" spans="1:12" x14ac:dyDescent="0.2">
      <c r="A37" s="7"/>
      <c r="B37" s="267"/>
      <c r="C37" s="267" t="s">
        <v>24</v>
      </c>
      <c r="D37" s="267" t="s">
        <v>24</v>
      </c>
      <c r="E37" s="296" t="s">
        <v>24</v>
      </c>
      <c r="F37" s="318" t="s">
        <v>24</v>
      </c>
      <c r="G37" s="319"/>
      <c r="H37" s="319"/>
      <c r="I37" s="319"/>
      <c r="J37" s="319"/>
      <c r="K37" s="319"/>
      <c r="L37" s="320"/>
    </row>
    <row r="38" spans="1:12" ht="18.75" x14ac:dyDescent="0.3">
      <c r="A38" s="449" t="s">
        <v>266</v>
      </c>
      <c r="B38" s="3"/>
      <c r="C38" s="2"/>
      <c r="D38" s="2"/>
      <c r="E38" s="321"/>
      <c r="F38" s="321"/>
      <c r="G38" s="322"/>
      <c r="H38" s="321"/>
      <c r="I38" s="321"/>
      <c r="J38" s="321"/>
      <c r="K38" s="321"/>
      <c r="L38" s="323"/>
    </row>
    <row r="39" spans="1:12" ht="51" x14ac:dyDescent="0.2">
      <c r="A39" s="212" t="s">
        <v>7</v>
      </c>
      <c r="B39" s="212" t="s">
        <v>28</v>
      </c>
      <c r="C39" s="212" t="s">
        <v>27</v>
      </c>
      <c r="D39" s="212" t="s">
        <v>33</v>
      </c>
      <c r="E39" s="212" t="s">
        <v>295</v>
      </c>
      <c r="F39" s="212" t="s">
        <v>22</v>
      </c>
      <c r="G39" s="212" t="s">
        <v>296</v>
      </c>
      <c r="H39" s="363" t="s">
        <v>23</v>
      </c>
      <c r="I39" s="363" t="s">
        <v>267</v>
      </c>
      <c r="J39" s="451" t="s">
        <v>268</v>
      </c>
      <c r="K39" s="450" t="s">
        <v>269</v>
      </c>
      <c r="L39" s="212" t="s">
        <v>7</v>
      </c>
    </row>
    <row r="40" spans="1:12" x14ac:dyDescent="0.2">
      <c r="A40" s="189" t="s">
        <v>16</v>
      </c>
      <c r="B40" s="97" t="s">
        <v>29</v>
      </c>
      <c r="C40" s="97" t="s">
        <v>36</v>
      </c>
      <c r="D40" s="97"/>
      <c r="E40" s="364">
        <v>2450</v>
      </c>
      <c r="F40" s="365">
        <f>G40/E40</f>
        <v>0.99877551020408162</v>
      </c>
      <c r="G40" s="366">
        <v>2447</v>
      </c>
      <c r="H40" s="98">
        <f>$B$8</f>
        <v>1.072719523708012</v>
      </c>
      <c r="I40" s="98">
        <f t="shared" ref="I40:I59" si="2">H40*F40</f>
        <v>1.0714059895973491</v>
      </c>
      <c r="J40" s="452">
        <f>E40*I40*$B$6</f>
        <v>2856.7272892730484</v>
      </c>
      <c r="K40" s="182">
        <f>K15</f>
        <v>222.94225648665926</v>
      </c>
      <c r="L40" s="213" t="s">
        <v>16</v>
      </c>
    </row>
    <row r="41" spans="1:12" x14ac:dyDescent="0.2">
      <c r="A41" s="189" t="s">
        <v>270</v>
      </c>
      <c r="B41" s="97"/>
      <c r="C41" s="97"/>
      <c r="D41" s="97"/>
      <c r="E41" s="368">
        <v>10644.9</v>
      </c>
      <c r="F41" s="365">
        <v>1.0186630776132795</v>
      </c>
      <c r="G41" s="369">
        <f>E41*F41</f>
        <v>10843.566594885599</v>
      </c>
      <c r="H41" s="98">
        <f t="shared" ref="H41:H59" si="3">$B$8</f>
        <v>1.072719523708012</v>
      </c>
      <c r="I41" s="98">
        <f t="shared" si="2"/>
        <v>1.0927397714362548</v>
      </c>
      <c r="J41" s="452">
        <f t="shared" ref="J41:J59" si="4">E41*I41*$B$6</f>
        <v>12659.220516820315</v>
      </c>
      <c r="K41" s="182">
        <f>K13</f>
        <v>162.29855024416767</v>
      </c>
      <c r="L41" s="213" t="s">
        <v>30</v>
      </c>
    </row>
    <row r="42" spans="1:12" x14ac:dyDescent="0.2">
      <c r="A42" s="189" t="s">
        <v>19</v>
      </c>
      <c r="B42" s="97" t="s">
        <v>24</v>
      </c>
      <c r="C42" s="97"/>
      <c r="D42" s="97"/>
      <c r="E42" s="368">
        <v>8350</v>
      </c>
      <c r="F42" s="365">
        <f>G42/E42</f>
        <v>1.0553293413173652</v>
      </c>
      <c r="G42" s="369">
        <v>8812</v>
      </c>
      <c r="H42" s="98">
        <f t="shared" si="3"/>
        <v>1.072719523708012</v>
      </c>
      <c r="I42" s="98">
        <f t="shared" si="2"/>
        <v>1.1320723883730541</v>
      </c>
      <c r="J42" s="452">
        <f t="shared" si="4"/>
        <v>10287.487075224397</v>
      </c>
      <c r="K42" s="182">
        <f>K13</f>
        <v>162.29855024416767</v>
      </c>
      <c r="L42" s="213" t="s">
        <v>19</v>
      </c>
    </row>
    <row r="43" spans="1:12" x14ac:dyDescent="0.2">
      <c r="A43" s="189" t="s">
        <v>46</v>
      </c>
      <c r="B43" s="97"/>
      <c r="C43" s="97"/>
      <c r="D43" s="97" t="s">
        <v>46</v>
      </c>
      <c r="E43" s="368">
        <v>12640</v>
      </c>
      <c r="F43" s="365">
        <f>G43/E43</f>
        <v>0.99248417721518989</v>
      </c>
      <c r="G43" s="369">
        <v>12545</v>
      </c>
      <c r="H43" s="98">
        <f t="shared" si="3"/>
        <v>1.072719523708012</v>
      </c>
      <c r="I43" s="98">
        <f t="shared" si="2"/>
        <v>1.0646571538700167</v>
      </c>
      <c r="J43" s="452">
        <f t="shared" si="4"/>
        <v>14645.543050237184</v>
      </c>
      <c r="K43" s="182">
        <f>K34</f>
        <v>162.29855024416767</v>
      </c>
      <c r="L43" s="213" t="s">
        <v>46</v>
      </c>
    </row>
    <row r="44" spans="1:12" x14ac:dyDescent="0.2">
      <c r="A44" s="189" t="s">
        <v>11</v>
      </c>
      <c r="B44" s="97" t="s">
        <v>29</v>
      </c>
      <c r="C44" s="97" t="s">
        <v>5</v>
      </c>
      <c r="D44" s="213" t="s">
        <v>11</v>
      </c>
      <c r="E44" s="364">
        <v>6490</v>
      </c>
      <c r="F44" s="365">
        <f>G44/E44</f>
        <v>1.0423728813559323</v>
      </c>
      <c r="G44" s="369">
        <v>6765</v>
      </c>
      <c r="H44" s="98">
        <f t="shared" si="3"/>
        <v>1.072719523708012</v>
      </c>
      <c r="I44" s="98">
        <f t="shared" si="2"/>
        <v>1.1181737408142838</v>
      </c>
      <c r="J44" s="452">
        <f t="shared" si="4"/>
        <v>7897.7360490119208</v>
      </c>
      <c r="K44" s="182">
        <f>K19</f>
        <v>155.90600017733433</v>
      </c>
      <c r="L44" s="213" t="s">
        <v>11</v>
      </c>
    </row>
    <row r="45" spans="1:12" x14ac:dyDescent="0.2">
      <c r="A45" s="189" t="s">
        <v>271</v>
      </c>
      <c r="B45" s="97"/>
      <c r="C45" s="97"/>
      <c r="D45" s="213" t="s">
        <v>20</v>
      </c>
      <c r="E45" s="364">
        <v>20557</v>
      </c>
      <c r="F45" s="365">
        <v>1.0379425837320575</v>
      </c>
      <c r="G45" s="369">
        <f>E45*F45</f>
        <v>21336.985693779905</v>
      </c>
      <c r="H45" s="98">
        <f t="shared" si="3"/>
        <v>1.072719523708012</v>
      </c>
      <c r="I45" s="98">
        <f t="shared" si="2"/>
        <v>1.1134212740573162</v>
      </c>
      <c r="J45" s="452">
        <f t="shared" si="4"/>
        <v>24909.664610645556</v>
      </c>
      <c r="K45" s="182">
        <f>K18</f>
        <v>212.53891416828617</v>
      </c>
      <c r="L45" s="213" t="s">
        <v>20</v>
      </c>
    </row>
    <row r="46" spans="1:12" x14ac:dyDescent="0.2">
      <c r="A46" s="189" t="s">
        <v>21</v>
      </c>
      <c r="B46" s="97"/>
      <c r="C46" s="97"/>
      <c r="D46" s="97"/>
      <c r="E46" s="364">
        <v>3170</v>
      </c>
      <c r="F46" s="365">
        <f>G46/E46</f>
        <v>1.046372239747634</v>
      </c>
      <c r="G46" s="366">
        <v>3317</v>
      </c>
      <c r="H46" s="98">
        <f t="shared" si="3"/>
        <v>1.072719523708012</v>
      </c>
      <c r="I46" s="98">
        <f t="shared" si="2"/>
        <v>1.1224639306433677</v>
      </c>
      <c r="J46" s="452">
        <f t="shared" si="4"/>
        <v>3872.4006614297914</v>
      </c>
      <c r="K46" s="182">
        <f>K13</f>
        <v>162.29855024416767</v>
      </c>
      <c r="L46" s="213" t="s">
        <v>21</v>
      </c>
    </row>
    <row r="47" spans="1:12" x14ac:dyDescent="0.2">
      <c r="A47" s="189" t="s">
        <v>272</v>
      </c>
      <c r="B47" s="97"/>
      <c r="C47" s="97"/>
      <c r="D47" s="97"/>
      <c r="E47" s="364">
        <v>4277.8999999999996</v>
      </c>
      <c r="F47" s="365">
        <v>1.0490157480314961</v>
      </c>
      <c r="G47" s="369">
        <f>E47*F47</f>
        <v>4487.5844685039365</v>
      </c>
      <c r="H47" s="98">
        <f t="shared" si="3"/>
        <v>1.072719523708012</v>
      </c>
      <c r="I47" s="98">
        <f t="shared" si="2"/>
        <v>1.1252996735905505</v>
      </c>
      <c r="J47" s="452">
        <f t="shared" si="4"/>
        <v>5238.9885631765765</v>
      </c>
      <c r="K47" s="182">
        <f>K13</f>
        <v>162.29855024416767</v>
      </c>
      <c r="L47" s="213" t="s">
        <v>56</v>
      </c>
    </row>
    <row r="48" spans="1:12" x14ac:dyDescent="0.2">
      <c r="A48" s="189" t="s">
        <v>45</v>
      </c>
      <c r="B48" s="97"/>
      <c r="C48" s="97"/>
      <c r="D48" s="97"/>
      <c r="E48" s="364">
        <v>2780</v>
      </c>
      <c r="F48" s="365">
        <f t="shared" ref="F48:F59" si="5">G48/E48</f>
        <v>1.0136690647482014</v>
      </c>
      <c r="G48" s="366">
        <v>2818</v>
      </c>
      <c r="H48" s="98">
        <f t="shared" si="3"/>
        <v>1.072719523708012</v>
      </c>
      <c r="I48" s="98">
        <f t="shared" si="2"/>
        <v>1.0873825963342367</v>
      </c>
      <c r="J48" s="452">
        <f t="shared" si="4"/>
        <v>3289.8477732617289</v>
      </c>
      <c r="K48" s="182">
        <f>K13</f>
        <v>162.29855024416767</v>
      </c>
      <c r="L48" s="213" t="s">
        <v>45</v>
      </c>
    </row>
    <row r="49" spans="1:13" x14ac:dyDescent="0.2">
      <c r="A49" s="189" t="s">
        <v>31</v>
      </c>
      <c r="B49" s="97"/>
      <c r="C49" s="97"/>
      <c r="D49" s="97"/>
      <c r="E49" s="364">
        <v>18350</v>
      </c>
      <c r="F49" s="365">
        <f t="shared" si="5"/>
        <v>1.0797275204359673</v>
      </c>
      <c r="G49" s="366">
        <v>19813</v>
      </c>
      <c r="H49" s="98">
        <f t="shared" si="3"/>
        <v>1.072719523708012</v>
      </c>
      <c r="I49" s="98">
        <f t="shared" si="2"/>
        <v>1.1582447914565037</v>
      </c>
      <c r="J49" s="452">
        <f t="shared" si="4"/>
        <v>23130.501750047773</v>
      </c>
      <c r="K49" s="182">
        <f>K13</f>
        <v>162.29855024416767</v>
      </c>
      <c r="L49" s="213" t="s">
        <v>31</v>
      </c>
    </row>
    <row r="50" spans="1:13" x14ac:dyDescent="0.2">
      <c r="A50" s="189" t="s">
        <v>17</v>
      </c>
      <c r="B50" s="97" t="s">
        <v>29</v>
      </c>
      <c r="C50" s="97" t="s">
        <v>36</v>
      </c>
      <c r="D50" s="97" t="s">
        <v>17</v>
      </c>
      <c r="E50" s="364">
        <v>3750</v>
      </c>
      <c r="F50" s="365">
        <f>G50/E50</f>
        <v>1.0418666666666667</v>
      </c>
      <c r="G50" s="366">
        <v>3907</v>
      </c>
      <c r="H50" s="98">
        <f t="shared" si="3"/>
        <v>1.072719523708012</v>
      </c>
      <c r="I50" s="98">
        <f t="shared" si="2"/>
        <v>1.1176307144339208</v>
      </c>
      <c r="J50" s="452">
        <f t="shared" si="4"/>
        <v>4561.1906494441355</v>
      </c>
      <c r="K50" s="182">
        <f>K31</f>
        <v>222.98213116280817</v>
      </c>
      <c r="L50" s="213" t="s">
        <v>17</v>
      </c>
    </row>
    <row r="51" spans="1:13" x14ac:dyDescent="0.2">
      <c r="A51" s="189" t="s">
        <v>273</v>
      </c>
      <c r="B51" s="97"/>
      <c r="C51" s="97"/>
      <c r="D51" s="97"/>
      <c r="E51" s="364">
        <v>2034.6</v>
      </c>
      <c r="F51" s="365">
        <v>1.03551912568306</v>
      </c>
      <c r="G51" s="369">
        <f>E51*F51</f>
        <v>2106.8672131147537</v>
      </c>
      <c r="H51" s="98">
        <f t="shared" si="3"/>
        <v>1.072719523708012</v>
      </c>
      <c r="I51" s="98">
        <f t="shared" si="2"/>
        <v>1.1108215832932693</v>
      </c>
      <c r="J51" s="452">
        <f t="shared" si="4"/>
        <v>2459.6424448629227</v>
      </c>
      <c r="K51" s="182">
        <f>K13</f>
        <v>162.29855024416767</v>
      </c>
      <c r="L51" s="213" t="s">
        <v>133</v>
      </c>
    </row>
    <row r="52" spans="1:13" x14ac:dyDescent="0.2">
      <c r="A52" s="189" t="s">
        <v>12</v>
      </c>
      <c r="B52" s="97" t="s">
        <v>29</v>
      </c>
      <c r="C52" s="97" t="s">
        <v>36</v>
      </c>
      <c r="D52" s="97"/>
      <c r="E52" s="364">
        <v>5740</v>
      </c>
      <c r="F52" s="365">
        <f t="shared" si="5"/>
        <v>1.0249128919860626</v>
      </c>
      <c r="G52" s="366">
        <v>5883</v>
      </c>
      <c r="H52" s="98">
        <f t="shared" si="3"/>
        <v>1.072719523708012</v>
      </c>
      <c r="I52" s="98">
        <f t="shared" si="2"/>
        <v>1.0994440693334904</v>
      </c>
      <c r="J52" s="452">
        <f t="shared" si="4"/>
        <v>6868.0533889633598</v>
      </c>
      <c r="K52" s="182">
        <f>K15</f>
        <v>222.94225648665926</v>
      </c>
      <c r="L52" s="213" t="s">
        <v>12</v>
      </c>
    </row>
    <row r="53" spans="1:13" x14ac:dyDescent="0.2">
      <c r="A53" s="189" t="s">
        <v>13</v>
      </c>
      <c r="B53" s="97" t="s">
        <v>29</v>
      </c>
      <c r="C53" s="97"/>
      <c r="D53" s="97"/>
      <c r="E53" s="364">
        <v>2800</v>
      </c>
      <c r="F53" s="365">
        <f t="shared" si="5"/>
        <v>1.0382142857142858</v>
      </c>
      <c r="G53" s="366">
        <v>2907</v>
      </c>
      <c r="H53" s="98">
        <f t="shared" si="3"/>
        <v>1.072719523708012</v>
      </c>
      <c r="I53" s="98">
        <f t="shared" si="2"/>
        <v>1.1137127340782826</v>
      </c>
      <c r="J53" s="452">
        <f t="shared" si="4"/>
        <v>3393.7499917927062</v>
      </c>
      <c r="K53" s="182">
        <f>K14</f>
        <v>162.29855024416767</v>
      </c>
      <c r="L53" s="213" t="s">
        <v>13</v>
      </c>
    </row>
    <row r="54" spans="1:13" x14ac:dyDescent="0.2">
      <c r="A54" s="189" t="s">
        <v>9</v>
      </c>
      <c r="B54" s="97" t="s">
        <v>29</v>
      </c>
      <c r="C54" s="97" t="s">
        <v>36</v>
      </c>
      <c r="D54" s="97"/>
      <c r="E54" s="364">
        <v>8060</v>
      </c>
      <c r="F54" s="365">
        <f t="shared" si="5"/>
        <v>1.0488833746898263</v>
      </c>
      <c r="G54" s="366">
        <v>8454</v>
      </c>
      <c r="H54" s="98">
        <f t="shared" si="3"/>
        <v>1.072719523708012</v>
      </c>
      <c r="I54" s="98">
        <f t="shared" si="2"/>
        <v>1.1251576741225229</v>
      </c>
      <c r="J54" s="452">
        <f t="shared" si="4"/>
        <v>9869.5433197851871</v>
      </c>
      <c r="K54" s="182">
        <f>K15</f>
        <v>222.94225648665926</v>
      </c>
      <c r="L54" s="213" t="s">
        <v>9</v>
      </c>
    </row>
    <row r="55" spans="1:13" x14ac:dyDescent="0.2">
      <c r="A55" s="189" t="s">
        <v>14</v>
      </c>
      <c r="B55" s="97" t="s">
        <v>29</v>
      </c>
      <c r="C55" s="97"/>
      <c r="D55" s="97"/>
      <c r="E55" s="364">
        <v>2870</v>
      </c>
      <c r="F55" s="365">
        <f t="shared" si="5"/>
        <v>0.96724738675958188</v>
      </c>
      <c r="G55" s="366">
        <v>2776</v>
      </c>
      <c r="H55" s="98">
        <f t="shared" si="3"/>
        <v>1.072719523708012</v>
      </c>
      <c r="I55" s="98">
        <f t="shared" si="2"/>
        <v>1.037585156032558</v>
      </c>
      <c r="J55" s="452">
        <f t="shared" si="4"/>
        <v>3240.8152656403686</v>
      </c>
      <c r="K55" s="182">
        <f>K14</f>
        <v>162.29855024416767</v>
      </c>
      <c r="L55" s="213" t="s">
        <v>14</v>
      </c>
    </row>
    <row r="56" spans="1:13" x14ac:dyDescent="0.2">
      <c r="A56" s="189" t="s">
        <v>15</v>
      </c>
      <c r="B56" s="97" t="s">
        <v>29</v>
      </c>
      <c r="C56" s="97" t="s">
        <v>5</v>
      </c>
      <c r="D56" s="97" t="s">
        <v>15</v>
      </c>
      <c r="E56" s="364">
        <v>5910</v>
      </c>
      <c r="F56" s="365">
        <f t="shared" si="5"/>
        <v>1.0749576988155669</v>
      </c>
      <c r="G56" s="366">
        <v>6353</v>
      </c>
      <c r="H56" s="98">
        <f t="shared" si="3"/>
        <v>1.072719523708012</v>
      </c>
      <c r="I56" s="98">
        <f t="shared" si="2"/>
        <v>1.1531281106796956</v>
      </c>
      <c r="J56" s="452">
        <f t="shared" si="4"/>
        <v>7416.7504980595322</v>
      </c>
      <c r="K56" s="182">
        <f>K17</f>
        <v>154.63455387447337</v>
      </c>
      <c r="L56" s="213" t="s">
        <v>15</v>
      </c>
    </row>
    <row r="57" spans="1:13" x14ac:dyDescent="0.2">
      <c r="A57" s="189" t="s">
        <v>10</v>
      </c>
      <c r="B57" s="97" t="s">
        <v>29</v>
      </c>
      <c r="C57" s="97"/>
      <c r="D57" s="213" t="s">
        <v>10</v>
      </c>
      <c r="E57" s="364">
        <f>6770+190</f>
        <v>6960</v>
      </c>
      <c r="F57" s="365">
        <f t="shared" si="5"/>
        <v>1.0393678160919539</v>
      </c>
      <c r="G57" s="366">
        <v>7234</v>
      </c>
      <c r="H57" s="98">
        <f t="shared" si="3"/>
        <v>1.072719523708012</v>
      </c>
      <c r="I57" s="98">
        <f t="shared" si="2"/>
        <v>1.1149501486355975</v>
      </c>
      <c r="J57" s="452">
        <f t="shared" si="4"/>
        <v>8445.2657174504402</v>
      </c>
      <c r="K57" s="182">
        <f>K20</f>
        <v>152.87262444582203</v>
      </c>
      <c r="L57" s="213" t="s">
        <v>10</v>
      </c>
    </row>
    <row r="58" spans="1:13" x14ac:dyDescent="0.2">
      <c r="A58" s="189" t="s">
        <v>8</v>
      </c>
      <c r="B58" s="97" t="s">
        <v>29</v>
      </c>
      <c r="C58" s="97" t="s">
        <v>36</v>
      </c>
      <c r="D58" s="97" t="s">
        <v>8</v>
      </c>
      <c r="E58" s="364">
        <v>9490</v>
      </c>
      <c r="F58" s="365">
        <f t="shared" si="5"/>
        <v>1.039304531085353</v>
      </c>
      <c r="G58" s="366">
        <v>9863</v>
      </c>
      <c r="H58" s="98">
        <f t="shared" si="3"/>
        <v>1.072719523708012</v>
      </c>
      <c r="I58" s="98">
        <f t="shared" si="2"/>
        <v>1.1148822615734586</v>
      </c>
      <c r="J58" s="452">
        <f t="shared" si="4"/>
        <v>11514.46720641605</v>
      </c>
      <c r="K58" s="182">
        <f>K28</f>
        <v>222.94225648665926</v>
      </c>
      <c r="L58" s="213" t="s">
        <v>8</v>
      </c>
    </row>
    <row r="59" spans="1:13" x14ac:dyDescent="0.2">
      <c r="A59" s="189" t="s">
        <v>18</v>
      </c>
      <c r="B59" s="97" t="s">
        <v>29</v>
      </c>
      <c r="C59" s="97" t="s">
        <v>36</v>
      </c>
      <c r="D59" s="97"/>
      <c r="E59" s="364">
        <v>385</v>
      </c>
      <c r="F59" s="365">
        <f t="shared" si="5"/>
        <v>1.0207792207792208</v>
      </c>
      <c r="G59" s="366">
        <v>393</v>
      </c>
      <c r="H59" s="98">
        <f t="shared" si="3"/>
        <v>1.072719523708012</v>
      </c>
      <c r="I59" s="98">
        <f t="shared" si="2"/>
        <v>1.0950097995253214</v>
      </c>
      <c r="J59" s="452">
        <f t="shared" si="4"/>
        <v>458.80417845701186</v>
      </c>
      <c r="K59" s="182">
        <f>K15</f>
        <v>222.94225648665926</v>
      </c>
      <c r="L59" s="213" t="s">
        <v>18</v>
      </c>
    </row>
    <row r="60" spans="1:13" x14ac:dyDescent="0.2">
      <c r="A60" s="374" t="s">
        <v>74</v>
      </c>
      <c r="B60" s="25"/>
      <c r="C60" s="23"/>
      <c r="D60" s="23"/>
      <c r="E60" s="370">
        <f>SUM(E40:E59)</f>
        <v>137709.40000000002</v>
      </c>
      <c r="F60" s="371"/>
      <c r="G60" s="370">
        <f>SUM(G40:G59)</f>
        <v>143062.00397028419</v>
      </c>
      <c r="H60" s="372"/>
      <c r="I60" s="372"/>
      <c r="J60" s="373">
        <f>SUM(J40:J59)</f>
        <v>167016.4</v>
      </c>
      <c r="K60" s="396" t="s">
        <v>24</v>
      </c>
      <c r="L60" s="396"/>
    </row>
    <row r="61" spans="1:13" x14ac:dyDescent="0.2">
      <c r="A61" s="436" t="s">
        <v>274</v>
      </c>
      <c r="B61" s="25"/>
      <c r="C61" s="23"/>
      <c r="D61" s="23"/>
      <c r="E61" s="375" t="s">
        <v>24</v>
      </c>
      <c r="F61" s="376"/>
      <c r="G61" s="377" t="s">
        <v>24</v>
      </c>
      <c r="H61" s="377"/>
      <c r="I61" s="64"/>
      <c r="J61" s="64"/>
      <c r="K61" s="378"/>
      <c r="L61" s="379"/>
    </row>
    <row r="62" spans="1:13" x14ac:dyDescent="0.2">
      <c r="A62" s="436" t="s">
        <v>24</v>
      </c>
      <c r="B62" s="436"/>
      <c r="C62" s="23"/>
      <c r="D62" s="23"/>
      <c r="E62" s="380" t="s">
        <v>24</v>
      </c>
      <c r="F62" s="23"/>
      <c r="G62" s="380" t="s">
        <v>24</v>
      </c>
      <c r="H62" s="23"/>
      <c r="I62" s="23"/>
      <c r="J62" s="23"/>
      <c r="K62" s="23"/>
      <c r="L62" s="379"/>
    </row>
    <row r="63" spans="1:13" x14ac:dyDescent="0.2">
      <c r="A63" s="437" t="s">
        <v>24</v>
      </c>
      <c r="B63" s="437"/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</row>
    <row r="65" spans="7:7" x14ac:dyDescent="0.2">
      <c r="G65" t="s">
        <v>24</v>
      </c>
    </row>
  </sheetData>
  <mergeCells count="1">
    <mergeCell ref="A35:B35"/>
  </mergeCells>
  <pageMargins left="0.5" right="0.5" top="0.5" bottom="0.5" header="0" footer="0"/>
  <pageSetup paperSize="5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workbookViewId="0"/>
  </sheetViews>
  <sheetFormatPr defaultRowHeight="12.75" x14ac:dyDescent="0.2"/>
  <cols>
    <col min="1" max="28" width="16.7109375" customWidth="1"/>
  </cols>
  <sheetData>
    <row r="1" spans="1:25" ht="18.75" x14ac:dyDescent="0.3">
      <c r="A1" s="112" t="s">
        <v>290</v>
      </c>
      <c r="B1" s="4"/>
      <c r="C1" s="4"/>
      <c r="D1" s="4"/>
      <c r="E1" s="4"/>
      <c r="F1" s="324" t="s">
        <v>24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8.75" x14ac:dyDescent="0.3">
      <c r="A2" s="1" t="s">
        <v>24</v>
      </c>
      <c r="B2" s="4"/>
      <c r="C2" s="4" t="s">
        <v>24</v>
      </c>
      <c r="D2" s="14" t="s">
        <v>24</v>
      </c>
      <c r="E2" s="325" t="s">
        <v>24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.75" x14ac:dyDescent="0.3">
      <c r="A3" s="453" t="s">
        <v>69</v>
      </c>
      <c r="B3" s="1"/>
      <c r="C3" s="326" t="s">
        <v>24</v>
      </c>
      <c r="D3" s="263" t="s">
        <v>24</v>
      </c>
      <c r="F3" s="263"/>
      <c r="G3" s="4"/>
      <c r="H3" s="4"/>
      <c r="I3" s="4" t="s">
        <v>24</v>
      </c>
      <c r="J3" s="4"/>
      <c r="K3" s="315"/>
      <c r="L3" s="315"/>
      <c r="Y3" s="315"/>
    </row>
    <row r="4" spans="1:25" ht="99.95" customHeight="1" x14ac:dyDescent="0.2">
      <c r="A4" s="166" t="s">
        <v>3</v>
      </c>
      <c r="B4" s="337" t="s">
        <v>257</v>
      </c>
      <c r="C4" s="337" t="s">
        <v>276</v>
      </c>
      <c r="D4" s="337" t="s">
        <v>277</v>
      </c>
      <c r="E4" s="166" t="s">
        <v>72</v>
      </c>
      <c r="F4" s="166" t="s">
        <v>278</v>
      </c>
      <c r="G4" s="166" t="s">
        <v>80</v>
      </c>
      <c r="H4" s="166" t="s">
        <v>279</v>
      </c>
      <c r="I4" s="457" t="s">
        <v>280</v>
      </c>
      <c r="J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5" x14ac:dyDescent="0.2">
      <c r="A5" s="381" t="s">
        <v>29</v>
      </c>
      <c r="B5" s="382">
        <f>'1st IA Load Pricing Results'!B14</f>
        <v>66523.103554293761</v>
      </c>
      <c r="C5" s="367">
        <f>'BRA Resource Clearing Results'!E30-'1stIA Resource Clearing Results'!M30</f>
        <v>66582.5</v>
      </c>
      <c r="D5" s="384">
        <f>MAX(0,B5-C5)</f>
        <v>0</v>
      </c>
      <c r="E5" s="117">
        <v>0</v>
      </c>
      <c r="F5" s="53">
        <f t="shared" ref="F5:F14" si="0">D5-E5</f>
        <v>0</v>
      </c>
      <c r="G5" s="53">
        <f>'1st IA ICTRs'!C26</f>
        <v>0</v>
      </c>
      <c r="H5" s="53">
        <f>'1st IA ICTRs'!C13+'1st IA ICTRs'!C20</f>
        <v>0</v>
      </c>
      <c r="I5" s="469">
        <f t="shared" ref="I5:I14" si="1">F5-G5-H5</f>
        <v>0</v>
      </c>
      <c r="J5" s="327" t="s">
        <v>24</v>
      </c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</row>
    <row r="6" spans="1:25" x14ac:dyDescent="0.2">
      <c r="A6" s="381" t="s">
        <v>36</v>
      </c>
      <c r="B6" s="382">
        <f>'1st IA Load Pricing Results'!B15</f>
        <v>36128.786032338787</v>
      </c>
      <c r="C6" s="367">
        <f>'BRA Resource Clearing Results'!E31-'1stIA Resource Clearing Results'!M31</f>
        <v>31131.8</v>
      </c>
      <c r="D6" s="384">
        <f>B6-C6-30.0031134760217</f>
        <v>4966.9829188627655</v>
      </c>
      <c r="E6" s="117">
        <v>0</v>
      </c>
      <c r="F6" s="383">
        <f t="shared" si="0"/>
        <v>4966.9829188627655</v>
      </c>
      <c r="G6" s="53">
        <v>0</v>
      </c>
      <c r="H6" s="53">
        <f>'1st IA ICTRs'!D13+'1st IA ICTRs'!D20</f>
        <v>898</v>
      </c>
      <c r="I6" s="470">
        <f t="shared" si="1"/>
        <v>4068.9829188627655</v>
      </c>
      <c r="J6" s="327" t="s">
        <v>24</v>
      </c>
      <c r="M6" s="267" t="s">
        <v>24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</row>
    <row r="7" spans="1:25" x14ac:dyDescent="0.2">
      <c r="A7" s="381" t="s">
        <v>5</v>
      </c>
      <c r="B7" s="382">
        <f>'1st IA Load Pricing Results'!B16</f>
        <v>15314.486547071454</v>
      </c>
      <c r="C7" s="367">
        <f>'BRA Resource Clearing Results'!E32-'1stIA Resource Clearing Results'!M32</f>
        <v>11225.499999999998</v>
      </c>
      <c r="D7" s="384">
        <f>B7-C7</f>
        <v>4088.9865470714558</v>
      </c>
      <c r="E7" s="117">
        <v>0</v>
      </c>
      <c r="F7" s="383">
        <f t="shared" si="0"/>
        <v>4088.9865470714558</v>
      </c>
      <c r="G7" s="53">
        <v>0</v>
      </c>
      <c r="H7" s="53">
        <f>'1st IA ICTRs'!E13+'1st IA ICTRs'!E20</f>
        <v>1044</v>
      </c>
      <c r="I7" s="470">
        <f t="shared" si="1"/>
        <v>3044.9865470714558</v>
      </c>
      <c r="J7" s="327" t="s">
        <v>24</v>
      </c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</row>
    <row r="8" spans="1:25" x14ac:dyDescent="0.2">
      <c r="A8" s="381" t="s">
        <v>43</v>
      </c>
      <c r="B8" s="382">
        <f>'1st IA Load Pricing Results'!J58</f>
        <v>11514.46720641605</v>
      </c>
      <c r="C8" s="367">
        <f>'1st IA Load Pricing Results'!C28</f>
        <v>5326.4</v>
      </c>
      <c r="D8" s="385">
        <f>B8-C8</f>
        <v>6188.0672064160499</v>
      </c>
      <c r="E8" s="117">
        <v>0</v>
      </c>
      <c r="F8" s="383">
        <f t="shared" si="0"/>
        <v>6188.0672064160499</v>
      </c>
      <c r="G8" s="53">
        <v>0</v>
      </c>
      <c r="H8" s="53">
        <v>0</v>
      </c>
      <c r="I8" s="470">
        <f t="shared" si="1"/>
        <v>6188.0672064160499</v>
      </c>
      <c r="J8" s="327" t="s">
        <v>24</v>
      </c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</row>
    <row r="9" spans="1:25" x14ac:dyDescent="0.2">
      <c r="A9" s="381" t="s">
        <v>41</v>
      </c>
      <c r="B9" s="382">
        <f>'1st IA Load Pricing Results'!J50</f>
        <v>4561.1906494441355</v>
      </c>
      <c r="C9" s="367">
        <f>'1st IA Load Pricing Results'!C31</f>
        <v>5639.6</v>
      </c>
      <c r="D9" s="384">
        <f>MAX(0,B9-C9)</f>
        <v>0</v>
      </c>
      <c r="E9" s="117">
        <v>0</v>
      </c>
      <c r="F9" s="342">
        <f t="shared" si="0"/>
        <v>0</v>
      </c>
      <c r="G9" s="53">
        <f>'1st IA ICTRs'!I26</f>
        <v>0</v>
      </c>
      <c r="H9" s="53">
        <v>0</v>
      </c>
      <c r="I9" s="471">
        <f t="shared" si="1"/>
        <v>0</v>
      </c>
      <c r="J9" s="327" t="s">
        <v>24</v>
      </c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</row>
    <row r="10" spans="1:25" x14ac:dyDescent="0.2">
      <c r="A10" s="381" t="s">
        <v>15</v>
      </c>
      <c r="B10" s="382">
        <f>'1st IA Load Pricing Results'!B17</f>
        <v>7416.7504980595322</v>
      </c>
      <c r="C10" s="367">
        <f>'BRA Resource Clearing Results'!E36-'1stIA Resource Clearing Results'!M36</f>
        <v>5533.5</v>
      </c>
      <c r="D10" s="384">
        <f>B10-C10</f>
        <v>1883.2504980595322</v>
      </c>
      <c r="E10" s="117">
        <v>0</v>
      </c>
      <c r="F10" s="53">
        <f t="shared" si="0"/>
        <v>1883.2504980595322</v>
      </c>
      <c r="G10" s="53">
        <v>0</v>
      </c>
      <c r="H10" s="53">
        <f>'1st IA ICTRs'!J13+'1st IA ICTRs'!J20</f>
        <v>315</v>
      </c>
      <c r="I10" s="470">
        <f t="shared" si="1"/>
        <v>1568.2504980595322</v>
      </c>
      <c r="J10" s="327" t="s">
        <v>24</v>
      </c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</row>
    <row r="11" spans="1:25" x14ac:dyDescent="0.2">
      <c r="A11" s="381" t="s">
        <v>46</v>
      </c>
      <c r="B11" s="382">
        <f>'1st IA Load Pricing Results'!J43</f>
        <v>14645.543050237184</v>
      </c>
      <c r="C11" s="367">
        <f>'1st IA Load Pricing Results'!C34</f>
        <v>10670.7</v>
      </c>
      <c r="D11" s="385">
        <f>B11-C11</f>
        <v>3974.843050237183</v>
      </c>
      <c r="E11" s="117">
        <v>0</v>
      </c>
      <c r="F11" s="53">
        <f t="shared" si="0"/>
        <v>3974.843050237183</v>
      </c>
      <c r="G11" s="53">
        <v>0</v>
      </c>
      <c r="H11" s="53">
        <v>0</v>
      </c>
      <c r="I11" s="470">
        <f t="shared" si="1"/>
        <v>3974.843050237183</v>
      </c>
      <c r="J11" s="327" t="s">
        <v>24</v>
      </c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</row>
    <row r="12" spans="1:25" x14ac:dyDescent="0.2">
      <c r="A12" s="381" t="s">
        <v>20</v>
      </c>
      <c r="B12" s="382">
        <f>'1st IA Load Pricing Results'!B18</f>
        <v>24909.664610645556</v>
      </c>
      <c r="C12" s="367">
        <f>'BRA Resource Clearing Results'!E39-'1stIA Resource Clearing Results'!M39</f>
        <v>23315.300000000003</v>
      </c>
      <c r="D12" s="384">
        <f>B12-C12</f>
        <v>1594.3646106455526</v>
      </c>
      <c r="E12" s="117">
        <v>0</v>
      </c>
      <c r="F12" s="53">
        <f t="shared" si="0"/>
        <v>1594.3646106455526</v>
      </c>
      <c r="G12" s="53">
        <v>0</v>
      </c>
      <c r="H12" s="53">
        <v>0</v>
      </c>
      <c r="I12" s="470">
        <f t="shared" si="1"/>
        <v>1594.3646106455526</v>
      </c>
      <c r="J12" s="327" t="s">
        <v>24</v>
      </c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</row>
    <row r="13" spans="1:25" x14ac:dyDescent="0.2">
      <c r="A13" s="381" t="s">
        <v>11</v>
      </c>
      <c r="B13" s="382">
        <f>'1st IA Load Pricing Results'!B19</f>
        <v>7897.7360490119208</v>
      </c>
      <c r="C13" s="367">
        <f>'BRA Resource Clearing Results'!E40-'1stIA Resource Clearing Results'!M40</f>
        <v>3286.9</v>
      </c>
      <c r="D13" s="385">
        <f>B13-C13</f>
        <v>4610.8360490119212</v>
      </c>
      <c r="E13" s="117">
        <v>0</v>
      </c>
      <c r="F13" s="53">
        <f t="shared" si="0"/>
        <v>4610.8360490119212</v>
      </c>
      <c r="G13" s="53">
        <v>0</v>
      </c>
      <c r="H13" s="53">
        <f>'1st IA ICTRs'!K13+'1st IA ICTRs'!K20</f>
        <v>306</v>
      </c>
      <c r="I13" s="470">
        <f t="shared" si="1"/>
        <v>4304.8360490119212</v>
      </c>
      <c r="J13" s="327" t="s">
        <v>24</v>
      </c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</row>
    <row r="14" spans="1:25" x14ac:dyDescent="0.2">
      <c r="A14" s="381" t="s">
        <v>10</v>
      </c>
      <c r="B14" s="382">
        <f>'1st IA Load Pricing Results'!B20</f>
        <v>8445.2657174504402</v>
      </c>
      <c r="C14" s="367">
        <f>'BRA Resource Clearing Results'!E41-'1stIA Resource Clearing Results'!M41</f>
        <v>9532.6</v>
      </c>
      <c r="D14" s="384">
        <f>MAX(0,B14-C14)</f>
        <v>0</v>
      </c>
      <c r="E14" s="117">
        <v>0</v>
      </c>
      <c r="F14" s="53">
        <f t="shared" si="0"/>
        <v>0</v>
      </c>
      <c r="G14" s="53">
        <v>0</v>
      </c>
      <c r="H14" s="53">
        <v>0</v>
      </c>
      <c r="I14" s="471">
        <f t="shared" si="1"/>
        <v>0</v>
      </c>
      <c r="J14" s="327" t="s">
        <v>24</v>
      </c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</row>
    <row r="15" spans="1:25" x14ac:dyDescent="0.2">
      <c r="A15" s="23" t="s">
        <v>281</v>
      </c>
      <c r="B15" s="34"/>
      <c r="C15" s="34"/>
      <c r="D15" s="59"/>
      <c r="E15" s="25"/>
      <c r="F15" s="59"/>
      <c r="G15" s="60"/>
      <c r="H15" s="386"/>
      <c r="I15" s="60"/>
      <c r="J15" s="271"/>
      <c r="K15" s="288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</row>
    <row r="16" spans="1:25" x14ac:dyDescent="0.2">
      <c r="A16" s="313"/>
      <c r="B16" s="15"/>
      <c r="C16" s="15"/>
      <c r="D16" s="289"/>
      <c r="E16" s="15"/>
      <c r="F16" s="289"/>
      <c r="G16" s="328"/>
      <c r="H16" s="300"/>
      <c r="I16" s="328"/>
      <c r="J16" s="271"/>
      <c r="K16" s="288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</row>
    <row r="17" spans="1:28" ht="14.25" x14ac:dyDescent="0.2">
      <c r="A17" s="603" t="s">
        <v>90</v>
      </c>
      <c r="B17" s="603"/>
      <c r="C17" s="603"/>
      <c r="D17" s="603"/>
      <c r="E17" s="329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</row>
    <row r="18" spans="1:28" ht="15" x14ac:dyDescent="0.25">
      <c r="A18" s="603"/>
      <c r="B18" s="603"/>
      <c r="C18" s="603"/>
      <c r="D18" s="603"/>
      <c r="E18" s="602" t="s">
        <v>29</v>
      </c>
      <c r="F18" s="602"/>
      <c r="G18" s="602" t="s">
        <v>36</v>
      </c>
      <c r="H18" s="602"/>
      <c r="I18" s="602" t="s">
        <v>5</v>
      </c>
      <c r="J18" s="602"/>
      <c r="K18" s="602" t="s">
        <v>43</v>
      </c>
      <c r="L18" s="602"/>
      <c r="M18" s="602" t="s">
        <v>41</v>
      </c>
      <c r="N18" s="602"/>
      <c r="O18" s="602" t="s">
        <v>15</v>
      </c>
      <c r="P18" s="602"/>
      <c r="Q18" s="602" t="s">
        <v>131</v>
      </c>
      <c r="R18" s="602"/>
      <c r="S18" s="602" t="s">
        <v>20</v>
      </c>
      <c r="T18" s="602"/>
      <c r="U18" s="602" t="s">
        <v>11</v>
      </c>
      <c r="V18" s="602"/>
      <c r="W18" s="602" t="s">
        <v>10</v>
      </c>
      <c r="X18" s="602"/>
      <c r="Y18" s="387"/>
      <c r="Z18" s="387"/>
      <c r="AA18" s="387"/>
      <c r="AB18" s="23"/>
    </row>
    <row r="19" spans="1:28" ht="45" x14ac:dyDescent="0.25">
      <c r="A19" s="604"/>
      <c r="B19" s="604"/>
      <c r="C19" s="604"/>
      <c r="D19" s="604"/>
      <c r="E19" s="388" t="s">
        <v>282</v>
      </c>
      <c r="F19" s="389">
        <f>'1st IA Load Pricing Results'!D14</f>
        <v>0</v>
      </c>
      <c r="G19" s="388" t="s">
        <v>282</v>
      </c>
      <c r="H19" s="389">
        <f>'1st IA Load Pricing Results'!D15-'1st IA Load Pricing Results'!D14</f>
        <v>60.643706242491596</v>
      </c>
      <c r="I19" s="388" t="s">
        <v>282</v>
      </c>
      <c r="J19" s="390">
        <f>'1st IA Load Pricing Results'!D16-'1st IA Load Pricing Results'!D14</f>
        <v>0</v>
      </c>
      <c r="K19" s="388" t="s">
        <v>282</v>
      </c>
      <c r="L19" s="389">
        <f>'1st IA Load Pricing Results'!D28</f>
        <v>0</v>
      </c>
      <c r="M19" s="388" t="s">
        <v>282</v>
      </c>
      <c r="N19" s="389">
        <f>'1st IA Load Pricing Results'!D31</f>
        <v>0</v>
      </c>
      <c r="O19" s="388" t="s">
        <v>282</v>
      </c>
      <c r="P19" s="390">
        <f>'1st IA Load Pricing Results'!D17-'1st IA Load Pricing Results'!D16</f>
        <v>0</v>
      </c>
      <c r="Q19" s="388" t="s">
        <v>282</v>
      </c>
      <c r="R19" s="390">
        <f>'1st IA Load Pricing Results'!D34</f>
        <v>0</v>
      </c>
      <c r="S19" s="388" t="s">
        <v>282</v>
      </c>
      <c r="T19" s="390">
        <f>'1st IA Load Pricing Results'!D18</f>
        <v>50.240363924118498</v>
      </c>
      <c r="U19" s="388" t="s">
        <v>282</v>
      </c>
      <c r="V19" s="390">
        <f>'1st IA Load Pricing Results'!D19-'1st IA Load Pricing Results'!D16</f>
        <v>0</v>
      </c>
      <c r="W19" s="388" t="s">
        <v>282</v>
      </c>
      <c r="X19" s="390">
        <f>'1st IA Load Pricing Results'!D20-'1st IA Load Pricing Results'!D14</f>
        <v>0</v>
      </c>
      <c r="Y19" s="387"/>
      <c r="Z19" s="387"/>
      <c r="AA19" s="387"/>
      <c r="AB19" s="23"/>
    </row>
    <row r="20" spans="1:28" ht="63.75" x14ac:dyDescent="0.2">
      <c r="A20" s="391" t="s">
        <v>7</v>
      </c>
      <c r="B20" s="212" t="s">
        <v>28</v>
      </c>
      <c r="C20" s="212" t="s">
        <v>27</v>
      </c>
      <c r="D20" s="212" t="s">
        <v>33</v>
      </c>
      <c r="E20" s="212" t="s">
        <v>85</v>
      </c>
      <c r="F20" s="212" t="s">
        <v>283</v>
      </c>
      <c r="G20" s="212" t="s">
        <v>85</v>
      </c>
      <c r="H20" s="212" t="s">
        <v>283</v>
      </c>
      <c r="I20" s="212" t="s">
        <v>85</v>
      </c>
      <c r="J20" s="212" t="s">
        <v>283</v>
      </c>
      <c r="K20" s="212" t="s">
        <v>85</v>
      </c>
      <c r="L20" s="212" t="s">
        <v>283</v>
      </c>
      <c r="M20" s="212" t="s">
        <v>85</v>
      </c>
      <c r="N20" s="212" t="s">
        <v>283</v>
      </c>
      <c r="O20" s="212" t="s">
        <v>85</v>
      </c>
      <c r="P20" s="212" t="s">
        <v>283</v>
      </c>
      <c r="Q20" s="212" t="s">
        <v>85</v>
      </c>
      <c r="R20" s="212" t="s">
        <v>283</v>
      </c>
      <c r="S20" s="212" t="s">
        <v>85</v>
      </c>
      <c r="T20" s="212" t="s">
        <v>283</v>
      </c>
      <c r="U20" s="212" t="s">
        <v>85</v>
      </c>
      <c r="V20" s="212" t="s">
        <v>283</v>
      </c>
      <c r="W20" s="212" t="s">
        <v>85</v>
      </c>
      <c r="X20" s="212" t="s">
        <v>283</v>
      </c>
      <c r="Y20" s="212" t="s">
        <v>284</v>
      </c>
      <c r="Z20" s="212" t="s">
        <v>285</v>
      </c>
      <c r="AA20" s="454" t="s">
        <v>286</v>
      </c>
      <c r="AB20" s="454" t="s">
        <v>287</v>
      </c>
    </row>
    <row r="21" spans="1:28" x14ac:dyDescent="0.2">
      <c r="A21" s="24" t="s">
        <v>16</v>
      </c>
      <c r="B21" s="97" t="s">
        <v>29</v>
      </c>
      <c r="C21" s="97" t="s">
        <v>36</v>
      </c>
      <c r="D21" s="97"/>
      <c r="E21" s="137">
        <f>IF(B21="MAAC",$I$5*'1st IA Load Pricing Results'!J40/'1st IA Load Pricing Results'!$B$14,0)</f>
        <v>0</v>
      </c>
      <c r="F21" s="392">
        <f>E21*$F$19</f>
        <v>0</v>
      </c>
      <c r="G21" s="137">
        <f>IF(C21="EMAAC",$I$6*'1st IA Load Pricing Results'!J40/'1st IA Load Pricing Results'!$B$15,0)</f>
        <v>321.73720239303287</v>
      </c>
      <c r="H21" s="392">
        <f>G21*$H$19</f>
        <v>19511.336389204149</v>
      </c>
      <c r="I21" s="137">
        <f>IF(C21="SWMAAC",$I$7*'1st IA Load Pricing Results'!J40/'1st IA Load Pricing Results'!$B$16,0)</f>
        <v>0</v>
      </c>
      <c r="J21" s="392">
        <f>I21*$J$19</f>
        <v>0</v>
      </c>
      <c r="K21" s="137">
        <f>IF(D21="PS",$I$8*'1st IA Load Pricing Results'!J40/'1st IA Load Pricing Results'!$J$58,0)</f>
        <v>0</v>
      </c>
      <c r="L21" s="392">
        <f>K21*$L$19</f>
        <v>0</v>
      </c>
      <c r="M21" s="137">
        <f>IF(D21="DPL",$I$9*'1st IA Load Pricing Results'!J40/'1st IA Load Pricing Results'!$J$50,0)</f>
        <v>0</v>
      </c>
      <c r="N21" s="392">
        <f>M21*$N$19</f>
        <v>0</v>
      </c>
      <c r="O21" s="137">
        <f>IF(D21="PEPCO",$I$10*'1st IA Load Pricing Results'!J40/'1st IA Load Pricing Results'!$J$56,0)</f>
        <v>0</v>
      </c>
      <c r="P21" s="392">
        <f>O21*$P$19</f>
        <v>0</v>
      </c>
      <c r="Q21" s="137">
        <f>IF(D21="ATSI",$I$11*'1st IA Load Pricing Results'!J40/'1st IA Load Pricing Results'!$J$43,0)</f>
        <v>0</v>
      </c>
      <c r="R21" s="392">
        <f>Q21*$R$19</f>
        <v>0</v>
      </c>
      <c r="S21" s="137">
        <f>IF(D21="COMED",$I$12*'1st IA Load Pricing Results'!J40/'1st IA Load Pricing Results'!$J$45,0)</f>
        <v>0</v>
      </c>
      <c r="T21" s="392">
        <f>S21*$T$19</f>
        <v>0</v>
      </c>
      <c r="U21" s="137">
        <f>IF(D21="BGE",$I$13*'1st IA Load Pricing Results'!J40/'1st IA Load Pricing Results'!$J$44,0)</f>
        <v>0</v>
      </c>
      <c r="V21" s="392">
        <f>U21*$V$19</f>
        <v>0</v>
      </c>
      <c r="W21" s="137">
        <f>IF(D21="PL",$I$14*'1st IA Load Pricing Results'!J40/'1st IA Load Pricing Results'!$J$57,0)</f>
        <v>0</v>
      </c>
      <c r="X21" s="392">
        <f>W21*$X$19</f>
        <v>0</v>
      </c>
      <c r="Y21" s="53">
        <f>MAX(E21,G21,I21,K21,M21,O21,Q21,S21,U21,W21)</f>
        <v>321.73720239303287</v>
      </c>
      <c r="Z21" s="33">
        <f>F21+H21+J21+L21+N21+P21+R21+T21+V21+X21</f>
        <v>19511.336389204149</v>
      </c>
      <c r="AA21" s="156">
        <f>Z21/'1st IA Load Pricing Results'!J40</f>
        <v>6.8299611455629003</v>
      </c>
      <c r="AB21" s="156">
        <f>IF(Y21=0,0,Z21/Y21)</f>
        <v>60.643706242491596</v>
      </c>
    </row>
    <row r="22" spans="1:28" x14ac:dyDescent="0.2">
      <c r="A22" s="24" t="s">
        <v>30</v>
      </c>
      <c r="B22" s="97"/>
      <c r="C22" s="97"/>
      <c r="D22" s="97"/>
      <c r="E22" s="137">
        <f>IF(B22="MAAC",$I$5*'1st IA Load Pricing Results'!J41/'1st IA Load Pricing Results'!$B$14,0)</f>
        <v>0</v>
      </c>
      <c r="F22" s="392">
        <f>E22*$F$19</f>
        <v>0</v>
      </c>
      <c r="G22" s="137">
        <f>IF(C22="EMAAC",$I$6*'1st IA Load Pricing Results'!J41/'1st IA Load Pricing Results'!$B$15,0)</f>
        <v>0</v>
      </c>
      <c r="H22" s="392">
        <f>G22*$H$19</f>
        <v>0</v>
      </c>
      <c r="I22" s="137">
        <f>IF(C22="SWMAAC",$I$7*'1st IA Load Pricing Results'!J41/'1st IA Load Pricing Results'!$B$16,0)</f>
        <v>0</v>
      </c>
      <c r="J22" s="392">
        <f>I22*$J$19</f>
        <v>0</v>
      </c>
      <c r="K22" s="137">
        <f>IF(D22="PS",$I$8*'1st IA Load Pricing Results'!J41/'1st IA Load Pricing Results'!$J$58,0)</f>
        <v>0</v>
      </c>
      <c r="L22" s="392">
        <f>K22*$L$19</f>
        <v>0</v>
      </c>
      <c r="M22" s="137">
        <f>IF(D22="DPL",$I$9*'1st IA Load Pricing Results'!J41/'1st IA Load Pricing Results'!$J$50,0)</f>
        <v>0</v>
      </c>
      <c r="N22" s="392">
        <f t="shared" ref="N22:N40" si="2">M22*$N$19</f>
        <v>0</v>
      </c>
      <c r="O22" s="137">
        <f>IF(D22="PEPCO",$I$10*'1st IA Load Pricing Results'!J41/'1st IA Load Pricing Results'!$J$56,0)</f>
        <v>0</v>
      </c>
      <c r="P22" s="392">
        <f>O22*$P$19</f>
        <v>0</v>
      </c>
      <c r="Q22" s="137">
        <f>IF(D22="ATSI",$I$11*'1st IA Load Pricing Results'!J41/'1st IA Load Pricing Results'!$J$43,0)</f>
        <v>0</v>
      </c>
      <c r="R22" s="392">
        <f>Q22*$R$19</f>
        <v>0</v>
      </c>
      <c r="S22" s="137">
        <f>IF(D22="COMED",$I$12*'1st IA Load Pricing Results'!J41/'1st IA Load Pricing Results'!$J$45,0)</f>
        <v>0</v>
      </c>
      <c r="T22" s="392">
        <f t="shared" ref="T22:T40" si="3">S22*$T$19</f>
        <v>0</v>
      </c>
      <c r="U22" s="137">
        <f>IF(D22="BGE",$I$13*'1st IA Load Pricing Results'!J41/'1st IA Load Pricing Results'!$J$44,0)</f>
        <v>0</v>
      </c>
      <c r="V22" s="392">
        <f t="shared" ref="V22:V40" si="4">U22*$V$19</f>
        <v>0</v>
      </c>
      <c r="W22" s="137">
        <f>IF(D22="PL",$I$14*'1st IA Load Pricing Results'!J41/'1st IA Load Pricing Results'!$J$57,0)</f>
        <v>0</v>
      </c>
      <c r="X22" s="392">
        <f t="shared" ref="X22:X40" si="5">W22*$X$19</f>
        <v>0</v>
      </c>
      <c r="Y22" s="53">
        <f t="shared" ref="Y22:Y40" si="6">MAX(E22,G22,I22,K22,M22,O22,Q22,S22,U22,W22)</f>
        <v>0</v>
      </c>
      <c r="Z22" s="33">
        <f t="shared" ref="Z22:Z40" si="7">F22+H22+J22+L22+N22+P22+R22+T22+V22+X22</f>
        <v>0</v>
      </c>
      <c r="AA22" s="156">
        <f>Z22/'1st IA Load Pricing Results'!J41</f>
        <v>0</v>
      </c>
      <c r="AB22" s="156">
        <f t="shared" ref="AB22:AB38" si="8">IF(Y22=0,0,Z22/Y22)</f>
        <v>0</v>
      </c>
    </row>
    <row r="23" spans="1:28" x14ac:dyDescent="0.2">
      <c r="A23" s="24" t="s">
        <v>19</v>
      </c>
      <c r="B23" s="97" t="s">
        <v>24</v>
      </c>
      <c r="C23" s="97"/>
      <c r="D23" s="97"/>
      <c r="E23" s="137">
        <f>IF(B23="MAAC",$I$5*'1st IA Load Pricing Results'!J42/'1st IA Load Pricing Results'!$B$14,0)</f>
        <v>0</v>
      </c>
      <c r="F23" s="392">
        <f>E23*$F$19</f>
        <v>0</v>
      </c>
      <c r="G23" s="137">
        <f>IF(C23="EMAAC",$I$6*'1st IA Load Pricing Results'!J42/'1st IA Load Pricing Results'!$B$15,0)</f>
        <v>0</v>
      </c>
      <c r="H23" s="392">
        <f t="shared" ref="H23:H39" si="9">G23*$H$19</f>
        <v>0</v>
      </c>
      <c r="I23" s="137">
        <f>IF(C23="SWMAAC",$I$7*'1st IA Load Pricing Results'!J42/'1st IA Load Pricing Results'!$B$16,0)</f>
        <v>0</v>
      </c>
      <c r="J23" s="392">
        <f>I23*$J$19</f>
        <v>0</v>
      </c>
      <c r="K23" s="137">
        <f>IF(D23="PS",$I$8*'1st IA Load Pricing Results'!J42/'1st IA Load Pricing Results'!$J$58,0)</f>
        <v>0</v>
      </c>
      <c r="L23" s="392">
        <f>K23*$L$19</f>
        <v>0</v>
      </c>
      <c r="M23" s="137">
        <f>IF(D23="DPL",$I$9*'1st IA Load Pricing Results'!J42/'1st IA Load Pricing Results'!$J$50,0)</f>
        <v>0</v>
      </c>
      <c r="N23" s="392">
        <f t="shared" si="2"/>
        <v>0</v>
      </c>
      <c r="O23" s="137">
        <f>IF(D23="PEPCO",$I$10*'1st IA Load Pricing Results'!J42/'1st IA Load Pricing Results'!$J$56,0)</f>
        <v>0</v>
      </c>
      <c r="P23" s="392">
        <f t="shared" ref="P23:P36" si="10">O23*$P$19</f>
        <v>0</v>
      </c>
      <c r="Q23" s="137">
        <f>IF(D23="ATSI",$I$11*'1st IA Load Pricing Results'!J42/'1st IA Load Pricing Results'!$J$43,0)</f>
        <v>0</v>
      </c>
      <c r="R23" s="392">
        <f t="shared" ref="R23:R40" si="11">Q23*$R$19</f>
        <v>0</v>
      </c>
      <c r="S23" s="137">
        <f>IF(D23="COMED",$I$12*'1st IA Load Pricing Results'!J42/'1st IA Load Pricing Results'!$J$45,0)</f>
        <v>0</v>
      </c>
      <c r="T23" s="392">
        <f t="shared" si="3"/>
        <v>0</v>
      </c>
      <c r="U23" s="137">
        <f>IF(D23="BGE",$I$13*'1st IA Load Pricing Results'!J42/'1st IA Load Pricing Results'!$J$44,0)</f>
        <v>0</v>
      </c>
      <c r="V23" s="392">
        <f t="shared" si="4"/>
        <v>0</v>
      </c>
      <c r="W23" s="137">
        <f>IF(D23="PL",$I$14*'1st IA Load Pricing Results'!J42/'1st IA Load Pricing Results'!$J$57,0)</f>
        <v>0</v>
      </c>
      <c r="X23" s="392">
        <f t="shared" si="5"/>
        <v>0</v>
      </c>
      <c r="Y23" s="53">
        <f t="shared" si="6"/>
        <v>0</v>
      </c>
      <c r="Z23" s="33">
        <f t="shared" si="7"/>
        <v>0</v>
      </c>
      <c r="AA23" s="156">
        <f>Z23/'1st IA Load Pricing Results'!J42</f>
        <v>0</v>
      </c>
      <c r="AB23" s="156">
        <f>IF(Y23=0,0,Z23/Y23)</f>
        <v>0</v>
      </c>
    </row>
    <row r="24" spans="1:28" x14ac:dyDescent="0.2">
      <c r="A24" s="24" t="s">
        <v>46</v>
      </c>
      <c r="B24" s="97"/>
      <c r="C24" s="97"/>
      <c r="D24" s="97" t="s">
        <v>46</v>
      </c>
      <c r="E24" s="137">
        <f>IF(B24="MAAC",$I$5*'1st IA Load Pricing Results'!J43/'1st IA Load Pricing Results'!$B$14,0)</f>
        <v>0</v>
      </c>
      <c r="F24" s="392">
        <f>E24*$F$19</f>
        <v>0</v>
      </c>
      <c r="G24" s="137">
        <f>IF(C24="EMAAC",$I$6*'1st IA Load Pricing Results'!J43/'1st IA Load Pricing Results'!$B$15,0)</f>
        <v>0</v>
      </c>
      <c r="H24" s="392">
        <f t="shared" si="9"/>
        <v>0</v>
      </c>
      <c r="I24" s="137">
        <f>IF(C24="SWMAAC",$I$7*'1st IA Load Pricing Results'!J43/'1st IA Load Pricing Results'!$B$16,0)</f>
        <v>0</v>
      </c>
      <c r="J24" s="392">
        <f>I24*$J$19</f>
        <v>0</v>
      </c>
      <c r="K24" s="137">
        <f>IF(D24="PS",$I$8*'1st IA Load Pricing Results'!J43/'1st IA Load Pricing Results'!$J$58,0)</f>
        <v>0</v>
      </c>
      <c r="L24" s="392">
        <f t="shared" ref="L24:L38" si="12">K24*$L$19</f>
        <v>0</v>
      </c>
      <c r="M24" s="137">
        <f>IF(D24="DPL",$I$9*'1st IA Load Pricing Results'!J43/'1st IA Load Pricing Results'!$J$50,0)</f>
        <v>0</v>
      </c>
      <c r="N24" s="392">
        <f t="shared" si="2"/>
        <v>0</v>
      </c>
      <c r="O24" s="137">
        <f>IF(D24="PEPCO",$I$10*'1st IA Load Pricing Results'!J43/'1st IA Load Pricing Results'!$J$56,0)</f>
        <v>0</v>
      </c>
      <c r="P24" s="392">
        <f t="shared" si="10"/>
        <v>0</v>
      </c>
      <c r="Q24" s="137">
        <f>IF(D24="ATSI",$I$11*'1st IA Load Pricing Results'!J43/'1st IA Load Pricing Results'!$J$43,0)</f>
        <v>3974.843050237183</v>
      </c>
      <c r="R24" s="392">
        <f>Q24*$R$19</f>
        <v>0</v>
      </c>
      <c r="S24" s="137">
        <f>IF(D24="COMED",$I$12*'1st IA Load Pricing Results'!J43/'1st IA Load Pricing Results'!$J$45,0)</f>
        <v>0</v>
      </c>
      <c r="T24" s="392">
        <f t="shared" si="3"/>
        <v>0</v>
      </c>
      <c r="U24" s="137">
        <f>IF(D24="BGE",$I$13*'1st IA Load Pricing Results'!J43/'1st IA Load Pricing Results'!$J$44,0)</f>
        <v>0</v>
      </c>
      <c r="V24" s="392">
        <f t="shared" si="4"/>
        <v>0</v>
      </c>
      <c r="W24" s="137">
        <f>IF(D24="PL",$I$14*'1st IA Load Pricing Results'!J43/'1st IA Load Pricing Results'!$J$57,0)</f>
        <v>0</v>
      </c>
      <c r="X24" s="392">
        <f t="shared" si="5"/>
        <v>0</v>
      </c>
      <c r="Y24" s="53">
        <f t="shared" si="6"/>
        <v>3974.843050237183</v>
      </c>
      <c r="Z24" s="33">
        <f t="shared" si="7"/>
        <v>0</v>
      </c>
      <c r="AA24" s="156">
        <f>Z24/'1st IA Load Pricing Results'!J43</f>
        <v>0</v>
      </c>
      <c r="AB24" s="156">
        <f>IF(Y24=0,0,Z24/Y24)</f>
        <v>0</v>
      </c>
    </row>
    <row r="25" spans="1:28" x14ac:dyDescent="0.2">
      <c r="A25" s="24" t="s">
        <v>11</v>
      </c>
      <c r="B25" s="97" t="s">
        <v>29</v>
      </c>
      <c r="C25" s="97" t="s">
        <v>5</v>
      </c>
      <c r="D25" s="97" t="s">
        <v>11</v>
      </c>
      <c r="E25" s="137">
        <f>IF(B25="MAAC",$I$5*'1st IA Load Pricing Results'!J44/'1st IA Load Pricing Results'!$B$14,0)</f>
        <v>0</v>
      </c>
      <c r="F25" s="392">
        <f t="shared" ref="F25:F39" si="13">E25*$F$19</f>
        <v>0</v>
      </c>
      <c r="G25" s="137">
        <f>IF(C25="EMAAC",$I$6*'1st IA Load Pricing Results'!J44/'1st IA Load Pricing Results'!$B$15,0)</f>
        <v>0</v>
      </c>
      <c r="H25" s="392">
        <f t="shared" si="9"/>
        <v>0</v>
      </c>
      <c r="I25" s="137">
        <f>IF(C25="SWMAAC",$I$7*'1st IA Load Pricing Results'!J44/'1st IA Load Pricing Results'!$B$16,0)</f>
        <v>1570.3105649442289</v>
      </c>
      <c r="J25" s="392">
        <f>I25*$J$19</f>
        <v>0</v>
      </c>
      <c r="K25" s="137">
        <f>IF(D25="PS",$I$8*'1st IA Load Pricing Results'!J44/'1st IA Load Pricing Results'!$J$58,0)</f>
        <v>0</v>
      </c>
      <c r="L25" s="392">
        <f t="shared" si="12"/>
        <v>0</v>
      </c>
      <c r="M25" s="137">
        <f>IF(D25="DPL",$I$9*'1st IA Load Pricing Results'!J44/'1st IA Load Pricing Results'!$J$50,0)</f>
        <v>0</v>
      </c>
      <c r="N25" s="392">
        <f t="shared" si="2"/>
        <v>0</v>
      </c>
      <c r="O25" s="137">
        <f>IF(D25="PEPCO",$I$10*'1st IA Load Pricing Results'!J44/'1st IA Load Pricing Results'!$J$56,0)</f>
        <v>0</v>
      </c>
      <c r="P25" s="392">
        <f>O25*$P$19</f>
        <v>0</v>
      </c>
      <c r="Q25" s="137">
        <f>IF(D25="ATSI",$I$11*'1st IA Load Pricing Results'!J44/'1st IA Load Pricing Results'!$J$43,0)</f>
        <v>0</v>
      </c>
      <c r="R25" s="392">
        <f t="shared" si="11"/>
        <v>0</v>
      </c>
      <c r="S25" s="137">
        <f>IF(D25="COMED",$I$12*'1st IA Load Pricing Results'!J44/'1st IA Load Pricing Results'!$J$45,0)</f>
        <v>0</v>
      </c>
      <c r="T25" s="392">
        <f t="shared" si="3"/>
        <v>0</v>
      </c>
      <c r="U25" s="137">
        <f>IF(D25="BGE",$I$13*'1st IA Load Pricing Results'!J44/'1st IA Load Pricing Results'!$J$44,0)</f>
        <v>4304.8360490119212</v>
      </c>
      <c r="V25" s="392">
        <f t="shared" si="4"/>
        <v>0</v>
      </c>
      <c r="W25" s="137">
        <f>IF(D25="PL",$I$14*'1st IA Load Pricing Results'!J44/'1st IA Load Pricing Results'!$J$57,0)</f>
        <v>0</v>
      </c>
      <c r="X25" s="392">
        <f t="shared" si="5"/>
        <v>0</v>
      </c>
      <c r="Y25" s="53">
        <f t="shared" si="6"/>
        <v>4304.8360490119212</v>
      </c>
      <c r="Z25" s="33">
        <f t="shared" si="7"/>
        <v>0</v>
      </c>
      <c r="AA25" s="156">
        <f>Z25/'1st IA Load Pricing Results'!J44</f>
        <v>0</v>
      </c>
      <c r="AB25" s="156">
        <f t="shared" si="8"/>
        <v>0</v>
      </c>
    </row>
    <row r="26" spans="1:28" x14ac:dyDescent="0.2">
      <c r="A26" s="24" t="s">
        <v>20</v>
      </c>
      <c r="B26" s="97"/>
      <c r="C26" s="97"/>
      <c r="D26" s="97" t="s">
        <v>20</v>
      </c>
      <c r="E26" s="137">
        <f>IF(B26="MAAC",$I$5*'1st IA Load Pricing Results'!J45/'1st IA Load Pricing Results'!$B$14,0)</f>
        <v>0</v>
      </c>
      <c r="F26" s="392">
        <f t="shared" si="13"/>
        <v>0</v>
      </c>
      <c r="G26" s="137">
        <f>IF(C26="EMAAC",$I$6*'1st IA Load Pricing Results'!J45/'1st IA Load Pricing Results'!$B$15,0)</f>
        <v>0</v>
      </c>
      <c r="H26" s="392">
        <f t="shared" si="9"/>
        <v>0</v>
      </c>
      <c r="I26" s="137">
        <f>IF(C26="SWMAAC",$I$7*'1st IA Load Pricing Results'!J45/'1st IA Load Pricing Results'!$B$16,0)</f>
        <v>0</v>
      </c>
      <c r="J26" s="392">
        <f t="shared" ref="J26:J38" si="14">I26*$J$19</f>
        <v>0</v>
      </c>
      <c r="K26" s="137">
        <f>IF(D26="PS",$I$8*'1st IA Load Pricing Results'!J45/'1st IA Load Pricing Results'!$J$58,0)</f>
        <v>0</v>
      </c>
      <c r="L26" s="392">
        <f t="shared" si="12"/>
        <v>0</v>
      </c>
      <c r="M26" s="137">
        <f>IF(D26="DPL",$I$9*'1st IA Load Pricing Results'!J45/'1st IA Load Pricing Results'!$J$50,0)</f>
        <v>0</v>
      </c>
      <c r="N26" s="392">
        <f t="shared" si="2"/>
        <v>0</v>
      </c>
      <c r="O26" s="137">
        <f>IF(D26="PEPCO",$I$10*'1st IA Load Pricing Results'!J45/'1st IA Load Pricing Results'!$J$56,0)</f>
        <v>0</v>
      </c>
      <c r="P26" s="392">
        <f t="shared" si="10"/>
        <v>0</v>
      </c>
      <c r="Q26" s="137">
        <f>IF(D26="ATSI",$I$11*'1st IA Load Pricing Results'!J45/'1st IA Load Pricing Results'!$J$43,0)</f>
        <v>0</v>
      </c>
      <c r="R26" s="392">
        <f t="shared" si="11"/>
        <v>0</v>
      </c>
      <c r="S26" s="137">
        <f>IF(D26="COMED",$I$12*'1st IA Load Pricing Results'!J45/'1st IA Load Pricing Results'!$J$45,0)</f>
        <v>1594.3646106455526</v>
      </c>
      <c r="T26" s="392">
        <f t="shared" si="3"/>
        <v>80101.45826656805</v>
      </c>
      <c r="U26" s="137">
        <f>IF(D26="BGE",$I$13*'1st IA Load Pricing Results'!J45/'1st IA Load Pricing Results'!$J$44,0)</f>
        <v>0</v>
      </c>
      <c r="V26" s="392">
        <f t="shared" si="4"/>
        <v>0</v>
      </c>
      <c r="W26" s="137">
        <f>IF(D26="PL",$I$14*'1st IA Load Pricing Results'!J45/'1st IA Load Pricing Results'!$J$57,0)</f>
        <v>0</v>
      </c>
      <c r="X26" s="392">
        <f t="shared" si="5"/>
        <v>0</v>
      </c>
      <c r="Y26" s="53">
        <f t="shared" si="6"/>
        <v>1594.3646106455526</v>
      </c>
      <c r="Z26" s="33">
        <f t="shared" si="7"/>
        <v>80101.45826656805</v>
      </c>
      <c r="AA26" s="156">
        <f>Z26/'1st IA Load Pricing Results'!J45</f>
        <v>3.2156779113089855</v>
      </c>
      <c r="AB26" s="156">
        <f t="shared" si="8"/>
        <v>50.240363924118491</v>
      </c>
    </row>
    <row r="27" spans="1:28" x14ac:dyDescent="0.2">
      <c r="A27" s="24" t="s">
        <v>21</v>
      </c>
      <c r="B27" s="97"/>
      <c r="C27" s="97"/>
      <c r="D27" s="97"/>
      <c r="E27" s="137">
        <f>IF(B27="MAAC",$I$5*'1st IA Load Pricing Results'!J46/'1st IA Load Pricing Results'!$B$14,0)</f>
        <v>0</v>
      </c>
      <c r="F27" s="392">
        <f t="shared" si="13"/>
        <v>0</v>
      </c>
      <c r="G27" s="137">
        <f>IF(C27="EMAAC",$I$6*'1st IA Load Pricing Results'!J46/'1st IA Load Pricing Results'!$B$15,0)</f>
        <v>0</v>
      </c>
      <c r="H27" s="392">
        <f t="shared" si="9"/>
        <v>0</v>
      </c>
      <c r="I27" s="137">
        <f>IF(C27="SWMAAC",$I$7*'1st IA Load Pricing Results'!J46/'1st IA Load Pricing Results'!$B$16,0)</f>
        <v>0</v>
      </c>
      <c r="J27" s="392">
        <f>I27*$J$19</f>
        <v>0</v>
      </c>
      <c r="K27" s="137">
        <f>IF(D27="PS",$I$8*'1st IA Load Pricing Results'!J46/'1st IA Load Pricing Results'!$J$58,0)</f>
        <v>0</v>
      </c>
      <c r="L27" s="392">
        <f t="shared" si="12"/>
        <v>0</v>
      </c>
      <c r="M27" s="137">
        <f>IF(D27="DPL",$I$9*'1st IA Load Pricing Results'!J46/'1st IA Load Pricing Results'!$J$50,0)</f>
        <v>0</v>
      </c>
      <c r="N27" s="392">
        <f t="shared" si="2"/>
        <v>0</v>
      </c>
      <c r="O27" s="137">
        <f>IF(D27="PEPCO",$I$10*'1st IA Load Pricing Results'!J46/'1st IA Load Pricing Results'!$J$56,0)</f>
        <v>0</v>
      </c>
      <c r="P27" s="392">
        <f t="shared" si="10"/>
        <v>0</v>
      </c>
      <c r="Q27" s="137">
        <f>IF(D27="ATSI",$I$11*'1st IA Load Pricing Results'!J46/'1st IA Load Pricing Results'!$J$43,0)</f>
        <v>0</v>
      </c>
      <c r="R27" s="392">
        <f t="shared" si="11"/>
        <v>0</v>
      </c>
      <c r="S27" s="137">
        <f>IF(D27="COMED",$I$12*'1st IA Load Pricing Results'!J46/'1st IA Load Pricing Results'!$J$45,0)</f>
        <v>0</v>
      </c>
      <c r="T27" s="392">
        <f t="shared" si="3"/>
        <v>0</v>
      </c>
      <c r="U27" s="137">
        <f>IF(D27="BGE",$I$13*'1st IA Load Pricing Results'!J46/'1st IA Load Pricing Results'!$J$44,0)</f>
        <v>0</v>
      </c>
      <c r="V27" s="392">
        <f t="shared" si="4"/>
        <v>0</v>
      </c>
      <c r="W27" s="137">
        <f>IF(D27="PL",$I$14*'1st IA Load Pricing Results'!J46/'1st IA Load Pricing Results'!$J$57,0)</f>
        <v>0</v>
      </c>
      <c r="X27" s="392">
        <f t="shared" si="5"/>
        <v>0</v>
      </c>
      <c r="Y27" s="53">
        <f t="shared" si="6"/>
        <v>0</v>
      </c>
      <c r="Z27" s="33">
        <f t="shared" si="7"/>
        <v>0</v>
      </c>
      <c r="AA27" s="156">
        <f>Z27/'1st IA Load Pricing Results'!J46</f>
        <v>0</v>
      </c>
      <c r="AB27" s="156">
        <f t="shared" si="8"/>
        <v>0</v>
      </c>
    </row>
    <row r="28" spans="1:28" x14ac:dyDescent="0.2">
      <c r="A28" s="24" t="s">
        <v>56</v>
      </c>
      <c r="B28" s="97"/>
      <c r="C28" s="97"/>
      <c r="D28" s="97"/>
      <c r="E28" s="137">
        <f>IF(B28="MAAC",$I$5*'1st IA Load Pricing Results'!J47/'1st IA Load Pricing Results'!$B$14,0)</f>
        <v>0</v>
      </c>
      <c r="F28" s="392">
        <f>E28*$F$19</f>
        <v>0</v>
      </c>
      <c r="G28" s="137">
        <f>IF(C28="EMAAC",$I$6*'1st IA Load Pricing Results'!J47/'1st IA Load Pricing Results'!$B$15,0)</f>
        <v>0</v>
      </c>
      <c r="H28" s="392">
        <f t="shared" si="9"/>
        <v>0</v>
      </c>
      <c r="I28" s="137">
        <f>IF(C28="SWMAAC",$I$7*'1st IA Load Pricing Results'!J47/'1st IA Load Pricing Results'!$B$16,0)</f>
        <v>0</v>
      </c>
      <c r="J28" s="392">
        <f>I28*$J$19</f>
        <v>0</v>
      </c>
      <c r="K28" s="137">
        <f>IF(D28="PS",$I$8*'1st IA Load Pricing Results'!J47/'1st IA Load Pricing Results'!$J$58,0)</f>
        <v>0</v>
      </c>
      <c r="L28" s="392">
        <f t="shared" si="12"/>
        <v>0</v>
      </c>
      <c r="M28" s="137">
        <f>IF(D28="DPL",$I$9*'1st IA Load Pricing Results'!J47/'1st IA Load Pricing Results'!$J$50,0)</f>
        <v>0</v>
      </c>
      <c r="N28" s="392">
        <f t="shared" si="2"/>
        <v>0</v>
      </c>
      <c r="O28" s="137">
        <f>IF(D28="PEPCO",$I$10*'1st IA Load Pricing Results'!J47/'1st IA Load Pricing Results'!$J$56,0)</f>
        <v>0</v>
      </c>
      <c r="P28" s="392">
        <f t="shared" si="10"/>
        <v>0</v>
      </c>
      <c r="Q28" s="137">
        <f>IF(D28="ATSI",$I$11*'1st IA Load Pricing Results'!J47/'1st IA Load Pricing Results'!$J$43,0)</f>
        <v>0</v>
      </c>
      <c r="R28" s="392">
        <f t="shared" si="11"/>
        <v>0</v>
      </c>
      <c r="S28" s="137">
        <f>IF(D28="COMED",$I$12*'1st IA Load Pricing Results'!J47/'1st IA Load Pricing Results'!$J$45,0)</f>
        <v>0</v>
      </c>
      <c r="T28" s="392">
        <f t="shared" si="3"/>
        <v>0</v>
      </c>
      <c r="U28" s="137">
        <f>IF(D28="BGE",$I$13*'1st IA Load Pricing Results'!J47/'1st IA Load Pricing Results'!$J$44,0)</f>
        <v>0</v>
      </c>
      <c r="V28" s="392">
        <f t="shared" si="4"/>
        <v>0</v>
      </c>
      <c r="W28" s="137">
        <f>IF(D28="PL",$I$14*'1st IA Load Pricing Results'!J47/'1st IA Load Pricing Results'!$J$57,0)</f>
        <v>0</v>
      </c>
      <c r="X28" s="392">
        <f t="shared" si="5"/>
        <v>0</v>
      </c>
      <c r="Y28" s="53">
        <f t="shared" si="6"/>
        <v>0</v>
      </c>
      <c r="Z28" s="33">
        <f t="shared" si="7"/>
        <v>0</v>
      </c>
      <c r="AA28" s="156">
        <f>Z28/'1st IA Load Pricing Results'!J47</f>
        <v>0</v>
      </c>
      <c r="AB28" s="156">
        <f>IF(Y28=0,0,Z28/Y28)</f>
        <v>0</v>
      </c>
    </row>
    <row r="29" spans="1:28" x14ac:dyDescent="0.2">
      <c r="A29" s="24" t="s">
        <v>45</v>
      </c>
      <c r="B29" s="97"/>
      <c r="C29" s="97"/>
      <c r="D29" s="97"/>
      <c r="E29" s="137">
        <f>IF(B29="MAAC",$I$5*'1st IA Load Pricing Results'!J48/'1st IA Load Pricing Results'!$B$14,0)</f>
        <v>0</v>
      </c>
      <c r="F29" s="392">
        <f>E29*$F$19</f>
        <v>0</v>
      </c>
      <c r="G29" s="137">
        <f>IF(C29="EMAAC",$I$6*'1st IA Load Pricing Results'!J48/'1st IA Load Pricing Results'!$B$15,0)</f>
        <v>0</v>
      </c>
      <c r="H29" s="392">
        <f t="shared" si="9"/>
        <v>0</v>
      </c>
      <c r="I29" s="137">
        <f>IF(C29="SWMAAC",$I$7*'1st IA Load Pricing Results'!J48/'1st IA Load Pricing Results'!$B$16,0)</f>
        <v>0</v>
      </c>
      <c r="J29" s="392">
        <f>I29*$J$19</f>
        <v>0</v>
      </c>
      <c r="K29" s="137">
        <f>IF(D29="PS",$I$8*'1st IA Load Pricing Results'!J48/'1st IA Load Pricing Results'!$J$58,0)</f>
        <v>0</v>
      </c>
      <c r="L29" s="392">
        <f t="shared" si="12"/>
        <v>0</v>
      </c>
      <c r="M29" s="137">
        <f>IF(D29="DPL",$I$9*'1st IA Load Pricing Results'!J48/'1st IA Load Pricing Results'!$J$50,0)</f>
        <v>0</v>
      </c>
      <c r="N29" s="392">
        <f t="shared" si="2"/>
        <v>0</v>
      </c>
      <c r="O29" s="137">
        <f>IF(D29="PEPCO",$I$10*'1st IA Load Pricing Results'!J48/'1st IA Load Pricing Results'!$J$56,0)</f>
        <v>0</v>
      </c>
      <c r="P29" s="392">
        <f t="shared" si="10"/>
        <v>0</v>
      </c>
      <c r="Q29" s="137">
        <f>IF(D29="ATSI",$I$11*'1st IA Load Pricing Results'!J48/'1st IA Load Pricing Results'!$J$43,0)</f>
        <v>0</v>
      </c>
      <c r="R29" s="392">
        <f t="shared" si="11"/>
        <v>0</v>
      </c>
      <c r="S29" s="137">
        <f>IF(D29="COMED",$I$12*'1st IA Load Pricing Results'!J48/'1st IA Load Pricing Results'!$J$45,0)</f>
        <v>0</v>
      </c>
      <c r="T29" s="392">
        <f t="shared" si="3"/>
        <v>0</v>
      </c>
      <c r="U29" s="137">
        <f>IF(D29="BGE",$I$13*'1st IA Load Pricing Results'!J48/'1st IA Load Pricing Results'!$J$44,0)</f>
        <v>0</v>
      </c>
      <c r="V29" s="392">
        <f t="shared" si="4"/>
        <v>0</v>
      </c>
      <c r="W29" s="137">
        <f>IF(D29="PL",$I$14*'1st IA Load Pricing Results'!J48/'1st IA Load Pricing Results'!$J$57,0)</f>
        <v>0</v>
      </c>
      <c r="X29" s="392">
        <f t="shared" si="5"/>
        <v>0</v>
      </c>
      <c r="Y29" s="53">
        <f t="shared" si="6"/>
        <v>0</v>
      </c>
      <c r="Z29" s="33">
        <f t="shared" si="7"/>
        <v>0</v>
      </c>
      <c r="AA29" s="156">
        <f>Z29/'1st IA Load Pricing Results'!J48</f>
        <v>0</v>
      </c>
      <c r="AB29" s="156">
        <f t="shared" si="8"/>
        <v>0</v>
      </c>
    </row>
    <row r="30" spans="1:28" x14ac:dyDescent="0.2">
      <c r="A30" s="24" t="s">
        <v>31</v>
      </c>
      <c r="B30" s="97"/>
      <c r="C30" s="97"/>
      <c r="D30" s="97"/>
      <c r="E30" s="137">
        <f>IF(B30="MAAC",$I$5*'1st IA Load Pricing Results'!J49/'1st IA Load Pricing Results'!$B$14,0)</f>
        <v>0</v>
      </c>
      <c r="F30" s="392">
        <f t="shared" si="13"/>
        <v>0</v>
      </c>
      <c r="G30" s="137">
        <f>IF(C30="EMAAC",$I$6*'1st IA Load Pricing Results'!J49/'1st IA Load Pricing Results'!$B$15,0)</f>
        <v>0</v>
      </c>
      <c r="H30" s="392">
        <f t="shared" si="9"/>
        <v>0</v>
      </c>
      <c r="I30" s="137">
        <f>IF(C30="SWMAAC",$I$7*'1st IA Load Pricing Results'!J49/'1st IA Load Pricing Results'!$B$16,0)</f>
        <v>0</v>
      </c>
      <c r="J30" s="392">
        <f>I30*$J$19</f>
        <v>0</v>
      </c>
      <c r="K30" s="137">
        <f>IF(D30="PS",$I$8*'1st IA Load Pricing Results'!J49/'1st IA Load Pricing Results'!$J$58,0)</f>
        <v>0</v>
      </c>
      <c r="L30" s="392">
        <f t="shared" si="12"/>
        <v>0</v>
      </c>
      <c r="M30" s="137">
        <f>IF(D30="DPL",$I$9*'1st IA Load Pricing Results'!J49/'1st IA Load Pricing Results'!$J$50,0)</f>
        <v>0</v>
      </c>
      <c r="N30" s="392">
        <f t="shared" si="2"/>
        <v>0</v>
      </c>
      <c r="O30" s="137">
        <f>IF(D30="PEPCO",$I$10*'1st IA Load Pricing Results'!J49/'1st IA Load Pricing Results'!$J$56,0)</f>
        <v>0</v>
      </c>
      <c r="P30" s="392">
        <f t="shared" si="10"/>
        <v>0</v>
      </c>
      <c r="Q30" s="137">
        <f>IF(D30="ATSI",$I$11*'1st IA Load Pricing Results'!J49/'1st IA Load Pricing Results'!$J$43,0)</f>
        <v>0</v>
      </c>
      <c r="R30" s="392">
        <f t="shared" si="11"/>
        <v>0</v>
      </c>
      <c r="S30" s="137">
        <f>IF(D30="COMED",$I$12*'1st IA Load Pricing Results'!J49/'1st IA Load Pricing Results'!$J$45,0)</f>
        <v>0</v>
      </c>
      <c r="T30" s="392">
        <f t="shared" si="3"/>
        <v>0</v>
      </c>
      <c r="U30" s="137">
        <f>IF(D30="BGE",$I$13*'1st IA Load Pricing Results'!J49/'1st IA Load Pricing Results'!$J$44,0)</f>
        <v>0</v>
      </c>
      <c r="V30" s="392">
        <f t="shared" si="4"/>
        <v>0</v>
      </c>
      <c r="W30" s="137">
        <f>IF(D30="PL",$I$14*'1st IA Load Pricing Results'!J49/'1st IA Load Pricing Results'!$J$57,0)</f>
        <v>0</v>
      </c>
      <c r="X30" s="392">
        <f t="shared" si="5"/>
        <v>0</v>
      </c>
      <c r="Y30" s="53">
        <f t="shared" si="6"/>
        <v>0</v>
      </c>
      <c r="Z30" s="33">
        <f t="shared" si="7"/>
        <v>0</v>
      </c>
      <c r="AA30" s="156">
        <f>Z30/'1st IA Load Pricing Results'!J49</f>
        <v>0</v>
      </c>
      <c r="AB30" s="156">
        <f t="shared" si="8"/>
        <v>0</v>
      </c>
    </row>
    <row r="31" spans="1:28" x14ac:dyDescent="0.2">
      <c r="A31" s="24" t="s">
        <v>17</v>
      </c>
      <c r="B31" s="97" t="s">
        <v>29</v>
      </c>
      <c r="C31" s="97" t="s">
        <v>36</v>
      </c>
      <c r="D31" s="97" t="s">
        <v>17</v>
      </c>
      <c r="E31" s="137">
        <f>IF(B31="MAAC",$I$5*'1st IA Load Pricing Results'!J50/'1st IA Load Pricing Results'!$B$14,0)</f>
        <v>0</v>
      </c>
      <c r="F31" s="392">
        <f t="shared" si="13"/>
        <v>0</v>
      </c>
      <c r="G31" s="137">
        <f>IF(C31="EMAAC",$I$6*'1st IA Load Pricing Results'!J50/'1st IA Load Pricing Results'!$B$15,0)</f>
        <v>513.70136892095604</v>
      </c>
      <c r="H31" s="392">
        <f t="shared" si="9"/>
        <v>31152.75491320826</v>
      </c>
      <c r="I31" s="137">
        <f>IF(C31="SWMAAC",$I$7*'1st IA Load Pricing Results'!J50/'1st IA Load Pricing Results'!$B$16,0)</f>
        <v>0</v>
      </c>
      <c r="J31" s="392">
        <f t="shared" si="14"/>
        <v>0</v>
      </c>
      <c r="K31" s="137">
        <f>IF(D31="PS",$I$8*'1st IA Load Pricing Results'!J50/'1st IA Load Pricing Results'!$J$58,0)</f>
        <v>0</v>
      </c>
      <c r="L31" s="392">
        <f t="shared" si="12"/>
        <v>0</v>
      </c>
      <c r="M31" s="137">
        <f>IF(D31="DPL",$I$9*'1st IA Load Pricing Results'!J50/'1st IA Load Pricing Results'!$J$50,0)</f>
        <v>0</v>
      </c>
      <c r="N31" s="392">
        <f t="shared" si="2"/>
        <v>0</v>
      </c>
      <c r="O31" s="137">
        <f>IF(D31="PEPCO",$I$10*'1st IA Load Pricing Results'!J50/'1st IA Load Pricing Results'!$J$56,0)</f>
        <v>0</v>
      </c>
      <c r="P31" s="392">
        <f t="shared" si="10"/>
        <v>0</v>
      </c>
      <c r="Q31" s="137">
        <f>IF(D31="ATSI",$I$11*'1st IA Load Pricing Results'!J50/'1st IA Load Pricing Results'!$J$43,0)</f>
        <v>0</v>
      </c>
      <c r="R31" s="392">
        <f t="shared" si="11"/>
        <v>0</v>
      </c>
      <c r="S31" s="137">
        <f>IF(D31="COMED",$I$12*'1st IA Load Pricing Results'!J50/'1st IA Load Pricing Results'!$J$45,0)</f>
        <v>0</v>
      </c>
      <c r="T31" s="392">
        <f t="shared" si="3"/>
        <v>0</v>
      </c>
      <c r="U31" s="137">
        <f>IF(D31="BGE",$I$13*'1st IA Load Pricing Results'!J50/'1st IA Load Pricing Results'!$J$44,0)</f>
        <v>0</v>
      </c>
      <c r="V31" s="392">
        <f t="shared" si="4"/>
        <v>0</v>
      </c>
      <c r="W31" s="137">
        <f>IF(D31="PL",$I$14*'1st IA Load Pricing Results'!J50/'1st IA Load Pricing Results'!$J$57,0)</f>
        <v>0</v>
      </c>
      <c r="X31" s="392">
        <f t="shared" si="5"/>
        <v>0</v>
      </c>
      <c r="Y31" s="53">
        <f t="shared" si="6"/>
        <v>513.70136892095604</v>
      </c>
      <c r="Z31" s="33">
        <f t="shared" si="7"/>
        <v>31152.75491320826</v>
      </c>
      <c r="AA31" s="156">
        <f>Z31/'1st IA Load Pricing Results'!J50</f>
        <v>6.8299611455629012</v>
      </c>
      <c r="AB31" s="156">
        <f t="shared" si="8"/>
        <v>60.643706242491596</v>
      </c>
    </row>
    <row r="32" spans="1:28" x14ac:dyDescent="0.2">
      <c r="A32" s="24" t="s">
        <v>133</v>
      </c>
      <c r="B32" s="97"/>
      <c r="C32" s="97"/>
      <c r="D32" s="97"/>
      <c r="E32" s="137">
        <f>IF(B32="MAAC",$I$5*'1st IA Load Pricing Results'!J51/'1st IA Load Pricing Results'!$B$14,0)</f>
        <v>0</v>
      </c>
      <c r="F32" s="392">
        <f>E32*$F$19</f>
        <v>0</v>
      </c>
      <c r="G32" s="137">
        <f>IF(C32="EMAAC",$I$6*'1st IA Load Pricing Results'!J51/'1st IA Load Pricing Results'!$B$15,0)</f>
        <v>0</v>
      </c>
      <c r="H32" s="392">
        <f t="shared" si="9"/>
        <v>0</v>
      </c>
      <c r="I32" s="137">
        <f>IF(C32="SWMAAC",$I$7*'1st IA Load Pricing Results'!J51/'1st IA Load Pricing Results'!$B$16,0)</f>
        <v>0</v>
      </c>
      <c r="J32" s="392">
        <f>I32*$J$19</f>
        <v>0</v>
      </c>
      <c r="K32" s="137">
        <f>IF(D32="PS",$I$8*'1st IA Load Pricing Results'!J51/'1st IA Load Pricing Results'!$J$58,0)</f>
        <v>0</v>
      </c>
      <c r="L32" s="392">
        <f>K32*$L$19</f>
        <v>0</v>
      </c>
      <c r="M32" s="137">
        <f>IF(D32="DPL",$I$9*'1st IA Load Pricing Results'!J51/'1st IA Load Pricing Results'!$J$50,0)</f>
        <v>0</v>
      </c>
      <c r="N32" s="392">
        <f t="shared" si="2"/>
        <v>0</v>
      </c>
      <c r="O32" s="137">
        <f>IF(D32="PEPCO",$I$10*'1st IA Load Pricing Results'!J51/'1st IA Load Pricing Results'!$J$56,0)</f>
        <v>0</v>
      </c>
      <c r="P32" s="392">
        <f>O32*$P$19</f>
        <v>0</v>
      </c>
      <c r="Q32" s="137">
        <f>IF(D32="ATSI",$I$11*'1st IA Load Pricing Results'!J51/'1st IA Load Pricing Results'!$J$43,0)</f>
        <v>0</v>
      </c>
      <c r="R32" s="392">
        <f>Q32*$R$19</f>
        <v>0</v>
      </c>
      <c r="S32" s="137">
        <f>IF(D32="COMED",$I$12*'1st IA Load Pricing Results'!J51/'1st IA Load Pricing Results'!$J$45,0)</f>
        <v>0</v>
      </c>
      <c r="T32" s="392">
        <f t="shared" si="3"/>
        <v>0</v>
      </c>
      <c r="U32" s="137">
        <f>IF(D32="BGE",$I$13*'1st IA Load Pricing Results'!J51/'1st IA Load Pricing Results'!$J$44,0)</f>
        <v>0</v>
      </c>
      <c r="V32" s="392">
        <f t="shared" si="4"/>
        <v>0</v>
      </c>
      <c r="W32" s="137">
        <f>IF(D32="PL",$I$14*'1st IA Load Pricing Results'!J51/'1st IA Load Pricing Results'!$J$57,0)</f>
        <v>0</v>
      </c>
      <c r="X32" s="392">
        <f t="shared" si="5"/>
        <v>0</v>
      </c>
      <c r="Y32" s="53">
        <f t="shared" si="6"/>
        <v>0</v>
      </c>
      <c r="Z32" s="33">
        <f t="shared" si="7"/>
        <v>0</v>
      </c>
      <c r="AA32" s="156">
        <f>Z32/'1st IA Load Pricing Results'!J51</f>
        <v>0</v>
      </c>
      <c r="AB32" s="156">
        <f>IF(Y32=0,0,Z32/Y32)</f>
        <v>0</v>
      </c>
    </row>
    <row r="33" spans="1:28" x14ac:dyDescent="0.2">
      <c r="A33" s="24" t="s">
        <v>12</v>
      </c>
      <c r="B33" s="97" t="s">
        <v>29</v>
      </c>
      <c r="C33" s="97" t="s">
        <v>36</v>
      </c>
      <c r="D33" s="97"/>
      <c r="E33" s="137">
        <f>IF(B33="MAAC",$I$5*'1st IA Load Pricing Results'!J52/'1st IA Load Pricing Results'!$B$14,0)</f>
        <v>0</v>
      </c>
      <c r="F33" s="392">
        <f t="shared" si="13"/>
        <v>0</v>
      </c>
      <c r="G33" s="137">
        <f>IF(C33="EMAAC",$I$6*'1st IA Load Pricing Results'!J52/'1st IA Load Pricing Results'!$B$15,0)</f>
        <v>773.51040526285749</v>
      </c>
      <c r="H33" s="392">
        <f t="shared" si="9"/>
        <v>46908.537792271352</v>
      </c>
      <c r="I33" s="137">
        <f>IF(C33="SWMAAC",$I$7*'1st IA Load Pricing Results'!J52/'1st IA Load Pricing Results'!$B$16,0)</f>
        <v>0</v>
      </c>
      <c r="J33" s="392">
        <f t="shared" si="14"/>
        <v>0</v>
      </c>
      <c r="K33" s="137">
        <f>IF(D33="PS",$I$8*'1st IA Load Pricing Results'!J52/'1st IA Load Pricing Results'!$J$58,0)</f>
        <v>0</v>
      </c>
      <c r="L33" s="392">
        <f t="shared" si="12"/>
        <v>0</v>
      </c>
      <c r="M33" s="137">
        <f>IF(D33="DPL",$I$9*'1st IA Load Pricing Results'!J52/'1st IA Load Pricing Results'!$J$50,0)</f>
        <v>0</v>
      </c>
      <c r="N33" s="392">
        <f t="shared" si="2"/>
        <v>0</v>
      </c>
      <c r="O33" s="137">
        <f>IF(D33="PEPCO",$I$10*'1st IA Load Pricing Results'!J52/'1st IA Load Pricing Results'!$J$56,0)</f>
        <v>0</v>
      </c>
      <c r="P33" s="392">
        <f t="shared" si="10"/>
        <v>0</v>
      </c>
      <c r="Q33" s="137">
        <f>IF(D33="ATSI",$I$11*'1st IA Load Pricing Results'!J52/'1st IA Load Pricing Results'!$J$43,0)</f>
        <v>0</v>
      </c>
      <c r="R33" s="392">
        <f t="shared" si="11"/>
        <v>0</v>
      </c>
      <c r="S33" s="137">
        <f>IF(D33="COMED",$I$12*'1st IA Load Pricing Results'!J52/'1st IA Load Pricing Results'!$J$45,0)</f>
        <v>0</v>
      </c>
      <c r="T33" s="392">
        <f t="shared" si="3"/>
        <v>0</v>
      </c>
      <c r="U33" s="137">
        <f>IF(D33="BGE",$I$13*'1st IA Load Pricing Results'!J52/'1st IA Load Pricing Results'!$J$44,0)</f>
        <v>0</v>
      </c>
      <c r="V33" s="392">
        <f t="shared" si="4"/>
        <v>0</v>
      </c>
      <c r="W33" s="137">
        <f>IF(D33="PL",$I$14*'1st IA Load Pricing Results'!J52/'1st IA Load Pricing Results'!$J$57,0)</f>
        <v>0</v>
      </c>
      <c r="X33" s="392">
        <f t="shared" si="5"/>
        <v>0</v>
      </c>
      <c r="Y33" s="53">
        <f t="shared" si="6"/>
        <v>773.51040526285749</v>
      </c>
      <c r="Z33" s="33">
        <f t="shared" si="7"/>
        <v>46908.537792271352</v>
      </c>
      <c r="AA33" s="156">
        <f>Z33/'1st IA Load Pricing Results'!J52</f>
        <v>6.8299611455629012</v>
      </c>
      <c r="AB33" s="156">
        <f t="shared" si="8"/>
        <v>60.643706242491589</v>
      </c>
    </row>
    <row r="34" spans="1:28" x14ac:dyDescent="0.2">
      <c r="A34" s="24" t="s">
        <v>13</v>
      </c>
      <c r="B34" s="97" t="s">
        <v>29</v>
      </c>
      <c r="C34" s="97"/>
      <c r="D34" s="97"/>
      <c r="E34" s="137">
        <f>IF(B34="MAAC",$I$5*'1st IA Load Pricing Results'!J53/'1st IA Load Pricing Results'!$B$14,0)</f>
        <v>0</v>
      </c>
      <c r="F34" s="392">
        <f t="shared" si="13"/>
        <v>0</v>
      </c>
      <c r="G34" s="137">
        <f>IF(C34="EMAAC",$I$6*'1st IA Load Pricing Results'!J53/'1st IA Load Pricing Results'!$B$15,0)</f>
        <v>0</v>
      </c>
      <c r="H34" s="392">
        <f t="shared" si="9"/>
        <v>0</v>
      </c>
      <c r="I34" s="137">
        <f>IF(C34="SWMAAC",$I$7*'1st IA Load Pricing Results'!J53/'1st IA Load Pricing Results'!$B$16,0)</f>
        <v>0</v>
      </c>
      <c r="J34" s="392">
        <f t="shared" si="14"/>
        <v>0</v>
      </c>
      <c r="K34" s="137">
        <f>IF(D34="PS",$I$8*'1st IA Load Pricing Results'!J53/'1st IA Load Pricing Results'!$J$58,0)</f>
        <v>0</v>
      </c>
      <c r="L34" s="392">
        <f t="shared" si="12"/>
        <v>0</v>
      </c>
      <c r="M34" s="137">
        <f>IF(D34="DPL",$I$9*'1st IA Load Pricing Results'!J53/'1st IA Load Pricing Results'!$J$50,0)</f>
        <v>0</v>
      </c>
      <c r="N34" s="392">
        <f t="shared" si="2"/>
        <v>0</v>
      </c>
      <c r="O34" s="137">
        <f>IF(D34="PEPCO",$I$10*'1st IA Load Pricing Results'!J53/'1st IA Load Pricing Results'!$J$56,0)</f>
        <v>0</v>
      </c>
      <c r="P34" s="392">
        <f t="shared" si="10"/>
        <v>0</v>
      </c>
      <c r="Q34" s="137">
        <f>IF(D34="ATSI",$I$11*'1st IA Load Pricing Results'!J53/'1st IA Load Pricing Results'!$J$43,0)</f>
        <v>0</v>
      </c>
      <c r="R34" s="392">
        <f t="shared" si="11"/>
        <v>0</v>
      </c>
      <c r="S34" s="137">
        <f>IF(D34="COMED",$I$12*'1st IA Load Pricing Results'!J53/'1st IA Load Pricing Results'!$J$45,0)</f>
        <v>0</v>
      </c>
      <c r="T34" s="392">
        <f t="shared" si="3"/>
        <v>0</v>
      </c>
      <c r="U34" s="137">
        <f>IF(D34="BGE",$I$13*'1st IA Load Pricing Results'!J53/'1st IA Load Pricing Results'!$J$44,0)</f>
        <v>0</v>
      </c>
      <c r="V34" s="392">
        <f t="shared" si="4"/>
        <v>0</v>
      </c>
      <c r="W34" s="137">
        <f>IF(D34="PL",$I$14*'1st IA Load Pricing Results'!J53/'1st IA Load Pricing Results'!$J$57,0)</f>
        <v>0</v>
      </c>
      <c r="X34" s="392">
        <f t="shared" si="5"/>
        <v>0</v>
      </c>
      <c r="Y34" s="53">
        <f t="shared" si="6"/>
        <v>0</v>
      </c>
      <c r="Z34" s="33">
        <f t="shared" si="7"/>
        <v>0</v>
      </c>
      <c r="AA34" s="156">
        <f>Z34/'1st IA Load Pricing Results'!J53</f>
        <v>0</v>
      </c>
      <c r="AB34" s="156">
        <f t="shared" si="8"/>
        <v>0</v>
      </c>
    </row>
    <row r="35" spans="1:28" x14ac:dyDescent="0.2">
      <c r="A35" s="24" t="s">
        <v>9</v>
      </c>
      <c r="B35" s="97" t="s">
        <v>29</v>
      </c>
      <c r="C35" s="97" t="s">
        <v>36</v>
      </c>
      <c r="D35" s="97"/>
      <c r="E35" s="137">
        <f>IF(B35="MAAC",$I$5*'1st IA Load Pricing Results'!J54/'1st IA Load Pricing Results'!$B$14,0)</f>
        <v>0</v>
      </c>
      <c r="F35" s="392">
        <f t="shared" si="13"/>
        <v>0</v>
      </c>
      <c r="G35" s="137">
        <f>IF(C35="EMAAC",$I$6*'1st IA Load Pricing Results'!J54/'1st IA Load Pricing Results'!$B$15,0)</f>
        <v>1111.55141358018</v>
      </c>
      <c r="H35" s="392">
        <f t="shared" si="9"/>
        <v>67408.597398582715</v>
      </c>
      <c r="I35" s="137">
        <f>IF(C35="SWMAAC",$I$7*'1st IA Load Pricing Results'!J54/'1st IA Load Pricing Results'!$B$16,0)</f>
        <v>0</v>
      </c>
      <c r="J35" s="392">
        <f t="shared" si="14"/>
        <v>0</v>
      </c>
      <c r="K35" s="137">
        <f>IF(D35="PS",$I$8*'1st IA Load Pricing Results'!J54/'1st IA Load Pricing Results'!$J$58,0)</f>
        <v>0</v>
      </c>
      <c r="L35" s="392">
        <f t="shared" si="12"/>
        <v>0</v>
      </c>
      <c r="M35" s="137">
        <f>IF(D35="DPL",$I$9*'1st IA Load Pricing Results'!J54/'1st IA Load Pricing Results'!$J$50,0)</f>
        <v>0</v>
      </c>
      <c r="N35" s="392">
        <f t="shared" si="2"/>
        <v>0</v>
      </c>
      <c r="O35" s="137">
        <f>IF(D35="PEPCO",$I$10*'1st IA Load Pricing Results'!J54/'1st IA Load Pricing Results'!$J$56,0)</f>
        <v>0</v>
      </c>
      <c r="P35" s="392">
        <f t="shared" si="10"/>
        <v>0</v>
      </c>
      <c r="Q35" s="137">
        <f>IF(D35="ATSI",$I$11*'1st IA Load Pricing Results'!J54/'1st IA Load Pricing Results'!$J$43,0)</f>
        <v>0</v>
      </c>
      <c r="R35" s="392">
        <f t="shared" si="11"/>
        <v>0</v>
      </c>
      <c r="S35" s="137">
        <f>IF(D35="COMED",$I$12*'1st IA Load Pricing Results'!J54/'1st IA Load Pricing Results'!$J$45,0)</f>
        <v>0</v>
      </c>
      <c r="T35" s="392">
        <f t="shared" si="3"/>
        <v>0</v>
      </c>
      <c r="U35" s="137">
        <f>IF(D35="BGE",$I$13*'1st IA Load Pricing Results'!J54/'1st IA Load Pricing Results'!$J$44,0)</f>
        <v>0</v>
      </c>
      <c r="V35" s="392">
        <f t="shared" si="4"/>
        <v>0</v>
      </c>
      <c r="W35" s="137">
        <f>IF(D35="PL",$I$14*'1st IA Load Pricing Results'!J54/'1st IA Load Pricing Results'!$J$57,0)</f>
        <v>0</v>
      </c>
      <c r="X35" s="392">
        <f t="shared" si="5"/>
        <v>0</v>
      </c>
      <c r="Y35" s="53">
        <f t="shared" si="6"/>
        <v>1111.55141358018</v>
      </c>
      <c r="Z35" s="33">
        <f t="shared" si="7"/>
        <v>67408.597398582715</v>
      </c>
      <c r="AA35" s="156">
        <f>Z35/'1st IA Load Pricing Results'!J54</f>
        <v>6.8299611455629012</v>
      </c>
      <c r="AB35" s="156">
        <f t="shared" si="8"/>
        <v>60.643706242491589</v>
      </c>
    </row>
    <row r="36" spans="1:28" x14ac:dyDescent="0.2">
      <c r="A36" s="24" t="s">
        <v>14</v>
      </c>
      <c r="B36" s="97" t="s">
        <v>29</v>
      </c>
      <c r="C36" s="97"/>
      <c r="D36" s="97"/>
      <c r="E36" s="137">
        <f>IF(B36="MAAC",$I$5*'1st IA Load Pricing Results'!J55/'1st IA Load Pricing Results'!$B$14,0)</f>
        <v>0</v>
      </c>
      <c r="F36" s="392">
        <f t="shared" si="13"/>
        <v>0</v>
      </c>
      <c r="G36" s="137">
        <f>IF(C36="EMAAC",$I$6*'1st IA Load Pricing Results'!J55/'1st IA Load Pricing Results'!$B$15,0)</f>
        <v>0</v>
      </c>
      <c r="H36" s="392">
        <f t="shared" si="9"/>
        <v>0</v>
      </c>
      <c r="I36" s="137">
        <f>IF(C36="SWMAAC",$I$7*'1st IA Load Pricing Results'!J55/'1st IA Load Pricing Results'!$B$16,0)</f>
        <v>0</v>
      </c>
      <c r="J36" s="392">
        <f t="shared" si="14"/>
        <v>0</v>
      </c>
      <c r="K36" s="137">
        <f>IF(D36="PS",$I$8*'1st IA Load Pricing Results'!J55/'1st IA Load Pricing Results'!$J$58,0)</f>
        <v>0</v>
      </c>
      <c r="L36" s="392">
        <f t="shared" si="12"/>
        <v>0</v>
      </c>
      <c r="M36" s="137">
        <f>IF(D36="DPL",$I$9*'1st IA Load Pricing Results'!J55/'1st IA Load Pricing Results'!$J$50,0)</f>
        <v>0</v>
      </c>
      <c r="N36" s="392">
        <f t="shared" si="2"/>
        <v>0</v>
      </c>
      <c r="O36" s="137">
        <f>IF(D36="PEPCO",$I$10*'1st IA Load Pricing Results'!J55/'1st IA Load Pricing Results'!$J$56,0)</f>
        <v>0</v>
      </c>
      <c r="P36" s="392">
        <f t="shared" si="10"/>
        <v>0</v>
      </c>
      <c r="Q36" s="137">
        <f>IF(D36="ATSI",$I$11*'1st IA Load Pricing Results'!J55/'1st IA Load Pricing Results'!$J$43,0)</f>
        <v>0</v>
      </c>
      <c r="R36" s="392">
        <f t="shared" si="11"/>
        <v>0</v>
      </c>
      <c r="S36" s="137">
        <f>IF(D36="COMED",$I$12*'1st IA Load Pricing Results'!J55/'1st IA Load Pricing Results'!$J$45,0)</f>
        <v>0</v>
      </c>
      <c r="T36" s="392">
        <f t="shared" si="3"/>
        <v>0</v>
      </c>
      <c r="U36" s="137">
        <f>IF(D36="BGE",$I$13*'1st IA Load Pricing Results'!J55/'1st IA Load Pricing Results'!$J$44,0)</f>
        <v>0</v>
      </c>
      <c r="V36" s="392">
        <f t="shared" si="4"/>
        <v>0</v>
      </c>
      <c r="W36" s="137">
        <f>IF(D36="PL",$I$14*'1st IA Load Pricing Results'!J55/'1st IA Load Pricing Results'!$J$57,0)</f>
        <v>0</v>
      </c>
      <c r="X36" s="392">
        <f t="shared" si="5"/>
        <v>0</v>
      </c>
      <c r="Y36" s="53">
        <f t="shared" si="6"/>
        <v>0</v>
      </c>
      <c r="Z36" s="33">
        <f t="shared" si="7"/>
        <v>0</v>
      </c>
      <c r="AA36" s="156">
        <f>Z36/'1st IA Load Pricing Results'!J55</f>
        <v>0</v>
      </c>
      <c r="AB36" s="156">
        <f t="shared" si="8"/>
        <v>0</v>
      </c>
    </row>
    <row r="37" spans="1:28" x14ac:dyDescent="0.2">
      <c r="A37" s="24" t="s">
        <v>15</v>
      </c>
      <c r="B37" s="97" t="s">
        <v>29</v>
      </c>
      <c r="C37" s="97" t="s">
        <v>5</v>
      </c>
      <c r="D37" s="97" t="s">
        <v>15</v>
      </c>
      <c r="E37" s="137">
        <f>IF(B37="MAAC",$I$5*'1st IA Load Pricing Results'!J56/'1st IA Load Pricing Results'!$B$14,0)</f>
        <v>0</v>
      </c>
      <c r="F37" s="392">
        <f t="shared" si="13"/>
        <v>0</v>
      </c>
      <c r="G37" s="137">
        <f>IF(C37="EMAAC",$I$6*'1st IA Load Pricing Results'!J56/'1st IA Load Pricing Results'!$B$15,0)</f>
        <v>0</v>
      </c>
      <c r="H37" s="392">
        <f t="shared" si="9"/>
        <v>0</v>
      </c>
      <c r="I37" s="137">
        <f>IF(C37="SWMAAC",$I$7*'1st IA Load Pricing Results'!J56/'1st IA Load Pricing Results'!$B$16,0)</f>
        <v>1474.6759821272265</v>
      </c>
      <c r="J37" s="392">
        <f t="shared" si="14"/>
        <v>0</v>
      </c>
      <c r="K37" s="137">
        <f>IF(D37="PS",$I$8*'1st IA Load Pricing Results'!J56/'1st IA Load Pricing Results'!$J$58,0)</f>
        <v>0</v>
      </c>
      <c r="L37" s="392">
        <f t="shared" si="12"/>
        <v>0</v>
      </c>
      <c r="M37" s="137">
        <f>IF(D37="DPL",$I$9*'1st IA Load Pricing Results'!J56/'1st IA Load Pricing Results'!$J$50,0)</f>
        <v>0</v>
      </c>
      <c r="N37" s="392">
        <f>M37*$N$19</f>
        <v>0</v>
      </c>
      <c r="O37" s="137">
        <f>IF(D37="PEPCO",$I$10*'1st IA Load Pricing Results'!J56/'1st IA Load Pricing Results'!$J$56,0)</f>
        <v>1568.2504980595322</v>
      </c>
      <c r="P37" s="392">
        <f>O37*$P$19</f>
        <v>0</v>
      </c>
      <c r="Q37" s="137">
        <f>IF(D37="ATSI",$I$11*'1st IA Load Pricing Results'!J56/'1st IA Load Pricing Results'!$J$43,0)</f>
        <v>0</v>
      </c>
      <c r="R37" s="392">
        <f t="shared" si="11"/>
        <v>0</v>
      </c>
      <c r="S37" s="137">
        <f>IF(D37="COMED",$I$12*'1st IA Load Pricing Results'!J56/'1st IA Load Pricing Results'!$J$45,0)</f>
        <v>0</v>
      </c>
      <c r="T37" s="392">
        <f t="shared" si="3"/>
        <v>0</v>
      </c>
      <c r="U37" s="137">
        <f>IF(D37="BGE",$I$13*'1st IA Load Pricing Results'!J56/'1st IA Load Pricing Results'!$J$44,0)</f>
        <v>0</v>
      </c>
      <c r="V37" s="392">
        <f t="shared" si="4"/>
        <v>0</v>
      </c>
      <c r="W37" s="137">
        <f>IF(D37="PL",$I$14*'1st IA Load Pricing Results'!J56/'1st IA Load Pricing Results'!$J$57,0)</f>
        <v>0</v>
      </c>
      <c r="X37" s="392">
        <f t="shared" si="5"/>
        <v>0</v>
      </c>
      <c r="Y37" s="53">
        <f t="shared" si="6"/>
        <v>1568.2504980595322</v>
      </c>
      <c r="Z37" s="33">
        <f t="shared" si="7"/>
        <v>0</v>
      </c>
      <c r="AA37" s="156">
        <f>Z37/'1st IA Load Pricing Results'!J56</f>
        <v>0</v>
      </c>
      <c r="AB37" s="156">
        <f t="shared" si="8"/>
        <v>0</v>
      </c>
    </row>
    <row r="38" spans="1:28" x14ac:dyDescent="0.2">
      <c r="A38" s="24" t="s">
        <v>10</v>
      </c>
      <c r="B38" s="97" t="s">
        <v>29</v>
      </c>
      <c r="C38" s="97"/>
      <c r="D38" s="97" t="s">
        <v>10</v>
      </c>
      <c r="E38" s="137">
        <f>IF(B38="MAAC",$I$5*'1st IA Load Pricing Results'!J57/'1st IA Load Pricing Results'!$B$14,0)</f>
        <v>0</v>
      </c>
      <c r="F38" s="392">
        <f t="shared" si="13"/>
        <v>0</v>
      </c>
      <c r="G38" s="137">
        <f>IF(C38="EMAAC",$I$6*'1st IA Load Pricing Results'!J57/'1st IA Load Pricing Results'!$B$15,0)</f>
        <v>0</v>
      </c>
      <c r="H38" s="392">
        <f t="shared" si="9"/>
        <v>0</v>
      </c>
      <c r="I38" s="137">
        <f>IF(C38="SWMAAC",$I$7*'1st IA Load Pricing Results'!J57/'1st IA Load Pricing Results'!$B$16,0)</f>
        <v>0</v>
      </c>
      <c r="J38" s="392">
        <f t="shared" si="14"/>
        <v>0</v>
      </c>
      <c r="K38" s="137">
        <f>IF(D38="PS",$I$8*'1st IA Load Pricing Results'!J57/'1st IA Load Pricing Results'!$J$58,0)</f>
        <v>0</v>
      </c>
      <c r="L38" s="392">
        <f t="shared" si="12"/>
        <v>0</v>
      </c>
      <c r="M38" s="137">
        <f>IF(D38="DPL",$I$9*'1st IA Load Pricing Results'!J57/'1st IA Load Pricing Results'!$J$50,0)</f>
        <v>0</v>
      </c>
      <c r="N38" s="392">
        <f t="shared" si="2"/>
        <v>0</v>
      </c>
      <c r="O38" s="137">
        <f>IF(D38="PEPCO",$I$10*'1st IA Load Pricing Results'!J57/'1st IA Load Pricing Results'!$J$56,0)</f>
        <v>0</v>
      </c>
      <c r="P38" s="392">
        <f>O38*$P$19</f>
        <v>0</v>
      </c>
      <c r="Q38" s="137">
        <f>IF(D38="ATSI",$I$11*'1st IA Load Pricing Results'!J57/'1st IA Load Pricing Results'!$J$43,0)</f>
        <v>0</v>
      </c>
      <c r="R38" s="392">
        <f t="shared" si="11"/>
        <v>0</v>
      </c>
      <c r="S38" s="137">
        <f>IF(D38="COMED",$I$12*'1st IA Load Pricing Results'!J57/'1st IA Load Pricing Results'!$J$45,0)</f>
        <v>0</v>
      </c>
      <c r="T38" s="392">
        <f t="shared" si="3"/>
        <v>0</v>
      </c>
      <c r="U38" s="137">
        <f>IF(D38="BGE",$I$13*'1st IA Load Pricing Results'!J57/'1st IA Load Pricing Results'!$J$44,0)</f>
        <v>0</v>
      </c>
      <c r="V38" s="392">
        <f t="shared" si="4"/>
        <v>0</v>
      </c>
      <c r="W38" s="137">
        <f>IF(D38="PL",$I$14*'1st IA Load Pricing Results'!J57/'1st IA Load Pricing Results'!$J$57,0)</f>
        <v>0</v>
      </c>
      <c r="X38" s="392">
        <f t="shared" si="5"/>
        <v>0</v>
      </c>
      <c r="Y38" s="53">
        <f t="shared" si="6"/>
        <v>0</v>
      </c>
      <c r="Z38" s="33">
        <f t="shared" si="7"/>
        <v>0</v>
      </c>
      <c r="AA38" s="156">
        <f>Z38/'1st IA Load Pricing Results'!J57</f>
        <v>0</v>
      </c>
      <c r="AB38" s="156">
        <f t="shared" si="8"/>
        <v>0</v>
      </c>
    </row>
    <row r="39" spans="1:28" x14ac:dyDescent="0.2">
      <c r="A39" s="24" t="s">
        <v>8</v>
      </c>
      <c r="B39" s="97" t="s">
        <v>29</v>
      </c>
      <c r="C39" s="97" t="s">
        <v>36</v>
      </c>
      <c r="D39" s="97" t="s">
        <v>8</v>
      </c>
      <c r="E39" s="137">
        <f>IF(B39="MAAC",$I$5*'1st IA Load Pricing Results'!J58/'1st IA Load Pricing Results'!$B$14,0)</f>
        <v>0</v>
      </c>
      <c r="F39" s="392">
        <f t="shared" si="13"/>
        <v>0</v>
      </c>
      <c r="G39" s="137">
        <f>IF(C39="EMAAC",$I$6*'1st IA Load Pricing Results'!J58/'1st IA Load Pricing Results'!$B$15,0)</f>
        <v>1296.8099825102097</v>
      </c>
      <c r="H39" s="392">
        <f t="shared" si="9"/>
        <v>78643.363631679822</v>
      </c>
      <c r="I39" s="137">
        <f>IF(C39="SWMAAC",$I$7*'1st IA Load Pricing Results'!J58/'1st IA Load Pricing Results'!$B$16,0)</f>
        <v>0</v>
      </c>
      <c r="J39" s="392">
        <f>I39*$J$19</f>
        <v>0</v>
      </c>
      <c r="K39" s="137">
        <f>IF(D39="PS",$I$8*'1st IA Load Pricing Results'!J58/'1st IA Load Pricing Results'!$J$58,0)</f>
        <v>6188.0672064160499</v>
      </c>
      <c r="L39" s="392">
        <f>K39*$L$19</f>
        <v>0</v>
      </c>
      <c r="M39" s="137">
        <f>IF(D39="DPL",$I$9*'1st IA Load Pricing Results'!J58/'1st IA Load Pricing Results'!$J$50,0)</f>
        <v>0</v>
      </c>
      <c r="N39" s="392">
        <f t="shared" si="2"/>
        <v>0</v>
      </c>
      <c r="O39" s="137">
        <f>IF(D39="PEPCO",$I$10*'1st IA Load Pricing Results'!J58/'1st IA Load Pricing Results'!$J$56,0)</f>
        <v>0</v>
      </c>
      <c r="P39" s="392">
        <f>O39*$P$19</f>
        <v>0</v>
      </c>
      <c r="Q39" s="137">
        <f>IF(D39="ATSI",$I$11*'1st IA Load Pricing Results'!J58/'1st IA Load Pricing Results'!$J$43,0)</f>
        <v>0</v>
      </c>
      <c r="R39" s="392">
        <f t="shared" si="11"/>
        <v>0</v>
      </c>
      <c r="S39" s="137">
        <f>IF(D39="COMED",$I$12*'1st IA Load Pricing Results'!J58/'1st IA Load Pricing Results'!$J$45,0)</f>
        <v>0</v>
      </c>
      <c r="T39" s="392">
        <f t="shared" si="3"/>
        <v>0</v>
      </c>
      <c r="U39" s="137">
        <f>IF(D39="BGE",$I$13*'1st IA Load Pricing Results'!J58/'1st IA Load Pricing Results'!$J$44,0)</f>
        <v>0</v>
      </c>
      <c r="V39" s="392">
        <f t="shared" si="4"/>
        <v>0</v>
      </c>
      <c r="W39" s="137">
        <f>IF(D39="PL",$I$14*'1st IA Load Pricing Results'!J58/'1st IA Load Pricing Results'!$J$57,0)</f>
        <v>0</v>
      </c>
      <c r="X39" s="392">
        <f t="shared" si="5"/>
        <v>0</v>
      </c>
      <c r="Y39" s="53">
        <f t="shared" si="6"/>
        <v>6188.0672064160499</v>
      </c>
      <c r="Z39" s="33">
        <f t="shared" si="7"/>
        <v>78643.363631679822</v>
      </c>
      <c r="AA39" s="156">
        <f>Z39/'1st IA Load Pricing Results'!J58</f>
        <v>6.8299611455629012</v>
      </c>
      <c r="AB39" s="156">
        <f>IF(Y39=0,0,Z39/Y39)</f>
        <v>12.708873547808119</v>
      </c>
    </row>
    <row r="40" spans="1:28" x14ac:dyDescent="0.2">
      <c r="A40" s="24" t="s">
        <v>18</v>
      </c>
      <c r="B40" s="97" t="s">
        <v>29</v>
      </c>
      <c r="C40" s="97" t="s">
        <v>36</v>
      </c>
      <c r="D40" s="97"/>
      <c r="E40" s="137">
        <f>IF(B40="MAAC",$I$5*'1st IA Load Pricing Results'!J59/'1st IA Load Pricing Results'!$B$14,0)</f>
        <v>0</v>
      </c>
      <c r="F40" s="392">
        <f>E40*$F$19</f>
        <v>0</v>
      </c>
      <c r="G40" s="137">
        <f>IF(C40="EMAAC",$I$6*'1st IA Load Pricing Results'!J59/'1st IA Load Pricing Results'!$B$15,0)</f>
        <v>51.672546195530003</v>
      </c>
      <c r="H40" s="392">
        <f>G40*$H$19</f>
        <v>3133.6147122832981</v>
      </c>
      <c r="I40" s="137">
        <f>IF(C40="SWMAAC",$I$7*'1st IA Load Pricing Results'!J59/'1st IA Load Pricing Results'!$B$16,0)</f>
        <v>0</v>
      </c>
      <c r="J40" s="392">
        <f>I40*$J$19</f>
        <v>0</v>
      </c>
      <c r="K40" s="137">
        <f>IF(D40="PS",$I$8*'1st IA Load Pricing Results'!J59/'1st IA Load Pricing Results'!$J$58,0)</f>
        <v>0</v>
      </c>
      <c r="L40" s="392">
        <f>K40*$L$19</f>
        <v>0</v>
      </c>
      <c r="M40" s="137">
        <f>IF(D40="DPL",$I$9*'1st IA Load Pricing Results'!J59/'1st IA Load Pricing Results'!$J$50,0)</f>
        <v>0</v>
      </c>
      <c r="N40" s="392">
        <f t="shared" si="2"/>
        <v>0</v>
      </c>
      <c r="O40" s="137">
        <f>IF(D40="PEPCO",$I$10*'1st IA Load Pricing Results'!J59/'1st IA Load Pricing Results'!$J$56,0)</f>
        <v>0</v>
      </c>
      <c r="P40" s="392">
        <f>O40*$P$19</f>
        <v>0</v>
      </c>
      <c r="Q40" s="137">
        <f>IF(D40="ATSI",$I$11*'1st IA Load Pricing Results'!J59/'1st IA Load Pricing Results'!$J$43,0)</f>
        <v>0</v>
      </c>
      <c r="R40" s="392">
        <f t="shared" si="11"/>
        <v>0</v>
      </c>
      <c r="S40" s="137">
        <f>IF(D40="COMED",$I$12*'1st IA Load Pricing Results'!J59/'1st IA Load Pricing Results'!$J$45,0)</f>
        <v>0</v>
      </c>
      <c r="T40" s="392">
        <f t="shared" si="3"/>
        <v>0</v>
      </c>
      <c r="U40" s="137">
        <f>IF(D40="BGE",$I$13*'1st IA Load Pricing Results'!J59/'1st IA Load Pricing Results'!$J$44,0)</f>
        <v>0</v>
      </c>
      <c r="V40" s="392">
        <f t="shared" si="4"/>
        <v>0</v>
      </c>
      <c r="W40" s="137">
        <f>IF(D40="PL",$I$14*'1st IA Load Pricing Results'!J59/'1st IA Load Pricing Results'!$J$57,0)</f>
        <v>0</v>
      </c>
      <c r="X40" s="392">
        <f t="shared" si="5"/>
        <v>0</v>
      </c>
      <c r="Y40" s="53">
        <f t="shared" si="6"/>
        <v>51.672546195530003</v>
      </c>
      <c r="Z40" s="33">
        <f t="shared" si="7"/>
        <v>3133.6147122832981</v>
      </c>
      <c r="AA40" s="156">
        <f>Z40/'1st IA Load Pricing Results'!J59</f>
        <v>6.8299611455629003</v>
      </c>
      <c r="AB40" s="156">
        <f>IF(Y40=0,0,Z40/Y40)</f>
        <v>60.643706242491596</v>
      </c>
    </row>
    <row r="41" spans="1:28" x14ac:dyDescent="0.2">
      <c r="A41" s="558" t="s">
        <v>73</v>
      </c>
      <c r="B41" s="558"/>
      <c r="C41" s="558"/>
      <c r="D41" s="558"/>
      <c r="E41" s="393">
        <f t="shared" ref="E41:X41" si="15">SUM(E21:E40)</f>
        <v>0</v>
      </c>
      <c r="F41" s="394">
        <f>SUM(F21:F40)</f>
        <v>0</v>
      </c>
      <c r="G41" s="393">
        <f t="shared" si="15"/>
        <v>4068.9829188627664</v>
      </c>
      <c r="H41" s="394">
        <f>SUM(H21:H40)</f>
        <v>246758.2048372296</v>
      </c>
      <c r="I41" s="393">
        <f t="shared" si="15"/>
        <v>3044.9865470714553</v>
      </c>
      <c r="J41" s="394">
        <f>SUM(J21:J40)</f>
        <v>0</v>
      </c>
      <c r="K41" s="393">
        <f t="shared" si="15"/>
        <v>6188.0672064160499</v>
      </c>
      <c r="L41" s="394">
        <f>SUM(L21:L40)</f>
        <v>0</v>
      </c>
      <c r="M41" s="393">
        <f>SUM(M21:M40)</f>
        <v>0</v>
      </c>
      <c r="N41" s="394">
        <f>SUM(N21:N40)</f>
        <v>0</v>
      </c>
      <c r="O41" s="393">
        <f t="shared" si="15"/>
        <v>1568.2504980595322</v>
      </c>
      <c r="P41" s="394">
        <f t="shared" si="15"/>
        <v>0</v>
      </c>
      <c r="Q41" s="393">
        <f t="shared" si="15"/>
        <v>3974.843050237183</v>
      </c>
      <c r="R41" s="394">
        <f t="shared" si="15"/>
        <v>0</v>
      </c>
      <c r="S41" s="393">
        <f t="shared" si="15"/>
        <v>1594.3646106455526</v>
      </c>
      <c r="T41" s="394">
        <f>SUM(T21:T40)</f>
        <v>80101.45826656805</v>
      </c>
      <c r="U41" s="393">
        <f t="shared" si="15"/>
        <v>4304.8360490119212</v>
      </c>
      <c r="V41" s="394">
        <f>SUM(V21:V40)</f>
        <v>0</v>
      </c>
      <c r="W41" s="393">
        <f t="shared" si="15"/>
        <v>0</v>
      </c>
      <c r="X41" s="394">
        <f t="shared" si="15"/>
        <v>0</v>
      </c>
      <c r="Y41" s="53"/>
      <c r="Z41" s="394">
        <f>SUM(Z21:Z40)</f>
        <v>326859.66310379765</v>
      </c>
      <c r="AA41" s="395"/>
      <c r="AB41" s="395"/>
    </row>
    <row r="42" spans="1:28" x14ac:dyDescent="0.2">
      <c r="A42" s="25" t="s">
        <v>74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57"/>
      <c r="AA42" s="23"/>
      <c r="AB42" s="23"/>
    </row>
    <row r="43" spans="1:28" x14ac:dyDescent="0.2">
      <c r="A43" s="25" t="s">
        <v>288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8" x14ac:dyDescent="0.2">
      <c r="A44" s="25" t="s">
        <v>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8" x14ac:dyDescent="0.2">
      <c r="A45" s="25" t="s">
        <v>289</v>
      </c>
    </row>
  </sheetData>
  <mergeCells count="12">
    <mergeCell ref="K18:L18"/>
    <mergeCell ref="M18:N18"/>
    <mergeCell ref="A41:D41"/>
    <mergeCell ref="A17:D19"/>
    <mergeCell ref="E18:F18"/>
    <mergeCell ref="G18:H18"/>
    <mergeCell ref="I18:J18"/>
    <mergeCell ref="O18:P18"/>
    <mergeCell ref="Q18:R18"/>
    <mergeCell ref="S18:T18"/>
    <mergeCell ref="U18:V18"/>
    <mergeCell ref="W18:X18"/>
  </mergeCells>
  <pageMargins left="0.5" right="0.5" top="0.5" bottom="0.5" header="0" footer="0"/>
  <pageSetup paperSize="5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UCAP Oblig &amp; ZCP</vt:lpstr>
      <vt:lpstr>Summary</vt:lpstr>
      <vt:lpstr>BRA Resource Clearing Results</vt:lpstr>
      <vt:lpstr>BRA Load Pricing Results</vt:lpstr>
      <vt:lpstr>BRA CTRs</vt:lpstr>
      <vt:lpstr>BRA ICTRs</vt:lpstr>
      <vt:lpstr>1stIA Resource Clearing Results</vt:lpstr>
      <vt:lpstr>1st IA Load Pricing Results</vt:lpstr>
      <vt:lpstr>1st IA CTRs</vt:lpstr>
      <vt:lpstr>1st IA ICTRs</vt:lpstr>
      <vt:lpstr>2ndIA Resource Clearing Results</vt:lpstr>
      <vt:lpstr>2nd IA Load Pricing Results</vt:lpstr>
      <vt:lpstr>2nd IA CTRs</vt:lpstr>
      <vt:lpstr>2nd IA ICTRs</vt:lpstr>
      <vt:lpstr>'1st IA CTRs'!Print_Area</vt:lpstr>
      <vt:lpstr>'1st IA ICTRs'!Print_Area</vt:lpstr>
      <vt:lpstr>'1st IA Load Pricing Results'!Print_Area</vt:lpstr>
      <vt:lpstr>'1stIA Resource Clearing Results'!Print_Area</vt:lpstr>
      <vt:lpstr>'2nd IA CTRs'!Print_Area</vt:lpstr>
      <vt:lpstr>'2nd IA ICTRs'!Print_Area</vt:lpstr>
      <vt:lpstr>'2nd IA Load Pricing Results'!Print_Area</vt:lpstr>
      <vt:lpstr>'2ndIA Resource Clearing Results'!Print_Area</vt:lpstr>
      <vt:lpstr>'BRA CTRs'!Print_Area</vt:lpstr>
      <vt:lpstr>'BRA ICTRs'!Print_Area</vt:lpstr>
      <vt:lpstr>'BRA Load Pricing Results'!Print_Area</vt:lpstr>
      <vt:lpstr>'BRA Resource Clearing Results'!Print_Area</vt:lpstr>
      <vt:lpstr>Summary!Print_Area</vt:lpstr>
      <vt:lpstr>'UCAP Oblig &amp; ZCP'!Print_Area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Keech</dc:creator>
  <cp:lastModifiedBy>Bhavaraju, Murty P.</cp:lastModifiedBy>
  <cp:lastPrinted>2017-07-20T21:07:57Z</cp:lastPrinted>
  <dcterms:created xsi:type="dcterms:W3CDTF">2007-03-21T19:37:11Z</dcterms:created>
  <dcterms:modified xsi:type="dcterms:W3CDTF">2017-07-21T18:03:28Z</dcterms:modified>
</cp:coreProperties>
</file>