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72" windowWidth="14940" windowHeight="9036" activeTab="0"/>
  </bookViews>
  <sheets>
    <sheet name="PJM Buy Bids-Sell Offers" sheetId="1" r:id="rId1"/>
    <sheet name="Non-Viable DR" sheetId="2" r:id="rId2"/>
    <sheet name="2nd IA Configuration" sheetId="3" r:id="rId3"/>
    <sheet name="2nd IA Parameters" sheetId="4" r:id="rId4"/>
    <sheet name="1st IA Parameters" sheetId="5" r:id="rId5"/>
    <sheet name="BRA Parameters" sheetId="6" r:id="rId6"/>
    <sheet name="Updated DR Rel Targets" sheetId="7" r:id="rId7"/>
    <sheet name="Credit Rate" sheetId="8" r:id="rId8"/>
    <sheet name="Cap Import Limits" sheetId="9" r:id="rId9"/>
  </sheets>
  <definedNames>
    <definedName name="_xlnm.Print_Area" localSheetId="4">'1st IA Parameters'!$A$1:$N$30</definedName>
    <definedName name="_xlnm.Print_Area" localSheetId="2">'2nd IA Configuration'!$A$1:$N$15</definedName>
    <definedName name="_xlnm.Print_Area" localSheetId="5">'BRA Parameters'!$A$1:$N$81</definedName>
    <definedName name="_xlnm.Print_Area" localSheetId="8">'Cap Import Limits'!$A$1:$G$15</definedName>
    <definedName name="_xlnm.Print_Area" localSheetId="7">'Credit Rate'!$A$1:$N$13</definedName>
    <definedName name="_xlnm.Print_Area" localSheetId="1">'Non-Viable DR'!$A$1:$I$42</definedName>
    <definedName name="_xlnm.Print_Area" localSheetId="0">'PJM Buy Bids-Sell Offers'!$A$1:$P$23</definedName>
    <definedName name="_xlnm.Print_Area" localSheetId="6">'Updated DR Rel Targets'!$A$1:$N$28</definedName>
  </definedNames>
  <calcPr fullCalcOnLoad="1"/>
</workbook>
</file>

<file path=xl/sharedStrings.xml><?xml version="1.0" encoding="utf-8"?>
<sst xmlns="http://schemas.openxmlformats.org/spreadsheetml/2006/main" count="847" uniqueCount="223">
  <si>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</si>
  <si>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</si>
  <si>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</si>
  <si>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</si>
  <si>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</si>
  <si>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</si>
  <si>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</si>
  <si>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</si>
  <si>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</si>
  <si>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</si>
  <si>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</si>
  <si>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</si>
  <si>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</si>
  <si>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</si>
  <si>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</si>
  <si>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</si>
  <si>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</si>
  <si>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</si>
  <si>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</si>
  <si>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</si>
  <si>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</si>
  <si>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</si>
  <si>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</si>
  <si>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</si>
  <si>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</si>
  <si>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</si>
  <si>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</si>
  <si>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</si>
  <si>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</si>
  <si>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</si>
  <si>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</si>
  <si>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</si>
  <si>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</si>
  <si>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</si>
  <si>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</si>
  <si>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</si>
  <si>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</si>
  <si>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</si>
  <si>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</si>
  <si>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</si>
  <si>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</si>
  <si>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Pre-Clearing BRA Credit Rate, $/MW</t>
  </si>
  <si>
    <t>Demand Resource (DR) Factor</t>
  </si>
  <si>
    <t>Short-Term Resource Procurement Target</t>
  </si>
  <si>
    <t>PS NORTH</t>
  </si>
  <si>
    <t>DPL SOUTH</t>
  </si>
  <si>
    <t>Preliminary FRR Obligation</t>
  </si>
  <si>
    <t>Total Peak Load of FRR Entities</t>
  </si>
  <si>
    <t>Reliability Requirement adjusted for FRR</t>
  </si>
  <si>
    <t>Net CONE, $/MW-Day (UCAP Price)</t>
  </si>
  <si>
    <t>Variable Resource Requirement Curve:</t>
  </si>
  <si>
    <t>&gt; 115%</t>
  </si>
  <si>
    <t>Participant-Funded ICTRs Awarded</t>
  </si>
  <si>
    <t>ATSI</t>
  </si>
  <si>
    <t>LOCATIONAL DELIVERABILITY AREA (LDA)</t>
  </si>
  <si>
    <t xml:space="preserve">FRR Portion of the Preliminary Peak Load Forecast       </t>
  </si>
  <si>
    <t>AEP</t>
  </si>
  <si>
    <t>Forecast Pool Requirement</t>
  </si>
  <si>
    <t>Demand Resource Factor</t>
  </si>
  <si>
    <t>PJM Region</t>
  </si>
  <si>
    <t>FRR Peak Load</t>
  </si>
  <si>
    <t>Peak Load Forecast adjusted for FRR</t>
  </si>
  <si>
    <t>Percent of Preliminary Forecast Peak Load</t>
  </si>
  <si>
    <t>Unforced Capacity, MW</t>
  </si>
  <si>
    <t>** Used to allocate Short-Term Resource Procurement Target to Zones.</t>
  </si>
  <si>
    <t>Post-Clearing BRA Credit Rate (LMT), $/MW</t>
  </si>
  <si>
    <t>Post-Clearing BRA Credit Rate (ES), $/MW</t>
  </si>
  <si>
    <t>Post-Clearing BRA Credit Rate (ANL), $/MW</t>
  </si>
  <si>
    <t>DEOK</t>
  </si>
  <si>
    <t>Limiting conditions at the CETL for modeled LDAs:</t>
  </si>
  <si>
    <t>Preliminary Zonal Peak Load Forecast less FRR load**</t>
  </si>
  <si>
    <t>PSNORTH</t>
  </si>
  <si>
    <t>ATSI-CLEVELAND</t>
  </si>
  <si>
    <t>EKPC</t>
  </si>
  <si>
    <t>Violation/Limiting Facility</t>
  </si>
  <si>
    <t>ATSI-Cleveland</t>
  </si>
  <si>
    <t>*</t>
  </si>
  <si>
    <t>Limited Demand Resource Reliability Target</t>
  </si>
  <si>
    <t>Quantities are in Unforced Capacity Megawatts</t>
  </si>
  <si>
    <t>North</t>
  </si>
  <si>
    <t>West 1</t>
  </si>
  <si>
    <t>West 2</t>
  </si>
  <si>
    <t>South 1</t>
  </si>
  <si>
    <t>South 2</t>
  </si>
  <si>
    <t>Simultaneous</t>
  </si>
  <si>
    <t>&gt; 1449</t>
  </si>
  <si>
    <t>&gt; 4301</t>
  </si>
  <si>
    <t>&gt; 1116</t>
  </si>
  <si>
    <t>&gt; 1748</t>
  </si>
  <si>
    <t>&gt; 1127</t>
  </si>
  <si>
    <t>&gt; 288</t>
  </si>
  <si>
    <t>&gt; 3876</t>
  </si>
  <si>
    <t>&gt; 3749</t>
  </si>
  <si>
    <t>&gt; 690</t>
  </si>
  <si>
    <t>&gt; 9442</t>
  </si>
  <si>
    <t>2013 Zonal W/N Coincident Peak Loads</t>
  </si>
  <si>
    <t xml:space="preserve">  Voltage / Voltage collapse for the loss of the Keeney - Rock Springs 500 kV circuit.</t>
  </si>
  <si>
    <t xml:space="preserve">  Voltage / Voltage collapse for the loss of Burches Hill - Possum Point 500 kV circuit.</t>
  </si>
  <si>
    <t xml:space="preserve">  Thermal/Easton - Trappe Tap 69 kV circuit.</t>
  </si>
  <si>
    <t xml:space="preserve">  Thermal / South Canton - Harmon 345 kV circuit.</t>
  </si>
  <si>
    <t>CETL to CETO Ratio %</t>
  </si>
  <si>
    <t xml:space="preserve">  Thermal / Brister - Ox 500 kV circuit</t>
  </si>
  <si>
    <t>PL</t>
  </si>
  <si>
    <t>&gt; 4324</t>
  </si>
  <si>
    <t xml:space="preserve">  Thermal / Roseland - Wilpipe 230 kV circuit.</t>
  </si>
  <si>
    <t xml:space="preserve">  Thermal / University Park - East Frankfort 345 kV circuit.</t>
  </si>
  <si>
    <t xml:space="preserve">  Thermal / Wescosville 500/138 kV transformer.</t>
  </si>
  <si>
    <t>Minimum Internal Resource Requirement</t>
  </si>
  <si>
    <t>FRR Load Requirement (% Obligation):</t>
  </si>
  <si>
    <t>&gt; 1300.0</t>
  </si>
  <si>
    <t>&gt; 1484.0</t>
  </si>
  <si>
    <t xml:space="preserve">LDA      </t>
  </si>
  <si>
    <t>2017-2018 RPM Base Residual Auction Planning Parameters</t>
  </si>
  <si>
    <t>Sub-Annual Resource Reliability Target</t>
  </si>
  <si>
    <t>* LDA has adequate internal resources to meet the reliability criterion.</t>
  </si>
  <si>
    <t>LDA CETO/CETL Data; Zonal Peak Loads, Base Zonal FRR Scaling Factors, and Zonal Short-Term Resource Procurement Targets.</t>
  </si>
  <si>
    <t xml:space="preserve">DR Constraints for FRR Load (ICAP as % of peak load) </t>
  </si>
  <si>
    <t>Limited Resource Constraint</t>
  </si>
  <si>
    <t>Sub-Annual Resource Constraint</t>
  </si>
  <si>
    <t xml:space="preserve">  Thermal / Pumphrey 230/115 kV transformer.</t>
  </si>
  <si>
    <t>External Source Zone</t>
  </si>
  <si>
    <t>Capacity Benefit Margin (CBM)</t>
  </si>
  <si>
    <t>0.8*BRA STRPT</t>
  </si>
  <si>
    <t>2017-2018 RPM First Incremental Auction Planning Parameters</t>
  </si>
  <si>
    <t>ATSI-C</t>
  </si>
  <si>
    <t>First Contingency Total Transfer Capability (FCTTC)</t>
  </si>
  <si>
    <t>Notes:</t>
  </si>
  <si>
    <t>Approved CIL Exception Requests *</t>
  </si>
  <si>
    <t xml:space="preserve">Load forecast from 2015 Load Report adjusted for Non-Zone Load.. </t>
  </si>
  <si>
    <t>Updated Peak Load Forecast</t>
  </si>
  <si>
    <t>Limited Resources</t>
  </si>
  <si>
    <t>Extended Summer Resources</t>
  </si>
  <si>
    <t>Annual Resources</t>
  </si>
  <si>
    <t>Total Resources</t>
  </si>
  <si>
    <t>Change in Reliability Requirement *</t>
  </si>
  <si>
    <t>Short-Term Resource Procurement Target Applicable Share</t>
  </si>
  <si>
    <t>Change in CETL</t>
  </si>
  <si>
    <t>Capacity Import Limit Margin **</t>
  </si>
  <si>
    <t xml:space="preserve">   * As per Section 5.4.(c) of the PJM OATT, the reliability requirement for the RTO and each LDA will be updated since the change in reliability requirement for the RTO and each LDA or </t>
  </si>
  <si>
    <t xml:space="preserve">      parent of the LDA exceeds the lesser of the 500 MW or 1% threshold.</t>
  </si>
  <si>
    <t>** Capacity Import Limit Margin indicates the capacity import capability remaining into the LDA.</t>
  </si>
  <si>
    <t>PJM Buy Bids &amp; Sell Offers</t>
  </si>
  <si>
    <t>Price Points for PJM Buy Bids and PJM Sell Offers ***</t>
  </si>
  <si>
    <t>Location</t>
  </si>
  <si>
    <t>Change in Reliability Requirement (MW)</t>
  </si>
  <si>
    <t>Short-Term Resource Procurement Target Applicable Share (MW)</t>
  </si>
  <si>
    <t>Uncleared PJM Buy Bids from Prior IA</t>
  </si>
  <si>
    <t>Additional Buy Bids *</t>
  </si>
  <si>
    <t>PJM Buy Bid (MW) **</t>
  </si>
  <si>
    <t>Capacity Type</t>
  </si>
  <si>
    <t>Point 1 x-axis (MW)</t>
  </si>
  <si>
    <t>Point 1 y-axis ($/MW-Day)</t>
  </si>
  <si>
    <t>Point 2 x-axis (MW)</t>
  </si>
  <si>
    <t>Point 2 y-axis ($/MW-Day)</t>
  </si>
  <si>
    <t>Point 3 x-axis (MW)</t>
  </si>
  <si>
    <t>Point 3 y-axis ($/MW-Day)</t>
  </si>
  <si>
    <t>Point 4 x-axis (MW)</t>
  </si>
  <si>
    <t>Point 4 y-axis ($/MW-Day)</t>
  </si>
  <si>
    <t>RTO (Rest of)</t>
  </si>
  <si>
    <t>Annual</t>
  </si>
  <si>
    <t xml:space="preserve"> --</t>
  </si>
  <si>
    <t>MAAC (Rest of)</t>
  </si>
  <si>
    <t>EMAAC (Rest of)</t>
  </si>
  <si>
    <t>SWMAAC (Rest of)</t>
  </si>
  <si>
    <t>PS (Rest of)</t>
  </si>
  <si>
    <t>ATSI (Rest of)</t>
  </si>
  <si>
    <t>TOTAL</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</si>
  <si>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</si>
  <si>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No requests received for this auction.</t>
  </si>
  <si>
    <t>Zone/Sub Zone</t>
  </si>
  <si>
    <t>Annual DR</t>
  </si>
  <si>
    <t>Extended Summer DR</t>
  </si>
  <si>
    <t>Limited DR</t>
  </si>
  <si>
    <t>PENELEC</t>
  </si>
  <si>
    <t>Total</t>
  </si>
  <si>
    <t>Rest of LDA</t>
  </si>
  <si>
    <t>Cumulative-Annual DR</t>
  </si>
  <si>
    <t>Cumulative-Extended Summer DR</t>
  </si>
  <si>
    <t>Cumulative-Limited DR</t>
  </si>
  <si>
    <t>Total-Rest of LDA</t>
  </si>
  <si>
    <t>Total-Cumulative</t>
  </si>
  <si>
    <t>Annual Resources *</t>
  </si>
  <si>
    <t>* Annual Resources include generation cleared in External Source Zones.</t>
  </si>
  <si>
    <t>BRA Limited Resource Clearing Price, $/MW-Day</t>
  </si>
  <si>
    <t>BRA Ext Summer Resource Clearing Price, $/MW-Day</t>
  </si>
  <si>
    <t>BRA Annual Resource Clearing Price, $/MW-Day</t>
  </si>
  <si>
    <t>Sub-Annual (Limited + Extended Summer) Resources</t>
  </si>
  <si>
    <t>Confirmed Network External Designated Transmission Service (NEDTS) *</t>
  </si>
  <si>
    <t xml:space="preserve">  ** In addition to ensuring that the CIL used in the auction plus the granted exceptions to not exceed the granted NEDTS less the CBM, PJM is also ensuring that the CIL used in the auction plus the granted exceptions does not exceed the FCTTC less the CBM.</t>
  </si>
  <si>
    <t>** The simultaneous limit is greater than the sum of the individual External Source Zone limits and will therefore not constrain imports by itself since the individual Source Zone limits would be reached before the simultaneous limit.</t>
  </si>
  <si>
    <t xml:space="preserve">   * Additional Buy Bids to account for Non-Viable DR commitments related to DR Residential M&amp;V Transition Provision. None for this auction.</t>
  </si>
  <si>
    <t xml:space="preserve">Configuration of 2nd Incremental Auction for 2017/2018 Delivery Year </t>
  </si>
  <si>
    <t>2017-2018 2nd Incremental Auction Configuration</t>
  </si>
  <si>
    <t>2017/2018 2nd IA Non-Viable DR Commitments Related to DR Residential M&amp;V Transition Provision</t>
  </si>
  <si>
    <t>2017-2018 RPM 2nd Incremental Auction Planning Parameters</t>
  </si>
  <si>
    <t>0.6*BRA STRPT</t>
  </si>
  <si>
    <t xml:space="preserve">Load forecast from 2016 Load Report adjusted for Non-Zone Load.. </t>
  </si>
  <si>
    <t>1st IA Reliability Requirement</t>
  </si>
  <si>
    <t>Release of New Capacity Procured in Transition Auction</t>
  </si>
  <si>
    <t xml:space="preserve">2017/2018 2nd IA Demand Resource Constraints </t>
  </si>
  <si>
    <t>--</t>
  </si>
  <si>
    <t>2017/2018 2nd IA Capacity Import Limits in Megawatts</t>
  </si>
  <si>
    <t>Capacity Import Limit (CIL) for use in 2nd IA **</t>
  </si>
  <si>
    <t>2017-2018 Pre-Clearing 2nd IA Credit Rates</t>
  </si>
  <si>
    <t>Pre-Clearing 2nd IA Credit Rate (LMT), $/MW</t>
  </si>
  <si>
    <t>Pre-Clearing 2nd IA Credit Rate (ES), $/MW</t>
  </si>
  <si>
    <t>Pre-Clearing 2nd IA Credit Rate (ANL), $/MW</t>
  </si>
  <si>
    <t>2nd IA Reliability Requirement</t>
  </si>
  <si>
    <t>EE Addback to Peak Load Forecast</t>
  </si>
  <si>
    <t>Reliability Requirement with EE Addback</t>
  </si>
  <si>
    <t>EE Cleared in Prior Auctions (UCAP)</t>
  </si>
  <si>
    <t>Ext Summer</t>
  </si>
  <si>
    <t>Previously Committed Capacity (Cleared in BRA+1st IA)</t>
  </si>
  <si>
    <t xml:space="preserve">   ** A PJM Sell Offer is indicated by a negative PJM Buy Bid.  The 899.7 MW MAAC Sell Offer reflects the net of a 1,363.5 MW MAAC Sell Offer with a 252.1 MW RTO Buy Bid and 211.7 MW PPL Buy Bid. The 0 MW SWMAAC Sell Offer reflects the net of a 123 MW SWMAAC Buy Bid with 23.0 MW PEPCO Sell Offer and 100.0 MW BGE Sell Offer.  </t>
  </si>
  <si>
    <t>Capacity Cleared in BRA &amp; 1st IA</t>
  </si>
  <si>
    <t xml:space="preserve">   *  The quantities of Confirmed NEDTS and Approved CIL Exception Requests are as of 6/30/16.</t>
  </si>
  <si>
    <t>2017-2018 Post-Clearing 2nd IA Credit Rates</t>
  </si>
  <si>
    <t>2nd IA Limited Resource Clearing Price, $/MW-Day</t>
  </si>
  <si>
    <t>Post-Clearing 2nd IA Credit Rate (LMT), $/MW</t>
  </si>
  <si>
    <t>2nd IA Ext Summer Resource Clearing Price, $/MW-Day</t>
  </si>
  <si>
    <t>Post-Clearing 2nd IA Credit Rate (ES), $/MW</t>
  </si>
  <si>
    <t>2nd IA Annual Resource Clearing Price, $/MW-Day</t>
  </si>
  <si>
    <t>Post-Clearing 2nd IA Credit Rate (ANL), $/MW</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</si>
</sst>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quot;$&quot;#,##0.00"/>
    <numFmt numFmtId="174" formatCode="#,##0.0"/>
    <numFmt numFmtId="175" formatCode="0.00000"/>
    <numFmt numFmtId="176" formatCode="&quot;$&quot;#,##0"/>
    <numFmt numFmtId="177" formatCode="#,##0.0000"/>
    <numFmt numFmtId="178" formatCode="[$-409]dddd\,\ mmmm\ dd\,\ yyyy"/>
    <numFmt numFmtId="179" formatCode="[$-409]h:mm:ss\ AM/PM"/>
    <numFmt numFmtId="180" formatCode="&quot;$&quot;#,##0.0"/>
    <numFmt numFmtId="181" formatCode="_(* #,##0.0_);_(* \(#,##0.0\);_(* &quot;-&quot;?_);_(@_)"/>
    <numFmt numFmtId="182" formatCode="_(* #,##0.0_);_(* \(#,##0.0\);_(* &quot;-&quot;??_);_(@_)"/>
    <numFmt numFmtId="183" formatCode="_(* #,##0.00000_);_(* \(#,##0.00000\);_(* &quot;-&quot;??_);_(@_)"/>
    <numFmt numFmtId="184" formatCode="_(* #,##0.0000_);_(* \(#,##0.0000\);_(* &quot;-&quot;????_);_(@_)"/>
    <numFmt numFmtId="185" formatCode="#,##0.000"/>
    <numFmt numFmtId="186" formatCode="0.0000000"/>
    <numFmt numFmtId="187" formatCode="0.000000"/>
    <numFmt numFmtId="188" formatCode="&quot;$&quot;#,##0.0_);[Red]\(&quot;$&quot;#,##0.0\)"/>
    <numFmt numFmtId="189" formatCode="&quot;$&quot;#,##0.000_);[Red]\(&quot;$&quot;#,##0.000\)"/>
    <numFmt numFmtId="190" formatCode="_(* #,##0.00000_);_(* \(#,##0.00000\);_(* &quot;-&quot;?????_);_(@_)"/>
    <numFmt numFmtId="191" formatCode="_(* #,##0_);_(* \(#,##0\);_(* &quot;-&quot;??_);_(@_)"/>
    <numFmt numFmtId="192" formatCode="0.000%"/>
    <numFmt numFmtId="193" formatCode="_(* #,##0.000_);_(* \(#,##0.000\);_(* &quot;-&quot;??_);_(@_)"/>
    <numFmt numFmtId="194" formatCode="_(* #,##0.0000_);_(* \(#,##0.0000\);_(* &quot;-&quot;??_);_(@_)"/>
    <numFmt numFmtId="195" formatCode="_(* #,##0.000000_);_(* \(#,##0.000000\);_(* &quot;-&quot;??_);_(@_)"/>
    <numFmt numFmtId="196" formatCode="m/d/yy\ h:mm;@"/>
    <numFmt numFmtId="197" formatCode="m/d/yy\ hhmm;@"/>
    <numFmt numFmtId="198" formatCode="&quot;$&quot;#,##0.000"/>
    <numFmt numFmtId="199" formatCode="&quot;$&quot;#,##0.0000"/>
    <numFmt numFmtId="200" formatCode="_(* #,##0.00_);_(* \(#,##0.00\);_(* &quot;-&quot;?_);_(@_)"/>
    <numFmt numFmtId="201" formatCode="0.000000000"/>
  </numFmts>
  <fonts count="59">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2"/>
      <name val="Arial"/>
      <family val="2"/>
    </font>
    <font>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sz val="12"/>
      <color indexed="10"/>
      <name val="Arial"/>
      <family val="2"/>
    </font>
    <font>
      <sz val="12"/>
      <color indexed="56"/>
      <name val="Arial"/>
      <family val="2"/>
    </font>
    <font>
      <b/>
      <sz val="12"/>
      <color indexed="10"/>
      <name val="Arial"/>
      <family val="2"/>
    </font>
    <font>
      <b/>
      <sz val="11"/>
      <color indexed="8"/>
      <name val="Calibri"/>
      <family val="2"/>
    </font>
    <font>
      <sz val="12"/>
      <color indexed="8"/>
      <name val="Arial"/>
      <family val="2"/>
    </font>
    <font>
      <sz val="14"/>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sz val="12"/>
      <color rgb="FFFF0000"/>
      <name val="Arial"/>
      <family val="2"/>
    </font>
    <font>
      <sz val="12"/>
      <color rgb="FF002060"/>
      <name val="Arial"/>
      <family val="2"/>
    </font>
    <font>
      <b/>
      <sz val="12"/>
      <color rgb="FFFF0000"/>
      <name val="Arial"/>
      <family val="2"/>
    </font>
    <font>
      <b/>
      <sz val="11"/>
      <color theme="1"/>
      <name val="Calibri"/>
      <family val="2"/>
    </font>
    <font>
      <sz val="12"/>
      <color theme="1"/>
      <name val="Arial"/>
      <family val="2"/>
    </font>
    <font>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color indexed="63"/>
      </top>
      <bottom style="thin"/>
    </border>
    <border>
      <left style="medium"/>
      <right>
        <color indexed="63"/>
      </right>
      <top style="thin"/>
      <bottom style="thin"/>
    </border>
    <border>
      <left style="medium"/>
      <right>
        <color indexed="63"/>
      </right>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top style="thin"/>
      <bottom/>
    </border>
    <border>
      <left>
        <color indexed="63"/>
      </left>
      <right>
        <color indexed="63"/>
      </right>
      <top style="thin"/>
      <bottom>
        <color indexed="63"/>
      </bottom>
    </border>
    <border>
      <left/>
      <right style="thin"/>
      <top style="thin"/>
      <bottom/>
    </border>
    <border>
      <left style="medium"/>
      <right style="thin"/>
      <top style="thin"/>
      <bottom style="mediu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style="hair"/>
      <top style="medium"/>
      <bottom style="medium"/>
    </border>
    <border>
      <left style="hair"/>
      <right style="medium"/>
      <top style="medium"/>
      <bottom style="medium"/>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style="thin"/>
      <top/>
      <bottom/>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hair"/>
      <right style="hair"/>
      <top style="hair"/>
      <bottom style="hair"/>
    </border>
    <border>
      <left style="medium"/>
      <right>
        <color indexed="63"/>
      </right>
      <top style="hair"/>
      <bottom style="hair"/>
    </border>
    <border>
      <left style="hair"/>
      <right style="medium"/>
      <top style="hair"/>
      <bottom>
        <color indexed="63"/>
      </bottom>
    </border>
    <border>
      <left style="hair"/>
      <right style="hair"/>
      <top style="hair"/>
      <bottom>
        <color indexed="63"/>
      </bottom>
    </border>
    <border>
      <left style="medium"/>
      <right>
        <color indexed="63"/>
      </right>
      <top style="hair"/>
      <bottom>
        <color indexed="63"/>
      </bottom>
    </border>
    <border>
      <left style="medium"/>
      <right style="hair"/>
      <top style="hair"/>
      <bottom>
        <color indexed="63"/>
      </bottom>
    </border>
    <border>
      <left style="medium"/>
      <right style="hair"/>
      <top style="hair"/>
      <bottom style="medium"/>
    </border>
    <border>
      <left style="hair"/>
      <right style="medium"/>
      <top style="hair"/>
      <bottom style="medium"/>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style="medium"/>
      <bottom style="hair"/>
    </border>
    <border>
      <left>
        <color indexed="63"/>
      </left>
      <right style="medium"/>
      <top style="hair"/>
      <bottom style="hair"/>
    </border>
    <border>
      <left>
        <color indexed="63"/>
      </left>
      <right style="medium"/>
      <top style="medium"/>
      <bottom style="hair"/>
    </border>
    <border>
      <left>
        <color indexed="63"/>
      </left>
      <right style="medium"/>
      <top style="hair"/>
      <bottom>
        <color indexed="63"/>
      </bottom>
    </border>
    <border>
      <left>
        <color indexed="63"/>
      </left>
      <right>
        <color indexed="63"/>
      </right>
      <top style="medium"/>
      <bottom style="medium"/>
    </border>
    <border>
      <left style="medium"/>
      <right>
        <color indexed="63"/>
      </right>
      <top style="medium"/>
      <bottom style="hair"/>
    </border>
    <border>
      <left style="medium"/>
      <right>
        <color indexed="63"/>
      </right>
      <top style="hair"/>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wrapText="1"/>
      <protection/>
    </xf>
    <xf numFmtId="0" fontId="0" fillId="0" borderId="0">
      <alignment/>
      <protection/>
    </xf>
    <xf numFmtId="0" fontId="39"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10">
    <xf numFmtId="0" fontId="0" fillId="0" borderId="0" xfId="0" applyAlignment="1">
      <alignment/>
    </xf>
    <xf numFmtId="0" fontId="0" fillId="0" borderId="0" xfId="0" applyAlignment="1">
      <alignment horizontal="center"/>
    </xf>
    <xf numFmtId="0" fontId="7" fillId="0" borderId="0" xfId="0" applyFont="1" applyBorder="1" applyAlignment="1">
      <alignment/>
    </xf>
    <xf numFmtId="0" fontId="2" fillId="0" borderId="0" xfId="0" applyFont="1" applyAlignment="1">
      <alignment wrapText="1"/>
    </xf>
    <xf numFmtId="0" fontId="0" fillId="0" borderId="0" xfId="0" applyFont="1" applyAlignment="1">
      <alignment/>
    </xf>
    <xf numFmtId="0" fontId="2" fillId="0" borderId="0" xfId="0" applyFont="1" applyBorder="1" applyAlignment="1">
      <alignment/>
    </xf>
    <xf numFmtId="0" fontId="0" fillId="0" borderId="0" xfId="0" applyFont="1" applyBorder="1" applyAlignment="1">
      <alignment/>
    </xf>
    <xf numFmtId="0" fontId="52" fillId="0" borderId="0" xfId="0" applyFont="1" applyAlignment="1">
      <alignment/>
    </xf>
    <xf numFmtId="182" fontId="2" fillId="0" borderId="0" xfId="0" applyNumberFormat="1" applyFont="1" applyFill="1" applyBorder="1" applyAlignment="1">
      <alignment horizontal="right"/>
    </xf>
    <xf numFmtId="173" fontId="7" fillId="0" borderId="10" xfId="0" applyNumberFormat="1" applyFont="1" applyBorder="1" applyAlignment="1">
      <alignment horizontal="right" vertical="center" wrapText="1"/>
    </xf>
    <xf numFmtId="174" fontId="7" fillId="0" borderId="10" xfId="0" applyNumberFormat="1" applyFont="1" applyBorder="1" applyAlignment="1">
      <alignment horizontal="right" vertical="center" wrapText="1"/>
    </xf>
    <xf numFmtId="172" fontId="7" fillId="0" borderId="10" xfId="0" applyNumberFormat="1" applyFont="1" applyBorder="1" applyAlignment="1">
      <alignment horizontal="right" vertical="center"/>
    </xf>
    <xf numFmtId="173" fontId="6" fillId="0" borderId="10" xfId="0" applyNumberFormat="1" applyFont="1" applyBorder="1" applyAlignment="1">
      <alignment horizontal="right" vertical="center" wrapText="1"/>
    </xf>
    <xf numFmtId="0" fontId="6" fillId="0" borderId="0" xfId="0" applyFont="1" applyBorder="1" applyAlignment="1">
      <alignment horizontal="center"/>
    </xf>
    <xf numFmtId="0" fontId="5" fillId="0" borderId="10" xfId="0" applyFont="1" applyBorder="1" applyAlignment="1">
      <alignment horizontal="left"/>
    </xf>
    <xf numFmtId="0" fontId="5" fillId="0" borderId="10" xfId="0" applyFont="1" applyBorder="1" applyAlignment="1">
      <alignment horizontal="center"/>
    </xf>
    <xf numFmtId="0" fontId="7" fillId="0" borderId="10" xfId="0" applyFont="1" applyBorder="1" applyAlignment="1">
      <alignment horizontal="left" vertical="center"/>
    </xf>
    <xf numFmtId="171" fontId="7" fillId="0" borderId="10" xfId="0" applyNumberFormat="1" applyFont="1" applyBorder="1" applyAlignment="1">
      <alignment horizontal="center" vertical="center"/>
    </xf>
    <xf numFmtId="10" fontId="7" fillId="0" borderId="10" xfId="0" applyNumberFormat="1" applyFont="1" applyBorder="1" applyAlignment="1">
      <alignment horizontal="center" vertical="center"/>
    </xf>
    <xf numFmtId="166" fontId="7"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0" fontId="6" fillId="0" borderId="10" xfId="0" applyFont="1" applyBorder="1" applyAlignment="1">
      <alignment horizontal="center" vertical="center"/>
    </xf>
    <xf numFmtId="171" fontId="7" fillId="0" borderId="10" xfId="0" applyNumberFormat="1" applyFont="1" applyBorder="1" applyAlignment="1">
      <alignment horizontal="right" vertical="center" wrapText="1"/>
    </xf>
    <xf numFmtId="0" fontId="7" fillId="0" borderId="11" xfId="0" applyFont="1" applyBorder="1" applyAlignment="1">
      <alignment horizontal="left" vertical="center" wrapText="1"/>
    </xf>
    <xf numFmtId="1" fontId="7" fillId="0" borderId="11" xfId="0" applyNumberFormat="1" applyFont="1" applyBorder="1" applyAlignment="1">
      <alignment horizontal="left" vertical="center" wrapText="1"/>
    </xf>
    <xf numFmtId="0" fontId="2"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right" vertical="center"/>
    </xf>
    <xf numFmtId="0" fontId="6" fillId="0" borderId="10" xfId="0" applyFont="1" applyBorder="1" applyAlignment="1">
      <alignment horizontal="left" vertical="center"/>
    </xf>
    <xf numFmtId="0" fontId="7" fillId="0" borderId="10" xfId="0" applyFont="1" applyFill="1" applyBorder="1" applyAlignment="1">
      <alignment vertical="center"/>
    </xf>
    <xf numFmtId="0" fontId="6" fillId="0" borderId="10" xfId="0" applyFont="1" applyFill="1" applyBorder="1" applyAlignment="1">
      <alignment horizontal="left" vertical="center"/>
    </xf>
    <xf numFmtId="0" fontId="7" fillId="0" borderId="13" xfId="0" applyFont="1" applyBorder="1" applyAlignment="1">
      <alignment horizontal="left" vertical="center" wrapText="1"/>
    </xf>
    <xf numFmtId="173" fontId="7" fillId="0" borderId="10" xfId="46" applyNumberFormat="1" applyFont="1" applyBorder="1" applyAlignment="1">
      <alignment horizontal="center" vertical="center" wrapText="1"/>
    </xf>
    <xf numFmtId="0" fontId="53" fillId="0" borderId="14" xfId="0" applyFont="1" applyFill="1" applyBorder="1" applyAlignment="1">
      <alignment/>
    </xf>
    <xf numFmtId="0" fontId="0" fillId="0" borderId="0" xfId="0" applyFill="1" applyAlignment="1">
      <alignment/>
    </xf>
    <xf numFmtId="0" fontId="7" fillId="0" borderId="0" xfId="0" applyFont="1" applyFill="1" applyBorder="1" applyAlignment="1">
      <alignment vertical="center"/>
    </xf>
    <xf numFmtId="0" fontId="5" fillId="0" borderId="10" xfId="0" applyFont="1" applyBorder="1" applyAlignment="1">
      <alignment horizontal="center" vertical="center"/>
    </xf>
    <xf numFmtId="174" fontId="7" fillId="0" borderId="10" xfId="67" applyNumberFormat="1" applyFont="1" applyFill="1" applyBorder="1" applyAlignment="1">
      <alignment horizontal="right" vertical="center"/>
    </xf>
    <xf numFmtId="9" fontId="7" fillId="0" borderId="10" xfId="67" applyFont="1" applyFill="1" applyBorder="1" applyAlignment="1">
      <alignment horizontal="right" vertical="center"/>
    </xf>
    <xf numFmtId="9" fontId="7" fillId="0" borderId="10" xfId="67" applyNumberFormat="1" applyFont="1" applyFill="1" applyBorder="1" applyAlignment="1">
      <alignment horizontal="right" vertical="center"/>
    </xf>
    <xf numFmtId="0" fontId="6" fillId="0" borderId="0" xfId="0" applyFont="1" applyBorder="1" applyAlignment="1">
      <alignment horizontal="left"/>
    </xf>
    <xf numFmtId="0" fontId="7" fillId="0" borderId="0" xfId="0" applyFont="1" applyBorder="1" applyAlignment="1">
      <alignment vertical="center"/>
    </xf>
    <xf numFmtId="0" fontId="7" fillId="0" borderId="0" xfId="0" applyFont="1" applyBorder="1" applyAlignment="1">
      <alignment horizontal="left" vertical="center"/>
    </xf>
    <xf numFmtId="0" fontId="51" fillId="0" borderId="0" xfId="0" applyFont="1" applyBorder="1" applyAlignment="1">
      <alignment horizontal="center" vertical="center"/>
    </xf>
    <xf numFmtId="0" fontId="2" fillId="0" borderId="0" xfId="0" applyFont="1" applyAlignment="1">
      <alignment horizontal="right" wrapText="1"/>
    </xf>
    <xf numFmtId="0" fontId="53" fillId="0" borderId="0" xfId="0" applyFont="1" applyBorder="1" applyAlignment="1">
      <alignment/>
    </xf>
    <xf numFmtId="0" fontId="5" fillId="0" borderId="0" xfId="0" applyFont="1" applyBorder="1" applyAlignment="1">
      <alignment horizontal="left" vertical="center"/>
    </xf>
    <xf numFmtId="174" fontId="7"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74" fontId="7" fillId="0" borderId="10" xfId="42" applyNumberFormat="1" applyFont="1" applyFill="1" applyBorder="1" applyAlignment="1">
      <alignment horizontal="right" vertical="center"/>
    </xf>
    <xf numFmtId="171" fontId="6" fillId="0" borderId="10" xfId="67" applyNumberFormat="1" applyFont="1" applyFill="1" applyBorder="1" applyAlignment="1">
      <alignment horizontal="right" vertical="center"/>
    </xf>
    <xf numFmtId="174" fontId="54" fillId="0" borderId="10" xfId="0" applyNumberFormat="1" applyFont="1" applyFill="1" applyBorder="1" applyAlignment="1">
      <alignment horizontal="right" vertical="center"/>
    </xf>
    <xf numFmtId="0" fontId="6" fillId="0" borderId="0" xfId="0" applyFont="1" applyFill="1" applyBorder="1" applyAlignment="1">
      <alignment horizontal="left" vertical="center"/>
    </xf>
    <xf numFmtId="171" fontId="7" fillId="0" borderId="0" xfId="67" applyNumberFormat="1" applyFont="1" applyBorder="1" applyAlignment="1">
      <alignment/>
    </xf>
    <xf numFmtId="0" fontId="7" fillId="0" borderId="15" xfId="0" applyFont="1" applyFill="1" applyBorder="1" applyAlignment="1">
      <alignment horizontal="right" vertical="center"/>
    </xf>
    <xf numFmtId="171" fontId="53" fillId="0" borderId="0" xfId="67" applyNumberFormat="1" applyFont="1" applyBorder="1" applyAlignment="1">
      <alignment horizontal="right"/>
    </xf>
    <xf numFmtId="0" fontId="55" fillId="0" borderId="0" xfId="0" applyFont="1" applyBorder="1" applyAlignment="1">
      <alignment vertical="center"/>
    </xf>
    <xf numFmtId="0" fontId="55" fillId="0" borderId="0" xfId="0" applyFont="1" applyBorder="1" applyAlignment="1">
      <alignment horizontal="left" vertical="center"/>
    </xf>
    <xf numFmtId="1" fontId="6" fillId="0" borderId="11" xfId="0" applyNumberFormat="1" applyFont="1" applyBorder="1" applyAlignment="1">
      <alignment horizontal="left" vertical="center"/>
    </xf>
    <xf numFmtId="0" fontId="6"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2" borderId="10" xfId="0" applyFont="1" applyFill="1" applyBorder="1" applyAlignment="1">
      <alignment vertical="center"/>
    </xf>
    <xf numFmtId="174" fontId="7" fillId="2" borderId="10" xfId="42" applyNumberFormat="1" applyFont="1" applyFill="1" applyBorder="1" applyAlignment="1">
      <alignment horizontal="right" vertical="center"/>
    </xf>
    <xf numFmtId="174" fontId="7" fillId="2" borderId="10" xfId="0" applyNumberFormat="1" applyFont="1" applyFill="1" applyBorder="1" applyAlignment="1">
      <alignment horizontal="right" vertical="center"/>
    </xf>
    <xf numFmtId="0" fontId="7" fillId="7" borderId="10" xfId="0" applyFont="1" applyFill="1" applyBorder="1" applyAlignment="1">
      <alignment vertical="center"/>
    </xf>
    <xf numFmtId="171" fontId="6" fillId="7" borderId="10" xfId="67" applyNumberFormat="1" applyFont="1" applyFill="1" applyBorder="1" applyAlignment="1">
      <alignment horizontal="right" vertical="center"/>
    </xf>
    <xf numFmtId="0" fontId="7" fillId="6" borderId="10" xfId="0" applyFont="1" applyFill="1" applyBorder="1" applyAlignment="1">
      <alignment horizontal="left" vertical="center"/>
    </xf>
    <xf numFmtId="0" fontId="7" fillId="6" borderId="10" xfId="0" applyFont="1" applyFill="1" applyBorder="1" applyAlignment="1">
      <alignment horizontal="right" vertical="center"/>
    </xf>
    <xf numFmtId="0" fontId="7" fillId="6" borderId="16" xfId="0" applyFont="1" applyFill="1" applyBorder="1" applyAlignment="1">
      <alignment horizontal="left" vertical="center"/>
    </xf>
    <xf numFmtId="0" fontId="7" fillId="6" borderId="16" xfId="0" applyFont="1" applyFill="1" applyBorder="1" applyAlignment="1">
      <alignment horizontal="righ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0" fillId="0" borderId="18" xfId="0" applyBorder="1" applyAlignment="1">
      <alignment horizontal="left"/>
    </xf>
    <xf numFmtId="0" fontId="0" fillId="0" borderId="19" xfId="0" applyBorder="1" applyAlignment="1">
      <alignment horizontal="left"/>
    </xf>
    <xf numFmtId="0" fontId="6" fillId="0" borderId="11" xfId="0" applyFont="1" applyBorder="1" applyAlignment="1">
      <alignment horizontal="right" vertical="center" wrapText="1"/>
    </xf>
    <xf numFmtId="0" fontId="7" fillId="0" borderId="11" xfId="0" applyFont="1" applyBorder="1" applyAlignment="1">
      <alignment horizontal="right" vertical="center"/>
    </xf>
    <xf numFmtId="0" fontId="7" fillId="0" borderId="11" xfId="0" applyFont="1" applyFill="1" applyBorder="1" applyAlignment="1">
      <alignment horizontal="right" vertical="center"/>
    </xf>
    <xf numFmtId="0" fontId="7" fillId="0" borderId="20" xfId="0" applyFont="1" applyFill="1" applyBorder="1" applyAlignment="1">
      <alignment horizontal="right" vertical="center"/>
    </xf>
    <xf numFmtId="174" fontId="7" fillId="0" borderId="10" xfId="0" applyNumberFormat="1" applyFont="1" applyFill="1" applyBorder="1" applyAlignment="1">
      <alignment horizontal="right" vertical="center" wrapText="1"/>
    </xf>
    <xf numFmtId="181" fontId="0" fillId="0" borderId="0" xfId="0" applyNumberFormat="1" applyAlignment="1">
      <alignment/>
    </xf>
    <xf numFmtId="174" fontId="7" fillId="0" borderId="10" xfId="0" applyNumberFormat="1" applyFont="1" applyFill="1" applyBorder="1" applyAlignment="1">
      <alignment horizontal="center" vertical="center"/>
    </xf>
    <xf numFmtId="0" fontId="7" fillId="0" borderId="0" xfId="0" applyFont="1" applyFill="1" applyBorder="1" applyAlignment="1">
      <alignment horizontal="left" vertical="center"/>
    </xf>
    <xf numFmtId="4" fontId="7" fillId="0" borderId="0" xfId="0" applyNumberFormat="1" applyFont="1" applyFill="1" applyBorder="1" applyAlignment="1">
      <alignment horizontal="left" vertical="center"/>
    </xf>
    <xf numFmtId="171" fontId="7" fillId="0" borderId="10" xfId="67" applyNumberFormat="1" applyFont="1" applyFill="1" applyBorder="1" applyAlignment="1">
      <alignment horizontal="center" vertical="center"/>
    </xf>
    <xf numFmtId="173" fontId="6" fillId="0" borderId="10" xfId="0" applyNumberFormat="1" applyFont="1" applyFill="1" applyBorder="1" applyAlignment="1">
      <alignment horizontal="center" vertical="center"/>
    </xf>
    <xf numFmtId="176" fontId="55"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21" xfId="0" applyFont="1" applyFill="1" applyBorder="1" applyAlignment="1">
      <alignment horizontal="center" vertical="center"/>
    </xf>
    <xf numFmtId="174" fontId="6" fillId="0" borderId="10" xfId="0" applyNumberFormat="1" applyFont="1" applyFill="1" applyBorder="1" applyAlignment="1">
      <alignment horizontal="right" vertical="center" wrapText="1"/>
    </xf>
    <xf numFmtId="0" fontId="6" fillId="0" borderId="10" xfId="0" applyFont="1" applyFill="1" applyBorder="1" applyAlignment="1">
      <alignment horizontal="right" vertical="center" wrapText="1"/>
    </xf>
    <xf numFmtId="0" fontId="7" fillId="0" borderId="10" xfId="0" applyFont="1" applyFill="1" applyBorder="1" applyAlignment="1">
      <alignment horizontal="right" vertical="center" wrapText="1"/>
    </xf>
    <xf numFmtId="0" fontId="7" fillId="0" borderId="10" xfId="0" applyFont="1" applyFill="1" applyBorder="1" applyAlignment="1">
      <alignment horizontal="center" vertical="center" wrapText="1"/>
    </xf>
    <xf numFmtId="174" fontId="7" fillId="0" borderId="10" xfId="0" applyNumberFormat="1" applyFont="1" applyFill="1" applyBorder="1" applyAlignment="1">
      <alignment horizontal="center" vertical="center" wrapText="1"/>
    </xf>
    <xf numFmtId="172" fontId="7" fillId="0" borderId="10" xfId="0" applyNumberFormat="1" applyFont="1" applyFill="1" applyBorder="1" applyAlignment="1">
      <alignment horizontal="right" vertical="center" wrapText="1"/>
    </xf>
    <xf numFmtId="175" fontId="7" fillId="0" borderId="10" xfId="67" applyNumberFormat="1" applyFont="1" applyFill="1" applyBorder="1" applyAlignment="1">
      <alignment horizontal="right" vertical="center"/>
    </xf>
    <xf numFmtId="174" fontId="6" fillId="0" borderId="10" xfId="42" applyNumberFormat="1" applyFont="1" applyFill="1" applyBorder="1" applyAlignment="1">
      <alignment horizontal="right" vertical="center"/>
    </xf>
    <xf numFmtId="174" fontId="6" fillId="0" borderId="10" xfId="0" applyNumberFormat="1" applyFont="1" applyFill="1" applyBorder="1" applyAlignment="1">
      <alignment horizontal="right" vertical="center"/>
    </xf>
    <xf numFmtId="172" fontId="7" fillId="0" borderId="10" xfId="67" applyNumberFormat="1" applyFont="1" applyFill="1" applyBorder="1" applyAlignment="1">
      <alignment horizontal="right" vertical="center"/>
    </xf>
    <xf numFmtId="171" fontId="6" fillId="33" borderId="10" xfId="67" applyNumberFormat="1" applyFont="1" applyFill="1" applyBorder="1" applyAlignment="1">
      <alignment horizontal="right" vertical="center"/>
    </xf>
    <xf numFmtId="173" fontId="55" fillId="0" borderId="0" xfId="0" applyNumberFormat="1" applyFont="1" applyBorder="1" applyAlignment="1">
      <alignment vertical="center"/>
    </xf>
    <xf numFmtId="172" fontId="7" fillId="0" borderId="10" xfId="0" applyNumberFormat="1" applyFont="1" applyFill="1" applyBorder="1" applyAlignment="1">
      <alignment horizontal="right" vertical="center"/>
    </xf>
    <xf numFmtId="171" fontId="7" fillId="0" borderId="10" xfId="67" applyNumberFormat="1" applyFont="1" applyFill="1" applyBorder="1" applyAlignment="1">
      <alignment horizontal="right" vertical="center"/>
    </xf>
    <xf numFmtId="171" fontId="7" fillId="0" borderId="10" xfId="0" applyNumberFormat="1" applyFont="1" applyFill="1" applyBorder="1" applyAlignment="1">
      <alignment horizontal="right" vertical="center"/>
    </xf>
    <xf numFmtId="0" fontId="7" fillId="0" borderId="0" xfId="0" applyFont="1" applyBorder="1" applyAlignment="1">
      <alignment horizontal="right"/>
    </xf>
    <xf numFmtId="0" fontId="53" fillId="0" borderId="0" xfId="0" applyFont="1" applyFill="1" applyBorder="1" applyAlignment="1">
      <alignment vertical="center"/>
    </xf>
    <xf numFmtId="0" fontId="7" fillId="0" borderId="22"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0" xfId="0" applyFont="1" applyFill="1" applyBorder="1" applyAlignment="1">
      <alignment horizontal="left"/>
    </xf>
    <xf numFmtId="0" fontId="7" fillId="0" borderId="10" xfId="63" applyFont="1" applyBorder="1" applyAlignment="1">
      <alignment horizontal="right" vertical="center"/>
      <protection/>
    </xf>
    <xf numFmtId="0" fontId="6" fillId="0" borderId="10" xfId="63" applyFont="1" applyBorder="1" applyAlignment="1">
      <alignment horizontal="center" vertical="center"/>
      <protection/>
    </xf>
    <xf numFmtId="0" fontId="7" fillId="0" borderId="10" xfId="63" applyFont="1" applyBorder="1" applyAlignment="1">
      <alignment horizontal="right" vertical="center" wrapText="1"/>
      <protection/>
    </xf>
    <xf numFmtId="0" fontId="7" fillId="0" borderId="10" xfId="63" applyFont="1" applyFill="1" applyBorder="1" applyAlignment="1">
      <alignment horizontal="right" vertical="center"/>
      <protection/>
    </xf>
    <xf numFmtId="0" fontId="6" fillId="0" borderId="10" xfId="63" applyFont="1" applyFill="1" applyBorder="1" applyAlignment="1">
      <alignment horizontal="center" vertical="center"/>
      <protection/>
    </xf>
    <xf numFmtId="182" fontId="7" fillId="0" borderId="10" xfId="45" applyNumberFormat="1" applyFont="1" applyBorder="1" applyAlignment="1">
      <alignment horizontal="right" vertical="center"/>
    </xf>
    <xf numFmtId="0" fontId="0" fillId="0" borderId="0" xfId="63">
      <alignment/>
      <protection/>
    </xf>
    <xf numFmtId="0" fontId="7" fillId="0" borderId="0" xfId="63" applyFont="1" applyBorder="1">
      <alignment/>
      <protection/>
    </xf>
    <xf numFmtId="174" fontId="7" fillId="0" borderId="10" xfId="63" applyNumberFormat="1" applyFont="1" applyBorder="1" applyAlignment="1">
      <alignment horizontal="center" vertical="center" wrapText="1"/>
      <protection/>
    </xf>
    <xf numFmtId="174" fontId="7" fillId="0" borderId="10" xfId="63" applyNumberFormat="1" applyFont="1" applyBorder="1" applyAlignment="1">
      <alignment horizontal="center" vertical="center"/>
      <protection/>
    </xf>
    <xf numFmtId="171" fontId="7" fillId="0" borderId="10" xfId="63" applyNumberFormat="1" applyFont="1" applyBorder="1" applyAlignment="1">
      <alignment horizontal="center" vertical="center" wrapText="1"/>
      <protection/>
    </xf>
    <xf numFmtId="0" fontId="6" fillId="0" borderId="0" xfId="63" applyFont="1" applyBorder="1" applyAlignment="1">
      <alignment horizontal="center"/>
      <protection/>
    </xf>
    <xf numFmtId="0" fontId="6" fillId="0" borderId="10" xfId="63" applyFont="1" applyBorder="1" applyAlignment="1">
      <alignment horizontal="center" vertical="center" wrapText="1"/>
      <protection/>
    </xf>
    <xf numFmtId="0" fontId="7" fillId="0" borderId="10" xfId="63" applyFont="1" applyBorder="1" applyAlignment="1">
      <alignment horizontal="left" vertical="center" wrapText="1"/>
      <protection/>
    </xf>
    <xf numFmtId="0" fontId="6" fillId="0" borderId="0" xfId="63" applyFont="1" applyBorder="1" applyAlignment="1">
      <alignment horizontal="left"/>
      <protection/>
    </xf>
    <xf numFmtId="14" fontId="6" fillId="0" borderId="0" xfId="63" applyNumberFormat="1" applyFont="1" applyBorder="1" applyAlignment="1">
      <alignment horizontal="left"/>
      <protection/>
    </xf>
    <xf numFmtId="1" fontId="7" fillId="0" borderId="10" xfId="63" applyNumberFormat="1" applyFont="1" applyBorder="1" applyAlignment="1">
      <alignment horizontal="left" vertical="center" wrapText="1"/>
      <protection/>
    </xf>
    <xf numFmtId="0" fontId="7" fillId="0" borderId="0" xfId="63" applyFont="1" applyAlignment="1">
      <alignment horizontal="center"/>
      <protection/>
    </xf>
    <xf numFmtId="174" fontId="7" fillId="0" borderId="0" xfId="63" applyNumberFormat="1" applyFont="1" applyAlignment="1">
      <alignment horizontal="center"/>
      <protection/>
    </xf>
    <xf numFmtId="1" fontId="7" fillId="0" borderId="10" xfId="63" applyNumberFormat="1" applyFont="1" applyBorder="1" applyAlignment="1">
      <alignment horizontal="left" vertical="center"/>
      <protection/>
    </xf>
    <xf numFmtId="0" fontId="5" fillId="0" borderId="0" xfId="63" applyFont="1" applyFill="1" applyBorder="1" applyAlignment="1">
      <alignment horizontal="left" vertical="center"/>
      <protection/>
    </xf>
    <xf numFmtId="0" fontId="0" fillId="0" borderId="0" xfId="63" applyAlignment="1">
      <alignment horizontal="center"/>
      <protection/>
    </xf>
    <xf numFmtId="0" fontId="0" fillId="0" borderId="0" xfId="63" applyBorder="1">
      <alignment/>
      <protection/>
    </xf>
    <xf numFmtId="14" fontId="55" fillId="0" borderId="0" xfId="63" applyNumberFormat="1" applyFont="1" applyAlignment="1">
      <alignment horizontal="left"/>
      <protection/>
    </xf>
    <xf numFmtId="0" fontId="5" fillId="0" borderId="23" xfId="63" applyFont="1" applyBorder="1" applyAlignment="1">
      <alignment horizontal="center"/>
      <protection/>
    </xf>
    <xf numFmtId="0" fontId="6" fillId="0" borderId="24" xfId="63" applyFont="1" applyBorder="1" applyAlignment="1">
      <alignment horizontal="right" wrapText="1"/>
      <protection/>
    </xf>
    <xf numFmtId="174" fontId="6" fillId="0" borderId="25" xfId="63" applyNumberFormat="1" applyFont="1" applyBorder="1" applyAlignment="1">
      <alignment horizontal="center" vertical="center" wrapText="1"/>
      <protection/>
    </xf>
    <xf numFmtId="0" fontId="6" fillId="0" borderId="24" xfId="63" applyFont="1" applyBorder="1" applyAlignment="1">
      <alignment horizontal="center" vertical="center" wrapText="1"/>
      <protection/>
    </xf>
    <xf numFmtId="0" fontId="6" fillId="0" borderId="26" xfId="63" applyFont="1" applyBorder="1" applyAlignment="1">
      <alignment horizontal="center" vertical="center" wrapText="1"/>
      <protection/>
    </xf>
    <xf numFmtId="0" fontId="6" fillId="0" borderId="27" xfId="63" applyFont="1" applyBorder="1" applyAlignment="1">
      <alignment horizontal="center" wrapText="1"/>
      <protection/>
    </xf>
    <xf numFmtId="0" fontId="6" fillId="0" borderId="28" xfId="63" applyFont="1" applyBorder="1" applyAlignment="1">
      <alignment horizontal="center" wrapText="1"/>
      <protection/>
    </xf>
    <xf numFmtId="0" fontId="55" fillId="0" borderId="0" xfId="63" applyFont="1" applyAlignment="1">
      <alignment horizontal="left" vertical="center"/>
      <protection/>
    </xf>
    <xf numFmtId="4" fontId="6" fillId="0" borderId="0" xfId="63" applyNumberFormat="1" applyFont="1" applyFill="1" applyBorder="1" applyAlignment="1">
      <alignment horizontal="left"/>
      <protection/>
    </xf>
    <xf numFmtId="0" fontId="0" fillId="0" borderId="0" xfId="63" applyFont="1">
      <alignment/>
      <protection/>
    </xf>
    <xf numFmtId="0" fontId="0" fillId="0" borderId="0" xfId="63" applyFont="1" applyBorder="1">
      <alignment/>
      <protection/>
    </xf>
    <xf numFmtId="0" fontId="0" fillId="0" borderId="11" xfId="63" applyFont="1" applyBorder="1">
      <alignment/>
      <protection/>
    </xf>
    <xf numFmtId="0" fontId="0" fillId="0" borderId="29" xfId="63" applyFont="1" applyBorder="1">
      <alignment/>
      <protection/>
    </xf>
    <xf numFmtId="4" fontId="7" fillId="0" borderId="0" xfId="63" applyNumberFormat="1" applyFont="1" applyFill="1" applyBorder="1" applyAlignment="1">
      <alignment horizontal="left"/>
      <protection/>
    </xf>
    <xf numFmtId="0" fontId="56" fillId="0" borderId="30" xfId="63" applyFont="1" applyBorder="1" applyAlignment="1">
      <alignment vertical="center" wrapText="1"/>
      <protection/>
    </xf>
    <xf numFmtId="0" fontId="56" fillId="0" borderId="31" xfId="63" applyFont="1" applyBorder="1" applyAlignment="1">
      <alignment horizontal="center" vertical="center" wrapText="1"/>
      <protection/>
    </xf>
    <xf numFmtId="0" fontId="56" fillId="0" borderId="32" xfId="63" applyFont="1" applyBorder="1" applyAlignment="1">
      <alignment horizontal="center" vertical="center"/>
      <protection/>
    </xf>
    <xf numFmtId="0" fontId="56" fillId="0" borderId="0" xfId="63" applyFont="1" applyBorder="1">
      <alignment/>
      <protection/>
    </xf>
    <xf numFmtId="0" fontId="56" fillId="0" borderId="0" xfId="63" applyFont="1" applyBorder="1" applyAlignment="1">
      <alignment wrapText="1"/>
      <protection/>
    </xf>
    <xf numFmtId="0" fontId="56" fillId="0" borderId="0" xfId="63" applyFont="1" applyBorder="1" applyAlignment="1">
      <alignment vertical="center" wrapText="1"/>
      <protection/>
    </xf>
    <xf numFmtId="0" fontId="34" fillId="0" borderId="11" xfId="63" applyFont="1" applyBorder="1" applyAlignment="1">
      <alignment vertical="center" wrapText="1"/>
      <protection/>
    </xf>
    <xf numFmtId="172" fontId="0" fillId="0" borderId="10" xfId="63" applyNumberFormat="1" applyFont="1" applyBorder="1" applyAlignment="1">
      <alignment horizontal="center"/>
      <protection/>
    </xf>
    <xf numFmtId="172" fontId="39" fillId="0" borderId="33" xfId="63" applyNumberFormat="1" applyFont="1" applyBorder="1" applyAlignment="1">
      <alignment horizontal="center" vertical="center"/>
      <protection/>
    </xf>
    <xf numFmtId="0" fontId="56" fillId="0" borderId="20" xfId="63" applyFont="1" applyBorder="1">
      <alignment/>
      <protection/>
    </xf>
    <xf numFmtId="172" fontId="56" fillId="0" borderId="34" xfId="63" applyNumberFormat="1" applyFont="1" applyBorder="1" applyAlignment="1">
      <alignment horizontal="center"/>
      <protection/>
    </xf>
    <xf numFmtId="172" fontId="56" fillId="0" borderId="35" xfId="63" applyNumberFormat="1" applyFont="1" applyBorder="1" applyAlignment="1">
      <alignment horizontal="center"/>
      <protection/>
    </xf>
    <xf numFmtId="187" fontId="56" fillId="0" borderId="0" xfId="63" applyNumberFormat="1" applyFont="1" applyBorder="1">
      <alignment/>
      <protection/>
    </xf>
    <xf numFmtId="0" fontId="56" fillId="0" borderId="30" xfId="63" applyFont="1" applyFill="1" applyBorder="1" applyAlignment="1">
      <alignment horizontal="left" vertical="center"/>
      <protection/>
    </xf>
    <xf numFmtId="0" fontId="56" fillId="0" borderId="31" xfId="63" applyFont="1" applyFill="1" applyBorder="1" applyAlignment="1">
      <alignment horizontal="center" vertical="center" wrapText="1"/>
      <protection/>
    </xf>
    <xf numFmtId="0" fontId="56" fillId="0" borderId="32" xfId="63" applyFont="1" applyFill="1" applyBorder="1" applyAlignment="1">
      <alignment horizontal="center" vertical="center" wrapText="1"/>
      <protection/>
    </xf>
    <xf numFmtId="0" fontId="56" fillId="0" borderId="11" xfId="63" applyFont="1" applyFill="1" applyBorder="1" applyAlignment="1">
      <alignment horizontal="left" wrapText="1"/>
      <protection/>
    </xf>
    <xf numFmtId="172" fontId="0" fillId="0" borderId="10" xfId="63" applyNumberFormat="1" applyBorder="1" applyAlignment="1">
      <alignment horizontal="center"/>
      <protection/>
    </xf>
    <xf numFmtId="172" fontId="0" fillId="0" borderId="33" xfId="63" applyNumberFormat="1" applyBorder="1" applyAlignment="1">
      <alignment horizontal="center"/>
      <protection/>
    </xf>
    <xf numFmtId="172" fontId="0" fillId="0" borderId="34" xfId="63" applyNumberFormat="1" applyBorder="1" applyAlignment="1">
      <alignment horizontal="center"/>
      <protection/>
    </xf>
    <xf numFmtId="172" fontId="0" fillId="0" borderId="35" xfId="63" applyNumberFormat="1" applyBorder="1" applyAlignment="1">
      <alignment horizontal="center"/>
      <protection/>
    </xf>
    <xf numFmtId="0" fontId="56" fillId="0" borderId="29" xfId="63" applyFont="1" applyFill="1" applyBorder="1" applyAlignment="1">
      <alignment horizontal="left" wrapText="1"/>
      <protection/>
    </xf>
    <xf numFmtId="172" fontId="0" fillId="0" borderId="16" xfId="63" applyNumberFormat="1" applyBorder="1" applyAlignment="1">
      <alignment horizontal="center"/>
      <protection/>
    </xf>
    <xf numFmtId="0" fontId="56" fillId="0" borderId="0" xfId="63" applyFont="1" applyBorder="1" applyAlignment="1">
      <alignment horizontal="center" vertical="center"/>
      <protection/>
    </xf>
    <xf numFmtId="172" fontId="39" fillId="0" borderId="0" xfId="63" applyNumberFormat="1" applyFont="1" applyBorder="1" applyAlignment="1">
      <alignment horizontal="center" vertical="center"/>
      <protection/>
    </xf>
    <xf numFmtId="172" fontId="56" fillId="0" borderId="0" xfId="63" applyNumberFormat="1" applyFont="1" applyBorder="1" applyAlignment="1">
      <alignment horizontal="center"/>
      <protection/>
    </xf>
    <xf numFmtId="0" fontId="56" fillId="0" borderId="36" xfId="63" applyFont="1" applyBorder="1" applyAlignment="1">
      <alignment horizontal="center" vertical="center"/>
      <protection/>
    </xf>
    <xf numFmtId="4" fontId="53" fillId="0" borderId="0" xfId="63" applyNumberFormat="1" applyFont="1" applyFill="1" applyBorder="1" applyAlignment="1">
      <alignment horizontal="left"/>
      <protection/>
    </xf>
    <xf numFmtId="182" fontId="7" fillId="0" borderId="10" xfId="45" applyNumberFormat="1" applyFont="1" applyBorder="1" applyAlignment="1">
      <alignment/>
    </xf>
    <xf numFmtId="182" fontId="7" fillId="0" borderId="10" xfId="45" applyNumberFormat="1" applyFont="1" applyBorder="1" applyAlignment="1">
      <alignment vertical="center"/>
    </xf>
    <xf numFmtId="0" fontId="7" fillId="0" borderId="37" xfId="63" applyFont="1" applyFill="1" applyBorder="1" applyAlignment="1">
      <alignment horizontal="left" vertical="center"/>
      <protection/>
    </xf>
    <xf numFmtId="0" fontId="2" fillId="0" borderId="10" xfId="0" applyFont="1" applyBorder="1" applyAlignment="1">
      <alignment horizontal="center" vertical="center" wrapText="1"/>
    </xf>
    <xf numFmtId="0" fontId="5" fillId="0" borderId="0" xfId="0" applyFont="1" applyBorder="1" applyAlignment="1">
      <alignment horizontal="left"/>
    </xf>
    <xf numFmtId="0" fontId="7" fillId="0" borderId="21" xfId="0" applyFont="1" applyBorder="1" applyAlignment="1">
      <alignment horizontal="left" vertical="center"/>
    </xf>
    <xf numFmtId="176" fontId="55" fillId="0" borderId="21" xfId="0" applyNumberFormat="1" applyFont="1" applyBorder="1" applyAlignment="1">
      <alignment horizontal="center" vertical="center"/>
    </xf>
    <xf numFmtId="173" fontId="6" fillId="0" borderId="10" xfId="0" applyNumberFormat="1" applyFont="1" applyBorder="1" applyAlignment="1">
      <alignment horizontal="center" vertical="center" wrapText="1"/>
    </xf>
    <xf numFmtId="173" fontId="7" fillId="0" borderId="10" xfId="0" applyNumberFormat="1" applyFont="1" applyBorder="1" applyAlignment="1">
      <alignment horizontal="center" vertical="center" wrapText="1"/>
    </xf>
    <xf numFmtId="173" fontId="57" fillId="0" borderId="10" xfId="48" applyNumberFormat="1" applyFont="1" applyBorder="1" applyAlignment="1">
      <alignment horizontal="center" vertical="center" wrapText="1"/>
    </xf>
    <xf numFmtId="44" fontId="57" fillId="0" borderId="10" xfId="48" applyFont="1" applyBorder="1" applyAlignment="1">
      <alignment horizontal="center" vertical="center" wrapText="1"/>
    </xf>
    <xf numFmtId="0" fontId="7" fillId="0" borderId="0" xfId="63" applyFont="1" applyFill="1" applyBorder="1" applyAlignment="1">
      <alignment horizontal="left"/>
      <protection/>
    </xf>
    <xf numFmtId="176" fontId="55" fillId="0" borderId="0" xfId="63" applyNumberFormat="1" applyFont="1" applyFill="1" applyBorder="1" applyAlignment="1">
      <alignment horizontal="center"/>
      <protection/>
    </xf>
    <xf numFmtId="0" fontId="7" fillId="0" borderId="0" xfId="63" applyFont="1" applyBorder="1" applyAlignment="1">
      <alignment/>
      <protection/>
    </xf>
    <xf numFmtId="0" fontId="7" fillId="0" borderId="0" xfId="63" applyFont="1" applyAlignment="1">
      <alignment/>
      <protection/>
    </xf>
    <xf numFmtId="0" fontId="0" fillId="0" borderId="0" xfId="63" applyAlignment="1">
      <alignment/>
      <protection/>
    </xf>
    <xf numFmtId="0" fontId="7" fillId="0" borderId="0" xfId="63" applyFont="1" applyBorder="1" applyAlignment="1">
      <alignment vertical="center"/>
      <protection/>
    </xf>
    <xf numFmtId="0" fontId="7" fillId="0" borderId="0" xfId="63" applyFont="1" applyFill="1" applyBorder="1" applyAlignment="1">
      <alignment vertical="center"/>
      <protection/>
    </xf>
    <xf numFmtId="0" fontId="56" fillId="0" borderId="20" xfId="63" applyFont="1" applyFill="1" applyBorder="1" applyAlignment="1">
      <alignment horizontal="left"/>
      <protection/>
    </xf>
    <xf numFmtId="174" fontId="7" fillId="0" borderId="38" xfId="63" applyNumberFormat="1" applyFont="1" applyFill="1" applyBorder="1" applyAlignment="1">
      <alignment horizontal="center" vertical="center"/>
      <protection/>
    </xf>
    <xf numFmtId="174" fontId="7" fillId="0" borderId="39" xfId="63" applyNumberFormat="1" applyFont="1" applyFill="1" applyBorder="1" applyAlignment="1">
      <alignment horizontal="center" vertical="center"/>
      <protection/>
    </xf>
    <xf numFmtId="172" fontId="6" fillId="0" borderId="40" xfId="63" applyNumberFormat="1" applyFont="1" applyBorder="1" applyAlignment="1">
      <alignment horizontal="center" vertical="center"/>
      <protection/>
    </xf>
    <xf numFmtId="173" fontId="6" fillId="0" borderId="41" xfId="63" applyNumberFormat="1" applyFont="1" applyBorder="1" applyAlignment="1">
      <alignment horizontal="center" vertical="center"/>
      <protection/>
    </xf>
    <xf numFmtId="174" fontId="7" fillId="0" borderId="42" xfId="63" applyNumberFormat="1" applyFont="1" applyFill="1" applyBorder="1" applyAlignment="1">
      <alignment horizontal="center" vertical="center"/>
      <protection/>
    </xf>
    <xf numFmtId="174" fontId="7" fillId="0" borderId="41" xfId="63" applyNumberFormat="1" applyFont="1" applyFill="1" applyBorder="1" applyAlignment="1">
      <alignment horizontal="center" vertical="center"/>
      <protection/>
    </xf>
    <xf numFmtId="174" fontId="6" fillId="0" borderId="43" xfId="63" applyNumberFormat="1" applyFont="1" applyFill="1" applyBorder="1" applyAlignment="1">
      <alignment horizontal="center" vertical="center"/>
      <protection/>
    </xf>
    <xf numFmtId="173" fontId="6" fillId="0" borderId="44" xfId="63" applyNumberFormat="1" applyFont="1" applyBorder="1" applyAlignment="1">
      <alignment horizontal="center" vertical="center"/>
      <protection/>
    </xf>
    <xf numFmtId="174" fontId="7" fillId="0" borderId="45" xfId="63" applyNumberFormat="1" applyFont="1" applyFill="1" applyBorder="1" applyAlignment="1">
      <alignment horizontal="center" vertical="center"/>
      <protection/>
    </xf>
    <xf numFmtId="174" fontId="7" fillId="0" borderId="44" xfId="63" applyNumberFormat="1" applyFont="1" applyFill="1" applyBorder="1" applyAlignment="1">
      <alignment horizontal="center" vertical="center"/>
      <protection/>
    </xf>
    <xf numFmtId="174" fontId="6" fillId="0" borderId="46" xfId="63" applyNumberFormat="1" applyFont="1" applyFill="1" applyBorder="1" applyAlignment="1">
      <alignment horizontal="center" vertical="center"/>
      <protection/>
    </xf>
    <xf numFmtId="172" fontId="6" fillId="0" borderId="47" xfId="63" applyNumberFormat="1" applyFont="1" applyBorder="1" applyAlignment="1">
      <alignment horizontal="center" vertical="center"/>
      <protection/>
    </xf>
    <xf numFmtId="14" fontId="5" fillId="0" borderId="0" xfId="0" applyNumberFormat="1" applyFont="1" applyBorder="1" applyAlignment="1">
      <alignment horizontal="center" vertical="center"/>
    </xf>
    <xf numFmtId="0" fontId="53" fillId="0" borderId="0" xfId="0" applyFont="1" applyAlignment="1">
      <alignment vertical="center"/>
    </xf>
    <xf numFmtId="174" fontId="0" fillId="0" borderId="0" xfId="0" applyNumberFormat="1" applyFont="1" applyAlignment="1">
      <alignment/>
    </xf>
    <xf numFmtId="172" fontId="7" fillId="0" borderId="10" xfId="42" applyNumberFormat="1" applyFont="1" applyFill="1" applyBorder="1" applyAlignment="1">
      <alignment vertical="center"/>
    </xf>
    <xf numFmtId="182" fontId="7" fillId="0" borderId="10" xfId="42" applyNumberFormat="1" applyFont="1" applyFill="1" applyBorder="1" applyAlignment="1">
      <alignment vertical="center"/>
    </xf>
    <xf numFmtId="174" fontId="7" fillId="0" borderId="10" xfId="63" applyNumberFormat="1" applyFont="1" applyFill="1" applyBorder="1" applyAlignment="1">
      <alignment horizontal="right" vertical="center" wrapText="1"/>
      <protection/>
    </xf>
    <xf numFmtId="1" fontId="7" fillId="0" borderId="11" xfId="63" applyNumberFormat="1" applyFont="1" applyFill="1" applyBorder="1" applyAlignment="1">
      <alignment horizontal="left" vertical="center" wrapText="1"/>
      <protection/>
    </xf>
    <xf numFmtId="174" fontId="6" fillId="0" borderId="10" xfId="63" applyNumberFormat="1" applyFont="1" applyFill="1" applyBorder="1" applyAlignment="1">
      <alignment horizontal="right" vertical="center" wrapText="1"/>
      <protection/>
    </xf>
    <xf numFmtId="0" fontId="6" fillId="0" borderId="0" xfId="63" applyFont="1" applyFill="1" applyBorder="1" applyAlignment="1">
      <alignment horizontal="center" wrapText="1"/>
      <protection/>
    </xf>
    <xf numFmtId="172" fontId="6" fillId="0" borderId="40" xfId="63" applyNumberFormat="1" applyFont="1" applyBorder="1" applyAlignment="1" quotePrefix="1">
      <alignment horizontal="center" vertical="center"/>
      <protection/>
    </xf>
    <xf numFmtId="173" fontId="6" fillId="0" borderId="41" xfId="63" applyNumberFormat="1" applyFont="1" applyBorder="1" applyAlignment="1" quotePrefix="1">
      <alignment horizontal="center" vertical="center"/>
      <protection/>
    </xf>
    <xf numFmtId="1" fontId="6" fillId="0" borderId="0" xfId="63" applyNumberFormat="1" applyFont="1" applyBorder="1" applyAlignment="1" quotePrefix="1">
      <alignment horizontal="left"/>
      <protection/>
    </xf>
    <xf numFmtId="172" fontId="6" fillId="0" borderId="48" xfId="63" applyNumberFormat="1" applyFont="1" applyBorder="1" applyAlignment="1" quotePrefix="1">
      <alignment horizontal="center" vertical="center"/>
      <protection/>
    </xf>
    <xf numFmtId="173" fontId="6" fillId="0" borderId="49" xfId="63" applyNumberFormat="1" applyFont="1" applyBorder="1" applyAlignment="1" quotePrefix="1">
      <alignment horizontal="center" vertical="center"/>
      <protection/>
    </xf>
    <xf numFmtId="171" fontId="7" fillId="0" borderId="10" xfId="63" applyNumberFormat="1" applyFont="1" applyFill="1" applyBorder="1" applyAlignment="1">
      <alignment horizontal="center" vertical="center" wrapText="1"/>
      <protection/>
    </xf>
    <xf numFmtId="174" fontId="7" fillId="0" borderId="10" xfId="63" applyNumberFormat="1" applyFont="1" applyFill="1" applyBorder="1" applyAlignment="1">
      <alignment horizontal="center" vertical="center"/>
      <protection/>
    </xf>
    <xf numFmtId="181" fontId="0" fillId="0" borderId="0" xfId="0" applyNumberFormat="1" applyFont="1" applyFill="1" applyBorder="1" applyAlignment="1">
      <alignment/>
    </xf>
    <xf numFmtId="4" fontId="7" fillId="0" borderId="50" xfId="63" applyNumberFormat="1" applyFont="1" applyBorder="1" applyAlignment="1">
      <alignment horizontal="right" vertical="center"/>
      <protection/>
    </xf>
    <xf numFmtId="4" fontId="7" fillId="0" borderId="51" xfId="63" applyNumberFormat="1" applyFont="1" applyBorder="1" applyAlignment="1">
      <alignment horizontal="right" vertical="center"/>
      <protection/>
    </xf>
    <xf numFmtId="4" fontId="7" fillId="0" borderId="52" xfId="63" applyNumberFormat="1" applyFont="1" applyBorder="1" applyAlignment="1">
      <alignment horizontal="right" vertical="center"/>
      <protection/>
    </xf>
    <xf numFmtId="1" fontId="7" fillId="0" borderId="11" xfId="0" applyNumberFormat="1" applyFont="1" applyBorder="1" applyAlignment="1">
      <alignment horizontal="left" vertical="center"/>
    </xf>
    <xf numFmtId="1" fontId="6" fillId="0" borderId="11" xfId="63" applyNumberFormat="1" applyFont="1" applyFill="1" applyBorder="1" applyAlignment="1">
      <alignment horizontal="left" vertical="center" wrapText="1"/>
      <protection/>
    </xf>
    <xf numFmtId="0" fontId="6" fillId="0" borderId="53" xfId="63" applyFont="1" applyBorder="1" applyAlignment="1">
      <alignment horizontal="center" vertical="center" wrapText="1"/>
      <protection/>
    </xf>
    <xf numFmtId="174" fontId="6" fillId="0" borderId="54" xfId="63" applyNumberFormat="1" applyFont="1" applyBorder="1" applyAlignment="1">
      <alignment horizontal="center" vertical="center" wrapText="1"/>
      <protection/>
    </xf>
    <xf numFmtId="174" fontId="6" fillId="0" borderId="55" xfId="63" applyNumberFormat="1" applyFont="1" applyBorder="1" applyAlignment="1">
      <alignment horizontal="center" vertical="center" wrapText="1"/>
      <protection/>
    </xf>
    <xf numFmtId="174" fontId="7" fillId="0" borderId="56" xfId="63" applyNumberFormat="1" applyFont="1" applyBorder="1" applyAlignment="1">
      <alignment horizontal="center" vertical="center" wrapText="1"/>
      <protection/>
    </xf>
    <xf numFmtId="174" fontId="7" fillId="0" borderId="40" xfId="63" applyNumberFormat="1" applyFont="1" applyBorder="1" applyAlignment="1">
      <alignment horizontal="center" vertical="center" wrapText="1"/>
      <protection/>
    </xf>
    <xf numFmtId="174" fontId="6" fillId="0" borderId="57" xfId="63" applyNumberFormat="1" applyFont="1" applyFill="1" applyBorder="1" applyAlignment="1">
      <alignment horizontal="center" vertical="center"/>
      <protection/>
    </xf>
    <xf numFmtId="174" fontId="7" fillId="0" borderId="47" xfId="68" applyNumberFormat="1" applyFont="1" applyBorder="1" applyAlignment="1">
      <alignment horizontal="center" vertical="center"/>
    </xf>
    <xf numFmtId="174" fontId="6" fillId="0" borderId="58" xfId="63" applyNumberFormat="1" applyFont="1" applyFill="1" applyBorder="1" applyAlignment="1">
      <alignment horizontal="center" vertical="center"/>
      <protection/>
    </xf>
    <xf numFmtId="174" fontId="6" fillId="0" borderId="59" xfId="63" applyNumberFormat="1" applyFont="1" applyFill="1" applyBorder="1" applyAlignment="1">
      <alignment horizontal="center" vertical="center"/>
      <protection/>
    </xf>
    <xf numFmtId="174" fontId="7" fillId="0" borderId="50" xfId="63" applyNumberFormat="1" applyFont="1" applyFill="1" applyBorder="1" applyAlignment="1">
      <alignment horizontal="center" vertical="center"/>
      <protection/>
    </xf>
    <xf numFmtId="174" fontId="7" fillId="0" borderId="51" xfId="63" applyNumberFormat="1" applyFont="1" applyFill="1" applyBorder="1" applyAlignment="1">
      <alignment horizontal="center" vertical="center"/>
      <protection/>
    </xf>
    <xf numFmtId="174" fontId="7" fillId="0" borderId="52" xfId="63" applyNumberFormat="1" applyFont="1" applyFill="1" applyBorder="1" applyAlignment="1">
      <alignment horizontal="center" vertical="center"/>
      <protection/>
    </xf>
    <xf numFmtId="174" fontId="6" fillId="0" borderId="60" xfId="68" applyNumberFormat="1" applyFont="1" applyBorder="1" applyAlignment="1">
      <alignment horizontal="center"/>
    </xf>
    <xf numFmtId="174" fontId="6" fillId="0" borderId="25" xfId="68" applyNumberFormat="1" applyFont="1" applyBorder="1" applyAlignment="1">
      <alignment horizontal="center"/>
    </xf>
    <xf numFmtId="174" fontId="6" fillId="0" borderId="24" xfId="68" applyNumberFormat="1" applyFont="1" applyBorder="1" applyAlignment="1">
      <alignment horizontal="center"/>
    </xf>
    <xf numFmtId="174" fontId="6" fillId="0" borderId="26" xfId="68" applyNumberFormat="1" applyFont="1" applyBorder="1" applyAlignment="1">
      <alignment horizontal="center"/>
    </xf>
    <xf numFmtId="4" fontId="6" fillId="0" borderId="24" xfId="63" applyNumberFormat="1" applyFont="1" applyBorder="1" applyAlignment="1">
      <alignment horizontal="right"/>
      <protection/>
    </xf>
    <xf numFmtId="174" fontId="55" fillId="0" borderId="0" xfId="63" applyNumberFormat="1" applyFont="1" applyBorder="1" applyAlignment="1">
      <alignment horizontal="left"/>
      <protection/>
    </xf>
    <xf numFmtId="174" fontId="6" fillId="0" borderId="43" xfId="63" applyNumberFormat="1" applyFont="1" applyFill="1" applyBorder="1" applyAlignment="1" quotePrefix="1">
      <alignment horizontal="center" vertical="center"/>
      <protection/>
    </xf>
    <xf numFmtId="174" fontId="6" fillId="0" borderId="61" xfId="63" applyNumberFormat="1" applyFont="1" applyFill="1" applyBorder="1" applyAlignment="1" quotePrefix="1">
      <alignment horizontal="center" vertical="center"/>
      <protection/>
    </xf>
    <xf numFmtId="172" fontId="6" fillId="0" borderId="56" xfId="63" applyNumberFormat="1" applyFont="1" applyBorder="1" applyAlignment="1" quotePrefix="1">
      <alignment horizontal="center" vertical="center"/>
      <protection/>
    </xf>
    <xf numFmtId="173" fontId="6" fillId="0" borderId="39" xfId="63" applyNumberFormat="1" applyFont="1" applyBorder="1" applyAlignment="1" quotePrefix="1">
      <alignment horizontal="center" vertical="center"/>
      <protection/>
    </xf>
    <xf numFmtId="174" fontId="6" fillId="0" borderId="62" xfId="63" applyNumberFormat="1" applyFont="1" applyFill="1" applyBorder="1" applyAlignment="1" quotePrefix="1">
      <alignment horizontal="center" vertical="center"/>
      <protection/>
    </xf>
    <xf numFmtId="182" fontId="0" fillId="0" borderId="0" xfId="0" applyNumberFormat="1" applyFont="1" applyAlignment="1">
      <alignment/>
    </xf>
    <xf numFmtId="181" fontId="0" fillId="0" borderId="0" xfId="0" applyNumberFormat="1" applyFont="1" applyAlignment="1">
      <alignment/>
    </xf>
    <xf numFmtId="176" fontId="55" fillId="0" borderId="10" xfId="0" applyNumberFormat="1" applyFont="1" applyBorder="1" applyAlignment="1">
      <alignment horizontal="center" vertical="center"/>
    </xf>
    <xf numFmtId="173" fontId="57" fillId="0" borderId="10" xfId="49" applyNumberFormat="1" applyFont="1" applyBorder="1" applyAlignment="1">
      <alignment horizontal="center" vertical="center" wrapText="1"/>
    </xf>
    <xf numFmtId="0" fontId="5" fillId="0" borderId="0" xfId="63" applyFont="1" applyFill="1" applyBorder="1" applyAlignment="1">
      <alignment horizontal="left" vertical="center"/>
      <protection/>
    </xf>
    <xf numFmtId="0" fontId="5" fillId="0" borderId="26" xfId="63" applyFont="1" applyBorder="1" applyAlignment="1">
      <alignment horizontal="center"/>
      <protection/>
    </xf>
    <xf numFmtId="0" fontId="5" fillId="0" borderId="60" xfId="63" applyFont="1" applyBorder="1" applyAlignment="1">
      <alignment horizontal="center"/>
      <protection/>
    </xf>
    <xf numFmtId="0" fontId="5" fillId="0" borderId="25" xfId="63" applyFont="1" applyBorder="1" applyAlignment="1">
      <alignment horizontal="center"/>
      <protection/>
    </xf>
    <xf numFmtId="4" fontId="7" fillId="0" borderId="10" xfId="63" applyNumberFormat="1" applyFont="1" applyFill="1" applyBorder="1" applyAlignment="1">
      <alignment horizontal="left" vertical="center" wrapText="1"/>
      <protection/>
    </xf>
    <xf numFmtId="4" fontId="7" fillId="0" borderId="10" xfId="0" applyNumberFormat="1" applyFont="1" applyFill="1" applyBorder="1" applyAlignment="1">
      <alignment horizontal="left" vertical="center"/>
    </xf>
    <xf numFmtId="0" fontId="7" fillId="0" borderId="10" xfId="63" applyFont="1" applyBorder="1" applyAlignment="1">
      <alignment vertical="center" wrapText="1"/>
      <protection/>
    </xf>
    <xf numFmtId="4" fontId="6" fillId="0" borderId="0" xfId="63" applyNumberFormat="1" applyFont="1" applyFill="1" applyBorder="1" applyAlignment="1">
      <alignment horizontal="left"/>
      <protection/>
    </xf>
    <xf numFmtId="0" fontId="5" fillId="0" borderId="10" xfId="63" applyFont="1" applyBorder="1" applyAlignment="1">
      <alignment horizontal="left" vertical="center"/>
      <protection/>
    </xf>
    <xf numFmtId="0" fontId="6" fillId="0" borderId="10" xfId="0" applyFont="1" applyFill="1" applyBorder="1" applyAlignment="1">
      <alignment horizontal="center" vertical="center" wrapText="1"/>
    </xf>
    <xf numFmtId="0" fontId="5" fillId="0" borderId="10" xfId="0" applyFont="1" applyBorder="1" applyAlignment="1">
      <alignment horizontal="left" vertical="center"/>
    </xf>
    <xf numFmtId="0" fontId="58" fillId="0" borderId="10" xfId="0" applyFont="1" applyBorder="1" applyAlignment="1">
      <alignment horizontal="left"/>
    </xf>
    <xf numFmtId="0" fontId="53" fillId="0" borderId="22" xfId="0" applyFont="1" applyBorder="1" applyAlignment="1">
      <alignment horizontal="left" vertical="center"/>
    </xf>
    <xf numFmtId="0" fontId="53" fillId="0" borderId="63" xfId="0" applyFont="1" applyBorder="1" applyAlignment="1">
      <alignment horizontal="left" vertical="center"/>
    </xf>
    <xf numFmtId="0" fontId="53" fillId="0" borderId="64" xfId="0" applyFont="1" applyBorder="1" applyAlignment="1">
      <alignment horizontal="left" vertical="center"/>
    </xf>
    <xf numFmtId="0" fontId="6" fillId="0" borderId="13" xfId="0" applyFont="1" applyBorder="1" applyAlignment="1">
      <alignment horizontal="left" vertical="center" wrapText="1"/>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7" fillId="0" borderId="22" xfId="0" applyFont="1" applyBorder="1" applyAlignment="1">
      <alignment horizontal="left" vertical="center"/>
    </xf>
    <xf numFmtId="0" fontId="7" fillId="0" borderId="63" xfId="0" applyFont="1" applyBorder="1" applyAlignment="1">
      <alignment horizontal="left" vertical="center"/>
    </xf>
    <xf numFmtId="0" fontId="7" fillId="0" borderId="64" xfId="0" applyFont="1" applyBorder="1" applyAlignment="1">
      <alignment horizontal="left" vertical="center"/>
    </xf>
    <xf numFmtId="0" fontId="55" fillId="0" borderId="16" xfId="0" applyFont="1" applyFill="1" applyBorder="1" applyAlignment="1">
      <alignment vertical="center"/>
    </xf>
    <xf numFmtId="0" fontId="6" fillId="0" borderId="10" xfId="0" applyFont="1" applyBorder="1" applyAlignment="1">
      <alignment horizontal="left" vertical="center" wrapText="1"/>
    </xf>
    <xf numFmtId="0" fontId="7" fillId="0" borderId="10" xfId="0" applyFont="1" applyBorder="1" applyAlignment="1">
      <alignment horizontal="left" vertical="center"/>
    </xf>
    <xf numFmtId="0" fontId="53" fillId="0" borderId="10" xfId="0" applyFont="1" applyBorder="1" applyAlignment="1">
      <alignment vertical="center"/>
    </xf>
    <xf numFmtId="0" fontId="7" fillId="0" borderId="10" xfId="0" applyFont="1" applyFill="1" applyBorder="1" applyAlignment="1">
      <alignment horizontal="left" vertical="center"/>
    </xf>
    <xf numFmtId="174" fontId="7" fillId="0" borderId="10" xfId="0" applyNumberFormat="1" applyFont="1" applyFill="1" applyBorder="1" applyAlignment="1">
      <alignment horizontal="left" vertical="center"/>
    </xf>
    <xf numFmtId="0" fontId="7" fillId="0" borderId="10" xfId="0" applyFont="1" applyFill="1" applyBorder="1" applyAlignment="1">
      <alignment vertical="center"/>
    </xf>
    <xf numFmtId="0" fontId="7" fillId="0" borderId="33" xfId="0" applyFont="1" applyFill="1" applyBorder="1" applyAlignment="1">
      <alignment vertical="center"/>
    </xf>
    <xf numFmtId="0" fontId="6" fillId="0" borderId="22" xfId="0" applyFont="1" applyBorder="1" applyAlignment="1">
      <alignment horizontal="left" vertical="center" wrapText="1"/>
    </xf>
    <xf numFmtId="0" fontId="6" fillId="0" borderId="10" xfId="0" applyFont="1" applyBorder="1" applyAlignment="1">
      <alignment horizontal="left" vertical="center"/>
    </xf>
    <xf numFmtId="0" fontId="0" fillId="0" borderId="10" xfId="0" applyBorder="1" applyAlignment="1">
      <alignment horizontal="left"/>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174" fontId="8" fillId="0" borderId="16" xfId="67" applyNumberFormat="1" applyFont="1" applyFill="1" applyBorder="1" applyAlignment="1">
      <alignment horizontal="center" vertical="center" wrapText="1"/>
    </xf>
    <xf numFmtId="174" fontId="8" fillId="0" borderId="37" xfId="0" applyNumberFormat="1" applyFont="1" applyFill="1" applyBorder="1" applyAlignment="1">
      <alignment horizontal="center" vertical="center" wrapText="1"/>
    </xf>
    <xf numFmtId="174" fontId="8" fillId="0" borderId="21" xfId="0" applyNumberFormat="1" applyFont="1" applyFill="1" applyBorder="1" applyAlignment="1">
      <alignment horizontal="center" vertical="center" wrapText="1"/>
    </xf>
    <xf numFmtId="174" fontId="7" fillId="0" borderId="34" xfId="0" applyNumberFormat="1" applyFont="1" applyFill="1" applyBorder="1" applyAlignment="1">
      <alignment horizontal="left" vertical="center"/>
    </xf>
    <xf numFmtId="0" fontId="7" fillId="0" borderId="34" xfId="0" applyFont="1" applyFill="1" applyBorder="1" applyAlignment="1">
      <alignment vertical="center"/>
    </xf>
    <xf numFmtId="0" fontId="7" fillId="0" borderId="35" xfId="0" applyFont="1" applyFill="1" applyBorder="1" applyAlignment="1">
      <alignment vertical="center"/>
    </xf>
    <xf numFmtId="0" fontId="7" fillId="0" borderId="13" xfId="63" applyFont="1" applyFill="1" applyBorder="1" applyAlignment="1">
      <alignment vertical="center"/>
      <protection/>
    </xf>
    <xf numFmtId="0" fontId="7" fillId="0" borderId="63" xfId="63" applyFont="1" applyFill="1" applyBorder="1" applyAlignment="1">
      <alignment vertical="center"/>
      <protection/>
    </xf>
    <xf numFmtId="0" fontId="7" fillId="0" borderId="68" xfId="63" applyFont="1" applyFill="1" applyBorder="1" applyAlignment="1">
      <alignment vertical="center"/>
      <protection/>
    </xf>
    <xf numFmtId="0" fontId="6" fillId="0" borderId="10" xfId="0" applyFont="1" applyBorder="1" applyAlignment="1">
      <alignment horizontal="center" vertical="center"/>
    </xf>
    <xf numFmtId="0" fontId="0" fillId="0" borderId="10" xfId="0" applyBorder="1" applyAlignment="1">
      <alignment vertical="center"/>
    </xf>
    <xf numFmtId="0" fontId="0" fillId="0" borderId="33" xfId="0" applyBorder="1" applyAlignment="1">
      <alignment vertical="center"/>
    </xf>
    <xf numFmtId="0" fontId="5" fillId="0" borderId="22" xfId="0" applyFont="1" applyBorder="1" applyAlignment="1">
      <alignment horizontal="center" vertical="center"/>
    </xf>
    <xf numFmtId="0" fontId="5" fillId="0" borderId="64" xfId="0" applyFont="1" applyBorder="1" applyAlignment="1">
      <alignment horizontal="center" vertical="center"/>
    </xf>
    <xf numFmtId="0" fontId="6" fillId="0" borderId="10" xfId="0" applyFont="1" applyBorder="1" applyAlignment="1">
      <alignment horizontal="center" vertical="center" wrapText="1"/>
    </xf>
    <xf numFmtId="0" fontId="5" fillId="0" borderId="0" xfId="0" applyFont="1" applyBorder="1" applyAlignment="1">
      <alignment horizontal="left"/>
    </xf>
    <xf numFmtId="0" fontId="8" fillId="0" borderId="10" xfId="0" applyFont="1" applyBorder="1" applyAlignment="1">
      <alignment vertical="top"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0" xfId="0" applyFont="1" applyBorder="1" applyAlignment="1">
      <alignmen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4 3"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23"/>
  <sheetViews>
    <sheetView tabSelected="1" zoomScale="80" zoomScaleNormal="80" zoomScalePageLayoutView="0" workbookViewId="0" topLeftCell="A1">
      <selection activeCell="A1" sqref="A1:I1"/>
    </sheetView>
  </sheetViews>
  <sheetFormatPr defaultColWidth="9.140625" defaultRowHeight="12.75"/>
  <cols>
    <col min="1" max="1" width="20.7109375" style="0" customWidth="1"/>
    <col min="2" max="21" width="15.7109375" style="0" customWidth="1"/>
  </cols>
  <sheetData>
    <row r="1" spans="1:15" ht="17.25">
      <c r="A1" s="254" t="s">
        <v>191</v>
      </c>
      <c r="B1" s="254"/>
      <c r="C1" s="254"/>
      <c r="D1" s="254"/>
      <c r="E1" s="254"/>
      <c r="F1" s="254"/>
      <c r="G1" s="254"/>
      <c r="H1" s="254"/>
      <c r="I1" s="254"/>
      <c r="J1" s="205">
        <v>42576</v>
      </c>
      <c r="K1" s="139" t="s">
        <v>12</v>
      </c>
      <c r="L1" s="114"/>
      <c r="M1" s="114"/>
      <c r="N1" s="114"/>
      <c r="O1" s="114"/>
    </row>
    <row r="2" spans="1:15" ht="17.25">
      <c r="A2" s="128" t="s">
        <v>141</v>
      </c>
      <c r="B2" s="128"/>
      <c r="C2" s="128"/>
      <c r="D2" s="128"/>
      <c r="E2" s="128"/>
      <c r="F2" s="128"/>
      <c r="G2" s="128"/>
      <c r="H2" s="128"/>
      <c r="I2" s="128"/>
      <c r="J2" s="131"/>
      <c r="K2" s="129"/>
      <c r="L2" s="114"/>
      <c r="M2" s="114"/>
      <c r="N2" s="114"/>
      <c r="O2" s="114"/>
    </row>
    <row r="3" spans="1:15" ht="15.75" thickBot="1">
      <c r="A3" s="216">
        <v>15473188</v>
      </c>
      <c r="B3" s="123"/>
      <c r="C3" s="129"/>
      <c r="D3" s="129"/>
      <c r="E3" s="129"/>
      <c r="F3" s="129"/>
      <c r="G3" s="129"/>
      <c r="H3" s="129"/>
      <c r="I3" s="129"/>
      <c r="J3" s="129"/>
      <c r="K3" s="129"/>
      <c r="L3" s="114"/>
      <c r="M3" s="114"/>
      <c r="N3" s="114"/>
      <c r="O3" s="114"/>
    </row>
    <row r="4" spans="1:16" ht="18" thickBot="1">
      <c r="A4" s="130"/>
      <c r="B4" s="132"/>
      <c r="C4" s="132"/>
      <c r="D4" s="132"/>
      <c r="E4" s="132"/>
      <c r="F4" s="132"/>
      <c r="G4" s="132"/>
      <c r="H4" s="132"/>
      <c r="I4" s="255" t="s">
        <v>142</v>
      </c>
      <c r="J4" s="256"/>
      <c r="K4" s="256"/>
      <c r="L4" s="256"/>
      <c r="M4" s="256"/>
      <c r="N4" s="256"/>
      <c r="O4" s="256"/>
      <c r="P4" s="257"/>
    </row>
    <row r="5" spans="1:19" ht="95.25" customHeight="1" thickBot="1">
      <c r="A5" s="133" t="s">
        <v>143</v>
      </c>
      <c r="B5" s="227" t="s">
        <v>144</v>
      </c>
      <c r="C5" s="228" t="s">
        <v>145</v>
      </c>
      <c r="D5" s="229" t="s">
        <v>146</v>
      </c>
      <c r="E5" s="134" t="s">
        <v>147</v>
      </c>
      <c r="F5" s="134" t="s">
        <v>198</v>
      </c>
      <c r="G5" s="135" t="s">
        <v>148</v>
      </c>
      <c r="H5" s="136" t="s">
        <v>149</v>
      </c>
      <c r="I5" s="137" t="s">
        <v>150</v>
      </c>
      <c r="J5" s="138" t="s">
        <v>151</v>
      </c>
      <c r="K5" s="137" t="s">
        <v>152</v>
      </c>
      <c r="L5" s="138" t="s">
        <v>153</v>
      </c>
      <c r="M5" s="137" t="s">
        <v>154</v>
      </c>
      <c r="N5" s="138" t="s">
        <v>155</v>
      </c>
      <c r="O5" s="137" t="s">
        <v>156</v>
      </c>
      <c r="P5" s="138" t="s">
        <v>157</v>
      </c>
      <c r="R5" s="4" t="s">
        <v>12</v>
      </c>
      <c r="S5" s="213" t="s">
        <v>12</v>
      </c>
    </row>
    <row r="6" spans="1:19" ht="19.5" customHeight="1">
      <c r="A6" s="222" t="s">
        <v>158</v>
      </c>
      <c r="B6" s="230">
        <f>'2nd IA Configuration'!B8-'2nd IA Configuration'!C8-'2nd IA Configuration'!J8-'2nd IA Configuration'!L8</f>
        <v>-44.599999999960346</v>
      </c>
      <c r="C6" s="193">
        <f>'2nd IA Configuration'!B9-'2nd IA Configuration'!C9-'2nd IA Configuration'!J9-'2nd IA Configuration'!L9</f>
        <v>296.6888174505675</v>
      </c>
      <c r="D6" s="194">
        <f>-1354.4+1354.4</f>
        <v>0</v>
      </c>
      <c r="E6" s="236">
        <v>0</v>
      </c>
      <c r="F6" s="236">
        <v>0</v>
      </c>
      <c r="G6" s="234">
        <v>0</v>
      </c>
      <c r="H6" s="246" t="s">
        <v>200</v>
      </c>
      <c r="I6" s="247" t="s">
        <v>200</v>
      </c>
      <c r="J6" s="248" t="s">
        <v>200</v>
      </c>
      <c r="K6" s="247" t="s">
        <v>200</v>
      </c>
      <c r="L6" s="248" t="s">
        <v>200</v>
      </c>
      <c r="M6" s="247" t="s">
        <v>200</v>
      </c>
      <c r="N6" s="248" t="s">
        <v>200</v>
      </c>
      <c r="O6" s="247" t="s">
        <v>200</v>
      </c>
      <c r="P6" s="248" t="s">
        <v>200</v>
      </c>
      <c r="R6" s="4" t="s">
        <v>12</v>
      </c>
      <c r="S6" s="4" t="s">
        <v>12</v>
      </c>
    </row>
    <row r="7" spans="1:19" ht="19.5" customHeight="1">
      <c r="A7" s="223" t="s">
        <v>161</v>
      </c>
      <c r="B7" s="231">
        <f>'2nd IA Configuration'!C8-'2nd IA Configuration'!D8-'2nd IA Configuration'!E8-'2nd IA Configuration'!N8</f>
        <v>-1396.700000000008</v>
      </c>
      <c r="C7" s="197">
        <f>'2nd IA Configuration'!C9-'2nd IA Configuration'!D9-'2nd IA Configuration'!E9-'2nd IA Configuration'!N9</f>
        <v>33.217585258602256</v>
      </c>
      <c r="D7" s="198">
        <v>0</v>
      </c>
      <c r="E7" s="237">
        <v>0</v>
      </c>
      <c r="F7" s="237">
        <v>0</v>
      </c>
      <c r="G7" s="232">
        <v>-899.7</v>
      </c>
      <c r="H7" s="199" t="s">
        <v>159</v>
      </c>
      <c r="I7" s="195">
        <v>0</v>
      </c>
      <c r="J7" s="196">
        <v>0</v>
      </c>
      <c r="K7" s="195">
        <f>-G7</f>
        <v>899.7</v>
      </c>
      <c r="L7" s="196">
        <v>0</v>
      </c>
      <c r="M7" s="195" t="s">
        <v>160</v>
      </c>
      <c r="N7" s="196" t="s">
        <v>160</v>
      </c>
      <c r="O7" s="195" t="s">
        <v>160</v>
      </c>
      <c r="P7" s="196" t="s">
        <v>160</v>
      </c>
      <c r="R7" s="4" t="s">
        <v>12</v>
      </c>
      <c r="S7" s="4" t="s">
        <v>12</v>
      </c>
    </row>
    <row r="8" spans="1:19" ht="19.5" customHeight="1">
      <c r="A8" s="223" t="s">
        <v>162</v>
      </c>
      <c r="B8" s="231">
        <f>'2nd IA Configuration'!D8-'2nd IA Configuration'!F8-'2nd IA Configuration'!H8</f>
        <v>-671.5999999999985</v>
      </c>
      <c r="C8" s="197">
        <f>'2nd IA Configuration'!D9-'2nd IA Configuration'!F9-'2nd IA Configuration'!H9</f>
        <v>110.1128784039767</v>
      </c>
      <c r="D8" s="198">
        <f>-378.9+378.9</f>
        <v>0</v>
      </c>
      <c r="E8" s="237">
        <v>0</v>
      </c>
      <c r="F8" s="237">
        <v>0</v>
      </c>
      <c r="G8" s="232">
        <f aca="true" t="shared" si="0" ref="G8:G16">ROUND(SUM(B8:F8),1)</f>
        <v>-561.5</v>
      </c>
      <c r="H8" s="199" t="s">
        <v>159</v>
      </c>
      <c r="I8" s="195">
        <v>0</v>
      </c>
      <c r="J8" s="196">
        <v>0</v>
      </c>
      <c r="K8" s="195">
        <f>-G8</f>
        <v>561.5</v>
      </c>
      <c r="L8" s="196">
        <v>0</v>
      </c>
      <c r="M8" s="195" t="s">
        <v>160</v>
      </c>
      <c r="N8" s="196" t="s">
        <v>160</v>
      </c>
      <c r="O8" s="195" t="s">
        <v>160</v>
      </c>
      <c r="P8" s="196" t="s">
        <v>160</v>
      </c>
      <c r="R8" s="4" t="s">
        <v>12</v>
      </c>
      <c r="S8" s="4" t="s">
        <v>12</v>
      </c>
    </row>
    <row r="9" spans="1:19" ht="19.5" customHeight="1">
      <c r="A9" s="223" t="s">
        <v>163</v>
      </c>
      <c r="B9" s="231">
        <f>'2nd IA Configuration'!E8-'2nd IA Configuration'!I8-'2nd IA Configuration'!M8</f>
        <v>123</v>
      </c>
      <c r="C9" s="197">
        <f>'2nd IA Configuration'!E9-'2nd IA Configuration'!I9-'2nd IA Configuration'!M9</f>
        <v>0</v>
      </c>
      <c r="D9" s="198">
        <f>-244+244</f>
        <v>0</v>
      </c>
      <c r="E9" s="237">
        <v>0</v>
      </c>
      <c r="F9" s="237">
        <v>0</v>
      </c>
      <c r="G9" s="232">
        <v>0</v>
      </c>
      <c r="H9" s="245" t="s">
        <v>200</v>
      </c>
      <c r="I9" s="214" t="s">
        <v>200</v>
      </c>
      <c r="J9" s="215" t="s">
        <v>200</v>
      </c>
      <c r="K9" s="214" t="s">
        <v>200</v>
      </c>
      <c r="L9" s="215" t="s">
        <v>200</v>
      </c>
      <c r="M9" s="195" t="s">
        <v>160</v>
      </c>
      <c r="N9" s="196" t="s">
        <v>160</v>
      </c>
      <c r="O9" s="195" t="s">
        <v>160</v>
      </c>
      <c r="P9" s="196" t="s">
        <v>160</v>
      </c>
      <c r="R9" s="4" t="s">
        <v>12</v>
      </c>
      <c r="S9" s="4" t="s">
        <v>12</v>
      </c>
    </row>
    <row r="10" spans="1:19" ht="19.5" customHeight="1">
      <c r="A10" s="223" t="s">
        <v>164</v>
      </c>
      <c r="B10" s="231">
        <f>'2nd IA Configuration'!F8-'2nd IA Configuration'!G8</f>
        <v>-163</v>
      </c>
      <c r="C10" s="197">
        <f>'2nd IA Configuration'!F9-'2nd IA Configuration'!G9</f>
        <v>29.42998366638947</v>
      </c>
      <c r="D10" s="198">
        <f>-163.6+26.6</f>
        <v>-137</v>
      </c>
      <c r="E10" s="237">
        <v>0</v>
      </c>
      <c r="F10" s="237">
        <v>0</v>
      </c>
      <c r="G10" s="232">
        <f t="shared" si="0"/>
        <v>-270.6</v>
      </c>
      <c r="H10" s="199" t="s">
        <v>159</v>
      </c>
      <c r="I10" s="195">
        <v>0</v>
      </c>
      <c r="J10" s="196">
        <v>0</v>
      </c>
      <c r="K10" s="195">
        <v>136.3</v>
      </c>
      <c r="L10" s="196">
        <v>0</v>
      </c>
      <c r="M10" s="195">
        <v>136.3</v>
      </c>
      <c r="N10" s="196">
        <v>73.39</v>
      </c>
      <c r="O10" s="195">
        <f>-G10</f>
        <v>270.6</v>
      </c>
      <c r="P10" s="196">
        <v>166.57</v>
      </c>
      <c r="R10" s="4" t="s">
        <v>12</v>
      </c>
      <c r="S10" s="4" t="s">
        <v>12</v>
      </c>
    </row>
    <row r="11" spans="1:19" ht="19.5" customHeight="1">
      <c r="A11" s="223" t="s">
        <v>44</v>
      </c>
      <c r="B11" s="231">
        <f>'2nd IA Configuration'!G8</f>
        <v>-85</v>
      </c>
      <c r="C11" s="197">
        <f>'2nd IA Configuration'!G9</f>
        <v>27.7156156858231</v>
      </c>
      <c r="D11" s="198">
        <f>34.7-34.7</f>
        <v>0</v>
      </c>
      <c r="E11" s="237">
        <v>0</v>
      </c>
      <c r="F11" s="237">
        <v>0</v>
      </c>
      <c r="G11" s="232">
        <f t="shared" si="0"/>
        <v>-57.3</v>
      </c>
      <c r="H11" s="199" t="s">
        <v>159</v>
      </c>
      <c r="I11" s="195">
        <v>0</v>
      </c>
      <c r="J11" s="196">
        <v>134.7</v>
      </c>
      <c r="K11" s="195">
        <f>-G11</f>
        <v>57.3</v>
      </c>
      <c r="L11" s="196">
        <v>211.41</v>
      </c>
      <c r="M11" s="195" t="s">
        <v>160</v>
      </c>
      <c r="N11" s="196" t="s">
        <v>160</v>
      </c>
      <c r="O11" s="195" t="s">
        <v>160</v>
      </c>
      <c r="P11" s="196" t="s">
        <v>160</v>
      </c>
      <c r="R11" s="4" t="s">
        <v>12</v>
      </c>
      <c r="S11" s="4" t="s">
        <v>12</v>
      </c>
    </row>
    <row r="12" spans="1:19" ht="19.5" customHeight="1">
      <c r="A12" s="223" t="s">
        <v>45</v>
      </c>
      <c r="B12" s="231">
        <f>'2nd IA Configuration'!H8</f>
        <v>-94</v>
      </c>
      <c r="C12" s="197">
        <f>'2nd IA Configuration'!H9</f>
        <v>13.222280006906553</v>
      </c>
      <c r="D12" s="198">
        <f>-85.8+76.2</f>
        <v>-9.599999999999994</v>
      </c>
      <c r="E12" s="237">
        <v>0</v>
      </c>
      <c r="F12" s="237">
        <v>0</v>
      </c>
      <c r="G12" s="232">
        <f t="shared" si="0"/>
        <v>-90.4</v>
      </c>
      <c r="H12" s="199" t="s">
        <v>159</v>
      </c>
      <c r="I12" s="195">
        <v>0</v>
      </c>
      <c r="J12" s="196">
        <v>0</v>
      </c>
      <c r="K12" s="195">
        <v>81.8</v>
      </c>
      <c r="L12" s="196">
        <v>0</v>
      </c>
      <c r="M12" s="195">
        <v>81.8</v>
      </c>
      <c r="N12" s="196">
        <v>73.39</v>
      </c>
      <c r="O12" s="195">
        <f>-G12</f>
        <v>90.4</v>
      </c>
      <c r="P12" s="196">
        <v>97.74</v>
      </c>
      <c r="R12" s="4" t="s">
        <v>12</v>
      </c>
      <c r="S12" s="4" t="s">
        <v>12</v>
      </c>
    </row>
    <row r="13" spans="1:19" ht="19.5" customHeight="1">
      <c r="A13" s="224" t="s">
        <v>7</v>
      </c>
      <c r="B13" s="231">
        <f>'2nd IA Configuration'!I8</f>
        <v>-94</v>
      </c>
      <c r="C13" s="197">
        <f>'2nd IA Configuration'!I9</f>
        <v>36.7271000994306</v>
      </c>
      <c r="D13" s="198">
        <f>-220.3+187.2</f>
        <v>-33.10000000000002</v>
      </c>
      <c r="E13" s="238">
        <v>0</v>
      </c>
      <c r="F13" s="238">
        <v>0</v>
      </c>
      <c r="G13" s="232">
        <v>-67.4</v>
      </c>
      <c r="H13" s="203" t="s">
        <v>159</v>
      </c>
      <c r="I13" s="195">
        <v>0</v>
      </c>
      <c r="J13" s="196">
        <v>0</v>
      </c>
      <c r="K13" s="195">
        <v>15.9</v>
      </c>
      <c r="L13" s="196">
        <v>0</v>
      </c>
      <c r="M13" s="195">
        <v>15.9</v>
      </c>
      <c r="N13" s="196">
        <v>62.79</v>
      </c>
      <c r="O13" s="195">
        <f>-G13</f>
        <v>67.4</v>
      </c>
      <c r="P13" s="196">
        <v>107.82</v>
      </c>
      <c r="R13" s="4" t="s">
        <v>12</v>
      </c>
      <c r="S13" s="4" t="s">
        <v>12</v>
      </c>
    </row>
    <row r="14" spans="1:19" ht="19.5" customHeight="1">
      <c r="A14" s="224" t="s">
        <v>165</v>
      </c>
      <c r="B14" s="231">
        <f>'2nd IA Configuration'!J8-'2nd IA Configuration'!K8</f>
        <v>-55.599999999999454</v>
      </c>
      <c r="C14" s="197">
        <f>'2nd IA Configuration'!J9-'2nd IA Configuration'!K9</f>
        <v>46.903055728109216</v>
      </c>
      <c r="D14" s="198">
        <f>95.9-95.9</f>
        <v>0</v>
      </c>
      <c r="E14" s="238">
        <v>0</v>
      </c>
      <c r="F14" s="238">
        <v>0</v>
      </c>
      <c r="G14" s="232">
        <f t="shared" si="0"/>
        <v>-8.7</v>
      </c>
      <c r="H14" s="199" t="s">
        <v>159</v>
      </c>
      <c r="I14" s="204">
        <v>0</v>
      </c>
      <c r="J14" s="200">
        <v>0</v>
      </c>
      <c r="K14" s="204">
        <f>-G14</f>
        <v>8.7</v>
      </c>
      <c r="L14" s="200">
        <v>0</v>
      </c>
      <c r="M14" s="195" t="s">
        <v>160</v>
      </c>
      <c r="N14" s="196" t="s">
        <v>160</v>
      </c>
      <c r="O14" s="195" t="s">
        <v>160</v>
      </c>
      <c r="P14" s="196" t="s">
        <v>160</v>
      </c>
      <c r="R14" s="4" t="s">
        <v>12</v>
      </c>
      <c r="S14" s="4" t="s">
        <v>12</v>
      </c>
    </row>
    <row r="15" spans="1:19" ht="19.5" customHeight="1">
      <c r="A15" s="224" t="s">
        <v>72</v>
      </c>
      <c r="B15" s="231">
        <f>'2nd IA Configuration'!K8</f>
        <v>-275.3000000000002</v>
      </c>
      <c r="C15" s="197">
        <f>'2nd IA Configuration'!K9</f>
        <v>24.504382316303115</v>
      </c>
      <c r="D15" s="198">
        <f>-8.5+0</f>
        <v>-8.5</v>
      </c>
      <c r="E15" s="238">
        <v>0</v>
      </c>
      <c r="F15" s="238">
        <v>0</v>
      </c>
      <c r="G15" s="232">
        <f t="shared" si="0"/>
        <v>-259.3</v>
      </c>
      <c r="H15" s="203" t="s">
        <v>159</v>
      </c>
      <c r="I15" s="204">
        <v>0</v>
      </c>
      <c r="J15" s="200">
        <v>0</v>
      </c>
      <c r="K15" s="204">
        <v>241.7</v>
      </c>
      <c r="L15" s="200">
        <v>0</v>
      </c>
      <c r="M15" s="195">
        <v>241.7</v>
      </c>
      <c r="N15" s="196">
        <v>74.97</v>
      </c>
      <c r="O15" s="195">
        <f>-G15</f>
        <v>259.3</v>
      </c>
      <c r="P15" s="196">
        <v>100.84</v>
      </c>
      <c r="R15" s="4" t="s">
        <v>12</v>
      </c>
      <c r="S15" s="4" t="s">
        <v>12</v>
      </c>
    </row>
    <row r="16" spans="1:19" ht="19.5" customHeight="1">
      <c r="A16" s="224" t="s">
        <v>18</v>
      </c>
      <c r="B16" s="231">
        <f>'2nd IA Configuration'!L8</f>
        <v>-985.2999999999993</v>
      </c>
      <c r="C16" s="197">
        <f>'2nd IA Configuration'!L9</f>
        <v>125.90862069307695</v>
      </c>
      <c r="D16" s="198">
        <f>-1070.1+999.7</f>
        <v>-70.39999999999986</v>
      </c>
      <c r="E16" s="238">
        <v>0</v>
      </c>
      <c r="F16" s="238">
        <v>0</v>
      </c>
      <c r="G16" s="232">
        <f t="shared" si="0"/>
        <v>-929.8</v>
      </c>
      <c r="H16" s="203" t="s">
        <v>159</v>
      </c>
      <c r="I16" s="204">
        <v>0</v>
      </c>
      <c r="J16" s="200">
        <v>0</v>
      </c>
      <c r="K16" s="204">
        <v>880.3</v>
      </c>
      <c r="L16" s="200">
        <v>0</v>
      </c>
      <c r="M16" s="195">
        <v>880.3</v>
      </c>
      <c r="N16" s="196">
        <v>74.97</v>
      </c>
      <c r="O16" s="195">
        <f>-G16</f>
        <v>929.8</v>
      </c>
      <c r="P16" s="196">
        <v>91.1</v>
      </c>
      <c r="R16" s="4" t="s">
        <v>12</v>
      </c>
      <c r="S16" s="4" t="s">
        <v>12</v>
      </c>
    </row>
    <row r="17" spans="1:19" ht="19.5" customHeight="1">
      <c r="A17" s="224" t="s">
        <v>3</v>
      </c>
      <c r="B17" s="231">
        <f>'2nd IA Configuration'!M8</f>
        <v>-222.39999999999964</v>
      </c>
      <c r="C17" s="197">
        <f>'2nd IA Configuration'!M9</f>
        <v>39.5816510508353</v>
      </c>
      <c r="D17" s="198">
        <f>-52.4+12.8</f>
        <v>-39.599999999999994</v>
      </c>
      <c r="E17" s="238">
        <v>0</v>
      </c>
      <c r="F17" s="238">
        <v>0</v>
      </c>
      <c r="G17" s="232">
        <v>-122.4</v>
      </c>
      <c r="H17" s="203" t="s">
        <v>211</v>
      </c>
      <c r="I17" s="204">
        <v>0</v>
      </c>
      <c r="J17" s="200">
        <v>0</v>
      </c>
      <c r="K17" s="204">
        <v>69.5</v>
      </c>
      <c r="L17" s="200">
        <v>0</v>
      </c>
      <c r="M17" s="195">
        <v>69.5</v>
      </c>
      <c r="N17" s="196">
        <v>62.79</v>
      </c>
      <c r="O17" s="195">
        <f>-G17</f>
        <v>122.4</v>
      </c>
      <c r="P17" s="196">
        <v>108.92</v>
      </c>
      <c r="R17" s="4" t="s">
        <v>12</v>
      </c>
      <c r="S17" s="4" t="s">
        <v>12</v>
      </c>
    </row>
    <row r="18" spans="1:19" ht="19.5" customHeight="1" thickBot="1">
      <c r="A18" s="224" t="s">
        <v>102</v>
      </c>
      <c r="B18" s="233">
        <f>'2nd IA Configuration'!N8</f>
        <v>197.60000000000036</v>
      </c>
      <c r="C18" s="201">
        <f>'2nd IA Configuration'!N9</f>
        <v>41.02802963997917</v>
      </c>
      <c r="D18" s="202">
        <f>-457+430.1</f>
        <v>-26.899999999999977</v>
      </c>
      <c r="E18" s="238">
        <v>0</v>
      </c>
      <c r="F18" s="238">
        <v>0</v>
      </c>
      <c r="G18" s="235">
        <v>0</v>
      </c>
      <c r="H18" s="249" t="s">
        <v>200</v>
      </c>
      <c r="I18" s="217" t="s">
        <v>200</v>
      </c>
      <c r="J18" s="218" t="s">
        <v>200</v>
      </c>
      <c r="K18" s="217" t="s">
        <v>200</v>
      </c>
      <c r="L18" s="218" t="s">
        <v>200</v>
      </c>
      <c r="M18" s="217" t="s">
        <v>200</v>
      </c>
      <c r="N18" s="218" t="s">
        <v>200</v>
      </c>
      <c r="O18" s="217" t="s">
        <v>200</v>
      </c>
      <c r="P18" s="218" t="s">
        <v>200</v>
      </c>
      <c r="R18" s="4" t="s">
        <v>12</v>
      </c>
      <c r="S18" s="4" t="s">
        <v>12</v>
      </c>
    </row>
    <row r="19" spans="1:19" ht="19.5" customHeight="1" thickBot="1">
      <c r="A19" s="243" t="s">
        <v>166</v>
      </c>
      <c r="B19" s="242">
        <f>SUM(B6:B18)</f>
        <v>-3766.899999999965</v>
      </c>
      <c r="C19" s="239">
        <f>SUM(C6:C18)</f>
        <v>825.0399999999998</v>
      </c>
      <c r="D19" s="240">
        <f>SUM(D6:D18)</f>
        <v>-325.0999999999999</v>
      </c>
      <c r="E19" s="239">
        <f>SUM(E6:E18)</f>
        <v>0</v>
      </c>
      <c r="F19" s="241">
        <f>SUM(F6:F18)</f>
        <v>0</v>
      </c>
      <c r="G19" s="240">
        <f>SUM(G6:G17)+G18</f>
        <v>-3267.100000000001</v>
      </c>
      <c r="H19" s="244" t="s">
        <v>12</v>
      </c>
      <c r="I19" s="129"/>
      <c r="J19" s="129"/>
      <c r="K19" s="129"/>
      <c r="L19" s="114"/>
      <c r="M19" s="114"/>
      <c r="N19" s="114"/>
      <c r="O19" s="114"/>
      <c r="P19" s="114"/>
      <c r="R19" s="4" t="s">
        <v>12</v>
      </c>
      <c r="S19" s="4" t="s">
        <v>12</v>
      </c>
    </row>
    <row r="20" ht="19.5" customHeight="1"/>
    <row r="21" spans="1:16" ht="19.5" customHeight="1">
      <c r="A21" s="259" t="s">
        <v>190</v>
      </c>
      <c r="B21" s="259"/>
      <c r="C21" s="259"/>
      <c r="D21" s="259"/>
      <c r="E21" s="259"/>
      <c r="F21" s="259"/>
      <c r="G21" s="259"/>
      <c r="H21" s="259"/>
      <c r="I21" s="259"/>
      <c r="J21" s="259"/>
      <c r="K21" s="259"/>
      <c r="L21" s="259"/>
      <c r="M21" s="259"/>
      <c r="N21" s="259"/>
      <c r="O21" s="259"/>
      <c r="P21" s="259"/>
    </row>
    <row r="22" spans="1:16" ht="39.75" customHeight="1">
      <c r="A22" s="258" t="s">
        <v>213</v>
      </c>
      <c r="B22" s="258"/>
      <c r="C22" s="258"/>
      <c r="D22" s="258"/>
      <c r="E22" s="258"/>
      <c r="F22" s="258"/>
      <c r="G22" s="258"/>
      <c r="H22" s="258"/>
      <c r="I22" s="258"/>
      <c r="J22" s="258"/>
      <c r="K22" s="258"/>
      <c r="L22" s="258"/>
      <c r="M22" s="258"/>
      <c r="N22" s="258"/>
      <c r="O22" s="258"/>
      <c r="P22" s="258"/>
    </row>
    <row r="23" spans="1:16" ht="39.75" customHeight="1">
      <c r="A23" s="260" t="s">
        <v>167</v>
      </c>
      <c r="B23" s="260"/>
      <c r="C23" s="260"/>
      <c r="D23" s="260"/>
      <c r="E23" s="260"/>
      <c r="F23" s="260"/>
      <c r="G23" s="260"/>
      <c r="H23" s="260"/>
      <c r="I23" s="260"/>
      <c r="J23" s="260"/>
      <c r="K23" s="260"/>
      <c r="L23" s="260"/>
      <c r="M23" s="260"/>
      <c r="N23" s="260"/>
      <c r="O23" s="260"/>
      <c r="P23" s="260"/>
    </row>
    <row r="24" ht="19.5" customHeight="1"/>
    <row r="25" ht="19.5" customHeight="1"/>
    <row r="26" ht="19.5" customHeight="1"/>
    <row r="27" ht="19.5" customHeight="1"/>
  </sheetData>
  <sheetProtection/>
  <mergeCells count="5">
    <mergeCell ref="A1:I1"/>
    <mergeCell ref="I4:P4"/>
    <mergeCell ref="A22:P22"/>
    <mergeCell ref="A21:P21"/>
    <mergeCell ref="A23:P23"/>
  </mergeCells>
  <printOptions/>
  <pageMargins left="0.45" right="0.45" top="0.5" bottom="0.5" header="0.3" footer="0.3"/>
  <pageSetup fitToHeight="1" fitToWidth="1" horizontalDpi="600" verticalDpi="600" orientation="landscape" scale="50" r:id="rId1"/>
</worksheet>
</file>

<file path=xl/worksheets/sheet2.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A1" sqref="A1:I1"/>
    </sheetView>
  </sheetViews>
  <sheetFormatPr defaultColWidth="9.140625" defaultRowHeight="12.75"/>
  <cols>
    <col min="1" max="1" width="15.8515625" style="0" customWidth="1"/>
    <col min="2" max="9" width="15.7109375" style="0" customWidth="1"/>
  </cols>
  <sheetData>
    <row r="1" spans="1:9" ht="15">
      <c r="A1" s="261" t="s">
        <v>193</v>
      </c>
      <c r="B1" s="261"/>
      <c r="C1" s="261"/>
      <c r="D1" s="261"/>
      <c r="E1" s="261"/>
      <c r="F1" s="261"/>
      <c r="G1" s="261"/>
      <c r="H1" s="261"/>
      <c r="I1" s="261"/>
    </row>
    <row r="2" spans="1:9" ht="15.75" thickBot="1">
      <c r="A2" s="173" t="s">
        <v>168</v>
      </c>
      <c r="B2" s="140"/>
      <c r="C2" s="145"/>
      <c r="D2" s="145"/>
      <c r="E2" s="145"/>
      <c r="F2" s="145"/>
      <c r="G2" s="145"/>
      <c r="H2" s="145"/>
      <c r="I2" s="145"/>
    </row>
    <row r="3" spans="1:9" ht="28.5">
      <c r="A3" s="146" t="s">
        <v>169</v>
      </c>
      <c r="B3" s="147" t="s">
        <v>170</v>
      </c>
      <c r="C3" s="147" t="s">
        <v>171</v>
      </c>
      <c r="D3" s="148" t="s">
        <v>172</v>
      </c>
      <c r="E3" s="169"/>
      <c r="F3" s="149" t="s">
        <v>12</v>
      </c>
      <c r="G3" s="150" t="s">
        <v>12</v>
      </c>
      <c r="H3" s="151" t="s">
        <v>12</v>
      </c>
      <c r="I3" s="114"/>
    </row>
    <row r="4" spans="1:9" ht="14.25">
      <c r="A4" s="152" t="s">
        <v>2</v>
      </c>
      <c r="B4" s="153">
        <v>0</v>
      </c>
      <c r="C4" s="153">
        <v>0</v>
      </c>
      <c r="D4" s="154">
        <v>0</v>
      </c>
      <c r="E4" s="170"/>
      <c r="F4" s="149"/>
      <c r="G4" s="150"/>
      <c r="H4" s="151"/>
      <c r="I4" s="114"/>
    </row>
    <row r="5" spans="1:9" ht="14.25">
      <c r="A5" s="143" t="s">
        <v>56</v>
      </c>
      <c r="B5" s="153">
        <v>0</v>
      </c>
      <c r="C5" s="153">
        <v>0</v>
      </c>
      <c r="D5" s="154">
        <v>0</v>
      </c>
      <c r="E5" s="170"/>
      <c r="F5" s="142" t="s">
        <v>12</v>
      </c>
      <c r="G5" s="130"/>
      <c r="H5" s="142"/>
      <c r="I5" s="114"/>
    </row>
    <row r="6" spans="1:9" ht="14.25">
      <c r="A6" s="143" t="s">
        <v>0</v>
      </c>
      <c r="B6" s="153">
        <v>0</v>
      </c>
      <c r="C6" s="153">
        <v>0</v>
      </c>
      <c r="D6" s="154">
        <v>0</v>
      </c>
      <c r="E6" s="170"/>
      <c r="F6" s="142" t="s">
        <v>12</v>
      </c>
      <c r="G6" s="130"/>
      <c r="H6" s="142"/>
      <c r="I6" s="114"/>
    </row>
    <row r="7" spans="1:9" ht="14.25">
      <c r="A7" s="143" t="s">
        <v>53</v>
      </c>
      <c r="B7" s="153">
        <v>0</v>
      </c>
      <c r="C7" s="153">
        <v>0</v>
      </c>
      <c r="D7" s="154">
        <v>0</v>
      </c>
      <c r="E7" s="170"/>
      <c r="F7" s="142"/>
      <c r="G7" s="130"/>
      <c r="H7" s="142"/>
      <c r="I7" s="114"/>
    </row>
    <row r="8" spans="1:9" ht="14.25">
      <c r="A8" s="143" t="s">
        <v>124</v>
      </c>
      <c r="B8" s="153">
        <v>0</v>
      </c>
      <c r="C8" s="153">
        <v>0</v>
      </c>
      <c r="D8" s="154">
        <v>0</v>
      </c>
      <c r="E8" s="170"/>
      <c r="F8" s="142"/>
      <c r="G8" s="130"/>
      <c r="H8" s="142"/>
      <c r="I8" s="114"/>
    </row>
    <row r="9" spans="1:9" ht="14.25">
      <c r="A9" s="143" t="s">
        <v>3</v>
      </c>
      <c r="B9" s="153">
        <v>0</v>
      </c>
      <c r="C9" s="153">
        <v>0</v>
      </c>
      <c r="D9" s="154">
        <v>0</v>
      </c>
      <c r="E9" s="170"/>
      <c r="F9" s="142" t="s">
        <v>12</v>
      </c>
      <c r="G9" s="130"/>
      <c r="H9" s="142"/>
      <c r="I9" s="114"/>
    </row>
    <row r="10" spans="1:9" ht="14.25">
      <c r="A10" s="143" t="s">
        <v>18</v>
      </c>
      <c r="B10" s="153">
        <v>0</v>
      </c>
      <c r="C10" s="153">
        <v>0</v>
      </c>
      <c r="D10" s="154">
        <v>0</v>
      </c>
      <c r="E10" s="170"/>
      <c r="F10" s="142"/>
      <c r="G10" s="142"/>
      <c r="H10" s="142"/>
      <c r="I10" s="114"/>
    </row>
    <row r="11" spans="1:9" ht="14.25">
      <c r="A11" s="143" t="s">
        <v>19</v>
      </c>
      <c r="B11" s="153">
        <v>0</v>
      </c>
      <c r="C11" s="153">
        <v>0</v>
      </c>
      <c r="D11" s="154">
        <v>0</v>
      </c>
      <c r="E11" s="170"/>
      <c r="F11" s="142" t="s">
        <v>12</v>
      </c>
      <c r="G11" s="130"/>
      <c r="H11" s="142"/>
      <c r="I11" s="114"/>
    </row>
    <row r="12" spans="1:9" ht="14.25">
      <c r="A12" s="143" t="s">
        <v>68</v>
      </c>
      <c r="B12" s="153">
        <v>0</v>
      </c>
      <c r="C12" s="153">
        <v>0</v>
      </c>
      <c r="D12" s="154">
        <v>0</v>
      </c>
      <c r="E12" s="170"/>
      <c r="F12" s="142" t="s">
        <v>12</v>
      </c>
      <c r="G12" s="130"/>
      <c r="H12" s="142"/>
      <c r="I12" s="114"/>
    </row>
    <row r="13" spans="1:9" ht="14.25">
      <c r="A13" s="143" t="s">
        <v>4</v>
      </c>
      <c r="B13" s="153">
        <v>0</v>
      </c>
      <c r="C13" s="153">
        <v>0</v>
      </c>
      <c r="D13" s="154">
        <v>0</v>
      </c>
      <c r="E13" s="170"/>
      <c r="F13" s="142" t="s">
        <v>12</v>
      </c>
      <c r="G13" s="130"/>
      <c r="H13" s="142"/>
      <c r="I13" s="114"/>
    </row>
    <row r="14" spans="1:9" ht="14.25">
      <c r="A14" s="143" t="s">
        <v>20</v>
      </c>
      <c r="B14" s="153">
        <v>0</v>
      </c>
      <c r="C14" s="153">
        <v>0</v>
      </c>
      <c r="D14" s="154">
        <v>0</v>
      </c>
      <c r="E14" s="170"/>
      <c r="F14" s="142" t="s">
        <v>12</v>
      </c>
      <c r="G14" s="130"/>
      <c r="H14" s="142"/>
      <c r="I14" s="114"/>
    </row>
    <row r="15" spans="1:9" ht="14.25">
      <c r="A15" s="143" t="s">
        <v>1</v>
      </c>
      <c r="B15" s="153">
        <v>0</v>
      </c>
      <c r="C15" s="153">
        <v>0</v>
      </c>
      <c r="D15" s="154">
        <v>0</v>
      </c>
      <c r="E15" s="170"/>
      <c r="F15" s="142" t="s">
        <v>12</v>
      </c>
      <c r="G15" s="130"/>
      <c r="H15" s="142"/>
      <c r="I15" s="114"/>
    </row>
    <row r="16" spans="1:9" ht="14.25">
      <c r="A16" s="143" t="s">
        <v>23</v>
      </c>
      <c r="B16" s="153">
        <v>0</v>
      </c>
      <c r="C16" s="153">
        <v>0</v>
      </c>
      <c r="D16" s="154">
        <v>0</v>
      </c>
      <c r="E16" s="170"/>
      <c r="F16" s="142" t="s">
        <v>12</v>
      </c>
      <c r="G16" s="130"/>
      <c r="H16" s="142"/>
      <c r="I16" s="114"/>
    </row>
    <row r="17" spans="1:9" ht="14.25">
      <c r="A17" s="143" t="s">
        <v>73</v>
      </c>
      <c r="B17" s="153">
        <v>0</v>
      </c>
      <c r="C17" s="153">
        <v>0</v>
      </c>
      <c r="D17" s="154">
        <v>0</v>
      </c>
      <c r="E17" s="170"/>
      <c r="F17" s="142"/>
      <c r="G17" s="130"/>
      <c r="H17" s="142"/>
      <c r="I17" s="114"/>
    </row>
    <row r="18" spans="1:9" ht="14.25">
      <c r="A18" s="143" t="s">
        <v>5</v>
      </c>
      <c r="B18" s="153">
        <v>0</v>
      </c>
      <c r="C18" s="153">
        <v>0</v>
      </c>
      <c r="D18" s="154">
        <v>0</v>
      </c>
      <c r="E18" s="170"/>
      <c r="F18" s="142" t="s">
        <v>12</v>
      </c>
      <c r="G18" s="130"/>
      <c r="H18" s="142"/>
      <c r="I18" s="114"/>
    </row>
    <row r="19" spans="1:9" ht="14.25">
      <c r="A19" s="143" t="s">
        <v>21</v>
      </c>
      <c r="B19" s="153">
        <v>0</v>
      </c>
      <c r="C19" s="153">
        <v>0</v>
      </c>
      <c r="D19" s="154">
        <v>0</v>
      </c>
      <c r="E19" s="170"/>
      <c r="F19" s="142"/>
      <c r="G19" s="130"/>
      <c r="H19" s="142"/>
      <c r="I19" s="114"/>
    </row>
    <row r="20" spans="1:9" ht="14.25">
      <c r="A20" s="143" t="s">
        <v>6</v>
      </c>
      <c r="B20" s="153">
        <v>0</v>
      </c>
      <c r="C20" s="153">
        <v>0</v>
      </c>
      <c r="D20" s="154">
        <v>0</v>
      </c>
      <c r="E20" s="170"/>
      <c r="F20" s="142"/>
      <c r="G20" s="130"/>
      <c r="H20" s="142"/>
      <c r="I20" s="114"/>
    </row>
    <row r="21" spans="1:9" ht="14.25">
      <c r="A21" s="143" t="s">
        <v>173</v>
      </c>
      <c r="B21" s="153">
        <v>0</v>
      </c>
      <c r="C21" s="153">
        <v>0</v>
      </c>
      <c r="D21" s="154">
        <v>0</v>
      </c>
      <c r="E21" s="170"/>
      <c r="F21" s="142"/>
      <c r="G21" s="130"/>
      <c r="H21" s="142"/>
      <c r="I21" s="114"/>
    </row>
    <row r="22" spans="1:9" ht="14.25">
      <c r="A22" s="143" t="s">
        <v>7</v>
      </c>
      <c r="B22" s="153">
        <v>0</v>
      </c>
      <c r="C22" s="153">
        <v>0</v>
      </c>
      <c r="D22" s="154">
        <v>0</v>
      </c>
      <c r="E22" s="170"/>
      <c r="F22" s="142" t="s">
        <v>12</v>
      </c>
      <c r="G22" s="130"/>
      <c r="H22" s="142"/>
      <c r="I22" s="114"/>
    </row>
    <row r="23" spans="1:9" ht="14.25">
      <c r="A23" s="143" t="s">
        <v>102</v>
      </c>
      <c r="B23" s="153">
        <v>0</v>
      </c>
      <c r="C23" s="153">
        <v>0</v>
      </c>
      <c r="D23" s="154">
        <v>0</v>
      </c>
      <c r="E23" s="170"/>
      <c r="F23" s="142" t="s">
        <v>12</v>
      </c>
      <c r="G23" s="130"/>
      <c r="H23" s="142"/>
      <c r="I23" s="114"/>
    </row>
    <row r="24" spans="1:9" ht="14.25">
      <c r="A24" s="143" t="s">
        <v>8</v>
      </c>
      <c r="B24" s="153">
        <v>0</v>
      </c>
      <c r="C24" s="153">
        <v>0</v>
      </c>
      <c r="D24" s="154">
        <v>0</v>
      </c>
      <c r="E24" s="170"/>
      <c r="F24" s="142" t="s">
        <v>12</v>
      </c>
      <c r="G24" s="130"/>
      <c r="H24" s="142"/>
      <c r="I24" s="114"/>
    </row>
    <row r="25" spans="1:9" ht="14.25">
      <c r="A25" s="143" t="s">
        <v>71</v>
      </c>
      <c r="B25" s="153">
        <v>0</v>
      </c>
      <c r="C25" s="153">
        <v>0</v>
      </c>
      <c r="D25" s="154">
        <v>0</v>
      </c>
      <c r="E25" s="170"/>
      <c r="F25" s="142" t="s">
        <v>12</v>
      </c>
      <c r="G25" s="130"/>
      <c r="H25" s="142"/>
      <c r="I25" s="114"/>
    </row>
    <row r="26" spans="1:9" ht="14.25">
      <c r="A26" s="144" t="s">
        <v>40</v>
      </c>
      <c r="B26" s="153">
        <v>0</v>
      </c>
      <c r="C26" s="153">
        <v>0</v>
      </c>
      <c r="D26" s="154">
        <v>0</v>
      </c>
      <c r="E26" s="170"/>
      <c r="F26" s="142"/>
      <c r="G26" s="130"/>
      <c r="H26" s="142"/>
      <c r="I26" s="114"/>
    </row>
    <row r="27" spans="1:9" ht="15" thickBot="1">
      <c r="A27" s="155" t="s">
        <v>174</v>
      </c>
      <c r="B27" s="156">
        <v>0</v>
      </c>
      <c r="C27" s="156">
        <v>0</v>
      </c>
      <c r="D27" s="157">
        <v>0</v>
      </c>
      <c r="E27" s="171"/>
      <c r="F27" s="142"/>
      <c r="G27" s="158" t="s">
        <v>12</v>
      </c>
      <c r="H27" s="142"/>
      <c r="I27" s="114"/>
    </row>
    <row r="28" spans="1:9" ht="15" thickBot="1">
      <c r="A28" s="149"/>
      <c r="B28" s="149"/>
      <c r="C28" s="149"/>
      <c r="D28" s="158"/>
      <c r="E28" s="158"/>
      <c r="F28" s="141"/>
      <c r="G28" s="114"/>
      <c r="H28" s="114"/>
      <c r="I28" s="114"/>
    </row>
    <row r="29" spans="1:9" ht="42.75">
      <c r="A29" s="159" t="s">
        <v>175</v>
      </c>
      <c r="B29" s="147" t="s">
        <v>170</v>
      </c>
      <c r="C29" s="147" t="s">
        <v>171</v>
      </c>
      <c r="D29" s="172" t="s">
        <v>172</v>
      </c>
      <c r="E29" s="160" t="s">
        <v>176</v>
      </c>
      <c r="F29" s="160" t="s">
        <v>177</v>
      </c>
      <c r="G29" s="160" t="s">
        <v>178</v>
      </c>
      <c r="H29" s="160" t="s">
        <v>179</v>
      </c>
      <c r="I29" s="161" t="s">
        <v>180</v>
      </c>
    </row>
    <row r="30" spans="1:9" ht="14.25">
      <c r="A30" s="162" t="s">
        <v>13</v>
      </c>
      <c r="B30" s="163">
        <v>0</v>
      </c>
      <c r="C30" s="163">
        <v>0</v>
      </c>
      <c r="D30" s="163">
        <v>0</v>
      </c>
      <c r="E30" s="163">
        <v>0</v>
      </c>
      <c r="F30" s="163">
        <v>0</v>
      </c>
      <c r="G30" s="163">
        <v>0</v>
      </c>
      <c r="H30" s="163">
        <v>0</v>
      </c>
      <c r="I30" s="164">
        <v>0</v>
      </c>
    </row>
    <row r="31" spans="1:9" ht="14.25">
      <c r="A31" s="162" t="s">
        <v>17</v>
      </c>
      <c r="B31" s="163">
        <v>0</v>
      </c>
      <c r="C31" s="163">
        <v>0</v>
      </c>
      <c r="D31" s="163">
        <v>0</v>
      </c>
      <c r="E31" s="163">
        <v>0</v>
      </c>
      <c r="F31" s="163">
        <v>0</v>
      </c>
      <c r="G31" s="163">
        <v>0</v>
      </c>
      <c r="H31" s="163">
        <v>0</v>
      </c>
      <c r="I31" s="164">
        <v>0</v>
      </c>
    </row>
    <row r="32" spans="1:9" ht="14.25">
      <c r="A32" s="162" t="s">
        <v>16</v>
      </c>
      <c r="B32" s="163">
        <v>0</v>
      </c>
      <c r="C32" s="163">
        <v>0</v>
      </c>
      <c r="D32" s="163">
        <v>0</v>
      </c>
      <c r="E32" s="163">
        <v>0</v>
      </c>
      <c r="F32" s="163">
        <v>0</v>
      </c>
      <c r="G32" s="163">
        <v>0</v>
      </c>
      <c r="H32" s="163">
        <v>0</v>
      </c>
      <c r="I32" s="164">
        <v>0</v>
      </c>
    </row>
    <row r="33" spans="1:9" ht="14.25">
      <c r="A33" s="162" t="s">
        <v>14</v>
      </c>
      <c r="B33" s="163">
        <v>0</v>
      </c>
      <c r="C33" s="163">
        <v>0</v>
      </c>
      <c r="D33" s="163">
        <v>0</v>
      </c>
      <c r="E33" s="163">
        <v>0</v>
      </c>
      <c r="F33" s="163">
        <v>0</v>
      </c>
      <c r="G33" s="163">
        <v>0</v>
      </c>
      <c r="H33" s="163">
        <v>0</v>
      </c>
      <c r="I33" s="164">
        <v>0</v>
      </c>
    </row>
    <row r="34" spans="1:9" ht="14.25">
      <c r="A34" s="162" t="s">
        <v>8</v>
      </c>
      <c r="B34" s="163">
        <v>0</v>
      </c>
      <c r="C34" s="163">
        <v>0</v>
      </c>
      <c r="D34" s="163">
        <v>0</v>
      </c>
      <c r="E34" s="163">
        <v>0</v>
      </c>
      <c r="F34" s="163">
        <v>0</v>
      </c>
      <c r="G34" s="163">
        <v>0</v>
      </c>
      <c r="H34" s="163">
        <v>0</v>
      </c>
      <c r="I34" s="164">
        <v>0</v>
      </c>
    </row>
    <row r="35" spans="1:9" ht="14.25">
      <c r="A35" s="162" t="s">
        <v>71</v>
      </c>
      <c r="B35" s="163">
        <v>0</v>
      </c>
      <c r="C35" s="163">
        <v>0</v>
      </c>
      <c r="D35" s="163">
        <v>0</v>
      </c>
      <c r="E35" s="163">
        <v>0</v>
      </c>
      <c r="F35" s="163">
        <v>0</v>
      </c>
      <c r="G35" s="163">
        <v>0</v>
      </c>
      <c r="H35" s="163">
        <v>0</v>
      </c>
      <c r="I35" s="164">
        <v>0</v>
      </c>
    </row>
    <row r="36" spans="1:9" ht="14.25">
      <c r="A36" s="162" t="s">
        <v>23</v>
      </c>
      <c r="B36" s="163">
        <v>0</v>
      </c>
      <c r="C36" s="163">
        <v>0</v>
      </c>
      <c r="D36" s="163">
        <v>0</v>
      </c>
      <c r="E36" s="163">
        <v>0</v>
      </c>
      <c r="F36" s="163">
        <v>0</v>
      </c>
      <c r="G36" s="163">
        <v>0</v>
      </c>
      <c r="H36" s="163">
        <v>0</v>
      </c>
      <c r="I36" s="164">
        <v>0</v>
      </c>
    </row>
    <row r="37" spans="1:9" ht="14.25">
      <c r="A37" s="162" t="s">
        <v>7</v>
      </c>
      <c r="B37" s="163">
        <v>0</v>
      </c>
      <c r="C37" s="163">
        <v>0</v>
      </c>
      <c r="D37" s="163">
        <v>0</v>
      </c>
      <c r="E37" s="163">
        <v>0</v>
      </c>
      <c r="F37" s="163">
        <v>0</v>
      </c>
      <c r="G37" s="163">
        <v>0</v>
      </c>
      <c r="H37" s="163">
        <v>0</v>
      </c>
      <c r="I37" s="164">
        <v>0</v>
      </c>
    </row>
    <row r="38" spans="1:9" ht="14.25">
      <c r="A38" s="167" t="s">
        <v>53</v>
      </c>
      <c r="B38" s="168">
        <v>0</v>
      </c>
      <c r="C38" s="168">
        <v>0</v>
      </c>
      <c r="D38" s="168">
        <v>0</v>
      </c>
      <c r="E38" s="168">
        <v>0</v>
      </c>
      <c r="F38" s="168">
        <v>0</v>
      </c>
      <c r="G38" s="168">
        <v>0</v>
      </c>
      <c r="H38" s="163">
        <v>0</v>
      </c>
      <c r="I38" s="164">
        <v>0</v>
      </c>
    </row>
    <row r="39" spans="1:9" ht="14.25">
      <c r="A39" s="167" t="s">
        <v>72</v>
      </c>
      <c r="B39" s="168">
        <v>0</v>
      </c>
      <c r="C39" s="168">
        <v>0</v>
      </c>
      <c r="D39" s="168">
        <v>0</v>
      </c>
      <c r="E39" s="168">
        <v>0</v>
      </c>
      <c r="F39" s="168">
        <v>0</v>
      </c>
      <c r="G39" s="168">
        <v>0</v>
      </c>
      <c r="H39" s="163">
        <v>0</v>
      </c>
      <c r="I39" s="164">
        <v>0</v>
      </c>
    </row>
    <row r="40" spans="1:9" ht="14.25">
      <c r="A40" s="167" t="s">
        <v>18</v>
      </c>
      <c r="B40" s="168">
        <v>0</v>
      </c>
      <c r="C40" s="168">
        <v>0</v>
      </c>
      <c r="D40" s="168">
        <v>0</v>
      </c>
      <c r="E40" s="168">
        <v>0</v>
      </c>
      <c r="F40" s="168">
        <v>0</v>
      </c>
      <c r="G40" s="168">
        <v>0</v>
      </c>
      <c r="H40" s="163">
        <v>0</v>
      </c>
      <c r="I40" s="164">
        <v>0</v>
      </c>
    </row>
    <row r="41" spans="1:9" ht="14.25">
      <c r="A41" s="167" t="s">
        <v>3</v>
      </c>
      <c r="B41" s="168">
        <v>0</v>
      </c>
      <c r="C41" s="168">
        <v>0</v>
      </c>
      <c r="D41" s="168">
        <v>0</v>
      </c>
      <c r="E41" s="168">
        <v>0</v>
      </c>
      <c r="F41" s="168">
        <v>0</v>
      </c>
      <c r="G41" s="168">
        <v>0</v>
      </c>
      <c r="H41" s="163">
        <v>0</v>
      </c>
      <c r="I41" s="164">
        <v>0</v>
      </c>
    </row>
    <row r="42" spans="1:9" ht="15" thickBot="1">
      <c r="A42" s="192" t="s">
        <v>102</v>
      </c>
      <c r="B42" s="165">
        <v>0</v>
      </c>
      <c r="C42" s="165">
        <v>0</v>
      </c>
      <c r="D42" s="165">
        <v>0</v>
      </c>
      <c r="E42" s="165">
        <v>0</v>
      </c>
      <c r="F42" s="165">
        <v>0</v>
      </c>
      <c r="G42" s="165">
        <v>0</v>
      </c>
      <c r="H42" s="165">
        <v>0</v>
      </c>
      <c r="I42" s="166">
        <v>0</v>
      </c>
    </row>
  </sheetData>
  <sheetProtection/>
  <mergeCells count="1">
    <mergeCell ref="A1:I1"/>
  </mergeCells>
  <printOptions/>
  <pageMargins left="0.45" right="0.45" top="0.5" bottom="0.5" header="0.3" footer="0.3"/>
  <pageSetup fitToHeight="1" fitToWidth="1" horizontalDpi="600" verticalDpi="600" orientation="landscape" scale="82" r:id="rId1"/>
</worksheet>
</file>

<file path=xl/worksheets/sheet3.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A1" sqref="A1:N1"/>
    </sheetView>
  </sheetViews>
  <sheetFormatPr defaultColWidth="9.140625" defaultRowHeight="12.75"/>
  <cols>
    <col min="1" max="1" width="60.7109375" style="0" customWidth="1"/>
    <col min="2" max="6" width="12.7109375" style="0" customWidth="1"/>
    <col min="7" max="7" width="13.421875" style="0" customWidth="1"/>
    <col min="8" max="8" width="14.8515625" style="0" customWidth="1"/>
    <col min="9" max="14" width="12.7109375" style="0" customWidth="1"/>
  </cols>
  <sheetData>
    <row r="1" spans="1:14" ht="24.75" customHeight="1">
      <c r="A1" s="262" t="s">
        <v>192</v>
      </c>
      <c r="B1" s="262"/>
      <c r="C1" s="262"/>
      <c r="D1" s="262"/>
      <c r="E1" s="262"/>
      <c r="F1" s="262"/>
      <c r="G1" s="262"/>
      <c r="H1" s="262"/>
      <c r="I1" s="262"/>
      <c r="J1" s="262"/>
      <c r="K1" s="262"/>
      <c r="L1" s="262"/>
      <c r="M1" s="262"/>
      <c r="N1" s="262"/>
    </row>
    <row r="2" spans="1:14" ht="15">
      <c r="A2" s="122" t="s">
        <v>12</v>
      </c>
      <c r="B2" s="122"/>
      <c r="C2" s="122"/>
      <c r="D2" s="122"/>
      <c r="E2" s="123"/>
      <c r="F2" s="122"/>
      <c r="G2" s="119"/>
      <c r="H2" s="115"/>
      <c r="I2" s="115"/>
      <c r="J2" s="115"/>
      <c r="K2" s="115"/>
      <c r="L2" s="115"/>
      <c r="M2" s="115"/>
      <c r="N2" s="115"/>
    </row>
    <row r="3" spans="1:14" ht="15">
      <c r="A3" s="122"/>
      <c r="B3" s="122"/>
      <c r="C3" s="122"/>
      <c r="D3" s="122"/>
      <c r="E3" s="123"/>
      <c r="F3" s="122"/>
      <c r="G3" s="119"/>
      <c r="H3" s="115"/>
      <c r="I3" s="115"/>
      <c r="J3" s="115"/>
      <c r="K3" s="115"/>
      <c r="L3" s="115"/>
      <c r="M3" s="115"/>
      <c r="N3" s="115"/>
    </row>
    <row r="4" spans="1:14" ht="19.5" customHeight="1">
      <c r="A4" s="185"/>
      <c r="B4" s="186" t="s">
        <v>12</v>
      </c>
      <c r="C4" s="263" t="s">
        <v>54</v>
      </c>
      <c r="D4" s="263"/>
      <c r="E4" s="263"/>
      <c r="F4" s="263"/>
      <c r="G4" s="263"/>
      <c r="H4" s="263"/>
      <c r="I4" s="263"/>
      <c r="J4" s="263"/>
      <c r="K4" s="263"/>
      <c r="L4" s="263"/>
      <c r="M4" s="263"/>
      <c r="N4" s="263"/>
    </row>
    <row r="5" spans="1:14" ht="19.5" customHeight="1">
      <c r="A5" s="120" t="s">
        <v>12</v>
      </c>
      <c r="B5" s="109" t="s">
        <v>13</v>
      </c>
      <c r="C5" s="109" t="s">
        <v>17</v>
      </c>
      <c r="D5" s="109" t="s">
        <v>16</v>
      </c>
      <c r="E5" s="109" t="s">
        <v>14</v>
      </c>
      <c r="F5" s="109" t="s">
        <v>8</v>
      </c>
      <c r="G5" s="109" t="s">
        <v>44</v>
      </c>
      <c r="H5" s="109" t="s">
        <v>45</v>
      </c>
      <c r="I5" s="109" t="s">
        <v>7</v>
      </c>
      <c r="J5" s="109" t="s">
        <v>53</v>
      </c>
      <c r="K5" s="109" t="s">
        <v>124</v>
      </c>
      <c r="L5" s="48" t="s">
        <v>18</v>
      </c>
      <c r="M5" s="48" t="s">
        <v>3</v>
      </c>
      <c r="N5" s="48" t="s">
        <v>102</v>
      </c>
    </row>
    <row r="6" spans="1:14" ht="19.5" customHeight="1">
      <c r="A6" s="121" t="s">
        <v>197</v>
      </c>
      <c r="B6" s="116">
        <f>'1st IA Parameters'!B18</f>
        <v>160277.8</v>
      </c>
      <c r="C6" s="116">
        <f>'1st IA Parameters'!C18</f>
        <v>70016</v>
      </c>
      <c r="D6" s="116">
        <f>'1st IA Parameters'!D18</f>
        <v>38597</v>
      </c>
      <c r="E6" s="116">
        <f>'1st IA Parameters'!E18</f>
        <v>16342</v>
      </c>
      <c r="F6" s="116">
        <f>'1st IA Parameters'!F18</f>
        <v>12573</v>
      </c>
      <c r="G6" s="116">
        <f>'1st IA Parameters'!G18</f>
        <v>6472</v>
      </c>
      <c r="H6" s="116">
        <f>'1st IA Parameters'!H18</f>
        <v>3116</v>
      </c>
      <c r="I6" s="116">
        <f>'1st IA Parameters'!I18</f>
        <v>8458</v>
      </c>
      <c r="J6" s="116">
        <f>'1st IA Parameters'!J18</f>
        <v>16025</v>
      </c>
      <c r="K6" s="116">
        <f>'1st IA Parameters'!K18</f>
        <v>6217</v>
      </c>
      <c r="L6" s="116">
        <f>'1st IA Parameters'!L18</f>
        <v>27795</v>
      </c>
      <c r="M6" s="116">
        <f>'1st IA Parameters'!M18</f>
        <v>8609</v>
      </c>
      <c r="N6" s="116">
        <f>'1st IA Parameters'!N18</f>
        <v>10315</v>
      </c>
    </row>
    <row r="7" spans="1:14" ht="19.5" customHeight="1">
      <c r="A7" s="121" t="s">
        <v>207</v>
      </c>
      <c r="B7" s="116">
        <f>'2nd IA Parameters'!B21</f>
        <v>156510.90000000002</v>
      </c>
      <c r="C7" s="116">
        <f>'2nd IA Parameters'!C21</f>
        <v>67609.9</v>
      </c>
      <c r="D7" s="116">
        <f>'2nd IA Parameters'!D21</f>
        <v>37583.4</v>
      </c>
      <c r="E7" s="116">
        <f>'2nd IA Parameters'!E21</f>
        <v>16148.6</v>
      </c>
      <c r="F7" s="116">
        <f>'2nd IA Parameters'!F21</f>
        <v>12325</v>
      </c>
      <c r="G7" s="116">
        <f>'2nd IA Parameters'!G21</f>
        <v>6387</v>
      </c>
      <c r="H7" s="116">
        <f>'2nd IA Parameters'!H21</f>
        <v>3022</v>
      </c>
      <c r="I7" s="116">
        <f>'2nd IA Parameters'!I21</f>
        <v>8364</v>
      </c>
      <c r="J7" s="116">
        <f>'2nd IA Parameters'!J21</f>
        <v>15694.1</v>
      </c>
      <c r="K7" s="116">
        <f>'2nd IA Parameters'!K21</f>
        <v>5941.7</v>
      </c>
      <c r="L7" s="116">
        <f>'2nd IA Parameters'!L21</f>
        <v>26809.7</v>
      </c>
      <c r="M7" s="116">
        <f>'2nd IA Parameters'!M21</f>
        <v>8386.6</v>
      </c>
      <c r="N7" s="116">
        <f>'2nd IA Parameters'!N21</f>
        <v>10512.6</v>
      </c>
    </row>
    <row r="8" spans="1:14" ht="19.5" customHeight="1">
      <c r="A8" s="124" t="s">
        <v>134</v>
      </c>
      <c r="B8" s="116">
        <f>B7-B6</f>
        <v>-3766.899999999965</v>
      </c>
      <c r="C8" s="116">
        <f>C7-C6</f>
        <v>-2406.100000000006</v>
      </c>
      <c r="D8" s="116">
        <f aca="true" t="shared" si="0" ref="D8:N8">D7-D6</f>
        <v>-1013.5999999999985</v>
      </c>
      <c r="E8" s="116">
        <f t="shared" si="0"/>
        <v>-193.39999999999964</v>
      </c>
      <c r="F8" s="116">
        <f t="shared" si="0"/>
        <v>-248</v>
      </c>
      <c r="G8" s="116">
        <f t="shared" si="0"/>
        <v>-85</v>
      </c>
      <c r="H8" s="116">
        <f t="shared" si="0"/>
        <v>-94</v>
      </c>
      <c r="I8" s="116">
        <f t="shared" si="0"/>
        <v>-94</v>
      </c>
      <c r="J8" s="116">
        <f>J7-J6</f>
        <v>-330.89999999999964</v>
      </c>
      <c r="K8" s="116">
        <f t="shared" si="0"/>
        <v>-275.3000000000002</v>
      </c>
      <c r="L8" s="116">
        <f t="shared" si="0"/>
        <v>-985.2999999999993</v>
      </c>
      <c r="M8" s="116">
        <f t="shared" si="0"/>
        <v>-222.39999999999964</v>
      </c>
      <c r="N8" s="116">
        <f t="shared" si="0"/>
        <v>197.60000000000036</v>
      </c>
    </row>
    <row r="9" spans="1:14" ht="19.5" customHeight="1">
      <c r="A9" s="127" t="s">
        <v>135</v>
      </c>
      <c r="B9" s="116">
        <f>'BRA Parameters'!B19*0.2</f>
        <v>825.04</v>
      </c>
      <c r="C9" s="116">
        <f>'BRA Parameters'!C19*0.2</f>
        <v>331.03512381194315</v>
      </c>
      <c r="D9" s="116">
        <f>'BRA Parameters'!D19*0.2</f>
        <v>180.48075776309582</v>
      </c>
      <c r="E9" s="116">
        <f>'BRA Parameters'!E19*0.2</f>
        <v>76.3087511502659</v>
      </c>
      <c r="F9" s="116">
        <f>'BRA Parameters'!F19*0.2</f>
        <v>57.14559935221257</v>
      </c>
      <c r="G9" s="116">
        <f>'BRA Parameters'!G19*0.2</f>
        <v>27.7156156858231</v>
      </c>
      <c r="H9" s="116">
        <f>'BRA Parameters'!H19*0.2</f>
        <v>13.222280006906553</v>
      </c>
      <c r="I9" s="116">
        <f>'BRA Parameters'!I19*0.2</f>
        <v>36.7271000994306</v>
      </c>
      <c r="J9" s="116">
        <f>'BRA Parameters'!J19*0.2</f>
        <v>71.40743804441233</v>
      </c>
      <c r="K9" s="116">
        <f>'BRA Parameters'!K19*0.2</f>
        <v>24.504382316303115</v>
      </c>
      <c r="L9" s="116">
        <f>'BRA Parameters'!L19*0.2</f>
        <v>125.90862069307695</v>
      </c>
      <c r="M9" s="116">
        <f>'BRA Parameters'!M19*0.2</f>
        <v>39.5816510508353</v>
      </c>
      <c r="N9" s="116">
        <f>'BRA Parameters'!N19*0.2</f>
        <v>41.02802963997917</v>
      </c>
    </row>
    <row r="10" spans="1:14" ht="19.5" customHeight="1">
      <c r="A10" s="121" t="s">
        <v>136</v>
      </c>
      <c r="B10" s="118" t="s">
        <v>24</v>
      </c>
      <c r="C10" s="117">
        <f>'1st IA Parameters'!C14-'BRA Parameters'!C14</f>
        <v>0</v>
      </c>
      <c r="D10" s="117">
        <f>'1st IA Parameters'!D14-'BRA Parameters'!D14</f>
        <v>0</v>
      </c>
      <c r="E10" s="117">
        <f>'1st IA Parameters'!E14-'BRA Parameters'!E14</f>
        <v>0</v>
      </c>
      <c r="F10" s="117">
        <f>'1st IA Parameters'!F14-'BRA Parameters'!F14</f>
        <v>0</v>
      </c>
      <c r="G10" s="117">
        <f>'1st IA Parameters'!G14-'BRA Parameters'!G14</f>
        <v>0</v>
      </c>
      <c r="H10" s="117">
        <f>'1st IA Parameters'!H14-'BRA Parameters'!H14</f>
        <v>0</v>
      </c>
      <c r="I10" s="117">
        <f>'1st IA Parameters'!I14-'BRA Parameters'!I14</f>
        <v>0</v>
      </c>
      <c r="J10" s="117">
        <f>'1st IA Parameters'!J14-'BRA Parameters'!J14</f>
        <v>0</v>
      </c>
      <c r="K10" s="117">
        <f>'1st IA Parameters'!K14-'BRA Parameters'!K14</f>
        <v>0</v>
      </c>
      <c r="L10" s="117">
        <f>'1st IA Parameters'!L14-'BRA Parameters'!L14</f>
        <v>0</v>
      </c>
      <c r="M10" s="117">
        <f>'1st IA Parameters'!M14-'BRA Parameters'!M14</f>
        <v>0</v>
      </c>
      <c r="N10" s="117">
        <f>'1st IA Parameters'!N14-'BRA Parameters'!N14</f>
        <v>0</v>
      </c>
    </row>
    <row r="11" spans="1:14" ht="19.5" customHeight="1">
      <c r="A11" s="121" t="s">
        <v>137</v>
      </c>
      <c r="B11" s="219" t="s">
        <v>24</v>
      </c>
      <c r="C11" s="220">
        <v>2633.5</v>
      </c>
      <c r="D11" s="220">
        <v>1908.8</v>
      </c>
      <c r="E11" s="220">
        <v>2004.4</v>
      </c>
      <c r="F11" s="220">
        <v>0</v>
      </c>
      <c r="G11" s="220">
        <v>27.1</v>
      </c>
      <c r="H11" s="220">
        <v>394.1</v>
      </c>
      <c r="I11" s="220">
        <v>2589.1</v>
      </c>
      <c r="J11" s="220">
        <v>627.5</v>
      </c>
      <c r="K11" s="220">
        <v>854.3</v>
      </c>
      <c r="L11" s="220">
        <v>887.7</v>
      </c>
      <c r="M11" s="220">
        <v>718.9</v>
      </c>
      <c r="N11" s="220">
        <v>2749.9</v>
      </c>
    </row>
    <row r="12" spans="1:14" ht="19.5" customHeight="1">
      <c r="A12" s="187"/>
      <c r="B12" s="125"/>
      <c r="C12" s="126" t="s">
        <v>12</v>
      </c>
      <c r="D12" s="126" t="s">
        <v>12</v>
      </c>
      <c r="E12" s="126" t="s">
        <v>12</v>
      </c>
      <c r="F12" s="126" t="s">
        <v>12</v>
      </c>
      <c r="G12" s="126" t="s">
        <v>12</v>
      </c>
      <c r="H12" s="126" t="s">
        <v>12</v>
      </c>
      <c r="I12" s="126"/>
      <c r="J12" s="126"/>
      <c r="K12" s="126"/>
      <c r="L12" s="126"/>
      <c r="M12" s="126"/>
      <c r="N12" s="126"/>
    </row>
    <row r="13" spans="1:14" ht="19.5" customHeight="1">
      <c r="A13" s="190" t="s">
        <v>138</v>
      </c>
      <c r="B13" s="125"/>
      <c r="C13" s="125"/>
      <c r="D13" s="125"/>
      <c r="E13" s="125"/>
      <c r="F13" s="125"/>
      <c r="G13" s="125"/>
      <c r="H13" s="188"/>
      <c r="I13" s="188"/>
      <c r="J13" s="188"/>
      <c r="K13" s="188"/>
      <c r="L13" s="188"/>
      <c r="M13" s="188"/>
      <c r="N13" s="188"/>
    </row>
    <row r="14" spans="1:14" ht="19.5" customHeight="1">
      <c r="A14" s="190" t="s">
        <v>139</v>
      </c>
      <c r="B14" s="125"/>
      <c r="C14" s="125"/>
      <c r="D14" s="125"/>
      <c r="E14" s="125"/>
      <c r="F14" s="125"/>
      <c r="G14" s="125"/>
      <c r="H14" s="188"/>
      <c r="I14" s="188"/>
      <c r="J14" s="188"/>
      <c r="K14" s="188"/>
      <c r="L14" s="188"/>
      <c r="M14" s="188"/>
      <c r="N14" s="188"/>
    </row>
    <row r="15" spans="1:14" ht="19.5" customHeight="1">
      <c r="A15" s="191" t="s">
        <v>140</v>
      </c>
      <c r="B15" s="189"/>
      <c r="C15" s="189"/>
      <c r="D15" s="189"/>
      <c r="E15" s="189"/>
      <c r="F15" s="189"/>
      <c r="G15" s="189"/>
      <c r="H15" s="189"/>
      <c r="I15" s="189"/>
      <c r="J15" s="189"/>
      <c r="K15" s="189"/>
      <c r="L15" s="189"/>
      <c r="M15" s="189"/>
      <c r="N15" s="189"/>
    </row>
    <row r="16" spans="2:5" ht="12.75">
      <c r="B16" s="207" t="s">
        <v>12</v>
      </c>
      <c r="C16" s="207" t="s">
        <v>12</v>
      </c>
      <c r="D16" s="207" t="s">
        <v>12</v>
      </c>
      <c r="E16" s="207" t="s">
        <v>12</v>
      </c>
    </row>
    <row r="17" spans="1:2" ht="15">
      <c r="A17" s="191" t="s">
        <v>12</v>
      </c>
      <c r="B17" s="207" t="s">
        <v>12</v>
      </c>
    </row>
  </sheetData>
  <sheetProtection/>
  <mergeCells count="2">
    <mergeCell ref="A1:N1"/>
    <mergeCell ref="C4:N4"/>
  </mergeCells>
  <printOptions/>
  <pageMargins left="0.45" right="0.45" top="0.5" bottom="0.5" header="0.3" footer="0.3"/>
  <pageSetup fitToHeight="1" fitToWidth="1" horizontalDpi="600" verticalDpi="600" orientation="landscape" scale="57" r:id="rId1"/>
</worksheet>
</file>

<file path=xl/worksheets/sheet4.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A1" sqref="A1:H1"/>
    </sheetView>
  </sheetViews>
  <sheetFormatPr defaultColWidth="9.140625" defaultRowHeight="12.75"/>
  <cols>
    <col min="1" max="1" width="61.421875" style="0" customWidth="1"/>
    <col min="2" max="14" width="17.7109375" style="0" customWidth="1"/>
  </cols>
  <sheetData>
    <row r="1" spans="1:9" ht="19.5" customHeight="1">
      <c r="A1" s="264" t="s">
        <v>194</v>
      </c>
      <c r="B1" s="264"/>
      <c r="C1" s="264"/>
      <c r="D1" s="264"/>
      <c r="E1" s="264"/>
      <c r="F1" s="264"/>
      <c r="G1" s="264"/>
      <c r="H1" s="264"/>
      <c r="I1" s="13" t="s">
        <v>12</v>
      </c>
    </row>
    <row r="2" spans="1:9" ht="19.5" customHeight="1">
      <c r="A2" s="265" t="s">
        <v>12</v>
      </c>
      <c r="B2" s="265"/>
      <c r="C2" s="265"/>
      <c r="D2" s="265"/>
      <c r="E2" s="265"/>
      <c r="F2" s="265"/>
      <c r="G2" s="265"/>
      <c r="H2" s="265"/>
      <c r="I2" s="13"/>
    </row>
    <row r="3" spans="1:11" ht="19.5" customHeight="1">
      <c r="A3" s="14"/>
      <c r="B3" s="15" t="s">
        <v>13</v>
      </c>
      <c r="C3" s="266" t="s">
        <v>12</v>
      </c>
      <c r="D3" s="267"/>
      <c r="E3" s="267"/>
      <c r="F3" s="267"/>
      <c r="G3" s="267"/>
      <c r="H3" s="268"/>
      <c r="I3" s="40"/>
      <c r="J3" s="40"/>
      <c r="K3" s="40"/>
    </row>
    <row r="4" spans="1:11" ht="19.5" customHeight="1">
      <c r="A4" s="16" t="s">
        <v>35</v>
      </c>
      <c r="B4" s="17">
        <v>0.165</v>
      </c>
      <c r="C4" s="266" t="s">
        <v>12</v>
      </c>
      <c r="D4" s="267"/>
      <c r="E4" s="267"/>
      <c r="F4" s="267"/>
      <c r="G4" s="267"/>
      <c r="H4" s="268"/>
      <c r="I4" s="41" t="s">
        <v>12</v>
      </c>
      <c r="J4" s="56" t="s">
        <v>12</v>
      </c>
      <c r="K4" s="41"/>
    </row>
    <row r="5" spans="1:11" ht="19.5" customHeight="1">
      <c r="A5" s="16" t="s">
        <v>36</v>
      </c>
      <c r="B5" s="18">
        <v>0.0593</v>
      </c>
      <c r="C5" s="266" t="s">
        <v>12</v>
      </c>
      <c r="D5" s="267"/>
      <c r="E5" s="267"/>
      <c r="F5" s="267"/>
      <c r="G5" s="267"/>
      <c r="H5" s="268"/>
      <c r="I5" s="41"/>
      <c r="J5" s="99" t="s">
        <v>12</v>
      </c>
      <c r="K5" s="41"/>
    </row>
    <row r="6" spans="1:11" ht="19.5" customHeight="1">
      <c r="A6" s="16" t="s">
        <v>37</v>
      </c>
      <c r="B6" s="19">
        <v>1.0959</v>
      </c>
      <c r="C6" s="266" t="s">
        <v>12</v>
      </c>
      <c r="D6" s="267"/>
      <c r="E6" s="267"/>
      <c r="F6" s="267"/>
      <c r="G6" s="267"/>
      <c r="H6" s="268"/>
      <c r="I6" s="42"/>
      <c r="J6" s="57" t="s">
        <v>12</v>
      </c>
      <c r="K6" s="42"/>
    </row>
    <row r="7" spans="1:11" ht="19.5" customHeight="1">
      <c r="A7" s="16" t="s">
        <v>42</v>
      </c>
      <c r="B7" s="20">
        <v>0.95</v>
      </c>
      <c r="C7" s="266" t="s">
        <v>12</v>
      </c>
      <c r="D7" s="267"/>
      <c r="E7" s="267"/>
      <c r="F7" s="267"/>
      <c r="G7" s="267"/>
      <c r="H7" s="268"/>
      <c r="I7" s="42" t="s">
        <v>12</v>
      </c>
      <c r="J7" s="42" t="s">
        <v>12</v>
      </c>
      <c r="K7" s="42"/>
    </row>
    <row r="8" spans="1:14" ht="19.5" customHeight="1">
      <c r="A8" s="16" t="s">
        <v>38</v>
      </c>
      <c r="B8" s="80">
        <v>154377.3</v>
      </c>
      <c r="C8" s="272" t="s">
        <v>196</v>
      </c>
      <c r="D8" s="273"/>
      <c r="E8" s="273"/>
      <c r="F8" s="273"/>
      <c r="G8" s="273"/>
      <c r="H8" s="274"/>
      <c r="I8" s="81"/>
      <c r="J8" s="82" t="s">
        <v>12</v>
      </c>
      <c r="K8" s="81"/>
      <c r="L8" s="34"/>
      <c r="M8" s="34"/>
      <c r="N8" s="34"/>
    </row>
    <row r="9" spans="1:14" ht="19.5" customHeight="1">
      <c r="A9" s="16" t="s">
        <v>43</v>
      </c>
      <c r="B9" s="83" t="s">
        <v>195</v>
      </c>
      <c r="C9" s="275" t="s">
        <v>12</v>
      </c>
      <c r="D9" s="275">
        <f>ROUND(MAX(D19*0.3,20)*365,2)</f>
        <v>59287.93</v>
      </c>
      <c r="E9" s="275">
        <f>ROUND(MAX(E19*0.3,20)*365,2)</f>
        <v>25067.42</v>
      </c>
      <c r="F9" s="275">
        <f>ROUND(MAX(F19*0.3,20)*365,2)</f>
        <v>18772.33</v>
      </c>
      <c r="G9" s="275">
        <f>ROUND(MAX(G19*0.3,20)*365,2)</f>
        <v>9104.58</v>
      </c>
      <c r="H9" s="275">
        <f>ROUND(MAX(H19*0.3,20)*365,2)</f>
        <v>7300</v>
      </c>
      <c r="I9" s="35"/>
      <c r="J9" s="35"/>
      <c r="K9" s="35"/>
      <c r="L9" s="34"/>
      <c r="M9" s="34"/>
      <c r="N9" s="34"/>
    </row>
    <row r="10" spans="1:14" ht="19.5" customHeight="1">
      <c r="A10" s="16" t="s">
        <v>12</v>
      </c>
      <c r="B10" s="84" t="s">
        <v>12</v>
      </c>
      <c r="C10" s="275" t="s">
        <v>12</v>
      </c>
      <c r="D10" s="275">
        <f>ROUND(MAX(D22*0.3,20)*365,2)</f>
        <v>40182.01</v>
      </c>
      <c r="E10" s="275">
        <f>ROUND(MAX(E22*0.3,20)*365,2)</f>
        <v>34375.52</v>
      </c>
      <c r="F10" s="275">
        <f>ROUND(MAX(F22*0.3,20)*365,2)</f>
        <v>40182.01</v>
      </c>
      <c r="G10" s="275">
        <f>ROUND(MAX(G22*0.3,20)*365,2)</f>
        <v>40182.01</v>
      </c>
      <c r="H10" s="275">
        <f>ROUND(MAX(H22*0.3,20)*365,2)</f>
        <v>40182.01</v>
      </c>
      <c r="I10" s="104" t="s">
        <v>12</v>
      </c>
      <c r="J10" s="35"/>
      <c r="K10" s="35"/>
      <c r="L10" s="34"/>
      <c r="M10" s="34"/>
      <c r="N10" s="34"/>
    </row>
    <row r="11" spans="1:14" ht="19.5" customHeight="1">
      <c r="A11" s="16"/>
      <c r="B11" s="85" t="s">
        <v>12</v>
      </c>
      <c r="C11" s="263" t="s">
        <v>54</v>
      </c>
      <c r="D11" s="263"/>
      <c r="E11" s="263"/>
      <c r="F11" s="263"/>
      <c r="G11" s="263"/>
      <c r="H11" s="263"/>
      <c r="I11" s="263"/>
      <c r="J11" s="263"/>
      <c r="K11" s="263"/>
      <c r="L11" s="263"/>
      <c r="M11" s="263"/>
      <c r="N11" s="263"/>
    </row>
    <row r="12" spans="1:14" ht="19.5" customHeight="1">
      <c r="A12" s="25" t="s">
        <v>12</v>
      </c>
      <c r="B12" s="87" t="s">
        <v>13</v>
      </c>
      <c r="C12" s="87" t="s">
        <v>17</v>
      </c>
      <c r="D12" s="87" t="s">
        <v>16</v>
      </c>
      <c r="E12" s="87" t="s">
        <v>14</v>
      </c>
      <c r="F12" s="87" t="s">
        <v>8</v>
      </c>
      <c r="G12" s="87" t="s">
        <v>44</v>
      </c>
      <c r="H12" s="87" t="s">
        <v>45</v>
      </c>
      <c r="I12" s="87" t="s">
        <v>7</v>
      </c>
      <c r="J12" s="48" t="s">
        <v>53</v>
      </c>
      <c r="K12" s="48" t="s">
        <v>75</v>
      </c>
      <c r="L12" s="48" t="s">
        <v>18</v>
      </c>
      <c r="M12" s="48" t="s">
        <v>3</v>
      </c>
      <c r="N12" s="48" t="s">
        <v>102</v>
      </c>
    </row>
    <row r="13" spans="1:14" ht="19.5" customHeight="1">
      <c r="A13" s="23" t="s">
        <v>9</v>
      </c>
      <c r="B13" s="78" t="s">
        <v>24</v>
      </c>
      <c r="C13" s="78">
        <v>-3660</v>
      </c>
      <c r="D13" s="47">
        <v>3030</v>
      </c>
      <c r="E13" s="47">
        <v>4290</v>
      </c>
      <c r="F13" s="47">
        <v>4970</v>
      </c>
      <c r="G13" s="47">
        <v>2190</v>
      </c>
      <c r="H13" s="47">
        <v>1200</v>
      </c>
      <c r="I13" s="47">
        <v>2380</v>
      </c>
      <c r="J13" s="47">
        <v>4390</v>
      </c>
      <c r="K13" s="47">
        <v>3330</v>
      </c>
      <c r="L13" s="47">
        <v>-230</v>
      </c>
      <c r="M13" s="47">
        <v>4190</v>
      </c>
      <c r="N13" s="47">
        <v>750</v>
      </c>
    </row>
    <row r="14" spans="1:14" ht="19.5" customHeight="1">
      <c r="A14" s="23" t="s">
        <v>11</v>
      </c>
      <c r="B14" s="78" t="s">
        <v>24</v>
      </c>
      <c r="C14" s="78">
        <v>7393</v>
      </c>
      <c r="D14" s="47">
        <v>9315</v>
      </c>
      <c r="E14" s="47">
        <v>8053</v>
      </c>
      <c r="F14" s="47">
        <v>6700</v>
      </c>
      <c r="G14" s="47">
        <v>2795</v>
      </c>
      <c r="H14" s="47">
        <v>1904</v>
      </c>
      <c r="I14" s="47">
        <v>5359</v>
      </c>
      <c r="J14" s="47">
        <v>8470</v>
      </c>
      <c r="K14" s="47">
        <v>4940</v>
      </c>
      <c r="L14" s="47">
        <v>7020</v>
      </c>
      <c r="M14" s="47">
        <v>6217</v>
      </c>
      <c r="N14" s="47">
        <v>4336</v>
      </c>
    </row>
    <row r="15" spans="1:14" ht="19.5" customHeight="1">
      <c r="A15" s="24" t="s">
        <v>10</v>
      </c>
      <c r="B15" s="78">
        <f>B8*B6</f>
        <v>169182.08307</v>
      </c>
      <c r="C15" s="78">
        <v>67198</v>
      </c>
      <c r="D15" s="37">
        <v>37478</v>
      </c>
      <c r="E15" s="37">
        <v>15914</v>
      </c>
      <c r="F15" s="37">
        <v>12302</v>
      </c>
      <c r="G15" s="37">
        <v>6381</v>
      </c>
      <c r="H15" s="37">
        <v>3020</v>
      </c>
      <c r="I15" s="37">
        <v>8254</v>
      </c>
      <c r="J15" s="37">
        <v>15541</v>
      </c>
      <c r="K15" s="37">
        <v>5906</v>
      </c>
      <c r="L15" s="37">
        <v>26082</v>
      </c>
      <c r="M15" s="37">
        <v>8262</v>
      </c>
      <c r="N15" s="37">
        <v>10471</v>
      </c>
    </row>
    <row r="16" spans="1:14" ht="19.5" customHeight="1">
      <c r="A16" s="23" t="s">
        <v>47</v>
      </c>
      <c r="B16" s="47">
        <v>13032.6</v>
      </c>
      <c r="C16" s="47">
        <v>0</v>
      </c>
      <c r="D16" s="47">
        <v>0</v>
      </c>
      <c r="E16" s="47">
        <v>0</v>
      </c>
      <c r="F16" s="47">
        <v>0</v>
      </c>
      <c r="G16" s="47">
        <v>0</v>
      </c>
      <c r="H16" s="47">
        <v>0</v>
      </c>
      <c r="I16" s="47">
        <v>0</v>
      </c>
      <c r="J16" s="47">
        <v>0</v>
      </c>
      <c r="K16" s="47">
        <v>0</v>
      </c>
      <c r="L16" s="47">
        <v>352.4</v>
      </c>
      <c r="M16" s="47">
        <v>0</v>
      </c>
      <c r="N16" s="47">
        <v>0</v>
      </c>
    </row>
    <row r="17" spans="1:14" ht="19.5" customHeight="1">
      <c r="A17" s="23" t="s">
        <v>46</v>
      </c>
      <c r="B17" s="47">
        <f>ROUND(B16*$B$6,1)</f>
        <v>14282.4</v>
      </c>
      <c r="C17" s="47">
        <f aca="true" t="shared" si="0" ref="C17:N17">ROUND(C16*$B$6,1)</f>
        <v>0</v>
      </c>
      <c r="D17" s="47">
        <f t="shared" si="0"/>
        <v>0</v>
      </c>
      <c r="E17" s="47">
        <f t="shared" si="0"/>
        <v>0</v>
      </c>
      <c r="F17" s="47">
        <f t="shared" si="0"/>
        <v>0</v>
      </c>
      <c r="G17" s="47">
        <f t="shared" si="0"/>
        <v>0</v>
      </c>
      <c r="H17" s="47">
        <f t="shared" si="0"/>
        <v>0</v>
      </c>
      <c r="I17" s="47">
        <f t="shared" si="0"/>
        <v>0</v>
      </c>
      <c r="J17" s="47">
        <f t="shared" si="0"/>
        <v>0</v>
      </c>
      <c r="K17" s="47">
        <f t="shared" si="0"/>
        <v>0</v>
      </c>
      <c r="L17" s="47">
        <f>ROUND(L16*$B$6,1)</f>
        <v>386.2</v>
      </c>
      <c r="M17" s="47">
        <f t="shared" si="0"/>
        <v>0</v>
      </c>
      <c r="N17" s="47">
        <f t="shared" si="0"/>
        <v>0</v>
      </c>
    </row>
    <row r="18" spans="1:14" ht="19.5" customHeight="1">
      <c r="A18" s="225" t="s">
        <v>48</v>
      </c>
      <c r="B18" s="78">
        <f>ROUND(B15-B17,1)</f>
        <v>154899.7</v>
      </c>
      <c r="C18" s="78">
        <f aca="true" t="shared" si="1" ref="C18:I18">C15-C17</f>
        <v>67198</v>
      </c>
      <c r="D18" s="78">
        <f t="shared" si="1"/>
        <v>37478</v>
      </c>
      <c r="E18" s="78">
        <f t="shared" si="1"/>
        <v>15914</v>
      </c>
      <c r="F18" s="78">
        <f t="shared" si="1"/>
        <v>12302</v>
      </c>
      <c r="G18" s="78">
        <f t="shared" si="1"/>
        <v>6381</v>
      </c>
      <c r="H18" s="78">
        <f t="shared" si="1"/>
        <v>3020</v>
      </c>
      <c r="I18" s="78">
        <f t="shared" si="1"/>
        <v>8254</v>
      </c>
      <c r="J18" s="78">
        <f>J15-J17</f>
        <v>15541</v>
      </c>
      <c r="K18" s="78">
        <f>K15-K17</f>
        <v>5906</v>
      </c>
      <c r="L18" s="78">
        <f>L15</f>
        <v>26082</v>
      </c>
      <c r="M18" s="78">
        <f>M15-M17</f>
        <v>8262</v>
      </c>
      <c r="N18" s="78">
        <f>N15-N17</f>
        <v>10471</v>
      </c>
    </row>
    <row r="19" spans="1:14" ht="19.5" customHeight="1">
      <c r="A19" s="24" t="s">
        <v>43</v>
      </c>
      <c r="B19" s="78">
        <f>0.6*'BRA Parameters'!B19</f>
        <v>2475.12</v>
      </c>
      <c r="C19" s="78">
        <f>0.6*'BRA Parameters'!C19</f>
        <v>993.1053714358294</v>
      </c>
      <c r="D19" s="78">
        <f>0.6*'BRA Parameters'!D19</f>
        <v>541.4422732892874</v>
      </c>
      <c r="E19" s="78">
        <f>0.6*'BRA Parameters'!E19</f>
        <v>228.9262534507977</v>
      </c>
      <c r="F19" s="78">
        <f>0.6*'BRA Parameters'!F19</f>
        <v>171.4367980566377</v>
      </c>
      <c r="G19" s="78">
        <f>0.6*'BRA Parameters'!G19</f>
        <v>83.14684705746929</v>
      </c>
      <c r="H19" s="78">
        <f>0.6*'BRA Parameters'!H19</f>
        <v>39.666840020719654</v>
      </c>
      <c r="I19" s="78">
        <f>0.6*'BRA Parameters'!I19</f>
        <v>110.1813002982918</v>
      </c>
      <c r="J19" s="78">
        <f>0.6*'BRA Parameters'!J19</f>
        <v>214.22231413323695</v>
      </c>
      <c r="K19" s="78">
        <f>0.6*'BRA Parameters'!K19</f>
        <v>73.51314694890934</v>
      </c>
      <c r="L19" s="78">
        <f>0.6*'BRA Parameters'!L19</f>
        <v>377.72586207923086</v>
      </c>
      <c r="M19" s="78">
        <f>0.6*'BRA Parameters'!M19</f>
        <v>118.74495315250589</v>
      </c>
      <c r="N19" s="78">
        <f>0.6*'BRA Parameters'!N19</f>
        <v>123.0840889199375</v>
      </c>
    </row>
    <row r="20" spans="1:14" ht="19.5" customHeight="1">
      <c r="A20" s="211" t="s">
        <v>210</v>
      </c>
      <c r="B20" s="210">
        <v>1611.2</v>
      </c>
      <c r="C20" s="210">
        <v>411.9</v>
      </c>
      <c r="D20" s="210">
        <v>105.4</v>
      </c>
      <c r="E20" s="210">
        <v>234.6</v>
      </c>
      <c r="F20" s="210">
        <v>23</v>
      </c>
      <c r="G20" s="210">
        <v>6</v>
      </c>
      <c r="H20" s="210">
        <v>2</v>
      </c>
      <c r="I20" s="210">
        <v>110</v>
      </c>
      <c r="J20" s="210">
        <v>153.1</v>
      </c>
      <c r="K20" s="210">
        <v>35.7</v>
      </c>
      <c r="L20" s="78">
        <v>727.7</v>
      </c>
      <c r="M20" s="78">
        <v>124.6</v>
      </c>
      <c r="N20" s="78">
        <v>41.6</v>
      </c>
    </row>
    <row r="21" spans="1:14" ht="19.5" customHeight="1">
      <c r="A21" s="226" t="s">
        <v>209</v>
      </c>
      <c r="B21" s="212">
        <f aca="true" t="shared" si="2" ref="B21:M21">B18+B20</f>
        <v>156510.90000000002</v>
      </c>
      <c r="C21" s="212">
        <f t="shared" si="2"/>
        <v>67609.9</v>
      </c>
      <c r="D21" s="212">
        <f t="shared" si="2"/>
        <v>37583.4</v>
      </c>
      <c r="E21" s="212">
        <f t="shared" si="2"/>
        <v>16148.6</v>
      </c>
      <c r="F21" s="212">
        <f t="shared" si="2"/>
        <v>12325</v>
      </c>
      <c r="G21" s="212">
        <f t="shared" si="2"/>
        <v>6387</v>
      </c>
      <c r="H21" s="212">
        <f t="shared" si="2"/>
        <v>3022</v>
      </c>
      <c r="I21" s="212">
        <f t="shared" si="2"/>
        <v>8364</v>
      </c>
      <c r="J21" s="212">
        <f t="shared" si="2"/>
        <v>15694.1</v>
      </c>
      <c r="K21" s="212">
        <f t="shared" si="2"/>
        <v>5941.7</v>
      </c>
      <c r="L21" s="212">
        <f t="shared" si="2"/>
        <v>26809.7</v>
      </c>
      <c r="M21" s="212">
        <f t="shared" si="2"/>
        <v>8386.6</v>
      </c>
      <c r="N21" s="212">
        <f>N18+N20</f>
        <v>10512.6</v>
      </c>
    </row>
    <row r="22" spans="1:14" ht="19.5" customHeight="1">
      <c r="A22" s="59" t="s">
        <v>49</v>
      </c>
      <c r="B22" s="12">
        <f>'BRA Parameters'!B20*(1-'BRA Parameters'!$B$5)/(1-'2nd IA Parameters'!$B$5)</f>
        <v>352.4359147443393</v>
      </c>
      <c r="C22" s="12">
        <f>'BRA Parameters'!C20*(1-'BRA Parameters'!$B$5)/(1-'2nd IA Parameters'!$B$5)</f>
        <v>313.9316466461146</v>
      </c>
      <c r="D22" s="12">
        <f>'BRA Parameters'!D20*(1-'BRA Parameters'!$B$5)/(1-'2nd IA Parameters'!$B$5)</f>
        <v>366.9590145636229</v>
      </c>
      <c r="E22" s="12">
        <f>'BRA Parameters'!E20*(1-'BRA Parameters'!$B$5)/(1-'2nd IA Parameters'!$B$5)</f>
        <v>313.9316466461146</v>
      </c>
      <c r="F22" s="12">
        <f>'BRA Parameters'!F20*(1-'BRA Parameters'!$B$5)/(1-'2nd IA Parameters'!$B$5)</f>
        <v>366.9590145636229</v>
      </c>
      <c r="G22" s="12">
        <f>'BRA Parameters'!G20*(1-'BRA Parameters'!$B$5)/(1-'2nd IA Parameters'!$B$5)</f>
        <v>366.9590145636229</v>
      </c>
      <c r="H22" s="12">
        <f>'BRA Parameters'!H20*(1-'BRA Parameters'!$B$5)/(1-'2nd IA Parameters'!$B$5)</f>
        <v>366.9590145636229</v>
      </c>
      <c r="I22" s="12">
        <f>'BRA Parameters'!I20*(1-'BRA Parameters'!$B$5)/(1-'2nd IA Parameters'!$B$5)</f>
        <v>313.9316466461146</v>
      </c>
      <c r="J22" s="12">
        <f>'BRA Parameters'!J20*(1-'BRA Parameters'!$B$5)/(1-'2nd IA Parameters'!$B$5)</f>
        <v>374.8624694376528</v>
      </c>
      <c r="K22" s="12">
        <f>'BRA Parameters'!K20*(1-'BRA Parameters'!$B$5)/(1-'2nd IA Parameters'!$B$5)</f>
        <v>374.8624694376528</v>
      </c>
      <c r="L22" s="12">
        <f>'BRA Parameters'!L20*(1-'BRA Parameters'!$B$5)/(1-'2nd IA Parameters'!$B$5)</f>
        <v>374.8624694376528</v>
      </c>
      <c r="M22" s="12">
        <f>'BRA Parameters'!M20*(1-'BRA Parameters'!$B$5)/(1-'2nd IA Parameters'!$B$5)</f>
        <v>313.9316466461146</v>
      </c>
      <c r="N22" s="12">
        <f>'BRA Parameters'!N20*(1-'BRA Parameters'!$B$5)/(1-'2nd IA Parameters'!$B$5)</f>
        <v>355.51505262038904</v>
      </c>
    </row>
    <row r="23" spans="1:14" ht="19.5" customHeight="1">
      <c r="A23" s="276" t="s">
        <v>50</v>
      </c>
      <c r="B23" s="276"/>
      <c r="C23" s="276"/>
      <c r="D23" s="276"/>
      <c r="E23" s="276"/>
      <c r="F23" s="276"/>
      <c r="G23" s="276"/>
      <c r="H23" s="276"/>
      <c r="I23" s="276"/>
      <c r="J23" s="276"/>
      <c r="K23" s="276"/>
      <c r="L23" s="276"/>
      <c r="M23" s="276"/>
      <c r="N23" s="276"/>
    </row>
    <row r="24" spans="1:14" ht="19.5" customHeight="1">
      <c r="A24" s="60" t="s">
        <v>25</v>
      </c>
      <c r="B24" s="9">
        <f>ROUND(B$22*1.5,2)</f>
        <v>528.65</v>
      </c>
      <c r="C24" s="9">
        <f>ROUND(C$22*1.5,2)</f>
        <v>470.9</v>
      </c>
      <c r="D24" s="9">
        <f>ROUND(D$22*1.5,2)</f>
        <v>550.44</v>
      </c>
      <c r="E24" s="9">
        <f>ROUND(E$22*1.5,2)</f>
        <v>470.9</v>
      </c>
      <c r="F24" s="9">
        <f aca="true" t="shared" si="3" ref="F24:N24">ROUND(F$22*1.5,2)</f>
        <v>550.44</v>
      </c>
      <c r="G24" s="9">
        <f t="shared" si="3"/>
        <v>550.44</v>
      </c>
      <c r="H24" s="9">
        <f t="shared" si="3"/>
        <v>550.44</v>
      </c>
      <c r="I24" s="9">
        <f t="shared" si="3"/>
        <v>470.9</v>
      </c>
      <c r="J24" s="9">
        <f t="shared" si="3"/>
        <v>562.29</v>
      </c>
      <c r="K24" s="9">
        <f t="shared" si="3"/>
        <v>562.29</v>
      </c>
      <c r="L24" s="9">
        <f t="shared" si="3"/>
        <v>562.29</v>
      </c>
      <c r="M24" s="9">
        <f t="shared" si="3"/>
        <v>470.9</v>
      </c>
      <c r="N24" s="9">
        <f t="shared" si="3"/>
        <v>533.27</v>
      </c>
    </row>
    <row r="25" spans="1:14" ht="19.5" customHeight="1">
      <c r="A25" s="23" t="s">
        <v>26</v>
      </c>
      <c r="B25" s="9">
        <f>ROUND(B$22,2)</f>
        <v>352.44</v>
      </c>
      <c r="C25" s="9">
        <f>ROUND(C$22,2)</f>
        <v>313.93</v>
      </c>
      <c r="D25" s="9">
        <f aca="true" t="shared" si="4" ref="D25:N25">ROUND(D$22,2)</f>
        <v>366.96</v>
      </c>
      <c r="E25" s="9">
        <f t="shared" si="4"/>
        <v>313.93</v>
      </c>
      <c r="F25" s="9">
        <f t="shared" si="4"/>
        <v>366.96</v>
      </c>
      <c r="G25" s="9">
        <f t="shared" si="4"/>
        <v>366.96</v>
      </c>
      <c r="H25" s="9">
        <f t="shared" si="4"/>
        <v>366.96</v>
      </c>
      <c r="I25" s="9">
        <f t="shared" si="4"/>
        <v>313.93</v>
      </c>
      <c r="J25" s="9">
        <f t="shared" si="4"/>
        <v>374.86</v>
      </c>
      <c r="K25" s="9">
        <f t="shared" si="4"/>
        <v>374.86</v>
      </c>
      <c r="L25" s="9">
        <f t="shared" si="4"/>
        <v>374.86</v>
      </c>
      <c r="M25" s="9">
        <f t="shared" si="4"/>
        <v>313.93</v>
      </c>
      <c r="N25" s="9">
        <f t="shared" si="4"/>
        <v>355.52</v>
      </c>
    </row>
    <row r="26" spans="1:14" ht="19.5" customHeight="1">
      <c r="A26" s="23" t="s">
        <v>27</v>
      </c>
      <c r="B26" s="9">
        <f>ROUND(B$22*0.2,2)</f>
        <v>70.49</v>
      </c>
      <c r="C26" s="9">
        <f>ROUND(C$22*0.2,2)</f>
        <v>62.79</v>
      </c>
      <c r="D26" s="9">
        <f aca="true" t="shared" si="5" ref="D26:N26">ROUND(D$22*0.2,2)</f>
        <v>73.39</v>
      </c>
      <c r="E26" s="9">
        <f t="shared" si="5"/>
        <v>62.79</v>
      </c>
      <c r="F26" s="9">
        <f t="shared" si="5"/>
        <v>73.39</v>
      </c>
      <c r="G26" s="9">
        <f t="shared" si="5"/>
        <v>73.39</v>
      </c>
      <c r="H26" s="9">
        <f t="shared" si="5"/>
        <v>73.39</v>
      </c>
      <c r="I26" s="9">
        <f t="shared" si="5"/>
        <v>62.79</v>
      </c>
      <c r="J26" s="9">
        <f t="shared" si="5"/>
        <v>74.97</v>
      </c>
      <c r="K26" s="9">
        <f t="shared" si="5"/>
        <v>74.97</v>
      </c>
      <c r="L26" s="9">
        <f t="shared" si="5"/>
        <v>74.97</v>
      </c>
      <c r="M26" s="9">
        <f t="shared" si="5"/>
        <v>62.79</v>
      </c>
      <c r="N26" s="9">
        <f t="shared" si="5"/>
        <v>71.1</v>
      </c>
    </row>
    <row r="27" spans="1:14" ht="19.5" customHeight="1">
      <c r="A27" s="23" t="s">
        <v>28</v>
      </c>
      <c r="B27" s="10">
        <f aca="true" t="shared" si="6" ref="B27:N27">ROUND(B$21*(1+$B$4-3%)/(1+$B$4)-B19,1)</f>
        <v>150005.5</v>
      </c>
      <c r="C27" s="10">
        <f t="shared" si="6"/>
        <v>64875.8</v>
      </c>
      <c r="D27" s="10">
        <f t="shared" si="6"/>
        <v>36074.1</v>
      </c>
      <c r="E27" s="10">
        <f t="shared" si="6"/>
        <v>15503.8</v>
      </c>
      <c r="F27" s="10">
        <f t="shared" si="6"/>
        <v>11836.2</v>
      </c>
      <c r="G27" s="10">
        <f t="shared" si="6"/>
        <v>6139.4</v>
      </c>
      <c r="H27" s="10">
        <f t="shared" si="6"/>
        <v>2904.5</v>
      </c>
      <c r="I27" s="10">
        <f t="shared" si="6"/>
        <v>8038.4</v>
      </c>
      <c r="J27" s="10">
        <f t="shared" si="6"/>
        <v>15075.7</v>
      </c>
      <c r="K27" s="10">
        <f t="shared" si="6"/>
        <v>5715.2</v>
      </c>
      <c r="L27" s="10">
        <f t="shared" si="6"/>
        <v>25741.6</v>
      </c>
      <c r="M27" s="10">
        <f t="shared" si="6"/>
        <v>8051.9</v>
      </c>
      <c r="N27" s="10">
        <f t="shared" si="6"/>
        <v>10118.8</v>
      </c>
    </row>
    <row r="28" spans="1:14" ht="19.5" customHeight="1">
      <c r="A28" s="23" t="s">
        <v>29</v>
      </c>
      <c r="B28" s="10">
        <f aca="true" t="shared" si="7" ref="B28:N28">ROUND(B$21*(1+$B$4+1%)/(1+$B$4)-B19,1)</f>
        <v>155379.2</v>
      </c>
      <c r="C28" s="10">
        <f t="shared" si="7"/>
        <v>67197.1</v>
      </c>
      <c r="D28" s="10">
        <f t="shared" si="7"/>
        <v>37364.6</v>
      </c>
      <c r="E28" s="10">
        <f t="shared" si="7"/>
        <v>16058.3</v>
      </c>
      <c r="F28" s="10">
        <f t="shared" si="7"/>
        <v>12259.4</v>
      </c>
      <c r="G28" s="10">
        <f t="shared" si="7"/>
        <v>6358.7</v>
      </c>
      <c r="H28" s="10">
        <f t="shared" si="7"/>
        <v>3008.3</v>
      </c>
      <c r="I28" s="10">
        <f t="shared" si="7"/>
        <v>8325.6</v>
      </c>
      <c r="J28" s="10">
        <f t="shared" si="7"/>
        <v>15614.6</v>
      </c>
      <c r="K28" s="10">
        <f t="shared" si="7"/>
        <v>5919.2</v>
      </c>
      <c r="L28" s="10">
        <f t="shared" si="7"/>
        <v>26662.1</v>
      </c>
      <c r="M28" s="10">
        <f t="shared" si="7"/>
        <v>8339.8</v>
      </c>
      <c r="N28" s="10">
        <f t="shared" si="7"/>
        <v>10479.8</v>
      </c>
    </row>
    <row r="29" spans="1:14" ht="19.5" customHeight="1">
      <c r="A29" s="23" t="s">
        <v>30</v>
      </c>
      <c r="B29" s="10">
        <f>ROUND(B$21*(1+$B$4+5%)/(1+$B$4)-B19,1)</f>
        <v>160753</v>
      </c>
      <c r="C29" s="10">
        <f>ROUND(C$21*(1+$B$4+5%)/(1+$B$4)-C19,1)</f>
        <v>69518.5</v>
      </c>
      <c r="D29" s="10">
        <f aca="true" t="shared" si="8" ref="D29:M29">ROUND(D$21*(1+$B$4+5%)/(1+$B$4)-D19,1)</f>
        <v>38655</v>
      </c>
      <c r="E29" s="10">
        <f t="shared" si="8"/>
        <v>16612.7</v>
      </c>
      <c r="F29" s="10">
        <f t="shared" si="8"/>
        <v>12682.5</v>
      </c>
      <c r="G29" s="10">
        <f t="shared" si="8"/>
        <v>6578</v>
      </c>
      <c r="H29" s="10">
        <f t="shared" si="8"/>
        <v>3112</v>
      </c>
      <c r="I29" s="10">
        <f t="shared" si="8"/>
        <v>8612.8</v>
      </c>
      <c r="J29" s="10">
        <f t="shared" si="8"/>
        <v>16153.4</v>
      </c>
      <c r="K29" s="10">
        <f t="shared" si="8"/>
        <v>6123.2</v>
      </c>
      <c r="L29" s="10">
        <f t="shared" si="8"/>
        <v>27582.6</v>
      </c>
      <c r="M29" s="10">
        <f t="shared" si="8"/>
        <v>8627.8</v>
      </c>
      <c r="N29" s="10">
        <f>ROUND(N$21*(1+$B$4+5%)/(1+$B$4)-N19,1)</f>
        <v>10840.7</v>
      </c>
    </row>
    <row r="30" spans="1:14" ht="19.5" customHeight="1">
      <c r="A30" s="23" t="s">
        <v>52</v>
      </c>
      <c r="B30" s="22" t="s">
        <v>24</v>
      </c>
      <c r="C30" s="11">
        <v>159</v>
      </c>
      <c r="D30" s="11" t="s">
        <v>24</v>
      </c>
      <c r="E30" s="11" t="s">
        <v>24</v>
      </c>
      <c r="F30" s="11" t="s">
        <v>24</v>
      </c>
      <c r="G30" s="11" t="s">
        <v>24</v>
      </c>
      <c r="H30" s="100">
        <f>37+35</f>
        <v>72</v>
      </c>
      <c r="I30" s="11" t="s">
        <v>24</v>
      </c>
      <c r="J30" s="11" t="s">
        <v>24</v>
      </c>
      <c r="K30" s="11" t="s">
        <v>24</v>
      </c>
      <c r="L30" s="11" t="s">
        <v>24</v>
      </c>
      <c r="M30" s="11" t="s">
        <v>24</v>
      </c>
      <c r="N30" s="11" t="s">
        <v>24</v>
      </c>
    </row>
    <row r="31" spans="1:14" ht="19.5" customHeight="1">
      <c r="A31" s="269" t="s">
        <v>108</v>
      </c>
      <c r="B31" s="270"/>
      <c r="C31" s="270"/>
      <c r="D31" s="270"/>
      <c r="E31" s="270"/>
      <c r="F31" s="270"/>
      <c r="G31" s="270"/>
      <c r="H31" s="270"/>
      <c r="I31" s="270"/>
      <c r="J31" s="270"/>
      <c r="K31" s="270"/>
      <c r="L31" s="270"/>
      <c r="M31" s="270"/>
      <c r="N31" s="271"/>
    </row>
    <row r="32" spans="1:14" ht="19.5" customHeight="1">
      <c r="A32" s="23" t="s">
        <v>107</v>
      </c>
      <c r="B32" s="22" t="s">
        <v>24</v>
      </c>
      <c r="C32" s="22" t="s">
        <v>24</v>
      </c>
      <c r="D32" s="22" t="s">
        <v>24</v>
      </c>
      <c r="E32" s="22" t="s">
        <v>24</v>
      </c>
      <c r="F32" s="22" t="s">
        <v>24</v>
      </c>
      <c r="G32" s="22" t="s">
        <v>24</v>
      </c>
      <c r="H32" s="22" t="s">
        <v>24</v>
      </c>
      <c r="I32" s="22" t="s">
        <v>24</v>
      </c>
      <c r="J32" s="22" t="s">
        <v>24</v>
      </c>
      <c r="K32" s="22" t="s">
        <v>24</v>
      </c>
      <c r="L32" s="101">
        <f>(L15-L14)/(21456*$B$6)</f>
        <v>0.8106787287087748</v>
      </c>
      <c r="M32" s="22" t="s">
        <v>24</v>
      </c>
      <c r="N32" s="22" t="s">
        <v>24</v>
      </c>
    </row>
    <row r="33" ht="19.5" customHeight="1"/>
    <row r="34" ht="19.5" customHeight="1"/>
  </sheetData>
  <sheetProtection/>
  <mergeCells count="13">
    <mergeCell ref="A31:N31"/>
    <mergeCell ref="C7:H7"/>
    <mergeCell ref="C8:H8"/>
    <mergeCell ref="C9:H9"/>
    <mergeCell ref="C10:H10"/>
    <mergeCell ref="C11:N11"/>
    <mergeCell ref="A23:N23"/>
    <mergeCell ref="A1:H1"/>
    <mergeCell ref="A2:H2"/>
    <mergeCell ref="C3:H3"/>
    <mergeCell ref="C4:H4"/>
    <mergeCell ref="C5:H5"/>
    <mergeCell ref="C6:H6"/>
  </mergeCells>
  <printOptions/>
  <pageMargins left="0.45" right="0.45" top="0.5" bottom="0.5" header="0.3" footer="0.3"/>
  <pageSetup fitToHeight="1" fitToWidth="1"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A1" sqref="A1:H1"/>
    </sheetView>
  </sheetViews>
  <sheetFormatPr defaultColWidth="9.140625" defaultRowHeight="12.75"/>
  <cols>
    <col min="1" max="1" width="50.7109375" style="0" customWidth="1"/>
    <col min="2" max="2" width="18.140625" style="0" customWidth="1"/>
    <col min="3" max="10" width="17.7109375" style="0" customWidth="1"/>
    <col min="11" max="11" width="18.28125" style="0" customWidth="1"/>
    <col min="12" max="14" width="17.7109375" style="0" customWidth="1"/>
  </cols>
  <sheetData>
    <row r="1" spans="1:9" ht="24.75" customHeight="1">
      <c r="A1" s="264" t="s">
        <v>123</v>
      </c>
      <c r="B1" s="264"/>
      <c r="C1" s="264"/>
      <c r="D1" s="264"/>
      <c r="E1" s="264"/>
      <c r="F1" s="264"/>
      <c r="G1" s="264"/>
      <c r="H1" s="264"/>
      <c r="I1" s="13" t="s">
        <v>12</v>
      </c>
    </row>
    <row r="2" spans="1:9" ht="17.25">
      <c r="A2" s="265" t="s">
        <v>12</v>
      </c>
      <c r="B2" s="265"/>
      <c r="C2" s="265"/>
      <c r="D2" s="265"/>
      <c r="E2" s="265"/>
      <c r="F2" s="265"/>
      <c r="G2" s="265"/>
      <c r="H2" s="265"/>
      <c r="I2" s="13"/>
    </row>
    <row r="3" spans="1:11" ht="19.5" customHeight="1">
      <c r="A3" s="14"/>
      <c r="B3" s="15" t="s">
        <v>13</v>
      </c>
      <c r="C3" s="266" t="s">
        <v>12</v>
      </c>
      <c r="D3" s="267"/>
      <c r="E3" s="267"/>
      <c r="F3" s="267"/>
      <c r="G3" s="267"/>
      <c r="H3" s="268"/>
      <c r="I3" s="40"/>
      <c r="J3" s="40"/>
      <c r="K3" s="40"/>
    </row>
    <row r="4" spans="1:11" ht="19.5" customHeight="1">
      <c r="A4" s="16" t="s">
        <v>35</v>
      </c>
      <c r="B4" s="17">
        <v>0.157</v>
      </c>
      <c r="C4" s="266" t="s">
        <v>12</v>
      </c>
      <c r="D4" s="267"/>
      <c r="E4" s="267"/>
      <c r="F4" s="267"/>
      <c r="G4" s="267"/>
      <c r="H4" s="268"/>
      <c r="I4" s="41"/>
      <c r="J4" s="56" t="s">
        <v>12</v>
      </c>
      <c r="K4" s="41"/>
    </row>
    <row r="5" spans="1:11" ht="19.5" customHeight="1">
      <c r="A5" s="16" t="s">
        <v>36</v>
      </c>
      <c r="B5" s="18">
        <v>0.057</v>
      </c>
      <c r="C5" s="278" t="s">
        <v>12</v>
      </c>
      <c r="D5" s="278"/>
      <c r="E5" s="278"/>
      <c r="F5" s="278"/>
      <c r="G5" s="278"/>
      <c r="H5" s="278"/>
      <c r="I5" s="41"/>
      <c r="J5" s="99" t="s">
        <v>12</v>
      </c>
      <c r="K5" s="41"/>
    </row>
    <row r="6" spans="1:11" ht="19.5" customHeight="1">
      <c r="A6" s="16" t="s">
        <v>37</v>
      </c>
      <c r="B6" s="19">
        <v>1.0911</v>
      </c>
      <c r="C6" s="278" t="s">
        <v>12</v>
      </c>
      <c r="D6" s="278"/>
      <c r="E6" s="278"/>
      <c r="F6" s="278"/>
      <c r="G6" s="278"/>
      <c r="H6" s="278"/>
      <c r="I6" s="42"/>
      <c r="J6" s="57" t="s">
        <v>12</v>
      </c>
      <c r="K6" s="42"/>
    </row>
    <row r="7" spans="1:11" ht="19.5" customHeight="1">
      <c r="A7" s="16" t="s">
        <v>42</v>
      </c>
      <c r="B7" s="20">
        <v>0.951</v>
      </c>
      <c r="C7" s="277"/>
      <c r="D7" s="277"/>
      <c r="E7" s="277"/>
      <c r="F7" s="277"/>
      <c r="G7" s="277"/>
      <c r="H7" s="277"/>
      <c r="I7" s="42"/>
      <c r="J7" s="42" t="s">
        <v>12</v>
      </c>
      <c r="K7" s="42"/>
    </row>
    <row r="8" spans="1:14" ht="19.5" customHeight="1">
      <c r="A8" s="16" t="s">
        <v>38</v>
      </c>
      <c r="B8" s="80">
        <v>160092.2</v>
      </c>
      <c r="C8" s="272" t="s">
        <v>128</v>
      </c>
      <c r="D8" s="273"/>
      <c r="E8" s="273"/>
      <c r="F8" s="273"/>
      <c r="G8" s="273"/>
      <c r="H8" s="274"/>
      <c r="I8" s="81"/>
      <c r="J8" s="82" t="s">
        <v>12</v>
      </c>
      <c r="K8" s="81"/>
      <c r="L8" s="34"/>
      <c r="M8" s="34"/>
      <c r="N8" s="34"/>
    </row>
    <row r="9" spans="1:14" ht="19.5" customHeight="1">
      <c r="A9" s="16" t="s">
        <v>43</v>
      </c>
      <c r="B9" s="83" t="s">
        <v>122</v>
      </c>
      <c r="C9" s="275" t="s">
        <v>12</v>
      </c>
      <c r="D9" s="275">
        <f aca="true" t="shared" si="0" ref="D9:H10">ROUND(MAX(D19*0.3,20)*365,2)</f>
        <v>79050.57</v>
      </c>
      <c r="E9" s="275">
        <f t="shared" si="0"/>
        <v>33423.23</v>
      </c>
      <c r="F9" s="275">
        <f t="shared" si="0"/>
        <v>25029.77</v>
      </c>
      <c r="G9" s="275">
        <f t="shared" si="0"/>
        <v>12139.44</v>
      </c>
      <c r="H9" s="275">
        <f t="shared" si="0"/>
        <v>7300</v>
      </c>
      <c r="I9" s="35"/>
      <c r="J9" s="35"/>
      <c r="K9" s="35"/>
      <c r="L9" s="34"/>
      <c r="M9" s="34"/>
      <c r="N9" s="34"/>
    </row>
    <row r="10" spans="1:14" ht="19.5" customHeight="1">
      <c r="A10" s="16" t="s">
        <v>12</v>
      </c>
      <c r="B10" s="84" t="s">
        <v>12</v>
      </c>
      <c r="C10" s="275" t="s">
        <v>12</v>
      </c>
      <c r="D10" s="275">
        <f t="shared" si="0"/>
        <v>40084.01</v>
      </c>
      <c r="E10" s="275">
        <f t="shared" si="0"/>
        <v>34291.67</v>
      </c>
      <c r="F10" s="275">
        <f t="shared" si="0"/>
        <v>40084.01</v>
      </c>
      <c r="G10" s="275">
        <f t="shared" si="0"/>
        <v>40084.01</v>
      </c>
      <c r="H10" s="275">
        <f t="shared" si="0"/>
        <v>40084.01</v>
      </c>
      <c r="I10" s="104" t="s">
        <v>12</v>
      </c>
      <c r="J10" s="35"/>
      <c r="K10" s="35"/>
      <c r="L10" s="34"/>
      <c r="M10" s="34"/>
      <c r="N10" s="34"/>
    </row>
    <row r="11" spans="1:14" ht="19.5" customHeight="1">
      <c r="A11" s="16"/>
      <c r="B11" s="85" t="s">
        <v>12</v>
      </c>
      <c r="C11" s="263" t="s">
        <v>54</v>
      </c>
      <c r="D11" s="263"/>
      <c r="E11" s="263"/>
      <c r="F11" s="263"/>
      <c r="G11" s="263"/>
      <c r="H11" s="263"/>
      <c r="I11" s="263"/>
      <c r="J11" s="263"/>
      <c r="K11" s="263"/>
      <c r="L11" s="263"/>
      <c r="M11" s="263"/>
      <c r="N11" s="263"/>
    </row>
    <row r="12" spans="1:14" ht="19.5" customHeight="1">
      <c r="A12" s="25" t="s">
        <v>12</v>
      </c>
      <c r="B12" s="87" t="s">
        <v>13</v>
      </c>
      <c r="C12" s="87" t="s">
        <v>17</v>
      </c>
      <c r="D12" s="87" t="s">
        <v>16</v>
      </c>
      <c r="E12" s="87" t="s">
        <v>14</v>
      </c>
      <c r="F12" s="87" t="s">
        <v>8</v>
      </c>
      <c r="G12" s="87" t="s">
        <v>44</v>
      </c>
      <c r="H12" s="87" t="s">
        <v>45</v>
      </c>
      <c r="I12" s="87" t="s">
        <v>7</v>
      </c>
      <c r="J12" s="48" t="s">
        <v>53</v>
      </c>
      <c r="K12" s="48" t="s">
        <v>75</v>
      </c>
      <c r="L12" s="48" t="s">
        <v>18</v>
      </c>
      <c r="M12" s="48" t="s">
        <v>3</v>
      </c>
      <c r="N12" s="48" t="s">
        <v>102</v>
      </c>
    </row>
    <row r="13" spans="1:14" ht="19.5" customHeight="1">
      <c r="A13" s="23" t="s">
        <v>9</v>
      </c>
      <c r="B13" s="78" t="s">
        <v>24</v>
      </c>
      <c r="C13" s="78">
        <v>-1110</v>
      </c>
      <c r="D13" s="47">
        <v>3680</v>
      </c>
      <c r="E13" s="47">
        <v>4370</v>
      </c>
      <c r="F13" s="47">
        <v>5310</v>
      </c>
      <c r="G13" s="47">
        <v>2170</v>
      </c>
      <c r="H13" s="47">
        <v>1290</v>
      </c>
      <c r="I13" s="47">
        <v>2530</v>
      </c>
      <c r="J13" s="47">
        <v>4600</v>
      </c>
      <c r="K13" s="47">
        <v>3550</v>
      </c>
      <c r="L13" s="47">
        <v>570</v>
      </c>
      <c r="M13" s="47">
        <v>4250</v>
      </c>
      <c r="N13" s="47">
        <v>570</v>
      </c>
    </row>
    <row r="14" spans="1:14" ht="19.5" customHeight="1">
      <c r="A14" s="23" t="s">
        <v>11</v>
      </c>
      <c r="B14" s="78" t="s">
        <v>24</v>
      </c>
      <c r="C14" s="78">
        <v>7393</v>
      </c>
      <c r="D14" s="47">
        <v>9315</v>
      </c>
      <c r="E14" s="47">
        <v>8053</v>
      </c>
      <c r="F14" s="47">
        <v>6700</v>
      </c>
      <c r="G14" s="47">
        <v>2795</v>
      </c>
      <c r="H14" s="47">
        <v>1904</v>
      </c>
      <c r="I14" s="47">
        <v>5359</v>
      </c>
      <c r="J14" s="47">
        <v>8470</v>
      </c>
      <c r="K14" s="47">
        <v>4940</v>
      </c>
      <c r="L14" s="47">
        <v>7020</v>
      </c>
      <c r="M14" s="47">
        <v>6217</v>
      </c>
      <c r="N14" s="47">
        <v>4336</v>
      </c>
    </row>
    <row r="15" spans="1:14" ht="19.5" customHeight="1">
      <c r="A15" s="24" t="s">
        <v>10</v>
      </c>
      <c r="B15" s="78">
        <f>B8*B6</f>
        <v>174676.59942</v>
      </c>
      <c r="C15" s="78">
        <v>70016</v>
      </c>
      <c r="D15" s="37">
        <v>38597</v>
      </c>
      <c r="E15" s="37">
        <v>16342</v>
      </c>
      <c r="F15" s="37">
        <v>12573</v>
      </c>
      <c r="G15" s="37">
        <v>6472</v>
      </c>
      <c r="H15" s="37">
        <v>3116</v>
      </c>
      <c r="I15" s="37">
        <v>8458</v>
      </c>
      <c r="J15" s="37">
        <v>16025</v>
      </c>
      <c r="K15" s="37">
        <v>6217</v>
      </c>
      <c r="L15" s="37">
        <v>27795</v>
      </c>
      <c r="M15" s="37">
        <v>8609</v>
      </c>
      <c r="N15" s="37">
        <v>10315</v>
      </c>
    </row>
    <row r="16" spans="1:14" ht="19.5" customHeight="1">
      <c r="A16" s="23" t="s">
        <v>47</v>
      </c>
      <c r="B16" s="47">
        <v>13196.6</v>
      </c>
      <c r="C16" s="47">
        <v>0</v>
      </c>
      <c r="D16" s="47">
        <v>0</v>
      </c>
      <c r="E16" s="47">
        <v>0</v>
      </c>
      <c r="F16" s="47">
        <v>0</v>
      </c>
      <c r="G16" s="47">
        <v>0</v>
      </c>
      <c r="H16" s="47">
        <v>0</v>
      </c>
      <c r="I16" s="47">
        <v>0</v>
      </c>
      <c r="J16" s="47">
        <v>0</v>
      </c>
      <c r="K16" s="47">
        <v>0</v>
      </c>
      <c r="L16" s="47">
        <v>339.5</v>
      </c>
      <c r="M16" s="47">
        <v>0</v>
      </c>
      <c r="N16" s="47">
        <v>0</v>
      </c>
    </row>
    <row r="17" spans="1:14" ht="19.5" customHeight="1">
      <c r="A17" s="23" t="s">
        <v>46</v>
      </c>
      <c r="B17" s="47">
        <f>ROUND(B16*$B$6,1)</f>
        <v>14398.8</v>
      </c>
      <c r="C17" s="47">
        <f aca="true" t="shared" si="1" ref="C17:H17">ROUND(C16*$B$6,1)</f>
        <v>0</v>
      </c>
      <c r="D17" s="47">
        <f t="shared" si="1"/>
        <v>0</v>
      </c>
      <c r="E17" s="47">
        <f t="shared" si="1"/>
        <v>0</v>
      </c>
      <c r="F17" s="47">
        <f t="shared" si="1"/>
        <v>0</v>
      </c>
      <c r="G17" s="47">
        <f t="shared" si="1"/>
        <v>0</v>
      </c>
      <c r="H17" s="47">
        <f t="shared" si="1"/>
        <v>0</v>
      </c>
      <c r="I17" s="47">
        <f aca="true" t="shared" si="2" ref="I17:N17">ROUND(I16*$B$6,1)</f>
        <v>0</v>
      </c>
      <c r="J17" s="47">
        <f t="shared" si="2"/>
        <v>0</v>
      </c>
      <c r="K17" s="47">
        <f t="shared" si="2"/>
        <v>0</v>
      </c>
      <c r="L17" s="47">
        <f>ROUND(L16*$B$6,1)</f>
        <v>370.4</v>
      </c>
      <c r="M17" s="47">
        <f t="shared" si="2"/>
        <v>0</v>
      </c>
      <c r="N17" s="47">
        <f t="shared" si="2"/>
        <v>0</v>
      </c>
    </row>
    <row r="18" spans="1:14" ht="19.5" customHeight="1">
      <c r="A18" s="58" t="s">
        <v>48</v>
      </c>
      <c r="B18" s="88">
        <f>ROUND(B15-B17,1)</f>
        <v>160277.8</v>
      </c>
      <c r="C18" s="88">
        <f aca="true" t="shared" si="3" ref="C18:I18">C15-C17</f>
        <v>70016</v>
      </c>
      <c r="D18" s="88">
        <f t="shared" si="3"/>
        <v>38597</v>
      </c>
      <c r="E18" s="88">
        <f t="shared" si="3"/>
        <v>16342</v>
      </c>
      <c r="F18" s="88">
        <f t="shared" si="3"/>
        <v>12573</v>
      </c>
      <c r="G18" s="88">
        <f t="shared" si="3"/>
        <v>6472</v>
      </c>
      <c r="H18" s="88">
        <f t="shared" si="3"/>
        <v>3116</v>
      </c>
      <c r="I18" s="88">
        <f t="shared" si="3"/>
        <v>8458</v>
      </c>
      <c r="J18" s="88">
        <f>J15-J17</f>
        <v>16025</v>
      </c>
      <c r="K18" s="88">
        <f>K15-K17</f>
        <v>6217</v>
      </c>
      <c r="L18" s="88">
        <f>L15</f>
        <v>27795</v>
      </c>
      <c r="M18" s="88">
        <f>M15-M17</f>
        <v>8609</v>
      </c>
      <c r="N18" s="88">
        <f>N15-N17</f>
        <v>10315</v>
      </c>
    </row>
    <row r="19" spans="1:14" ht="19.5" customHeight="1">
      <c r="A19" s="24" t="s">
        <v>43</v>
      </c>
      <c r="B19" s="78">
        <f>0.8*'BRA Parameters'!B19</f>
        <v>3300.16</v>
      </c>
      <c r="C19" s="78">
        <f>0.8*'BRA Parameters'!C19</f>
        <v>1324.1404952477726</v>
      </c>
      <c r="D19" s="78">
        <f>0.8*'BRA Parameters'!D19</f>
        <v>721.9230310523833</v>
      </c>
      <c r="E19" s="78">
        <f>0.8*'BRA Parameters'!E19</f>
        <v>305.2350046010636</v>
      </c>
      <c r="F19" s="78">
        <f>0.8*'BRA Parameters'!F19</f>
        <v>228.58239740885028</v>
      </c>
      <c r="G19" s="78">
        <f>0.8*'BRA Parameters'!G19</f>
        <v>110.8624627432924</v>
      </c>
      <c r="H19" s="78">
        <f>0.8*'BRA Parameters'!H19</f>
        <v>52.88912002762621</v>
      </c>
      <c r="I19" s="78">
        <f>0.8*'BRA Parameters'!I19</f>
        <v>146.9084003977224</v>
      </c>
      <c r="J19" s="78">
        <f>0.8*'BRA Parameters'!J19</f>
        <v>285.6297521776493</v>
      </c>
      <c r="K19" s="78">
        <f>0.8*'BRA Parameters'!K19</f>
        <v>98.01752926521246</v>
      </c>
      <c r="L19" s="78">
        <f>0.8*'BRA Parameters'!L19</f>
        <v>503.6344827723078</v>
      </c>
      <c r="M19" s="78">
        <f>0.8*'BRA Parameters'!M19</f>
        <v>158.3266042033412</v>
      </c>
      <c r="N19" s="78">
        <f>0.8*'BRA Parameters'!N19</f>
        <v>164.11211855991667</v>
      </c>
    </row>
    <row r="20" spans="1:14" ht="19.5" customHeight="1">
      <c r="A20" s="59" t="s">
        <v>49</v>
      </c>
      <c r="B20" s="12">
        <f>'BRA Parameters'!B20*(1-'BRA Parameters'!$B$5)/(1-'1st IA Parameters'!$B$5)</f>
        <v>351.5763149522799</v>
      </c>
      <c r="C20" s="12">
        <f>'BRA Parameters'!C20*(1-'BRA Parameters'!$B$5)/(1-'1st IA Parameters'!$B$5)</f>
        <v>313.1659597030753</v>
      </c>
      <c r="D20" s="12">
        <f>'BRA Parameters'!D20*(1-'BRA Parameters'!$B$5)/(1-'1st IA Parameters'!$B$5)</f>
        <v>366.06399257688236</v>
      </c>
      <c r="E20" s="12">
        <f>'BRA Parameters'!E20*(1-'BRA Parameters'!$B$5)/(1-'1st IA Parameters'!$B$5)</f>
        <v>313.1659597030753</v>
      </c>
      <c r="F20" s="12">
        <f>'BRA Parameters'!F20*(1-'BRA Parameters'!$B$5)/(1-'1st IA Parameters'!$B$5)</f>
        <v>366.06399257688236</v>
      </c>
      <c r="G20" s="12">
        <f>'BRA Parameters'!G20*(1-'BRA Parameters'!$B$5)/(1-'1st IA Parameters'!$B$5)</f>
        <v>366.06399257688236</v>
      </c>
      <c r="H20" s="12">
        <f>'BRA Parameters'!H20*(1-'BRA Parameters'!$B$5)/(1-'1st IA Parameters'!$B$5)</f>
        <v>366.06399257688236</v>
      </c>
      <c r="I20" s="12">
        <f>'BRA Parameters'!I20*(1-'BRA Parameters'!$B$5)/(1-'1st IA Parameters'!$B$5)</f>
        <v>313.1659597030753</v>
      </c>
      <c r="J20" s="12">
        <f>'BRA Parameters'!J20*(1-'BRA Parameters'!$B$5)/(1-'1st IA Parameters'!$B$5)</f>
        <v>373.94817073170736</v>
      </c>
      <c r="K20" s="12">
        <f>'BRA Parameters'!K20*(1-'BRA Parameters'!$B$5)/(1-'1st IA Parameters'!$B$5)</f>
        <v>373.94817073170736</v>
      </c>
      <c r="L20" s="12">
        <f>'BRA Parameters'!L20*(1-'BRA Parameters'!$B$5)/(1-'1st IA Parameters'!$B$5)</f>
        <v>373.94817073170736</v>
      </c>
      <c r="M20" s="12">
        <f>'BRA Parameters'!M20*(1-'BRA Parameters'!$B$5)/(1-'1st IA Parameters'!$B$5)</f>
        <v>313.1659597030753</v>
      </c>
      <c r="N20" s="12">
        <f>'BRA Parameters'!N20*(1-'BRA Parameters'!$B$5)/(1-'1st IA Parameters'!$B$5)</f>
        <v>354.6479427359491</v>
      </c>
    </row>
    <row r="21" spans="1:14" ht="19.5" customHeight="1">
      <c r="A21" s="276" t="s">
        <v>50</v>
      </c>
      <c r="B21" s="276"/>
      <c r="C21" s="276"/>
      <c r="D21" s="276"/>
      <c r="E21" s="276"/>
      <c r="F21" s="276"/>
      <c r="G21" s="276"/>
      <c r="H21" s="276"/>
      <c r="I21" s="276"/>
      <c r="J21" s="276"/>
      <c r="K21" s="276"/>
      <c r="L21" s="276"/>
      <c r="M21" s="276"/>
      <c r="N21" s="276"/>
    </row>
    <row r="22" spans="1:14" ht="19.5" customHeight="1">
      <c r="A22" s="60" t="s">
        <v>25</v>
      </c>
      <c r="B22" s="9">
        <f>ROUND(B$20*1.5,2)</f>
        <v>527.36</v>
      </c>
      <c r="C22" s="9">
        <f>ROUND(C$20*1.5,2)</f>
        <v>469.75</v>
      </c>
      <c r="D22" s="9">
        <f>ROUND(D$20*1.5,2)</f>
        <v>549.1</v>
      </c>
      <c r="E22" s="9">
        <f>ROUND(E$20*1.5,2)</f>
        <v>469.75</v>
      </c>
      <c r="F22" s="9">
        <f aca="true" t="shared" si="4" ref="F22:N22">ROUND(F$20*1.5,2)</f>
        <v>549.1</v>
      </c>
      <c r="G22" s="9">
        <f t="shared" si="4"/>
        <v>549.1</v>
      </c>
      <c r="H22" s="9">
        <f t="shared" si="4"/>
        <v>549.1</v>
      </c>
      <c r="I22" s="9">
        <f t="shared" si="4"/>
        <v>469.75</v>
      </c>
      <c r="J22" s="9">
        <f t="shared" si="4"/>
        <v>560.92</v>
      </c>
      <c r="K22" s="9">
        <f t="shared" si="4"/>
        <v>560.92</v>
      </c>
      <c r="L22" s="9">
        <f t="shared" si="4"/>
        <v>560.92</v>
      </c>
      <c r="M22" s="9">
        <f t="shared" si="4"/>
        <v>469.75</v>
      </c>
      <c r="N22" s="9">
        <f t="shared" si="4"/>
        <v>531.97</v>
      </c>
    </row>
    <row r="23" spans="1:14" ht="19.5" customHeight="1">
      <c r="A23" s="23" t="s">
        <v>26</v>
      </c>
      <c r="B23" s="9">
        <f>ROUND(B$20,2)</f>
        <v>351.58</v>
      </c>
      <c r="C23" s="9">
        <f>ROUND(C$20,2)</f>
        <v>313.17</v>
      </c>
      <c r="D23" s="9">
        <f aca="true" t="shared" si="5" ref="D23:N23">ROUND(D$20,2)</f>
        <v>366.06</v>
      </c>
      <c r="E23" s="9">
        <f t="shared" si="5"/>
        <v>313.17</v>
      </c>
      <c r="F23" s="9">
        <f t="shared" si="5"/>
        <v>366.06</v>
      </c>
      <c r="G23" s="9">
        <f t="shared" si="5"/>
        <v>366.06</v>
      </c>
      <c r="H23" s="9">
        <f t="shared" si="5"/>
        <v>366.06</v>
      </c>
      <c r="I23" s="9">
        <f t="shared" si="5"/>
        <v>313.17</v>
      </c>
      <c r="J23" s="9">
        <f t="shared" si="5"/>
        <v>373.95</v>
      </c>
      <c r="K23" s="9">
        <f t="shared" si="5"/>
        <v>373.95</v>
      </c>
      <c r="L23" s="9">
        <f t="shared" si="5"/>
        <v>373.95</v>
      </c>
      <c r="M23" s="9">
        <f t="shared" si="5"/>
        <v>313.17</v>
      </c>
      <c r="N23" s="9">
        <f t="shared" si="5"/>
        <v>354.65</v>
      </c>
    </row>
    <row r="24" spans="1:14" ht="19.5" customHeight="1">
      <c r="A24" s="23" t="s">
        <v>27</v>
      </c>
      <c r="B24" s="9">
        <f>ROUND(B$20*0.2,2)</f>
        <v>70.32</v>
      </c>
      <c r="C24" s="9">
        <f>ROUND(C$20*0.2,2)</f>
        <v>62.63</v>
      </c>
      <c r="D24" s="9">
        <f aca="true" t="shared" si="6" ref="D24:N24">ROUND(D$20*0.2,2)</f>
        <v>73.21</v>
      </c>
      <c r="E24" s="9">
        <f t="shared" si="6"/>
        <v>62.63</v>
      </c>
      <c r="F24" s="9">
        <f t="shared" si="6"/>
        <v>73.21</v>
      </c>
      <c r="G24" s="9">
        <f t="shared" si="6"/>
        <v>73.21</v>
      </c>
      <c r="H24" s="9">
        <f t="shared" si="6"/>
        <v>73.21</v>
      </c>
      <c r="I24" s="9">
        <f t="shared" si="6"/>
        <v>62.63</v>
      </c>
      <c r="J24" s="9">
        <f t="shared" si="6"/>
        <v>74.79</v>
      </c>
      <c r="K24" s="9">
        <f t="shared" si="6"/>
        <v>74.79</v>
      </c>
      <c r="L24" s="9">
        <f t="shared" si="6"/>
        <v>74.79</v>
      </c>
      <c r="M24" s="9">
        <f t="shared" si="6"/>
        <v>62.63</v>
      </c>
      <c r="N24" s="9">
        <f t="shared" si="6"/>
        <v>70.93</v>
      </c>
    </row>
    <row r="25" spans="1:14" ht="19.5" customHeight="1">
      <c r="A25" s="23" t="s">
        <v>28</v>
      </c>
      <c r="B25" s="10">
        <f>ROUND(B$18*(1+$B$4-3%)/(1+$B$4)-B19,1)</f>
        <v>152821.8</v>
      </c>
      <c r="C25" s="10">
        <f aca="true" t="shared" si="7" ref="C25:I25">ROUND(C$18*(1+$B$4-3%)/(1+$B$4)-C19,1)</f>
        <v>66876.4</v>
      </c>
      <c r="D25" s="10">
        <f t="shared" si="7"/>
        <v>36874.3</v>
      </c>
      <c r="E25" s="10">
        <f t="shared" si="7"/>
        <v>15613</v>
      </c>
      <c r="F25" s="10">
        <f t="shared" si="7"/>
        <v>12018.4</v>
      </c>
      <c r="G25" s="10">
        <f t="shared" si="7"/>
        <v>6193.3</v>
      </c>
      <c r="H25" s="10">
        <f t="shared" si="7"/>
        <v>2982.3</v>
      </c>
      <c r="I25" s="10">
        <f t="shared" si="7"/>
        <v>8091.8</v>
      </c>
      <c r="J25" s="10">
        <f>ROUND(J$18*(1+$B$4-3%)/(1+$B$4)-J19,1)</f>
        <v>15323.9</v>
      </c>
      <c r="K25" s="10">
        <f>ROUND(K$18*(1+$B$4-3%)/(1+$B$4)-K19,1)</f>
        <v>5957.8</v>
      </c>
      <c r="L25" s="10">
        <f>ROUND(L$18*(1+$B$4-3%)/(1+$B$4)-L19,1)</f>
        <v>26570.7</v>
      </c>
      <c r="M25" s="10">
        <f>ROUND(M$18*(1+$B$4-3%)/(1+$B$4)-M19,1)</f>
        <v>8227.4</v>
      </c>
      <c r="N25" s="10">
        <f>ROUND(N$18*(1+$B$4-3%)/(1+$B$4)-N19,1)</f>
        <v>9883.4</v>
      </c>
    </row>
    <row r="26" spans="1:14" ht="19.5" customHeight="1">
      <c r="A26" s="23" t="s">
        <v>29</v>
      </c>
      <c r="B26" s="10">
        <f>ROUND(B$18*(1+$B$4+1%)/(1+$B$4)-B19,1)</f>
        <v>158362.9</v>
      </c>
      <c r="C26" s="10">
        <f aca="true" t="shared" si="8" ref="C26:I26">ROUND(C$18*(1+$B$4+1%)/(1+$B$4)-C19,1)</f>
        <v>69297</v>
      </c>
      <c r="D26" s="10">
        <f t="shared" si="8"/>
        <v>38208.7</v>
      </c>
      <c r="E26" s="10">
        <f t="shared" si="8"/>
        <v>16178</v>
      </c>
      <c r="F26" s="10">
        <f t="shared" si="8"/>
        <v>12453.1</v>
      </c>
      <c r="G26" s="10">
        <f t="shared" si="8"/>
        <v>6417.1</v>
      </c>
      <c r="H26" s="10">
        <f t="shared" si="8"/>
        <v>3090</v>
      </c>
      <c r="I26" s="10">
        <f t="shared" si="8"/>
        <v>8384.2</v>
      </c>
      <c r="J26" s="10">
        <f>ROUND(J$18*(1+$B$4+1%)/(1+$B$4)-J19,1)</f>
        <v>15877.9</v>
      </c>
      <c r="K26" s="10">
        <f>ROUND(K$18*(1+$B$4+1%)/(1+$B$4)-K19,1)</f>
        <v>6172.7</v>
      </c>
      <c r="L26" s="10">
        <f>ROUND(L$18*(1+$B$4+1%)/(1+$B$4)-L19,1)</f>
        <v>27531.6</v>
      </c>
      <c r="M26" s="10">
        <f>ROUND(M$18*(1+$B$4+1%)/(1+$B$4)-M19,1)</f>
        <v>8525.1</v>
      </c>
      <c r="N26" s="10">
        <f>ROUND(N$18*(1+$B$4+1%)/(1+$B$4)-N19,1)</f>
        <v>10240</v>
      </c>
    </row>
    <row r="27" spans="1:14" ht="19.5" customHeight="1">
      <c r="A27" s="23" t="s">
        <v>30</v>
      </c>
      <c r="B27" s="10">
        <f>ROUND(B$18*(1+$B$4+5%)/(1+$B$4)-B19,1)</f>
        <v>163904.1</v>
      </c>
      <c r="C27" s="10">
        <f aca="true" t="shared" si="9" ref="C27:I27">ROUND(C$18*(1+$B$4+5%)/(1+$B$4)-C19,1)</f>
        <v>71717.6</v>
      </c>
      <c r="D27" s="10">
        <f t="shared" si="9"/>
        <v>39543.1</v>
      </c>
      <c r="E27" s="10">
        <f t="shared" si="9"/>
        <v>16743</v>
      </c>
      <c r="F27" s="10">
        <f t="shared" si="9"/>
        <v>12887.8</v>
      </c>
      <c r="G27" s="10">
        <f t="shared" si="9"/>
        <v>6640.8</v>
      </c>
      <c r="H27" s="10">
        <f t="shared" si="9"/>
        <v>3197.8</v>
      </c>
      <c r="I27" s="10">
        <f t="shared" si="9"/>
        <v>8676.6</v>
      </c>
      <c r="J27" s="10">
        <f>ROUND(J$18*(1+$B$4+5%)/(1+$B$4)-J19,1)</f>
        <v>16431.9</v>
      </c>
      <c r="K27" s="10">
        <f>ROUND(K$18*(1+$B$4+5%)/(1+$B$4)-K19,1)</f>
        <v>6387.7</v>
      </c>
      <c r="L27" s="10">
        <f>ROUND(L$18*(1+$B$4+5%)/(1+$B$4)-L19,1)</f>
        <v>28492.5</v>
      </c>
      <c r="M27" s="10">
        <f>ROUND(M$18*(1+$B$4+5%)/(1+$B$4)-M19,1)</f>
        <v>8822.7</v>
      </c>
      <c r="N27" s="10">
        <f>ROUND(N$18*(1+$B$4+5%)/(1+$B$4)-N19,1)</f>
        <v>10596.7</v>
      </c>
    </row>
    <row r="28" spans="1:14" ht="19.5" customHeight="1">
      <c r="A28" s="23" t="s">
        <v>52</v>
      </c>
      <c r="B28" s="22" t="s">
        <v>24</v>
      </c>
      <c r="C28" s="11">
        <v>159</v>
      </c>
      <c r="D28" s="11" t="s">
        <v>24</v>
      </c>
      <c r="E28" s="11" t="s">
        <v>24</v>
      </c>
      <c r="F28" s="11" t="s">
        <v>24</v>
      </c>
      <c r="G28" s="11" t="s">
        <v>24</v>
      </c>
      <c r="H28" s="100">
        <f>37+35</f>
        <v>72</v>
      </c>
      <c r="I28" s="11" t="s">
        <v>24</v>
      </c>
      <c r="J28" s="11" t="s">
        <v>24</v>
      </c>
      <c r="K28" s="11" t="s">
        <v>24</v>
      </c>
      <c r="L28" s="11" t="s">
        <v>24</v>
      </c>
      <c r="M28" s="11" t="s">
        <v>24</v>
      </c>
      <c r="N28" s="11" t="s">
        <v>24</v>
      </c>
    </row>
    <row r="29" spans="1:14" ht="19.5" customHeight="1">
      <c r="A29" s="269" t="s">
        <v>108</v>
      </c>
      <c r="B29" s="270"/>
      <c r="C29" s="270"/>
      <c r="D29" s="270"/>
      <c r="E29" s="270"/>
      <c r="F29" s="270"/>
      <c r="G29" s="270"/>
      <c r="H29" s="270"/>
      <c r="I29" s="270"/>
      <c r="J29" s="270"/>
      <c r="K29" s="270"/>
      <c r="L29" s="270"/>
      <c r="M29" s="270"/>
      <c r="N29" s="271"/>
    </row>
    <row r="30" spans="1:14" ht="19.5" customHeight="1">
      <c r="A30" s="23" t="s">
        <v>107</v>
      </c>
      <c r="B30" s="22" t="s">
        <v>24</v>
      </c>
      <c r="C30" s="22" t="s">
        <v>24</v>
      </c>
      <c r="D30" s="22" t="s">
        <v>24</v>
      </c>
      <c r="E30" s="22" t="s">
        <v>24</v>
      </c>
      <c r="F30" s="22" t="s">
        <v>24</v>
      </c>
      <c r="G30" s="22" t="s">
        <v>24</v>
      </c>
      <c r="H30" s="22" t="s">
        <v>24</v>
      </c>
      <c r="I30" s="22" t="s">
        <v>24</v>
      </c>
      <c r="J30" s="22" t="s">
        <v>24</v>
      </c>
      <c r="K30" s="22" t="s">
        <v>24</v>
      </c>
      <c r="L30" s="101">
        <f>(L15-L14)/(22705*$B$6)</f>
        <v>0.838600216994618</v>
      </c>
      <c r="M30" s="22" t="s">
        <v>24</v>
      </c>
      <c r="N30" s="22" t="s">
        <v>24</v>
      </c>
    </row>
    <row r="31" spans="1:14" ht="15">
      <c r="A31" s="70"/>
      <c r="B31" s="71"/>
      <c r="C31" s="71"/>
      <c r="D31" s="71"/>
      <c r="E31" s="71"/>
      <c r="F31" s="71"/>
      <c r="G31" s="71"/>
      <c r="H31" s="71"/>
      <c r="I31" s="72"/>
      <c r="J31" s="73"/>
      <c r="K31" s="53"/>
      <c r="L31" s="103" t="s">
        <v>12</v>
      </c>
      <c r="M31" s="2"/>
      <c r="N31" s="2"/>
    </row>
  </sheetData>
  <sheetProtection/>
  <mergeCells count="13">
    <mergeCell ref="A2:H2"/>
    <mergeCell ref="C8:H8"/>
    <mergeCell ref="C4:H4"/>
    <mergeCell ref="C5:H5"/>
    <mergeCell ref="C6:H6"/>
    <mergeCell ref="A1:H1"/>
    <mergeCell ref="C3:H3"/>
    <mergeCell ref="A29:N29"/>
    <mergeCell ref="C7:H7"/>
    <mergeCell ref="C9:H9"/>
    <mergeCell ref="C10:H10"/>
    <mergeCell ref="C11:N11"/>
    <mergeCell ref="A21:N21"/>
  </mergeCells>
  <printOptions/>
  <pageMargins left="0.45" right="0.45" top="0.5" bottom="0.5" header="0.3" footer="0.3"/>
  <pageSetup fitToHeight="1" fitToWidth="1" horizontalDpi="600" verticalDpi="600" orientation="landscape" scale="46" r:id="rId1"/>
</worksheet>
</file>

<file path=xl/worksheets/sheet6.xml><?xml version="1.0" encoding="utf-8"?>
<worksheet xmlns="http://schemas.openxmlformats.org/spreadsheetml/2006/main" xmlns:r="http://schemas.openxmlformats.org/officeDocument/2006/relationships">
  <sheetPr>
    <pageSetUpPr fitToPage="1"/>
  </sheetPr>
  <dimension ref="A1:O82"/>
  <sheetViews>
    <sheetView zoomScaleSheetLayoutView="75" workbookViewId="0" topLeftCell="A1">
      <selection activeCell="A1" sqref="A1:H1"/>
    </sheetView>
  </sheetViews>
  <sheetFormatPr defaultColWidth="30.7109375" defaultRowHeight="12.75"/>
  <cols>
    <col min="1" max="1" width="48.8515625" style="0" customWidth="1"/>
    <col min="2" max="7" width="16.7109375" style="1" customWidth="1"/>
    <col min="8" max="8" width="16.7109375" style="0" customWidth="1"/>
    <col min="9" max="9" width="17.7109375" style="0" customWidth="1"/>
    <col min="10" max="14" width="18.7109375" style="0" customWidth="1"/>
    <col min="15" max="15" width="41.28125" style="0" bestFit="1" customWidth="1"/>
  </cols>
  <sheetData>
    <row r="1" spans="1:9" ht="24.75" customHeight="1">
      <c r="A1" s="264" t="s">
        <v>112</v>
      </c>
      <c r="B1" s="264"/>
      <c r="C1" s="264"/>
      <c r="D1" s="264"/>
      <c r="E1" s="264"/>
      <c r="F1" s="264"/>
      <c r="G1" s="264"/>
      <c r="H1" s="264"/>
      <c r="I1" s="13" t="s">
        <v>12</v>
      </c>
    </row>
    <row r="2" spans="1:9" ht="17.25">
      <c r="A2" s="265" t="s">
        <v>12</v>
      </c>
      <c r="B2" s="265"/>
      <c r="C2" s="265"/>
      <c r="D2" s="265"/>
      <c r="E2" s="265"/>
      <c r="F2" s="265"/>
      <c r="G2" s="265"/>
      <c r="H2" s="265"/>
      <c r="I2" s="13"/>
    </row>
    <row r="3" spans="1:11" ht="19.5" customHeight="1">
      <c r="A3" s="14"/>
      <c r="B3" s="15" t="s">
        <v>13</v>
      </c>
      <c r="C3" s="266" t="s">
        <v>12</v>
      </c>
      <c r="D3" s="267"/>
      <c r="E3" s="267"/>
      <c r="F3" s="267"/>
      <c r="G3" s="267"/>
      <c r="H3" s="268"/>
      <c r="I3" s="40"/>
      <c r="J3" s="40"/>
      <c r="K3" s="40"/>
    </row>
    <row r="4" spans="1:11" ht="19.5" customHeight="1">
      <c r="A4" s="16" t="s">
        <v>35</v>
      </c>
      <c r="B4" s="17">
        <v>0.157</v>
      </c>
      <c r="C4" s="266" t="s">
        <v>12</v>
      </c>
      <c r="D4" s="267"/>
      <c r="E4" s="267"/>
      <c r="F4" s="267"/>
      <c r="G4" s="267"/>
      <c r="H4" s="268"/>
      <c r="I4" s="41"/>
      <c r="J4" s="56" t="s">
        <v>12</v>
      </c>
      <c r="K4" s="41"/>
    </row>
    <row r="5" spans="1:11" ht="19.5" customHeight="1">
      <c r="A5" s="16" t="s">
        <v>36</v>
      </c>
      <c r="B5" s="18">
        <v>0.0565</v>
      </c>
      <c r="C5" s="278" t="s">
        <v>12</v>
      </c>
      <c r="D5" s="278"/>
      <c r="E5" s="278"/>
      <c r="F5" s="278"/>
      <c r="G5" s="278"/>
      <c r="H5" s="278"/>
      <c r="I5" s="41"/>
      <c r="J5" s="99" t="s">
        <v>12</v>
      </c>
      <c r="K5" s="41"/>
    </row>
    <row r="6" spans="1:11" ht="19.5" customHeight="1">
      <c r="A6" s="16" t="s">
        <v>37</v>
      </c>
      <c r="B6" s="19">
        <v>1.0916</v>
      </c>
      <c r="C6" s="278" t="s">
        <v>12</v>
      </c>
      <c r="D6" s="278"/>
      <c r="E6" s="278"/>
      <c r="F6" s="278"/>
      <c r="G6" s="278"/>
      <c r="H6" s="278"/>
      <c r="I6" s="42"/>
      <c r="J6" s="57" t="s">
        <v>12</v>
      </c>
      <c r="K6" s="42"/>
    </row>
    <row r="7" spans="1:11" ht="19.5" customHeight="1">
      <c r="A7" s="16" t="s">
        <v>42</v>
      </c>
      <c r="B7" s="20">
        <v>0.953</v>
      </c>
      <c r="C7" s="277"/>
      <c r="D7" s="277"/>
      <c r="E7" s="277"/>
      <c r="F7" s="277"/>
      <c r="G7" s="277"/>
      <c r="H7" s="277"/>
      <c r="I7" s="42"/>
      <c r="J7" s="42"/>
      <c r="K7" s="42"/>
    </row>
    <row r="8" spans="1:14" ht="19.5" customHeight="1">
      <c r="A8" s="16" t="s">
        <v>38</v>
      </c>
      <c r="B8" s="80">
        <f>F37</f>
        <v>164478.8</v>
      </c>
      <c r="C8" s="279" t="s">
        <v>12</v>
      </c>
      <c r="D8" s="279"/>
      <c r="E8" s="279"/>
      <c r="F8" s="279"/>
      <c r="G8" s="279"/>
      <c r="H8" s="279"/>
      <c r="I8" s="81"/>
      <c r="J8" s="82" t="s">
        <v>12</v>
      </c>
      <c r="K8" s="81"/>
      <c r="L8" s="34"/>
      <c r="M8" s="34"/>
      <c r="N8" s="34"/>
    </row>
    <row r="9" spans="1:14" ht="19.5" customHeight="1">
      <c r="A9" s="16" t="s">
        <v>43</v>
      </c>
      <c r="B9" s="83">
        <v>0.025</v>
      </c>
      <c r="C9" s="275" t="s">
        <v>12</v>
      </c>
      <c r="D9" s="275">
        <f aca="true" t="shared" si="0" ref="D9:H10">ROUND(MAX(D19*0.3,20)*365,2)</f>
        <v>98813.21</v>
      </c>
      <c r="E9" s="275">
        <f t="shared" si="0"/>
        <v>41779.04</v>
      </c>
      <c r="F9" s="275">
        <f t="shared" si="0"/>
        <v>31287.22</v>
      </c>
      <c r="G9" s="275">
        <f t="shared" si="0"/>
        <v>15174.3</v>
      </c>
      <c r="H9" s="275">
        <f t="shared" si="0"/>
        <v>7300</v>
      </c>
      <c r="I9" s="35"/>
      <c r="J9" s="35"/>
      <c r="K9" s="35"/>
      <c r="L9" s="34"/>
      <c r="M9" s="34"/>
      <c r="N9" s="34"/>
    </row>
    <row r="10" spans="1:14" ht="19.5" customHeight="1">
      <c r="A10" s="16" t="s">
        <v>41</v>
      </c>
      <c r="B10" s="84">
        <f>ROUND(MAX(B20*0.3,20)*365,2)</f>
        <v>38477.21</v>
      </c>
      <c r="C10" s="275" t="s">
        <v>12</v>
      </c>
      <c r="D10" s="275">
        <f t="shared" si="0"/>
        <v>40062.77</v>
      </c>
      <c r="E10" s="275">
        <f t="shared" si="0"/>
        <v>34273.5</v>
      </c>
      <c r="F10" s="275">
        <f t="shared" si="0"/>
        <v>40062.77</v>
      </c>
      <c r="G10" s="275">
        <f t="shared" si="0"/>
        <v>40062.77</v>
      </c>
      <c r="H10" s="275">
        <f t="shared" si="0"/>
        <v>40062.77</v>
      </c>
      <c r="I10" s="35" t="s">
        <v>12</v>
      </c>
      <c r="J10" s="35"/>
      <c r="K10" s="35"/>
      <c r="L10" s="34"/>
      <c r="M10" s="34"/>
      <c r="N10" s="34"/>
    </row>
    <row r="11" spans="1:14" ht="19.5" customHeight="1">
      <c r="A11" s="16"/>
      <c r="B11" s="85" t="s">
        <v>12</v>
      </c>
      <c r="C11" s="263" t="s">
        <v>54</v>
      </c>
      <c r="D11" s="263"/>
      <c r="E11" s="263"/>
      <c r="F11" s="263"/>
      <c r="G11" s="263"/>
      <c r="H11" s="263"/>
      <c r="I11" s="263"/>
      <c r="J11" s="263"/>
      <c r="K11" s="263"/>
      <c r="L11" s="263"/>
      <c r="M11" s="263"/>
      <c r="N11" s="263"/>
    </row>
    <row r="12" spans="1:15" ht="30" customHeight="1">
      <c r="A12" s="25" t="s">
        <v>12</v>
      </c>
      <c r="B12" s="87" t="s">
        <v>13</v>
      </c>
      <c r="C12" s="87" t="s">
        <v>17</v>
      </c>
      <c r="D12" s="87" t="s">
        <v>16</v>
      </c>
      <c r="E12" s="87" t="s">
        <v>14</v>
      </c>
      <c r="F12" s="87" t="s">
        <v>8</v>
      </c>
      <c r="G12" s="87" t="s">
        <v>44</v>
      </c>
      <c r="H12" s="87" t="s">
        <v>45</v>
      </c>
      <c r="I12" s="87" t="s">
        <v>7</v>
      </c>
      <c r="J12" s="48" t="s">
        <v>53</v>
      </c>
      <c r="K12" s="48" t="s">
        <v>75</v>
      </c>
      <c r="L12" s="48" t="s">
        <v>18</v>
      </c>
      <c r="M12" s="48" t="s">
        <v>3</v>
      </c>
      <c r="N12" s="48" t="s">
        <v>102</v>
      </c>
      <c r="O12" s="52" t="s">
        <v>12</v>
      </c>
    </row>
    <row r="13" spans="1:14" ht="19.5" customHeight="1">
      <c r="A13" s="23" t="s">
        <v>9</v>
      </c>
      <c r="B13" s="78" t="s">
        <v>24</v>
      </c>
      <c r="C13" s="78">
        <f>B64</f>
        <v>4420</v>
      </c>
      <c r="D13" s="47">
        <f>B61</f>
        <v>6140</v>
      </c>
      <c r="E13" s="47">
        <f>B62</f>
        <v>5880</v>
      </c>
      <c r="F13" s="47">
        <f>B58</f>
        <v>6080</v>
      </c>
      <c r="G13" s="47">
        <f>B59</f>
        <v>2370</v>
      </c>
      <c r="H13" s="47">
        <f>B50</f>
        <v>1440</v>
      </c>
      <c r="I13" s="47">
        <f>B56</f>
        <v>3740</v>
      </c>
      <c r="J13" s="47">
        <f>B41</f>
        <v>4970</v>
      </c>
      <c r="K13" s="47">
        <f>B42</f>
        <v>3350</v>
      </c>
      <c r="L13" s="47">
        <f>B44</f>
        <v>2290</v>
      </c>
      <c r="M13" s="47">
        <f>B43</f>
        <v>4350</v>
      </c>
      <c r="N13" s="47">
        <f>B57</f>
        <v>1310</v>
      </c>
    </row>
    <row r="14" spans="1:14" ht="19.5" customHeight="1">
      <c r="A14" s="23" t="s">
        <v>11</v>
      </c>
      <c r="B14" s="78" t="s">
        <v>24</v>
      </c>
      <c r="C14" s="78">
        <f>C64</f>
        <v>7393</v>
      </c>
      <c r="D14" s="47">
        <f>C61</f>
        <v>9315</v>
      </c>
      <c r="E14" s="47">
        <f>C62</f>
        <v>8053</v>
      </c>
      <c r="F14" s="47">
        <f>C58</f>
        <v>6700</v>
      </c>
      <c r="G14" s="47">
        <f>C59</f>
        <v>2795</v>
      </c>
      <c r="H14" s="47">
        <f>C50+35</f>
        <v>1904</v>
      </c>
      <c r="I14" s="47">
        <f>C56</f>
        <v>5359</v>
      </c>
      <c r="J14" s="47">
        <f>C41</f>
        <v>8470</v>
      </c>
      <c r="K14" s="47">
        <f>C42</f>
        <v>4940</v>
      </c>
      <c r="L14" s="47">
        <f>C44</f>
        <v>7020</v>
      </c>
      <c r="M14" s="47">
        <f>C43</f>
        <v>6217</v>
      </c>
      <c r="N14" s="47">
        <f>C57</f>
        <v>4336</v>
      </c>
    </row>
    <row r="15" spans="1:14" ht="19.5" customHeight="1">
      <c r="A15" s="24" t="s">
        <v>10</v>
      </c>
      <c r="B15" s="78">
        <f>B8*B6</f>
        <v>179545.05807999996</v>
      </c>
      <c r="C15" s="78">
        <v>71534</v>
      </c>
      <c r="D15" s="37">
        <v>39371</v>
      </c>
      <c r="E15" s="37">
        <v>16935</v>
      </c>
      <c r="F15" s="37">
        <v>12759</v>
      </c>
      <c r="G15" s="37">
        <v>6465</v>
      </c>
      <c r="H15" s="37">
        <v>3215</v>
      </c>
      <c r="I15" s="37">
        <v>8715</v>
      </c>
      <c r="J15" s="37">
        <v>16009</v>
      </c>
      <c r="K15" s="37">
        <v>6250</v>
      </c>
      <c r="L15" s="37">
        <v>28991</v>
      </c>
      <c r="M15" s="37">
        <v>8701</v>
      </c>
      <c r="N15" s="37">
        <v>10813</v>
      </c>
    </row>
    <row r="16" spans="1:14" ht="19.5" customHeight="1">
      <c r="A16" s="23" t="s">
        <v>47</v>
      </c>
      <c r="B16" s="47">
        <f>I37</f>
        <v>13318.1</v>
      </c>
      <c r="C16" s="47">
        <f>I64</f>
        <v>0</v>
      </c>
      <c r="D16" s="47">
        <f>I61</f>
        <v>0</v>
      </c>
      <c r="E16" s="47">
        <f>I62</f>
        <v>0</v>
      </c>
      <c r="F16" s="47">
        <f>I58</f>
        <v>0</v>
      </c>
      <c r="G16" s="47">
        <f>I59</f>
        <v>0</v>
      </c>
      <c r="H16" s="47">
        <f>I50</f>
        <v>0</v>
      </c>
      <c r="I16" s="47">
        <f>I56</f>
        <v>0</v>
      </c>
      <c r="J16" s="47">
        <f>I41</f>
        <v>0</v>
      </c>
      <c r="K16" s="47">
        <f>I42</f>
        <v>0</v>
      </c>
      <c r="L16" s="47">
        <f>I44</f>
        <v>378.5</v>
      </c>
      <c r="M16" s="47">
        <f>I43</f>
        <v>0</v>
      </c>
      <c r="N16" s="47">
        <f>I57</f>
        <v>0</v>
      </c>
    </row>
    <row r="17" spans="1:14" ht="19.5" customHeight="1">
      <c r="A17" s="23" t="s">
        <v>46</v>
      </c>
      <c r="B17" s="47">
        <f>ROUND(B16*$B$6,1)</f>
        <v>14538</v>
      </c>
      <c r="C17" s="47">
        <f aca="true" t="shared" si="1" ref="C17:I17">ROUND(C16*$B$6,1)</f>
        <v>0</v>
      </c>
      <c r="D17" s="47">
        <f t="shared" si="1"/>
        <v>0</v>
      </c>
      <c r="E17" s="47">
        <f t="shared" si="1"/>
        <v>0</v>
      </c>
      <c r="F17" s="47">
        <f t="shared" si="1"/>
        <v>0</v>
      </c>
      <c r="G17" s="47">
        <f t="shared" si="1"/>
        <v>0</v>
      </c>
      <c r="H17" s="47">
        <f t="shared" si="1"/>
        <v>0</v>
      </c>
      <c r="I17" s="47">
        <f t="shared" si="1"/>
        <v>0</v>
      </c>
      <c r="J17" s="47">
        <f>ROUND(J16*$B$6,1)</f>
        <v>0</v>
      </c>
      <c r="K17" s="47">
        <f>ROUND(K16*$B$6,1)</f>
        <v>0</v>
      </c>
      <c r="L17" s="47">
        <f>ROUND(L16*$B$6,1)</f>
        <v>413.2</v>
      </c>
      <c r="M17" s="47">
        <f>ROUND(M16*$B$6,1)</f>
        <v>0</v>
      </c>
      <c r="N17" s="47">
        <f>ROUND(N16*$B$6,1)</f>
        <v>0</v>
      </c>
    </row>
    <row r="18" spans="1:14" ht="24.75" customHeight="1">
      <c r="A18" s="58" t="s">
        <v>48</v>
      </c>
      <c r="B18" s="88">
        <f>ROUND(B15-B17,1)</f>
        <v>165007.1</v>
      </c>
      <c r="C18" s="88">
        <f aca="true" t="shared" si="2" ref="C18:I18">C15-C17</f>
        <v>71534</v>
      </c>
      <c r="D18" s="88">
        <f t="shared" si="2"/>
        <v>39371</v>
      </c>
      <c r="E18" s="88">
        <f t="shared" si="2"/>
        <v>16935</v>
      </c>
      <c r="F18" s="88">
        <f t="shared" si="2"/>
        <v>12759</v>
      </c>
      <c r="G18" s="88">
        <f t="shared" si="2"/>
        <v>6465</v>
      </c>
      <c r="H18" s="88">
        <f t="shared" si="2"/>
        <v>3215</v>
      </c>
      <c r="I18" s="88">
        <f t="shared" si="2"/>
        <v>8715</v>
      </c>
      <c r="J18" s="88">
        <f>J15-J17</f>
        <v>16009</v>
      </c>
      <c r="K18" s="88">
        <f>K15-K17</f>
        <v>6250</v>
      </c>
      <c r="L18" s="88">
        <f>L15</f>
        <v>28991</v>
      </c>
      <c r="M18" s="88">
        <f>M15-M17</f>
        <v>8701</v>
      </c>
      <c r="N18" s="88">
        <f>N15-N17</f>
        <v>10813</v>
      </c>
    </row>
    <row r="19" spans="1:14" ht="19.5" customHeight="1">
      <c r="A19" s="24" t="s">
        <v>43</v>
      </c>
      <c r="B19" s="78">
        <f>ROUND((B18*B9),1)</f>
        <v>4125.2</v>
      </c>
      <c r="C19" s="78">
        <f>H64</f>
        <v>1655.1756190597157</v>
      </c>
      <c r="D19" s="47">
        <f>H61</f>
        <v>902.4037888154791</v>
      </c>
      <c r="E19" s="47">
        <f>H62</f>
        <v>381.5437557513295</v>
      </c>
      <c r="F19" s="47">
        <f>H58</f>
        <v>285.72799676106285</v>
      </c>
      <c r="G19" s="47">
        <f>H59</f>
        <v>138.5780784291155</v>
      </c>
      <c r="H19" s="47">
        <f>H50</f>
        <v>66.11140003453276</v>
      </c>
      <c r="I19" s="47">
        <f>H56</f>
        <v>183.635500497153</v>
      </c>
      <c r="J19" s="47">
        <f>H41</f>
        <v>357.0371902220616</v>
      </c>
      <c r="K19" s="47">
        <f>H42</f>
        <v>122.52191158151557</v>
      </c>
      <c r="L19" s="47">
        <f>H44</f>
        <v>629.5431034653848</v>
      </c>
      <c r="M19" s="47">
        <f>H43</f>
        <v>197.90825525417648</v>
      </c>
      <c r="N19" s="47">
        <f>H57</f>
        <v>205.14014819989583</v>
      </c>
    </row>
    <row r="20" spans="1:14" ht="19.5" customHeight="1">
      <c r="A20" s="59" t="s">
        <v>49</v>
      </c>
      <c r="B20" s="12">
        <v>351.39</v>
      </c>
      <c r="C20" s="12">
        <v>313</v>
      </c>
      <c r="D20" s="12">
        <v>365.87</v>
      </c>
      <c r="E20" s="12">
        <v>313</v>
      </c>
      <c r="F20" s="12">
        <v>365.87</v>
      </c>
      <c r="G20" s="12">
        <v>365.87</v>
      </c>
      <c r="H20" s="12">
        <v>365.87</v>
      </c>
      <c r="I20" s="12">
        <v>313</v>
      </c>
      <c r="J20" s="12">
        <v>373.75</v>
      </c>
      <c r="K20" s="12">
        <v>373.75</v>
      </c>
      <c r="L20" s="12">
        <v>373.75</v>
      </c>
      <c r="M20" s="12">
        <v>313</v>
      </c>
      <c r="N20" s="12">
        <v>354.46</v>
      </c>
    </row>
    <row r="21" spans="1:14" ht="19.5" customHeight="1">
      <c r="A21" s="283" t="s">
        <v>50</v>
      </c>
      <c r="B21" s="270"/>
      <c r="C21" s="270"/>
      <c r="D21" s="270"/>
      <c r="E21" s="270"/>
      <c r="F21" s="270"/>
      <c r="G21" s="270"/>
      <c r="H21" s="270"/>
      <c r="I21" s="270"/>
      <c r="J21" s="270"/>
      <c r="K21" s="270"/>
      <c r="L21" s="270"/>
      <c r="M21" s="270"/>
      <c r="N21" s="271"/>
    </row>
    <row r="22" spans="1:14" ht="19.5" customHeight="1">
      <c r="A22" s="60" t="s">
        <v>25</v>
      </c>
      <c r="B22" s="9">
        <v>527.085</v>
      </c>
      <c r="C22" s="9">
        <v>469.5</v>
      </c>
      <c r="D22" s="9">
        <v>548.8050000000001</v>
      </c>
      <c r="E22" s="9">
        <v>469.5</v>
      </c>
      <c r="F22" s="9">
        <v>548.8050000000001</v>
      </c>
      <c r="G22" s="9">
        <v>548.8050000000001</v>
      </c>
      <c r="H22" s="9">
        <v>548.8050000000001</v>
      </c>
      <c r="I22" s="9">
        <v>469.5</v>
      </c>
      <c r="J22" s="9">
        <v>560.625</v>
      </c>
      <c r="K22" s="9">
        <v>560.625</v>
      </c>
      <c r="L22" s="9">
        <v>560.625</v>
      </c>
      <c r="M22" s="9">
        <v>469.5</v>
      </c>
      <c r="N22" s="9">
        <v>531.6899999999999</v>
      </c>
    </row>
    <row r="23" spans="1:14" ht="19.5" customHeight="1">
      <c r="A23" s="23" t="s">
        <v>26</v>
      </c>
      <c r="B23" s="9">
        <f>ROUND(B$20,2)</f>
        <v>351.39</v>
      </c>
      <c r="C23" s="9">
        <f aca="true" t="shared" si="3" ref="C23:H23">ROUND(C$20,2)</f>
        <v>313</v>
      </c>
      <c r="D23" s="9">
        <f t="shared" si="3"/>
        <v>365.87</v>
      </c>
      <c r="E23" s="9">
        <f t="shared" si="3"/>
        <v>313</v>
      </c>
      <c r="F23" s="9">
        <f t="shared" si="3"/>
        <v>365.87</v>
      </c>
      <c r="G23" s="9">
        <f t="shared" si="3"/>
        <v>365.87</v>
      </c>
      <c r="H23" s="9">
        <f t="shared" si="3"/>
        <v>365.87</v>
      </c>
      <c r="I23" s="9">
        <f aca="true" t="shared" si="4" ref="I23:N23">ROUND(I$20,2)</f>
        <v>313</v>
      </c>
      <c r="J23" s="9">
        <f t="shared" si="4"/>
        <v>373.75</v>
      </c>
      <c r="K23" s="9">
        <f t="shared" si="4"/>
        <v>373.75</v>
      </c>
      <c r="L23" s="9">
        <f t="shared" si="4"/>
        <v>373.75</v>
      </c>
      <c r="M23" s="9">
        <f t="shared" si="4"/>
        <v>313</v>
      </c>
      <c r="N23" s="9">
        <f t="shared" si="4"/>
        <v>354.46</v>
      </c>
    </row>
    <row r="24" spans="1:14" ht="19.5" customHeight="1">
      <c r="A24" s="23" t="s">
        <v>27</v>
      </c>
      <c r="B24" s="9">
        <f>ROUND(B$20*0.2,2)</f>
        <v>70.28</v>
      </c>
      <c r="C24" s="9">
        <f aca="true" t="shared" si="5" ref="C24:H24">ROUND(C$20*0.2,2)</f>
        <v>62.6</v>
      </c>
      <c r="D24" s="9">
        <f t="shared" si="5"/>
        <v>73.17</v>
      </c>
      <c r="E24" s="9">
        <f t="shared" si="5"/>
        <v>62.6</v>
      </c>
      <c r="F24" s="9">
        <f t="shared" si="5"/>
        <v>73.17</v>
      </c>
      <c r="G24" s="9">
        <f t="shared" si="5"/>
        <v>73.17</v>
      </c>
      <c r="H24" s="9">
        <f t="shared" si="5"/>
        <v>73.17</v>
      </c>
      <c r="I24" s="9">
        <f aca="true" t="shared" si="6" ref="I24:N24">ROUND(I$20*0.2,2)</f>
        <v>62.6</v>
      </c>
      <c r="J24" s="9">
        <f t="shared" si="6"/>
        <v>74.75</v>
      </c>
      <c r="K24" s="9">
        <f t="shared" si="6"/>
        <v>74.75</v>
      </c>
      <c r="L24" s="9">
        <f t="shared" si="6"/>
        <v>74.75</v>
      </c>
      <c r="M24" s="9">
        <f t="shared" si="6"/>
        <v>62.6</v>
      </c>
      <c r="N24" s="9">
        <f t="shared" si="6"/>
        <v>70.89</v>
      </c>
    </row>
    <row r="25" spans="1:14" ht="19.5" customHeight="1">
      <c r="A25" s="23" t="s">
        <v>28</v>
      </c>
      <c r="B25" s="10">
        <f aca="true" t="shared" si="7" ref="B25:I25">ROUND(B$18*(1+$B$4-3%)/(1+$B$4)-B19,1)</f>
        <v>156603.4</v>
      </c>
      <c r="C25" s="10">
        <f t="shared" si="7"/>
        <v>68024</v>
      </c>
      <c r="D25" s="10">
        <f t="shared" si="7"/>
        <v>37447.7</v>
      </c>
      <c r="E25" s="10">
        <f t="shared" si="7"/>
        <v>16114.3</v>
      </c>
      <c r="F25" s="10">
        <f t="shared" si="7"/>
        <v>12142.4</v>
      </c>
      <c r="G25" s="10">
        <f t="shared" si="7"/>
        <v>6158.8</v>
      </c>
      <c r="H25" s="10">
        <f t="shared" si="7"/>
        <v>3065.5</v>
      </c>
      <c r="I25" s="10">
        <f t="shared" si="7"/>
        <v>8305.4</v>
      </c>
      <c r="J25" s="10">
        <f>ROUND(J$18*(1+$B$4-3%)/(1+$B$4)-J19,1)</f>
        <v>15236.9</v>
      </c>
      <c r="K25" s="10">
        <f>ROUND(K$18*(1+$B$4-3%)/(1+$B$4)-K19,1)</f>
        <v>5965.4</v>
      </c>
      <c r="L25" s="10">
        <f>ROUND(L$18*(1+$B$4-3%)/(1+$B$4)-L19,1)</f>
        <v>27609.7</v>
      </c>
      <c r="M25" s="10">
        <f>ROUND(M$18*(1+$B$4-3%)/(1+$B$4)-M19,1)</f>
        <v>8277.5</v>
      </c>
      <c r="N25" s="10">
        <f>ROUND(N$18*(1+$B$4-3%)/(1+$B$4)-N19,1)</f>
        <v>10327.5</v>
      </c>
    </row>
    <row r="26" spans="1:14" ht="19.5" customHeight="1">
      <c r="A26" s="23" t="s">
        <v>29</v>
      </c>
      <c r="B26" s="10">
        <f aca="true" t="shared" si="8" ref="B26:I26">ROUND(B$18*(1+$B$4+1%)/(1+$B$4)-B19,1)</f>
        <v>162308.1</v>
      </c>
      <c r="C26" s="10">
        <f t="shared" si="8"/>
        <v>70497.1</v>
      </c>
      <c r="D26" s="10">
        <f t="shared" si="8"/>
        <v>38808.9</v>
      </c>
      <c r="E26" s="10">
        <f t="shared" si="8"/>
        <v>16699.8</v>
      </c>
      <c r="F26" s="10">
        <f t="shared" si="8"/>
        <v>12583.5</v>
      </c>
      <c r="G26" s="10">
        <f t="shared" si="8"/>
        <v>6382.3</v>
      </c>
      <c r="H26" s="10">
        <f t="shared" si="8"/>
        <v>3176.7</v>
      </c>
      <c r="I26" s="10">
        <f t="shared" si="8"/>
        <v>8606.7</v>
      </c>
      <c r="J26" s="10">
        <f>ROUND(J$18*(1+$B$4+1%)/(1+$B$4)-J19,1)</f>
        <v>15790.3</v>
      </c>
      <c r="K26" s="10">
        <f>ROUND(K$18*(1+$B$4+1%)/(1+$B$4)-K19,1)</f>
        <v>6181.5</v>
      </c>
      <c r="L26" s="10">
        <f>ROUND(L$18*(1+$B$4+1%)/(1+$B$4)-L19,1)</f>
        <v>28612</v>
      </c>
      <c r="M26" s="10">
        <f>ROUND(M$18*(1+$B$4+1%)/(1+$B$4)-M19,1)</f>
        <v>8578.3</v>
      </c>
      <c r="N26" s="10">
        <f>ROUND(N$18*(1+$B$4+1%)/(1+$B$4)-N19,1)</f>
        <v>10701.3</v>
      </c>
    </row>
    <row r="27" spans="1:14" ht="19.5" customHeight="1">
      <c r="A27" s="23" t="s">
        <v>30</v>
      </c>
      <c r="B27" s="10">
        <f aca="true" t="shared" si="9" ref="B27:I27">ROUND(B$18*(1+$B$4+5%)/(1+$B$4)-B19,1)</f>
        <v>168012.7</v>
      </c>
      <c r="C27" s="10">
        <f t="shared" si="9"/>
        <v>72970.2</v>
      </c>
      <c r="D27" s="10">
        <f t="shared" si="9"/>
        <v>40170</v>
      </c>
      <c r="E27" s="10">
        <f t="shared" si="9"/>
        <v>17285.3</v>
      </c>
      <c r="F27" s="10">
        <f t="shared" si="9"/>
        <v>13024.7</v>
      </c>
      <c r="G27" s="10">
        <f t="shared" si="9"/>
        <v>6605.8</v>
      </c>
      <c r="H27" s="10">
        <f t="shared" si="9"/>
        <v>3287.8</v>
      </c>
      <c r="I27" s="10">
        <f t="shared" si="9"/>
        <v>8908</v>
      </c>
      <c r="J27" s="10">
        <f>ROUND(J$18*(1+$B$4+5%)/(1+$B$4)-J19,1)</f>
        <v>16343.8</v>
      </c>
      <c r="K27" s="10">
        <f>ROUND(K$18*(1+$B$4+5%)/(1+$B$4)-K19,1)</f>
        <v>6397.6</v>
      </c>
      <c r="L27" s="10">
        <f>ROUND(L$18*(1+$B$4+5%)/(1+$B$4)-L19,1)</f>
        <v>29614.3</v>
      </c>
      <c r="M27" s="10">
        <f>ROUND(M$18*(1+$B$4+5%)/(1+$B$4)-M19,1)</f>
        <v>8879.1</v>
      </c>
      <c r="N27" s="10">
        <f>ROUND(N$18*(1+$B$4+5%)/(1+$B$4)-N19,1)</f>
        <v>11075.1</v>
      </c>
    </row>
    <row r="28" spans="1:14" ht="19.5" customHeight="1">
      <c r="A28" s="23" t="s">
        <v>52</v>
      </c>
      <c r="B28" s="22" t="s">
        <v>24</v>
      </c>
      <c r="C28" s="11">
        <v>159</v>
      </c>
      <c r="D28" s="11" t="s">
        <v>24</v>
      </c>
      <c r="E28" s="11" t="s">
        <v>24</v>
      </c>
      <c r="F28" s="11" t="s">
        <v>24</v>
      </c>
      <c r="G28" s="11" t="s">
        <v>24</v>
      </c>
      <c r="H28" s="100">
        <f>37+35</f>
        <v>72</v>
      </c>
      <c r="I28" s="11" t="s">
        <v>24</v>
      </c>
      <c r="J28" s="11" t="s">
        <v>24</v>
      </c>
      <c r="K28" s="11" t="s">
        <v>24</v>
      </c>
      <c r="L28" s="11" t="s">
        <v>24</v>
      </c>
      <c r="M28" s="11" t="s">
        <v>24</v>
      </c>
      <c r="N28" s="11" t="s">
        <v>24</v>
      </c>
    </row>
    <row r="29" spans="1:14" ht="19.5" customHeight="1" hidden="1">
      <c r="A29" s="31" t="s">
        <v>65</v>
      </c>
      <c r="B29" s="32" t="s">
        <v>12</v>
      </c>
      <c r="C29" s="32" t="s">
        <v>12</v>
      </c>
      <c r="D29" s="32" t="s">
        <v>12</v>
      </c>
      <c r="E29" s="32" t="s">
        <v>12</v>
      </c>
      <c r="F29" s="32" t="s">
        <v>12</v>
      </c>
      <c r="G29" s="32" t="s">
        <v>12</v>
      </c>
      <c r="H29" s="32" t="s">
        <v>12</v>
      </c>
      <c r="I29" s="32" t="s">
        <v>12</v>
      </c>
      <c r="J29" s="32" t="s">
        <v>12</v>
      </c>
      <c r="K29" s="32" t="s">
        <v>12</v>
      </c>
      <c r="L29" s="32" t="s">
        <v>12</v>
      </c>
      <c r="M29" s="32" t="s">
        <v>12</v>
      </c>
      <c r="N29" s="32" t="s">
        <v>12</v>
      </c>
    </row>
    <row r="30" spans="1:14" ht="19.5" customHeight="1" hidden="1">
      <c r="A30" s="31" t="s">
        <v>66</v>
      </c>
      <c r="B30" s="32" t="s">
        <v>12</v>
      </c>
      <c r="C30" s="32" t="s">
        <v>12</v>
      </c>
      <c r="D30" s="32" t="s">
        <v>12</v>
      </c>
      <c r="E30" s="32" t="s">
        <v>12</v>
      </c>
      <c r="F30" s="32" t="s">
        <v>12</v>
      </c>
      <c r="G30" s="32" t="s">
        <v>12</v>
      </c>
      <c r="H30" s="32" t="s">
        <v>12</v>
      </c>
      <c r="I30" s="32" t="s">
        <v>12</v>
      </c>
      <c r="J30" s="32" t="s">
        <v>12</v>
      </c>
      <c r="K30" s="32" t="s">
        <v>12</v>
      </c>
      <c r="L30" s="32" t="s">
        <v>12</v>
      </c>
      <c r="M30" s="32" t="s">
        <v>12</v>
      </c>
      <c r="N30" s="32" t="s">
        <v>12</v>
      </c>
    </row>
    <row r="31" spans="1:14" ht="19.5" customHeight="1" hidden="1">
      <c r="A31" s="31" t="s">
        <v>67</v>
      </c>
      <c r="B31" s="32" t="s">
        <v>12</v>
      </c>
      <c r="C31" s="32" t="s">
        <v>12</v>
      </c>
      <c r="D31" s="32" t="s">
        <v>12</v>
      </c>
      <c r="E31" s="32" t="s">
        <v>12</v>
      </c>
      <c r="F31" s="32" t="s">
        <v>12</v>
      </c>
      <c r="G31" s="32" t="s">
        <v>12</v>
      </c>
      <c r="H31" s="32" t="s">
        <v>12</v>
      </c>
      <c r="I31" s="32" t="s">
        <v>12</v>
      </c>
      <c r="J31" s="32" t="s">
        <v>12</v>
      </c>
      <c r="K31" s="32" t="s">
        <v>12</v>
      </c>
      <c r="L31" s="32" t="s">
        <v>12</v>
      </c>
      <c r="M31" s="32" t="s">
        <v>12</v>
      </c>
      <c r="N31" s="32" t="s">
        <v>12</v>
      </c>
    </row>
    <row r="32" spans="1:14" ht="19.5" customHeight="1">
      <c r="A32" s="269" t="s">
        <v>108</v>
      </c>
      <c r="B32" s="270"/>
      <c r="C32" s="270"/>
      <c r="D32" s="270"/>
      <c r="E32" s="270"/>
      <c r="F32" s="270"/>
      <c r="G32" s="270"/>
      <c r="H32" s="270"/>
      <c r="I32" s="270"/>
      <c r="J32" s="270"/>
      <c r="K32" s="270"/>
      <c r="L32" s="270"/>
      <c r="M32" s="270"/>
      <c r="N32" s="271"/>
    </row>
    <row r="33" spans="1:14" ht="19.5" customHeight="1">
      <c r="A33" s="23" t="s">
        <v>107</v>
      </c>
      <c r="B33" s="22" t="s">
        <v>24</v>
      </c>
      <c r="C33" s="101">
        <f>(C15-C14)/(F64*$B$6)</f>
        <v>0.968800231184092</v>
      </c>
      <c r="D33" s="101">
        <f>(D15-D14)/(F61*$B$6)</f>
        <v>0.8326698883995177</v>
      </c>
      <c r="E33" s="101">
        <f>(E15-E14)/(F62*$B$6)</f>
        <v>0.5819812676204625</v>
      </c>
      <c r="F33" s="101">
        <f>(F15-F14)/(F58*$B$6)</f>
        <v>0.5301402076042703</v>
      </c>
      <c r="G33" s="101">
        <f>(G15-G14)/(F59*$B$6)</f>
        <v>0.6620855613640004</v>
      </c>
      <c r="H33" s="102">
        <f>(H15-H14)/(F50*$B$6)</f>
        <v>0.4957570799347663</v>
      </c>
      <c r="I33" s="101">
        <f>(I15-I14)/(F56*$B$6)</f>
        <v>0.45688604875306327</v>
      </c>
      <c r="J33" s="101">
        <f>(J15-J14)/(F41*$B$6)</f>
        <v>0.5278893191080641</v>
      </c>
      <c r="K33" s="101">
        <f>(K15-K14)/(F42*$B$6)</f>
        <v>0.26730071429933294</v>
      </c>
      <c r="L33" s="101">
        <f>(L15-L14)/(F44*$B$6)</f>
        <v>0.8584183912875992</v>
      </c>
      <c r="M33" s="101">
        <f>(M15-M14)/(F43*$B$6)</f>
        <v>0.31378362007059074</v>
      </c>
      <c r="N33" s="101">
        <f>(N15-N14)/(F57*$B$6)</f>
        <v>0.7893431051824245</v>
      </c>
    </row>
    <row r="34" spans="1:10" ht="19.5" customHeight="1">
      <c r="A34" s="284" t="s">
        <v>12</v>
      </c>
      <c r="B34" s="284"/>
      <c r="C34" s="284"/>
      <c r="D34" s="284"/>
      <c r="E34" s="284"/>
      <c r="F34" s="284"/>
      <c r="G34" s="284"/>
      <c r="H34" s="284"/>
      <c r="I34" s="285"/>
      <c r="J34" s="285"/>
    </row>
    <row r="35" spans="1:10" ht="18" customHeight="1">
      <c r="A35" s="284" t="s">
        <v>115</v>
      </c>
      <c r="B35" s="284"/>
      <c r="C35" s="284"/>
      <c r="D35" s="284"/>
      <c r="E35" s="284"/>
      <c r="F35" s="284"/>
      <c r="G35" s="284"/>
      <c r="H35" s="284"/>
      <c r="I35" s="285"/>
      <c r="J35" s="285"/>
    </row>
    <row r="36" spans="1:11" s="3" customFormat="1" ht="84.75" customHeight="1">
      <c r="A36" s="89" t="s">
        <v>39</v>
      </c>
      <c r="B36" s="86" t="s">
        <v>9</v>
      </c>
      <c r="C36" s="86" t="s">
        <v>11</v>
      </c>
      <c r="D36" s="86" t="s">
        <v>100</v>
      </c>
      <c r="E36" s="86" t="s">
        <v>95</v>
      </c>
      <c r="F36" s="86" t="s">
        <v>31</v>
      </c>
      <c r="G36" s="86" t="s">
        <v>32</v>
      </c>
      <c r="H36" s="86" t="s">
        <v>43</v>
      </c>
      <c r="I36" s="86" t="s">
        <v>55</v>
      </c>
      <c r="J36" s="86" t="s">
        <v>70</v>
      </c>
      <c r="K36" s="44" t="s">
        <v>12</v>
      </c>
    </row>
    <row r="37" spans="1:11" s="3" customFormat="1" ht="19.5" customHeight="1">
      <c r="A37" s="90" t="s">
        <v>13</v>
      </c>
      <c r="B37" s="91" t="s">
        <v>24</v>
      </c>
      <c r="C37" s="91" t="s">
        <v>24</v>
      </c>
      <c r="D37" s="92" t="s">
        <v>24</v>
      </c>
      <c r="E37" s="88">
        <f>E38+E39+E40+E41+E43+E44+E45+E46+E47+E48+E49+E51+E52+E53+E54+E55+E56+E57+E58+E60</f>
        <v>155456.6</v>
      </c>
      <c r="F37" s="88">
        <f>F38+F39+F40+F41+F43+F44+F45+F46+F47+F48+F49+F51+F52+F53+F54+F55+F56+F57+F58+F60</f>
        <v>164478.8</v>
      </c>
      <c r="G37" s="93" t="s">
        <v>24</v>
      </c>
      <c r="H37" s="88">
        <f>B19</f>
        <v>4125.2</v>
      </c>
      <c r="I37" s="88">
        <f>I38+I39+I40+I41+I43+I44+I45+I46+I47+I48+I49+I51+I52+I53+I54+I55+I56+I57+I58+I60</f>
        <v>13318.1</v>
      </c>
      <c r="J37" s="88">
        <f>J38+J39+J40+J41+J43+J44+J45+J46+J47+J48+J49+J51+J52+J53+J54+J55+J56+J57+J58+J60</f>
        <v>151160.7</v>
      </c>
      <c r="K37" s="3" t="s">
        <v>12</v>
      </c>
    </row>
    <row r="38" spans="1:12" s="2" customFormat="1" ht="19.5" customHeight="1">
      <c r="A38" s="27" t="s">
        <v>2</v>
      </c>
      <c r="B38" s="47">
        <v>1130</v>
      </c>
      <c r="C38" s="47" t="s">
        <v>109</v>
      </c>
      <c r="D38" s="37" t="s">
        <v>51</v>
      </c>
      <c r="E38" s="37">
        <v>2590</v>
      </c>
      <c r="F38" s="37">
        <v>2750</v>
      </c>
      <c r="G38" s="94">
        <f>F38/E38</f>
        <v>1.0617760617760619</v>
      </c>
      <c r="H38" s="37">
        <f>$H$37*J38/$J$37</f>
        <v>75.04794566312539</v>
      </c>
      <c r="I38" s="78">
        <v>0</v>
      </c>
      <c r="J38" s="37">
        <f>F38-I38</f>
        <v>2750</v>
      </c>
      <c r="K38" s="55" t="s">
        <v>12</v>
      </c>
      <c r="L38" s="45" t="s">
        <v>12</v>
      </c>
    </row>
    <row r="39" spans="1:11" s="2" customFormat="1" ht="19.5" customHeight="1">
      <c r="A39" s="27" t="s">
        <v>56</v>
      </c>
      <c r="B39" s="47">
        <v>1260</v>
      </c>
      <c r="C39" s="47" t="s">
        <v>85</v>
      </c>
      <c r="D39" s="37" t="s">
        <v>51</v>
      </c>
      <c r="E39" s="37">
        <v>22670</v>
      </c>
      <c r="F39" s="37">
        <v>23323</v>
      </c>
      <c r="G39" s="94">
        <f aca="true" t="shared" si="10" ref="G39:G49">F39/E39</f>
        <v>1.0288045875606529</v>
      </c>
      <c r="H39" s="37">
        <f>$H$37*J39/$J$37</f>
        <v>308.52619814541737</v>
      </c>
      <c r="I39" s="78">
        <v>12017.6</v>
      </c>
      <c r="J39" s="37">
        <f>F39-I39</f>
        <v>11305.4</v>
      </c>
      <c r="K39" s="53" t="s">
        <v>12</v>
      </c>
    </row>
    <row r="40" spans="1:11" s="2" customFormat="1" ht="19.5" customHeight="1">
      <c r="A40" s="27" t="s">
        <v>0</v>
      </c>
      <c r="B40" s="47">
        <v>3740</v>
      </c>
      <c r="C40" s="47" t="s">
        <v>86</v>
      </c>
      <c r="D40" s="37" t="s">
        <v>51</v>
      </c>
      <c r="E40" s="37">
        <v>8270</v>
      </c>
      <c r="F40" s="37">
        <v>8841</v>
      </c>
      <c r="G40" s="94">
        <f t="shared" si="10"/>
        <v>1.0690447400241838</v>
      </c>
      <c r="H40" s="37">
        <f aca="true" t="shared" si="11" ref="H40:H60">$H$37*J40/$J$37</f>
        <v>241.2723227664333</v>
      </c>
      <c r="I40" s="78">
        <v>0</v>
      </c>
      <c r="J40" s="37">
        <f aca="true" t="shared" si="12" ref="J40:J60">F40-I40</f>
        <v>8841</v>
      </c>
      <c r="K40" s="53" t="s">
        <v>12</v>
      </c>
    </row>
    <row r="41" spans="1:11" s="2" customFormat="1" ht="19.5" customHeight="1">
      <c r="A41" s="27" t="s">
        <v>53</v>
      </c>
      <c r="B41" s="47">
        <v>4970</v>
      </c>
      <c r="C41" s="95">
        <v>8470</v>
      </c>
      <c r="D41" s="38">
        <f>C41/B41</f>
        <v>1.704225352112676</v>
      </c>
      <c r="E41" s="37">
        <v>12680</v>
      </c>
      <c r="F41" s="37">
        <v>13083</v>
      </c>
      <c r="G41" s="94">
        <f t="shared" si="10"/>
        <v>1.031782334384858</v>
      </c>
      <c r="H41" s="37">
        <f>$H$37*J41/$J$37</f>
        <v>357.0371902220616</v>
      </c>
      <c r="I41" s="78">
        <v>0</v>
      </c>
      <c r="J41" s="37">
        <f t="shared" si="12"/>
        <v>13083</v>
      </c>
      <c r="K41" s="53" t="s">
        <v>12</v>
      </c>
    </row>
    <row r="42" spans="1:11" s="2" customFormat="1" ht="19.5" customHeight="1">
      <c r="A42" s="27" t="s">
        <v>72</v>
      </c>
      <c r="B42" s="47">
        <v>3350</v>
      </c>
      <c r="C42" s="95">
        <v>4940</v>
      </c>
      <c r="D42" s="38">
        <f>C42/B42</f>
        <v>1.4746268656716417</v>
      </c>
      <c r="E42" s="37" t="s">
        <v>24</v>
      </c>
      <c r="F42" s="37">
        <f>ROUND(F41*0.34316,1)</f>
        <v>4489.6</v>
      </c>
      <c r="G42" s="94" t="s">
        <v>24</v>
      </c>
      <c r="H42" s="37">
        <f>$H$37*J42/$J$37</f>
        <v>122.52191158151557</v>
      </c>
      <c r="I42" s="78">
        <v>0</v>
      </c>
      <c r="J42" s="37">
        <f>F42-I42</f>
        <v>4489.6</v>
      </c>
      <c r="K42" s="53" t="s">
        <v>12</v>
      </c>
    </row>
    <row r="43" spans="1:11" s="2" customFormat="1" ht="19.5" customHeight="1">
      <c r="A43" s="27" t="s">
        <v>3</v>
      </c>
      <c r="B43" s="47">
        <v>4350</v>
      </c>
      <c r="C43" s="95">
        <v>6217</v>
      </c>
      <c r="D43" s="38">
        <f>C43/B43</f>
        <v>1.4291954022988507</v>
      </c>
      <c r="E43" s="37">
        <v>6920</v>
      </c>
      <c r="F43" s="37">
        <v>7252</v>
      </c>
      <c r="G43" s="94">
        <f t="shared" si="10"/>
        <v>1.0479768786127168</v>
      </c>
      <c r="H43" s="37">
        <f t="shared" si="11"/>
        <v>197.90825525417648</v>
      </c>
      <c r="I43" s="78">
        <v>0</v>
      </c>
      <c r="J43" s="37">
        <f t="shared" si="12"/>
        <v>7252</v>
      </c>
      <c r="K43" s="53" t="s">
        <v>12</v>
      </c>
    </row>
    <row r="44" spans="1:11" s="2" customFormat="1" ht="19.5" customHeight="1">
      <c r="A44" s="27" t="s">
        <v>18</v>
      </c>
      <c r="B44" s="47">
        <v>2290</v>
      </c>
      <c r="C44" s="95">
        <v>7020</v>
      </c>
      <c r="D44" s="38">
        <f>C44/B44</f>
        <v>3.0655021834061134</v>
      </c>
      <c r="E44" s="37">
        <v>21830</v>
      </c>
      <c r="F44" s="37">
        <v>23447</v>
      </c>
      <c r="G44" s="94">
        <f t="shared" si="10"/>
        <v>1.074072377462208</v>
      </c>
      <c r="H44" s="37">
        <f t="shared" si="11"/>
        <v>629.5431034653848</v>
      </c>
      <c r="I44" s="78">
        <v>378.5</v>
      </c>
      <c r="J44" s="37">
        <f t="shared" si="12"/>
        <v>23068.5</v>
      </c>
      <c r="K44" s="53" t="s">
        <v>12</v>
      </c>
    </row>
    <row r="45" spans="1:11" s="2" customFormat="1" ht="19.5" customHeight="1">
      <c r="A45" s="27" t="s">
        <v>19</v>
      </c>
      <c r="B45" s="47">
        <v>970</v>
      </c>
      <c r="C45" s="47" t="s">
        <v>87</v>
      </c>
      <c r="D45" s="37" t="s">
        <v>51</v>
      </c>
      <c r="E45" s="37">
        <v>3260</v>
      </c>
      <c r="F45" s="37">
        <v>3503</v>
      </c>
      <c r="G45" s="94">
        <f t="shared" si="10"/>
        <v>1.0745398773006134</v>
      </c>
      <c r="H45" s="37">
        <f t="shared" si="11"/>
        <v>95.59743769379209</v>
      </c>
      <c r="I45" s="78">
        <v>0</v>
      </c>
      <c r="J45" s="37">
        <f t="shared" si="12"/>
        <v>3503</v>
      </c>
      <c r="K45" s="53" t="s">
        <v>12</v>
      </c>
    </row>
    <row r="46" spans="1:11" s="2" customFormat="1" ht="19.5" customHeight="1">
      <c r="A46" s="27" t="s">
        <v>68</v>
      </c>
      <c r="B46" s="47">
        <v>3760</v>
      </c>
      <c r="C46" s="47" t="s">
        <v>103</v>
      </c>
      <c r="D46" s="37" t="s">
        <v>51</v>
      </c>
      <c r="E46" s="37">
        <v>5270</v>
      </c>
      <c r="F46" s="37">
        <v>5533</v>
      </c>
      <c r="G46" s="94">
        <f>F46/E46</f>
        <v>1.0499051233396584</v>
      </c>
      <c r="H46" s="37">
        <f>$H$37*J46/$J$37</f>
        <v>126.35617935084977</v>
      </c>
      <c r="I46" s="78">
        <v>902.9</v>
      </c>
      <c r="J46" s="37">
        <f t="shared" si="12"/>
        <v>4630.1</v>
      </c>
      <c r="K46" s="53" t="s">
        <v>12</v>
      </c>
    </row>
    <row r="47" spans="1:11" s="2" customFormat="1" ht="19.5" customHeight="1">
      <c r="A47" s="27" t="s">
        <v>4</v>
      </c>
      <c r="B47" s="47">
        <v>1520</v>
      </c>
      <c r="C47" s="47" t="s">
        <v>88</v>
      </c>
      <c r="D47" s="37" t="s">
        <v>51</v>
      </c>
      <c r="E47" s="37">
        <v>2820</v>
      </c>
      <c r="F47" s="37">
        <v>2976</v>
      </c>
      <c r="G47" s="94">
        <f t="shared" si="10"/>
        <v>1.0553191489361702</v>
      </c>
      <c r="H47" s="37">
        <f t="shared" si="11"/>
        <v>81.21552228853133</v>
      </c>
      <c r="I47" s="78">
        <v>0</v>
      </c>
      <c r="J47" s="37">
        <f t="shared" si="12"/>
        <v>2976</v>
      </c>
      <c r="K47" s="53" t="s">
        <v>12</v>
      </c>
    </row>
    <row r="48" spans="1:11" s="2" customFormat="1" ht="19.5" customHeight="1">
      <c r="A48" s="27" t="s">
        <v>20</v>
      </c>
      <c r="B48" s="47">
        <v>-540</v>
      </c>
      <c r="C48" s="47" t="s">
        <v>76</v>
      </c>
      <c r="D48" s="37" t="s">
        <v>76</v>
      </c>
      <c r="E48" s="37">
        <v>18980</v>
      </c>
      <c r="F48" s="37">
        <v>20978</v>
      </c>
      <c r="G48" s="94">
        <f t="shared" si="10"/>
        <v>1.105268703898841</v>
      </c>
      <c r="H48" s="37">
        <f t="shared" si="11"/>
        <v>572.4930196803798</v>
      </c>
      <c r="I48" s="78">
        <v>0</v>
      </c>
      <c r="J48" s="37">
        <f t="shared" si="12"/>
        <v>20978</v>
      </c>
      <c r="K48" s="53" t="s">
        <v>12</v>
      </c>
    </row>
    <row r="49" spans="1:11" s="2" customFormat="1" ht="19.5" customHeight="1">
      <c r="A49" s="27" t="s">
        <v>1</v>
      </c>
      <c r="B49" s="47">
        <v>980</v>
      </c>
      <c r="C49" s="47" t="s">
        <v>89</v>
      </c>
      <c r="D49" s="37" t="s">
        <v>51</v>
      </c>
      <c r="E49" s="37">
        <v>3970</v>
      </c>
      <c r="F49" s="37">
        <v>4184</v>
      </c>
      <c r="G49" s="94">
        <f t="shared" si="10"/>
        <v>1.053904282115869</v>
      </c>
      <c r="H49" s="37">
        <f t="shared" si="11"/>
        <v>114.18203805618788</v>
      </c>
      <c r="I49" s="78">
        <v>0</v>
      </c>
      <c r="J49" s="37">
        <f t="shared" si="12"/>
        <v>4184</v>
      </c>
      <c r="K49" s="53" t="s">
        <v>12</v>
      </c>
    </row>
    <row r="50" spans="1:11" s="2" customFormat="1" ht="19.5" customHeight="1">
      <c r="A50" s="27" t="s">
        <v>45</v>
      </c>
      <c r="B50" s="47">
        <v>1440</v>
      </c>
      <c r="C50" s="96">
        <v>1869</v>
      </c>
      <c r="D50" s="38">
        <f>C50/B50</f>
        <v>1.2979166666666666</v>
      </c>
      <c r="E50" s="37" t="s">
        <v>24</v>
      </c>
      <c r="F50" s="37">
        <f>F49*0.579</f>
        <v>2422.5359999999996</v>
      </c>
      <c r="G50" s="94" t="s">
        <v>24</v>
      </c>
      <c r="H50" s="37">
        <f>$H$37*J50/$J$37</f>
        <v>66.11140003453276</v>
      </c>
      <c r="I50" s="78">
        <v>0</v>
      </c>
      <c r="J50" s="37">
        <f t="shared" si="12"/>
        <v>2422.5359999999996</v>
      </c>
      <c r="K50" s="53" t="s">
        <v>12</v>
      </c>
    </row>
    <row r="51" spans="1:11" s="2" customFormat="1" ht="19.5" customHeight="1">
      <c r="A51" s="27" t="s">
        <v>73</v>
      </c>
      <c r="B51" s="47">
        <v>250</v>
      </c>
      <c r="C51" s="47" t="s">
        <v>90</v>
      </c>
      <c r="D51" s="37" t="s">
        <v>51</v>
      </c>
      <c r="E51" s="37">
        <v>2051.6</v>
      </c>
      <c r="F51" s="37">
        <v>2143.8</v>
      </c>
      <c r="G51" s="94">
        <f>F51/E51</f>
        <v>1.0449405342171965</v>
      </c>
      <c r="H51" s="37">
        <f>$H$37*J51/$J$37</f>
        <v>57.98340732743365</v>
      </c>
      <c r="I51" s="78">
        <v>19.1</v>
      </c>
      <c r="J51" s="37">
        <f t="shared" si="12"/>
        <v>2124.7000000000003</v>
      </c>
      <c r="K51" s="53" t="s">
        <v>12</v>
      </c>
    </row>
    <row r="52" spans="1:11" s="2" customFormat="1" ht="19.5" customHeight="1">
      <c r="A52" s="27" t="s">
        <v>5</v>
      </c>
      <c r="B52" s="47">
        <v>3370</v>
      </c>
      <c r="C52" s="47" t="s">
        <v>91</v>
      </c>
      <c r="D52" s="37" t="s">
        <v>51</v>
      </c>
      <c r="E52" s="37">
        <v>6020</v>
      </c>
      <c r="F52" s="37">
        <v>6369</v>
      </c>
      <c r="G52" s="94">
        <f aca="true" t="shared" si="13" ref="G52:G58">F52/E52</f>
        <v>1.0579734219269104</v>
      </c>
      <c r="H52" s="37">
        <f t="shared" si="11"/>
        <v>173.8110421557984</v>
      </c>
      <c r="I52" s="78">
        <v>0</v>
      </c>
      <c r="J52" s="37">
        <f t="shared" si="12"/>
        <v>6369</v>
      </c>
      <c r="K52" s="53" t="s">
        <v>12</v>
      </c>
    </row>
    <row r="53" spans="1:13" s="2" customFormat="1" ht="19.5" customHeight="1">
      <c r="A53" s="27" t="s">
        <v>21</v>
      </c>
      <c r="B53" s="47">
        <v>1290</v>
      </c>
      <c r="C53" s="47" t="s">
        <v>110</v>
      </c>
      <c r="D53" s="37" t="s">
        <v>51</v>
      </c>
      <c r="E53" s="37">
        <v>2840</v>
      </c>
      <c r="F53" s="37">
        <v>3061</v>
      </c>
      <c r="G53" s="94">
        <f t="shared" si="13"/>
        <v>1.0778169014084507</v>
      </c>
      <c r="H53" s="37">
        <f t="shared" si="11"/>
        <v>83.53518606357339</v>
      </c>
      <c r="I53" s="78">
        <v>0</v>
      </c>
      <c r="J53" s="37">
        <f t="shared" si="12"/>
        <v>3061</v>
      </c>
      <c r="K53" s="55" t="s">
        <v>12</v>
      </c>
      <c r="L53" s="45" t="s">
        <v>12</v>
      </c>
      <c r="M53" s="45" t="s">
        <v>12</v>
      </c>
    </row>
    <row r="54" spans="1:11" s="2" customFormat="1" ht="19.5" customHeight="1">
      <c r="A54" s="27" t="s">
        <v>6</v>
      </c>
      <c r="B54" s="47">
        <v>3260</v>
      </c>
      <c r="C54" s="47" t="s">
        <v>92</v>
      </c>
      <c r="D54" s="37" t="s">
        <v>51</v>
      </c>
      <c r="E54" s="37">
        <v>8360</v>
      </c>
      <c r="F54" s="37">
        <v>8881</v>
      </c>
      <c r="G54" s="94">
        <f t="shared" si="13"/>
        <v>1.0623205741626793</v>
      </c>
      <c r="H54" s="37">
        <f t="shared" si="11"/>
        <v>242.36392924880602</v>
      </c>
      <c r="I54" s="78">
        <v>0</v>
      </c>
      <c r="J54" s="37">
        <f t="shared" si="12"/>
        <v>8881</v>
      </c>
      <c r="K54" s="53" t="s">
        <v>12</v>
      </c>
    </row>
    <row r="55" spans="1:11" s="2" customFormat="1" ht="19.5" customHeight="1">
      <c r="A55" s="27" t="s">
        <v>22</v>
      </c>
      <c r="B55" s="47">
        <v>600</v>
      </c>
      <c r="C55" s="47" t="s">
        <v>93</v>
      </c>
      <c r="D55" s="37" t="s">
        <v>51</v>
      </c>
      <c r="E55" s="37">
        <v>2770</v>
      </c>
      <c r="F55" s="37">
        <v>3025</v>
      </c>
      <c r="G55" s="94">
        <f t="shared" si="13"/>
        <v>1.092057761732852</v>
      </c>
      <c r="H55" s="37">
        <f t="shared" si="11"/>
        <v>82.55274022943793</v>
      </c>
      <c r="I55" s="78">
        <v>0</v>
      </c>
      <c r="J55" s="37">
        <f t="shared" si="12"/>
        <v>3025</v>
      </c>
      <c r="K55" s="53" t="s">
        <v>12</v>
      </c>
    </row>
    <row r="56" spans="1:11" s="2" customFormat="1" ht="19.5" customHeight="1">
      <c r="A56" s="27" t="s">
        <v>7</v>
      </c>
      <c r="B56" s="47">
        <v>3740</v>
      </c>
      <c r="C56" s="95">
        <v>5359</v>
      </c>
      <c r="D56" s="38">
        <f>C56/B56</f>
        <v>1.4328877005347593</v>
      </c>
      <c r="E56" s="37">
        <v>6520</v>
      </c>
      <c r="F56" s="37">
        <v>6729</v>
      </c>
      <c r="G56" s="94">
        <f t="shared" si="13"/>
        <v>1.0320552147239264</v>
      </c>
      <c r="H56" s="37">
        <f t="shared" si="11"/>
        <v>183.635500497153</v>
      </c>
      <c r="I56" s="78">
        <v>0</v>
      </c>
      <c r="J56" s="37">
        <f t="shared" si="12"/>
        <v>6729</v>
      </c>
      <c r="K56" s="53" t="s">
        <v>12</v>
      </c>
    </row>
    <row r="57" spans="1:12" s="2" customFormat="1" ht="19.5" customHeight="1">
      <c r="A57" s="27" t="s">
        <v>33</v>
      </c>
      <c r="B57" s="47">
        <v>1310</v>
      </c>
      <c r="C57" s="96">
        <v>4336</v>
      </c>
      <c r="D57" s="38">
        <f>C57/B57</f>
        <v>3.3099236641221372</v>
      </c>
      <c r="E57" s="37">
        <f>6930+185</f>
        <v>7115</v>
      </c>
      <c r="F57" s="37">
        <f>7319+198</f>
        <v>7517</v>
      </c>
      <c r="G57" s="94">
        <f t="shared" si="13"/>
        <v>1.0565003513703444</v>
      </c>
      <c r="H57" s="37">
        <f t="shared" si="11"/>
        <v>205.14014819989583</v>
      </c>
      <c r="I57" s="78">
        <v>0</v>
      </c>
      <c r="J57" s="37">
        <f t="shared" si="12"/>
        <v>7517</v>
      </c>
      <c r="K57" s="53" t="s">
        <v>12</v>
      </c>
      <c r="L57" s="2" t="s">
        <v>12</v>
      </c>
    </row>
    <row r="58" spans="1:12" s="2" customFormat="1" ht="19.5" customHeight="1">
      <c r="A58" s="27" t="s">
        <v>8</v>
      </c>
      <c r="B58" s="47">
        <v>6080</v>
      </c>
      <c r="C58" s="95">
        <v>6700</v>
      </c>
      <c r="D58" s="39">
        <f>C58/B58</f>
        <v>1.1019736842105263</v>
      </c>
      <c r="E58" s="37">
        <v>10120</v>
      </c>
      <c r="F58" s="37">
        <v>10470</v>
      </c>
      <c r="G58" s="94">
        <f t="shared" si="13"/>
        <v>1.034584980237154</v>
      </c>
      <c r="H58" s="37">
        <f>$H$37*J58/$J$37</f>
        <v>285.72799676106285</v>
      </c>
      <c r="I58" s="78">
        <v>0</v>
      </c>
      <c r="J58" s="37">
        <f t="shared" si="12"/>
        <v>10470</v>
      </c>
      <c r="K58" s="53" t="s">
        <v>12</v>
      </c>
      <c r="L58" s="2" t="s">
        <v>12</v>
      </c>
    </row>
    <row r="59" spans="1:11" s="2" customFormat="1" ht="19.5" customHeight="1">
      <c r="A59" s="27" t="s">
        <v>44</v>
      </c>
      <c r="B59" s="47">
        <v>2370</v>
      </c>
      <c r="C59" s="95">
        <v>2795</v>
      </c>
      <c r="D59" s="39">
        <f>C59/B59</f>
        <v>1.1793248945147679</v>
      </c>
      <c r="E59" s="37" t="s">
        <v>24</v>
      </c>
      <c r="F59" s="37">
        <f>F58*0.485</f>
        <v>5077.95</v>
      </c>
      <c r="G59" s="94" t="s">
        <v>24</v>
      </c>
      <c r="H59" s="37">
        <f t="shared" si="11"/>
        <v>138.5780784291155</v>
      </c>
      <c r="I59" s="78">
        <v>0</v>
      </c>
      <c r="J59" s="37">
        <f t="shared" si="12"/>
        <v>5077.95</v>
      </c>
      <c r="K59" s="53" t="s">
        <v>12</v>
      </c>
    </row>
    <row r="60" spans="1:11" s="2" customFormat="1" ht="19.5" customHeight="1">
      <c r="A60" s="27" t="s">
        <v>40</v>
      </c>
      <c r="B60" s="47" t="s">
        <v>24</v>
      </c>
      <c r="C60" s="47" t="s">
        <v>24</v>
      </c>
      <c r="D60" s="37" t="s">
        <v>24</v>
      </c>
      <c r="E60" s="37">
        <v>400</v>
      </c>
      <c r="F60" s="37">
        <v>413</v>
      </c>
      <c r="G60" s="94">
        <f>F60/E60</f>
        <v>1.0325</v>
      </c>
      <c r="H60" s="37">
        <f t="shared" si="11"/>
        <v>11.270836930498469</v>
      </c>
      <c r="I60" s="78">
        <v>0</v>
      </c>
      <c r="J60" s="37">
        <f t="shared" si="12"/>
        <v>413</v>
      </c>
      <c r="K60" s="53" t="s">
        <v>12</v>
      </c>
    </row>
    <row r="61" spans="1:11" s="2" customFormat="1" ht="19.5" customHeight="1">
      <c r="A61" s="27" t="s">
        <v>16</v>
      </c>
      <c r="B61" s="47">
        <v>6140</v>
      </c>
      <c r="C61" s="95">
        <v>9315</v>
      </c>
      <c r="D61" s="39">
        <f>C61/B61</f>
        <v>1.517100977198697</v>
      </c>
      <c r="E61" s="37" t="s">
        <v>24</v>
      </c>
      <c r="F61" s="37">
        <f>F38+F49+F52+F54+F58+F60</f>
        <v>33067</v>
      </c>
      <c r="G61" s="97" t="s">
        <v>24</v>
      </c>
      <c r="H61" s="37">
        <f>H38+H49+H52+H54+H58+H60</f>
        <v>902.4037888154791</v>
      </c>
      <c r="I61" s="37">
        <f>I38+I49+I52+I54+I58+I60</f>
        <v>0</v>
      </c>
      <c r="J61" s="289" t="s">
        <v>64</v>
      </c>
      <c r="K61" s="53" t="s">
        <v>12</v>
      </c>
    </row>
    <row r="62" spans="1:11" s="2" customFormat="1" ht="19.5" customHeight="1">
      <c r="A62" s="27" t="s">
        <v>14</v>
      </c>
      <c r="B62" s="47">
        <v>5880</v>
      </c>
      <c r="C62" s="95">
        <v>8053</v>
      </c>
      <c r="D62" s="39">
        <f>C62/B62</f>
        <v>1.3695578231292518</v>
      </c>
      <c r="E62" s="37" t="s">
        <v>24</v>
      </c>
      <c r="F62" s="37">
        <f>F43+F56</f>
        <v>13981</v>
      </c>
      <c r="G62" s="97" t="s">
        <v>24</v>
      </c>
      <c r="H62" s="37">
        <f>H43+H56</f>
        <v>381.5437557513295</v>
      </c>
      <c r="I62" s="37">
        <f>I43+I56</f>
        <v>0</v>
      </c>
      <c r="J62" s="290"/>
      <c r="K62" s="53" t="s">
        <v>12</v>
      </c>
    </row>
    <row r="63" spans="1:11" s="2" customFormat="1" ht="19.5" customHeight="1">
      <c r="A63" s="27" t="s">
        <v>15</v>
      </c>
      <c r="B63" s="47">
        <v>-5010</v>
      </c>
      <c r="C63" s="47" t="s">
        <v>76</v>
      </c>
      <c r="D63" s="37" t="s">
        <v>76</v>
      </c>
      <c r="E63" s="37" t="s">
        <v>24</v>
      </c>
      <c r="F63" s="37">
        <f>F53+F55+F57</f>
        <v>13603</v>
      </c>
      <c r="G63" s="97" t="s">
        <v>24</v>
      </c>
      <c r="H63" s="37">
        <f>H53+H55+H57</f>
        <v>371.2280744929071</v>
      </c>
      <c r="I63" s="37">
        <f>I53+I55+I57</f>
        <v>0</v>
      </c>
      <c r="J63" s="290"/>
      <c r="K63" s="53" t="s">
        <v>12</v>
      </c>
    </row>
    <row r="64" spans="1:11" s="2" customFormat="1" ht="19.5" customHeight="1">
      <c r="A64" s="27" t="s">
        <v>17</v>
      </c>
      <c r="B64" s="47">
        <v>4420</v>
      </c>
      <c r="C64" s="95">
        <v>7393</v>
      </c>
      <c r="D64" s="39">
        <f>C64/B64</f>
        <v>1.6726244343891403</v>
      </c>
      <c r="E64" s="37" t="s">
        <v>24</v>
      </c>
      <c r="F64" s="37">
        <f>F61+F62+F63</f>
        <v>60651</v>
      </c>
      <c r="G64" s="97" t="s">
        <v>24</v>
      </c>
      <c r="H64" s="37">
        <f>H61+H62+H63</f>
        <v>1655.1756190597157</v>
      </c>
      <c r="I64" s="37">
        <f>I61+I62+I63</f>
        <v>0</v>
      </c>
      <c r="J64" s="290"/>
      <c r="K64" s="53" t="s">
        <v>12</v>
      </c>
    </row>
    <row r="65" spans="1:11" s="2" customFormat="1" ht="19.5" customHeight="1">
      <c r="A65" s="27" t="s">
        <v>34</v>
      </c>
      <c r="B65" s="47">
        <v>8210</v>
      </c>
      <c r="C65" s="47" t="s">
        <v>94</v>
      </c>
      <c r="D65" s="37" t="s">
        <v>51</v>
      </c>
      <c r="E65" s="37" t="s">
        <v>24</v>
      </c>
      <c r="F65" s="37">
        <f>F39+F40+F41+F44+F45+F46+F47+F51</f>
        <v>82849.8</v>
      </c>
      <c r="G65" s="97" t="s">
        <v>24</v>
      </c>
      <c r="H65" s="37">
        <f>H39+H40+H41+H44+H45+H46+H47+H51</f>
        <v>1897.5313612599039</v>
      </c>
      <c r="I65" s="37">
        <f>I39+I40+I41+I44+I45+I46+I47+I51</f>
        <v>13318.1</v>
      </c>
      <c r="J65" s="291"/>
      <c r="K65" s="53" t="s">
        <v>12</v>
      </c>
    </row>
    <row r="66" spans="1:11" s="2" customFormat="1" ht="19.5" customHeight="1">
      <c r="A66" s="284" t="s">
        <v>114</v>
      </c>
      <c r="B66" s="284"/>
      <c r="C66" s="284"/>
      <c r="D66" s="284"/>
      <c r="E66" s="284"/>
      <c r="F66" s="284"/>
      <c r="G66" s="284"/>
      <c r="H66" s="284"/>
      <c r="I66" s="285"/>
      <c r="J66" s="285"/>
      <c r="K66" s="53"/>
    </row>
    <row r="67" spans="1:11" s="2" customFormat="1" ht="19.5" customHeight="1" thickBot="1">
      <c r="A67" s="70"/>
      <c r="B67" s="71"/>
      <c r="C67" s="71"/>
      <c r="D67" s="71"/>
      <c r="E67" s="71"/>
      <c r="F67" s="71"/>
      <c r="G67" s="71"/>
      <c r="H67" s="71"/>
      <c r="I67" s="72"/>
      <c r="J67" s="73"/>
      <c r="K67" s="53"/>
    </row>
    <row r="68" spans="1:10" ht="19.5" customHeight="1">
      <c r="A68" s="286" t="s">
        <v>69</v>
      </c>
      <c r="B68" s="287"/>
      <c r="C68" s="287"/>
      <c r="D68" s="287"/>
      <c r="E68" s="287"/>
      <c r="F68" s="287"/>
      <c r="G68" s="287"/>
      <c r="H68" s="287"/>
      <c r="I68" s="287"/>
      <c r="J68" s="288"/>
    </row>
    <row r="69" spans="1:10" ht="19.5" customHeight="1">
      <c r="A69" s="74" t="s">
        <v>111</v>
      </c>
      <c r="B69" s="298" t="s">
        <v>74</v>
      </c>
      <c r="C69" s="298"/>
      <c r="D69" s="298"/>
      <c r="E69" s="298"/>
      <c r="F69" s="298"/>
      <c r="G69" s="298"/>
      <c r="H69" s="299"/>
      <c r="I69" s="299"/>
      <c r="J69" s="300"/>
    </row>
    <row r="70" spans="1:10" ht="19.5" customHeight="1">
      <c r="A70" s="75" t="s">
        <v>17</v>
      </c>
      <c r="B70" s="280" t="s">
        <v>101</v>
      </c>
      <c r="C70" s="280"/>
      <c r="D70" s="280"/>
      <c r="E70" s="280"/>
      <c r="F70" s="280"/>
      <c r="G70" s="280"/>
      <c r="H70" s="280"/>
      <c r="I70" s="281"/>
      <c r="J70" s="282"/>
    </row>
    <row r="71" spans="1:10" ht="19.5" customHeight="1">
      <c r="A71" s="75" t="s">
        <v>16</v>
      </c>
      <c r="B71" s="280" t="s">
        <v>96</v>
      </c>
      <c r="C71" s="280"/>
      <c r="D71" s="280"/>
      <c r="E71" s="280"/>
      <c r="F71" s="280"/>
      <c r="G71" s="280"/>
      <c r="H71" s="280"/>
      <c r="I71" s="281"/>
      <c r="J71" s="282"/>
    </row>
    <row r="72" spans="1:10" ht="19.5" customHeight="1">
      <c r="A72" s="75" t="s">
        <v>14</v>
      </c>
      <c r="B72" s="280" t="s">
        <v>97</v>
      </c>
      <c r="C72" s="280"/>
      <c r="D72" s="280"/>
      <c r="E72" s="280"/>
      <c r="F72" s="280"/>
      <c r="G72" s="280"/>
      <c r="H72" s="280"/>
      <c r="I72" s="281"/>
      <c r="J72" s="282"/>
    </row>
    <row r="73" spans="1:10" ht="19.5" customHeight="1">
      <c r="A73" s="75" t="s">
        <v>8</v>
      </c>
      <c r="B73" s="280" t="s">
        <v>104</v>
      </c>
      <c r="C73" s="280"/>
      <c r="D73" s="280"/>
      <c r="E73" s="280"/>
      <c r="F73" s="280"/>
      <c r="G73" s="280"/>
      <c r="H73" s="280"/>
      <c r="I73" s="281"/>
      <c r="J73" s="282"/>
    </row>
    <row r="74" spans="1:12" ht="19.5" customHeight="1">
      <c r="A74" s="75" t="s">
        <v>71</v>
      </c>
      <c r="B74" s="280" t="s">
        <v>104</v>
      </c>
      <c r="C74" s="280"/>
      <c r="D74" s="280"/>
      <c r="E74" s="280"/>
      <c r="F74" s="280"/>
      <c r="G74" s="280"/>
      <c r="H74" s="280"/>
      <c r="I74" s="281"/>
      <c r="J74" s="282"/>
      <c r="L74" s="4" t="s">
        <v>12</v>
      </c>
    </row>
    <row r="75" spans="1:10" ht="19.5" customHeight="1">
      <c r="A75" s="75" t="s">
        <v>23</v>
      </c>
      <c r="B75" s="280" t="s">
        <v>98</v>
      </c>
      <c r="C75" s="280"/>
      <c r="D75" s="280"/>
      <c r="E75" s="280"/>
      <c r="F75" s="280"/>
      <c r="G75" s="280"/>
      <c r="H75" s="280"/>
      <c r="I75" s="281"/>
      <c r="J75" s="282"/>
    </row>
    <row r="76" spans="1:10" ht="19.5" customHeight="1">
      <c r="A76" s="75" t="s">
        <v>7</v>
      </c>
      <c r="B76" s="280" t="s">
        <v>97</v>
      </c>
      <c r="C76" s="280"/>
      <c r="D76" s="280"/>
      <c r="E76" s="280"/>
      <c r="F76" s="280"/>
      <c r="G76" s="280"/>
      <c r="H76" s="280"/>
      <c r="I76" s="281"/>
      <c r="J76" s="282"/>
    </row>
    <row r="77" spans="1:10" ht="19.5" customHeight="1">
      <c r="A77" s="76" t="s">
        <v>53</v>
      </c>
      <c r="B77" s="280" t="s">
        <v>99</v>
      </c>
      <c r="C77" s="280"/>
      <c r="D77" s="280"/>
      <c r="E77" s="280"/>
      <c r="F77" s="280"/>
      <c r="G77" s="280"/>
      <c r="H77" s="280"/>
      <c r="I77" s="281"/>
      <c r="J77" s="282"/>
    </row>
    <row r="78" spans="1:10" ht="19.5" customHeight="1">
      <c r="A78" s="76" t="s">
        <v>72</v>
      </c>
      <c r="B78" s="280" t="s">
        <v>99</v>
      </c>
      <c r="C78" s="280"/>
      <c r="D78" s="280"/>
      <c r="E78" s="280"/>
      <c r="F78" s="280"/>
      <c r="G78" s="280"/>
      <c r="H78" s="280"/>
      <c r="I78" s="281"/>
      <c r="J78" s="282"/>
    </row>
    <row r="79" spans="1:10" ht="19.5" customHeight="1">
      <c r="A79" s="76" t="s">
        <v>18</v>
      </c>
      <c r="B79" s="295" t="s">
        <v>105</v>
      </c>
      <c r="C79" s="296"/>
      <c r="D79" s="296"/>
      <c r="E79" s="296"/>
      <c r="F79" s="296"/>
      <c r="G79" s="296"/>
      <c r="H79" s="296"/>
      <c r="I79" s="296"/>
      <c r="J79" s="297"/>
    </row>
    <row r="80" spans="1:10" ht="19.5" customHeight="1">
      <c r="A80" s="76" t="s">
        <v>3</v>
      </c>
      <c r="B80" s="280" t="s">
        <v>119</v>
      </c>
      <c r="C80" s="280"/>
      <c r="D80" s="280"/>
      <c r="E80" s="280"/>
      <c r="F80" s="280"/>
      <c r="G80" s="280"/>
      <c r="H80" s="280"/>
      <c r="I80" s="281"/>
      <c r="J80" s="282"/>
    </row>
    <row r="81" spans="1:10" ht="19.5" customHeight="1" thickBot="1">
      <c r="A81" s="77" t="s">
        <v>102</v>
      </c>
      <c r="B81" s="292" t="s">
        <v>106</v>
      </c>
      <c r="C81" s="292"/>
      <c r="D81" s="292"/>
      <c r="E81" s="292"/>
      <c r="F81" s="292"/>
      <c r="G81" s="292"/>
      <c r="H81" s="292"/>
      <c r="I81" s="293"/>
      <c r="J81" s="294"/>
    </row>
    <row r="82" ht="15">
      <c r="A82" s="54" t="s">
        <v>12</v>
      </c>
    </row>
  </sheetData>
  <sheetProtection/>
  <mergeCells count="31">
    <mergeCell ref="B81:J81"/>
    <mergeCell ref="B79:J79"/>
    <mergeCell ref="B80:J80"/>
    <mergeCell ref="B69:J69"/>
    <mergeCell ref="B76:J76"/>
    <mergeCell ref="B78:J78"/>
    <mergeCell ref="B71:J71"/>
    <mergeCell ref="A35:J35"/>
    <mergeCell ref="B77:J77"/>
    <mergeCell ref="B75:J75"/>
    <mergeCell ref="B70:J70"/>
    <mergeCell ref="A66:J66"/>
    <mergeCell ref="A68:J68"/>
    <mergeCell ref="J61:J65"/>
    <mergeCell ref="C9:H9"/>
    <mergeCell ref="C11:N11"/>
    <mergeCell ref="C10:H10"/>
    <mergeCell ref="A1:H1"/>
    <mergeCell ref="B73:J73"/>
    <mergeCell ref="B74:J74"/>
    <mergeCell ref="B72:J72"/>
    <mergeCell ref="A21:N21"/>
    <mergeCell ref="A32:N32"/>
    <mergeCell ref="A34:J34"/>
    <mergeCell ref="A2:H2"/>
    <mergeCell ref="C5:H5"/>
    <mergeCell ref="C8:H8"/>
    <mergeCell ref="C3:H3"/>
    <mergeCell ref="C4:H4"/>
    <mergeCell ref="C6:H6"/>
    <mergeCell ref="C7:H7"/>
  </mergeCells>
  <printOptions gridLines="1" horizontalCentered="1" verticalCentered="1"/>
  <pageMargins left="0.45" right="0.45" top="0.5" bottom="0.5" header="0.3" footer="0.3"/>
  <pageSetup fitToHeight="1" fitToWidth="1" horizontalDpi="600" verticalDpi="600" orientation="portrait" scale="35" r:id="rId1"/>
  <rowBreaks count="1" manualBreakCount="1">
    <brk id="34" max="255" man="1"/>
  </rowBreaks>
  <colBreaks count="1" manualBreakCount="1">
    <brk id="7" max="80" man="1"/>
  </colBreaks>
</worksheet>
</file>

<file path=xl/worksheets/sheet7.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A1" sqref="A1:B1"/>
    </sheetView>
  </sheetViews>
  <sheetFormatPr defaultColWidth="9.140625" defaultRowHeight="12.75"/>
  <cols>
    <col min="1" max="1" width="66.140625" style="0" customWidth="1"/>
    <col min="2" max="2" width="16.7109375" style="0" customWidth="1"/>
    <col min="3" max="10" width="15.7109375" style="0" customWidth="1"/>
    <col min="11" max="11" width="18.28125" style="0" customWidth="1"/>
    <col min="12" max="14" width="15.7109375" style="0" customWidth="1"/>
  </cols>
  <sheetData>
    <row r="1" spans="1:6" ht="19.5" customHeight="1">
      <c r="A1" s="301" t="s">
        <v>199</v>
      </c>
      <c r="B1" s="302"/>
      <c r="C1" s="46"/>
      <c r="D1" s="46"/>
      <c r="E1" s="46"/>
      <c r="F1" s="46"/>
    </row>
    <row r="2" spans="1:5" ht="19.5" customHeight="1">
      <c r="A2" s="66" t="s">
        <v>57</v>
      </c>
      <c r="B2" s="67">
        <f>'2nd IA Parameters'!B6</f>
        <v>1.0959</v>
      </c>
      <c r="C2" s="5" t="s">
        <v>12</v>
      </c>
      <c r="D2" s="6" t="s">
        <v>12</v>
      </c>
      <c r="E2" s="6" t="s">
        <v>12</v>
      </c>
    </row>
    <row r="3" spans="1:14" ht="19.5" customHeight="1">
      <c r="A3" s="68" t="s">
        <v>58</v>
      </c>
      <c r="B3" s="69">
        <f>'2nd IA Parameters'!B7</f>
        <v>0.95</v>
      </c>
      <c r="C3" s="5"/>
      <c r="D3" s="6"/>
      <c r="E3" s="6"/>
      <c r="L3" s="43" t="s">
        <v>12</v>
      </c>
      <c r="M3" s="43"/>
      <c r="N3" s="43"/>
    </row>
    <row r="4" spans="1:14" ht="30" customHeight="1">
      <c r="A4" s="28" t="s">
        <v>78</v>
      </c>
      <c r="B4" s="21" t="s">
        <v>59</v>
      </c>
      <c r="C4" s="21" t="s">
        <v>17</v>
      </c>
      <c r="D4" s="21" t="s">
        <v>16</v>
      </c>
      <c r="E4" s="21" t="s">
        <v>14</v>
      </c>
      <c r="F4" s="21" t="s">
        <v>8</v>
      </c>
      <c r="G4" s="21" t="s">
        <v>44</v>
      </c>
      <c r="H4" s="21" t="s">
        <v>45</v>
      </c>
      <c r="I4" s="21" t="s">
        <v>7</v>
      </c>
      <c r="J4" s="21" t="s">
        <v>53</v>
      </c>
      <c r="K4" s="26" t="s">
        <v>75</v>
      </c>
      <c r="L4" s="48" t="s">
        <v>18</v>
      </c>
      <c r="M4" s="48" t="s">
        <v>3</v>
      </c>
      <c r="N4" s="48" t="s">
        <v>102</v>
      </c>
    </row>
    <row r="5" spans="1:14" ht="19.5" customHeight="1">
      <c r="A5" s="29" t="s">
        <v>129</v>
      </c>
      <c r="B5" s="49">
        <f>'2nd IA Parameters'!B8</f>
        <v>154377.3</v>
      </c>
      <c r="C5" s="49">
        <v>56524</v>
      </c>
      <c r="D5" s="49">
        <v>30681</v>
      </c>
      <c r="E5" s="49">
        <v>13049</v>
      </c>
      <c r="F5" s="49">
        <v>9787</v>
      </c>
      <c r="G5" s="49">
        <v>4880.8</v>
      </c>
      <c r="H5" s="49">
        <v>2257.4</v>
      </c>
      <c r="I5" s="49">
        <v>6333</v>
      </c>
      <c r="J5" s="49">
        <v>12476</v>
      </c>
      <c r="K5" s="49">
        <v>4174.5</v>
      </c>
      <c r="L5" s="49">
        <v>21456</v>
      </c>
      <c r="M5" s="49">
        <v>6716</v>
      </c>
      <c r="N5" s="49">
        <v>7164</v>
      </c>
    </row>
    <row r="6" spans="1:14" ht="19.5" customHeight="1">
      <c r="A6" s="29" t="s">
        <v>60</v>
      </c>
      <c r="B6" s="49">
        <f>'2nd IA Parameters'!B16</f>
        <v>13032.6</v>
      </c>
      <c r="C6" s="49">
        <f>'BRA Parameters'!C16</f>
        <v>0</v>
      </c>
      <c r="D6" s="49">
        <f>'BRA Parameters'!D16</f>
        <v>0</v>
      </c>
      <c r="E6" s="49">
        <f>'BRA Parameters'!E16</f>
        <v>0</v>
      </c>
      <c r="F6" s="49">
        <f>'BRA Parameters'!F16</f>
        <v>0</v>
      </c>
      <c r="G6" s="49">
        <f>'BRA Parameters'!G16</f>
        <v>0</v>
      </c>
      <c r="H6" s="49">
        <f>'BRA Parameters'!H16</f>
        <v>0</v>
      </c>
      <c r="I6" s="49">
        <f>'BRA Parameters'!I16</f>
        <v>0</v>
      </c>
      <c r="J6" s="49">
        <f>'BRA Parameters'!J16</f>
        <v>0</v>
      </c>
      <c r="K6" s="49">
        <f>'BRA Parameters'!K16</f>
        <v>0</v>
      </c>
      <c r="L6" s="49">
        <v>352.4</v>
      </c>
      <c r="M6" s="49">
        <f>'BRA Parameters'!M16</f>
        <v>0</v>
      </c>
      <c r="N6" s="49">
        <f>'BRA Parameters'!N16</f>
        <v>0</v>
      </c>
    </row>
    <row r="7" spans="1:14" ht="19.5" customHeight="1">
      <c r="A7" s="29" t="s">
        <v>61</v>
      </c>
      <c r="B7" s="49">
        <f>B5-B6</f>
        <v>141344.69999999998</v>
      </c>
      <c r="C7" s="49">
        <f aca="true" t="shared" si="0" ref="C7:I7">C5-C6</f>
        <v>56524</v>
      </c>
      <c r="D7" s="49">
        <f t="shared" si="0"/>
        <v>30681</v>
      </c>
      <c r="E7" s="49">
        <f t="shared" si="0"/>
        <v>13049</v>
      </c>
      <c r="F7" s="49">
        <f t="shared" si="0"/>
        <v>9787</v>
      </c>
      <c r="G7" s="49">
        <f t="shared" si="0"/>
        <v>4880.8</v>
      </c>
      <c r="H7" s="49">
        <f t="shared" si="0"/>
        <v>2257.4</v>
      </c>
      <c r="I7" s="49">
        <f t="shared" si="0"/>
        <v>6333</v>
      </c>
      <c r="J7" s="49">
        <f>J5-J6</f>
        <v>12476</v>
      </c>
      <c r="K7" s="49">
        <f>K5-K6</f>
        <v>4174.5</v>
      </c>
      <c r="L7" s="49">
        <f>L5-L6</f>
        <v>21103.6</v>
      </c>
      <c r="M7" s="49">
        <f>M5-M6</f>
        <v>6716</v>
      </c>
      <c r="N7" s="49">
        <f>N5-N6</f>
        <v>7164</v>
      </c>
    </row>
    <row r="8" spans="1:14" ht="19.5" customHeight="1">
      <c r="A8" s="29" t="s">
        <v>208</v>
      </c>
      <c r="B8" s="49">
        <f>'2nd IA Parameters'!B20/('Updated DR Rel Targets'!$B$2*'Updated DR Rel Targets'!$B$3)</f>
        <v>1547.5864586184873</v>
      </c>
      <c r="C8" s="49">
        <f>'2nd IA Parameters'!C20/('Updated DR Rel Targets'!$B$2*'Updated DR Rel Targets'!$B$3)</f>
        <v>395.6373276470673</v>
      </c>
      <c r="D8" s="49">
        <f>'2nd IA Parameters'!D20/('Updated DR Rel Targets'!$B$2*'Updated DR Rel Targets'!$B$3)</f>
        <v>101.23858784656687</v>
      </c>
      <c r="E8" s="49">
        <f>'2nd IA Parameters'!E20/('Updated DR Rel Targets'!$B$2*'Updated DR Rel Targets'!$B$3)</f>
        <v>225.3375019810682</v>
      </c>
      <c r="F8" s="49">
        <f>'2nd IA Parameters'!F20/('Updated DR Rel Targets'!$B$2*'Updated DR Rel Targets'!$B$3)</f>
        <v>22.091911958928254</v>
      </c>
      <c r="G8" s="49">
        <f>'2nd IA Parameters'!G20/('Updated DR Rel Targets'!$B$2*'Updated DR Rel Targets'!$B$3)</f>
        <v>5.763107467546502</v>
      </c>
      <c r="H8" s="49">
        <f>'2nd IA Parameters'!H20/('Updated DR Rel Targets'!$B$2*'Updated DR Rel Targets'!$B$3)</f>
        <v>1.9210358225155004</v>
      </c>
      <c r="I8" s="49">
        <f>'2nd IA Parameters'!I20/('Updated DR Rel Targets'!$B$2*'Updated DR Rel Targets'!$B$3)</f>
        <v>105.65697023835253</v>
      </c>
      <c r="J8" s="49">
        <f>'2nd IA Parameters'!J20/('Updated DR Rel Targets'!$B$2*'Updated DR Rel Targets'!$B$3)</f>
        <v>147.05529221356156</v>
      </c>
      <c r="K8" s="49">
        <f>'2nd IA Parameters'!K20/('Updated DR Rel Targets'!$B$2*'Updated DR Rel Targets'!$B$3)</f>
        <v>34.29048943190168</v>
      </c>
      <c r="L8" s="49">
        <f>'2nd IA Parameters'!L20/('Updated DR Rel Targets'!$B$2*'Updated DR Rel Targets'!$B$3)</f>
        <v>698.9688840222649</v>
      </c>
      <c r="M8" s="49">
        <f>'2nd IA Parameters'!M20/('Updated DR Rel Targets'!$B$2*'Updated DR Rel Targets'!$B$3)</f>
        <v>119.68053174271567</v>
      </c>
      <c r="N8" s="49">
        <f>'2nd IA Parameters'!N20/('Updated DR Rel Targets'!$B$2*'Updated DR Rel Targets'!$B$3)</f>
        <v>39.957545108322414</v>
      </c>
    </row>
    <row r="9" spans="1:14" ht="19.5" customHeight="1">
      <c r="A9" s="29" t="s">
        <v>43</v>
      </c>
      <c r="B9" s="49">
        <f>'2nd IA Parameters'!B19</f>
        <v>2475.12</v>
      </c>
      <c r="C9" s="49">
        <f>'2nd IA Parameters'!C19</f>
        <v>993.1053714358294</v>
      </c>
      <c r="D9" s="49">
        <f>'2nd IA Parameters'!D19</f>
        <v>541.4422732892874</v>
      </c>
      <c r="E9" s="49">
        <f>'2nd IA Parameters'!E19</f>
        <v>228.9262534507977</v>
      </c>
      <c r="F9" s="49">
        <f>'2nd IA Parameters'!F19</f>
        <v>171.4367980566377</v>
      </c>
      <c r="G9" s="49">
        <f>'2nd IA Parameters'!G19</f>
        <v>83.14684705746929</v>
      </c>
      <c r="H9" s="49">
        <f>'2nd IA Parameters'!H19</f>
        <v>39.666840020719654</v>
      </c>
      <c r="I9" s="49">
        <f>'2nd IA Parameters'!I19</f>
        <v>110.1813002982918</v>
      </c>
      <c r="J9" s="49">
        <f>'2nd IA Parameters'!J19</f>
        <v>214.22231413323695</v>
      </c>
      <c r="K9" s="49">
        <f>'2nd IA Parameters'!K19</f>
        <v>73.51314694890934</v>
      </c>
      <c r="L9" s="49">
        <f>'2nd IA Parameters'!L19</f>
        <v>377.72586207923086</v>
      </c>
      <c r="M9" s="49">
        <f>'2nd IA Parameters'!M19</f>
        <v>118.74495315250589</v>
      </c>
      <c r="N9" s="49">
        <f>'2nd IA Parameters'!N19</f>
        <v>123.0840889199375</v>
      </c>
    </row>
    <row r="10" spans="1:14" ht="19.5" customHeight="1">
      <c r="A10" s="30" t="s">
        <v>77</v>
      </c>
      <c r="B10" s="49"/>
      <c r="C10" s="49"/>
      <c r="D10" s="49"/>
      <c r="E10" s="49"/>
      <c r="F10" s="49"/>
      <c r="G10" s="49"/>
      <c r="H10" s="49"/>
      <c r="I10" s="49"/>
      <c r="J10" s="49"/>
      <c r="K10" s="49"/>
      <c r="L10" s="49"/>
      <c r="M10" s="49"/>
      <c r="N10" s="49"/>
    </row>
    <row r="11" spans="1:14" ht="19.5" customHeight="1">
      <c r="A11" s="29" t="s">
        <v>62</v>
      </c>
      <c r="B11" s="50">
        <v>0.043</v>
      </c>
      <c r="C11" s="50">
        <v>0.059</v>
      </c>
      <c r="D11" s="50">
        <v>0.061</v>
      </c>
      <c r="E11" s="50">
        <v>0.072</v>
      </c>
      <c r="F11" s="50">
        <v>0.069</v>
      </c>
      <c r="G11" s="50">
        <v>0.069</v>
      </c>
      <c r="H11" s="50">
        <v>0.055</v>
      </c>
      <c r="I11" s="50">
        <v>0.069</v>
      </c>
      <c r="J11" s="50">
        <v>0.049</v>
      </c>
      <c r="K11" s="50">
        <v>0.049</v>
      </c>
      <c r="L11" s="50">
        <v>0.055</v>
      </c>
      <c r="M11" s="50">
        <v>0.072</v>
      </c>
      <c r="N11" s="50">
        <v>0.051</v>
      </c>
    </row>
    <row r="12" spans="1:14" ht="19.5" customHeight="1">
      <c r="A12" s="29" t="s">
        <v>63</v>
      </c>
      <c r="B12" s="49">
        <f>(B7+B8)*B11*$B$2*$B$3</f>
        <v>6396.9325774205</v>
      </c>
      <c r="C12" s="49">
        <f>(C7+C8)*C11*$B$2*$B$3</f>
        <v>3496.29982218</v>
      </c>
      <c r="D12" s="49">
        <f aca="true" t="shared" si="1" ref="D12:N12">(D7+D8)*D11*$B$2*$B$3</f>
        <v>1954.900092805</v>
      </c>
      <c r="E12" s="49">
        <f t="shared" si="1"/>
        <v>995.0384984399999</v>
      </c>
      <c r="F12" s="49">
        <f t="shared" si="1"/>
        <v>704.6483298150001</v>
      </c>
      <c r="G12" s="49">
        <f t="shared" si="1"/>
        <v>351.0323445960001</v>
      </c>
      <c r="H12" s="49">
        <f t="shared" si="1"/>
        <v>129.370473485</v>
      </c>
      <c r="I12" s="49">
        <f t="shared" si="1"/>
        <v>462.52893958500005</v>
      </c>
      <c r="J12" s="49">
        <f t="shared" si="1"/>
        <v>643.95437302</v>
      </c>
      <c r="K12" s="49">
        <f t="shared" si="1"/>
        <v>214.70784830250003</v>
      </c>
      <c r="L12" s="49">
        <f t="shared" si="1"/>
        <v>1248.4319912899998</v>
      </c>
      <c r="M12" s="49">
        <f t="shared" si="1"/>
        <v>512.39960496</v>
      </c>
      <c r="N12" s="49">
        <f t="shared" si="1"/>
        <v>382.50388722</v>
      </c>
    </row>
    <row r="13" spans="1:14" ht="19.5" customHeight="1">
      <c r="A13" s="61" t="s">
        <v>117</v>
      </c>
      <c r="B13" s="62">
        <f>B12-B9</f>
        <v>3921.8125774205</v>
      </c>
      <c r="C13" s="62">
        <f>C12-C9</f>
        <v>2503.1944507441704</v>
      </c>
      <c r="D13" s="62">
        <f>D12-D9</f>
        <v>1413.4578195157126</v>
      </c>
      <c r="E13" s="62">
        <f aca="true" t="shared" si="2" ref="E13:K13">E12-E9</f>
        <v>766.1122449892022</v>
      </c>
      <c r="F13" s="62">
        <f t="shared" si="2"/>
        <v>533.2115317583624</v>
      </c>
      <c r="G13" s="62">
        <f t="shared" si="2"/>
        <v>267.8854975385308</v>
      </c>
      <c r="H13" s="62">
        <f t="shared" si="2"/>
        <v>89.70363346428033</v>
      </c>
      <c r="I13" s="62">
        <f t="shared" si="2"/>
        <v>352.3476392867083</v>
      </c>
      <c r="J13" s="62">
        <f t="shared" si="2"/>
        <v>429.73205888676307</v>
      </c>
      <c r="K13" s="62">
        <f t="shared" si="2"/>
        <v>141.1947013535907</v>
      </c>
      <c r="L13" s="62">
        <f>L12-L9</f>
        <v>870.706129210769</v>
      </c>
      <c r="M13" s="62">
        <f>M12-M9</f>
        <v>393.65465180749413</v>
      </c>
      <c r="N13" s="62">
        <f>N12-N9</f>
        <v>259.41979830006255</v>
      </c>
    </row>
    <row r="14" spans="1:14" ht="19.5" customHeight="1">
      <c r="A14" s="30" t="s">
        <v>113</v>
      </c>
      <c r="B14" s="47"/>
      <c r="C14" s="47"/>
      <c r="D14" s="47"/>
      <c r="E14" s="47"/>
      <c r="F14" s="47"/>
      <c r="G14" s="47"/>
      <c r="H14" s="47"/>
      <c r="I14" s="47"/>
      <c r="J14" s="47"/>
      <c r="K14" s="47"/>
      <c r="L14" s="47"/>
      <c r="M14" s="47"/>
      <c r="N14" s="47"/>
    </row>
    <row r="15" spans="1:14" ht="19.5" customHeight="1">
      <c r="A15" s="29" t="s">
        <v>62</v>
      </c>
      <c r="B15" s="50">
        <v>0.088</v>
      </c>
      <c r="C15" s="98">
        <v>0.126</v>
      </c>
      <c r="D15" s="98">
        <v>0.17</v>
      </c>
      <c r="E15" s="98">
        <v>0.109</v>
      </c>
      <c r="F15" s="98">
        <v>0.199</v>
      </c>
      <c r="G15" s="98">
        <v>0.186</v>
      </c>
      <c r="H15" s="98">
        <v>0.093</v>
      </c>
      <c r="I15" s="98">
        <v>0.136</v>
      </c>
      <c r="J15" s="50">
        <v>0.146</v>
      </c>
      <c r="K15" s="50">
        <v>0.286</v>
      </c>
      <c r="L15" s="50">
        <v>0.268</v>
      </c>
      <c r="M15" s="50">
        <v>0.094</v>
      </c>
      <c r="N15" s="50">
        <v>0.072</v>
      </c>
    </row>
    <row r="16" spans="1:14" ht="19.5" customHeight="1">
      <c r="A16" s="29" t="s">
        <v>63</v>
      </c>
      <c r="B16" s="47">
        <f>(B7+B8)*B15*$B$2*$B$3</f>
        <v>13091.396902628</v>
      </c>
      <c r="C16" s="47">
        <f aca="true" t="shared" si="3" ref="C16:N16">(C7+C8)*C15*$B$2*$B$3</f>
        <v>7466.674196520001</v>
      </c>
      <c r="D16" s="47">
        <f t="shared" si="3"/>
        <v>5448.08222585</v>
      </c>
      <c r="E16" s="47">
        <f t="shared" si="3"/>
        <v>1506.377726805</v>
      </c>
      <c r="F16" s="47">
        <f t="shared" si="3"/>
        <v>2032.246632365</v>
      </c>
      <c r="G16" s="47">
        <f t="shared" si="3"/>
        <v>946.2611028240001</v>
      </c>
      <c r="H16" s="47">
        <f t="shared" si="3"/>
        <v>218.75370971100003</v>
      </c>
      <c r="I16" s="47">
        <f t="shared" si="3"/>
        <v>911.6512432400001</v>
      </c>
      <c r="J16" s="47">
        <f t="shared" si="3"/>
        <v>1918.72119308</v>
      </c>
      <c r="K16" s="47">
        <f t="shared" si="3"/>
        <v>1253.192747235</v>
      </c>
      <c r="L16" s="47">
        <f t="shared" si="3"/>
        <v>6083.2686121040015</v>
      </c>
      <c r="M16" s="47">
        <f t="shared" si="3"/>
        <v>668.9661509200001</v>
      </c>
      <c r="N16" s="47">
        <f t="shared" si="3"/>
        <v>540.00548784</v>
      </c>
    </row>
    <row r="17" spans="1:14" ht="19.5" customHeight="1">
      <c r="A17" s="61" t="s">
        <v>118</v>
      </c>
      <c r="B17" s="63">
        <f>B16-B9</f>
        <v>10616.276902628</v>
      </c>
      <c r="C17" s="63">
        <f aca="true" t="shared" si="4" ref="C17:K17">C16-C9</f>
        <v>6473.568825084171</v>
      </c>
      <c r="D17" s="63">
        <f t="shared" si="4"/>
        <v>4906.639952560713</v>
      </c>
      <c r="E17" s="63">
        <f t="shared" si="4"/>
        <v>1277.4514733542023</v>
      </c>
      <c r="F17" s="63">
        <f t="shared" si="4"/>
        <v>1860.8098343083625</v>
      </c>
      <c r="G17" s="63">
        <f t="shared" si="4"/>
        <v>863.1142557665308</v>
      </c>
      <c r="H17" s="63">
        <f t="shared" si="4"/>
        <v>179.08686969028037</v>
      </c>
      <c r="I17" s="63">
        <f t="shared" si="4"/>
        <v>801.4699429417083</v>
      </c>
      <c r="J17" s="63">
        <f t="shared" si="4"/>
        <v>1704.498878946763</v>
      </c>
      <c r="K17" s="63">
        <f t="shared" si="4"/>
        <v>1179.6796002860908</v>
      </c>
      <c r="L17" s="63">
        <f>L16-L9</f>
        <v>5705.542750024771</v>
      </c>
      <c r="M17" s="63">
        <f>M16-M9</f>
        <v>550.2211977674942</v>
      </c>
      <c r="N17" s="63">
        <f>N16-N9</f>
        <v>416.92139892006253</v>
      </c>
    </row>
    <row r="18" spans="1:14" ht="19.5" customHeight="1">
      <c r="A18" s="30" t="s">
        <v>116</v>
      </c>
      <c r="B18" s="47"/>
      <c r="C18" s="47"/>
      <c r="D18" s="47"/>
      <c r="E18" s="51"/>
      <c r="F18" s="47"/>
      <c r="G18" s="47"/>
      <c r="H18" s="47"/>
      <c r="I18" s="51"/>
      <c r="J18" s="47"/>
      <c r="K18" s="47"/>
      <c r="L18" s="47"/>
      <c r="M18" s="47"/>
      <c r="N18" s="47"/>
    </row>
    <row r="19" spans="1:14" ht="19.5" customHeight="1">
      <c r="A19" s="64" t="s">
        <v>117</v>
      </c>
      <c r="B19" s="65">
        <f>B11</f>
        <v>0.043</v>
      </c>
      <c r="C19" s="65">
        <f aca="true" t="shared" si="5" ref="C19:K19">C11</f>
        <v>0.059</v>
      </c>
      <c r="D19" s="65">
        <f t="shared" si="5"/>
        <v>0.061</v>
      </c>
      <c r="E19" s="65">
        <f t="shared" si="5"/>
        <v>0.072</v>
      </c>
      <c r="F19" s="65">
        <f>F11</f>
        <v>0.069</v>
      </c>
      <c r="G19" s="65">
        <f t="shared" si="5"/>
        <v>0.069</v>
      </c>
      <c r="H19" s="65">
        <f t="shared" si="5"/>
        <v>0.055</v>
      </c>
      <c r="I19" s="65">
        <f t="shared" si="5"/>
        <v>0.069</v>
      </c>
      <c r="J19" s="65">
        <f t="shared" si="5"/>
        <v>0.049</v>
      </c>
      <c r="K19" s="65">
        <f t="shared" si="5"/>
        <v>0.049</v>
      </c>
      <c r="L19" s="65">
        <f>L11</f>
        <v>0.055</v>
      </c>
      <c r="M19" s="65">
        <f>M11</f>
        <v>0.072</v>
      </c>
      <c r="N19" s="65">
        <f>N11</f>
        <v>0.051</v>
      </c>
    </row>
    <row r="20" spans="1:14" ht="19.5" customHeight="1">
      <c r="A20" s="64" t="s">
        <v>118</v>
      </c>
      <c r="B20" s="65">
        <f>B15</f>
        <v>0.088</v>
      </c>
      <c r="C20" s="65">
        <f aca="true" t="shared" si="6" ref="C20:K20">C15</f>
        <v>0.126</v>
      </c>
      <c r="D20" s="65">
        <f t="shared" si="6"/>
        <v>0.17</v>
      </c>
      <c r="E20" s="65">
        <f t="shared" si="6"/>
        <v>0.109</v>
      </c>
      <c r="F20" s="65">
        <f>F15</f>
        <v>0.199</v>
      </c>
      <c r="G20" s="65">
        <f t="shared" si="6"/>
        <v>0.186</v>
      </c>
      <c r="H20" s="65">
        <f t="shared" si="6"/>
        <v>0.093</v>
      </c>
      <c r="I20" s="65">
        <f t="shared" si="6"/>
        <v>0.136</v>
      </c>
      <c r="J20" s="65">
        <f t="shared" si="6"/>
        <v>0.146</v>
      </c>
      <c r="K20" s="65">
        <f t="shared" si="6"/>
        <v>0.286</v>
      </c>
      <c r="L20" s="65">
        <f>L15</f>
        <v>0.268</v>
      </c>
      <c r="M20" s="65">
        <f>M15</f>
        <v>0.094</v>
      </c>
      <c r="N20" s="65">
        <f>N15</f>
        <v>0.072</v>
      </c>
    </row>
    <row r="21" spans="1:9" ht="15">
      <c r="A21" s="33" t="s">
        <v>12</v>
      </c>
      <c r="B21" s="8"/>
      <c r="C21" s="8"/>
      <c r="D21" s="8"/>
      <c r="E21" s="8"/>
      <c r="F21" s="8"/>
      <c r="G21" s="8"/>
      <c r="H21" s="8"/>
      <c r="I21" s="8"/>
    </row>
    <row r="23" spans="1:14" ht="15">
      <c r="A23" s="112" t="s">
        <v>212</v>
      </c>
      <c r="B23" s="109" t="s">
        <v>59</v>
      </c>
      <c r="C23" s="109" t="s">
        <v>17</v>
      </c>
      <c r="D23" s="109" t="s">
        <v>16</v>
      </c>
      <c r="E23" s="109" t="s">
        <v>14</v>
      </c>
      <c r="F23" s="109" t="s">
        <v>8</v>
      </c>
      <c r="G23" s="109" t="s">
        <v>44</v>
      </c>
      <c r="H23" s="109" t="s">
        <v>45</v>
      </c>
      <c r="I23" s="109" t="s">
        <v>7</v>
      </c>
      <c r="J23" s="109" t="s">
        <v>53</v>
      </c>
      <c r="K23" s="26" t="s">
        <v>75</v>
      </c>
      <c r="L23" s="48" t="s">
        <v>18</v>
      </c>
      <c r="M23" s="48" t="s">
        <v>3</v>
      </c>
      <c r="N23" s="48" t="s">
        <v>102</v>
      </c>
    </row>
    <row r="24" spans="1:14" ht="15">
      <c r="A24" s="110" t="s">
        <v>130</v>
      </c>
      <c r="B24" s="175">
        <v>2452.7</v>
      </c>
      <c r="C24" s="175">
        <v>997.2</v>
      </c>
      <c r="D24" s="175">
        <v>498.5</v>
      </c>
      <c r="E24" s="175">
        <v>155.2</v>
      </c>
      <c r="F24" s="175">
        <v>175.7</v>
      </c>
      <c r="G24" s="175">
        <v>64.5</v>
      </c>
      <c r="H24" s="175">
        <v>24.3</v>
      </c>
      <c r="I24" s="175">
        <v>89.99999999999999</v>
      </c>
      <c r="J24" s="175">
        <v>180.79999999999998</v>
      </c>
      <c r="K24" s="175">
        <v>26.2</v>
      </c>
      <c r="L24" s="175">
        <v>275.99999999999994</v>
      </c>
      <c r="M24" s="175">
        <v>65.20000000000002</v>
      </c>
      <c r="N24" s="175">
        <v>151.60000000000002</v>
      </c>
    </row>
    <row r="25" spans="1:14" ht="15">
      <c r="A25" s="111" t="s">
        <v>131</v>
      </c>
      <c r="B25" s="174">
        <v>6415.900000000001</v>
      </c>
      <c r="C25" s="174">
        <v>2472.4000000000005</v>
      </c>
      <c r="D25" s="174">
        <v>805.3000000000001</v>
      </c>
      <c r="E25" s="174">
        <v>1179.8</v>
      </c>
      <c r="F25" s="174">
        <v>145.20000000000002</v>
      </c>
      <c r="G25" s="174">
        <v>61.1</v>
      </c>
      <c r="H25" s="174">
        <v>47.599999999999994</v>
      </c>
      <c r="I25" s="174">
        <v>489.59999999999997</v>
      </c>
      <c r="J25" s="174">
        <v>548.6999999999998</v>
      </c>
      <c r="K25" s="174">
        <v>153.2</v>
      </c>
      <c r="L25" s="174">
        <v>1070.6000000000004</v>
      </c>
      <c r="M25" s="174">
        <v>690.2</v>
      </c>
      <c r="N25" s="174">
        <v>183.3</v>
      </c>
    </row>
    <row r="26" spans="1:14" ht="15">
      <c r="A26" s="108" t="s">
        <v>181</v>
      </c>
      <c r="B26" s="174">
        <v>154555.8</v>
      </c>
      <c r="C26" s="174">
        <v>62852.799999999996</v>
      </c>
      <c r="D26" s="174">
        <v>30795</v>
      </c>
      <c r="E26" s="174">
        <v>9825.3</v>
      </c>
      <c r="F26" s="174">
        <v>5797.9</v>
      </c>
      <c r="G26" s="174">
        <v>3638.7000000000003</v>
      </c>
      <c r="H26" s="174">
        <v>1611.9999999999993</v>
      </c>
      <c r="I26" s="174">
        <v>5302.2</v>
      </c>
      <c r="J26" s="174">
        <v>7783.9000000000015</v>
      </c>
      <c r="K26" s="174">
        <v>2099.8</v>
      </c>
      <c r="L26" s="174">
        <v>20984.000000000007</v>
      </c>
      <c r="M26" s="174">
        <v>2543.8</v>
      </c>
      <c r="N26" s="174">
        <v>8659.299999999997</v>
      </c>
    </row>
    <row r="27" spans="1:14" ht="15">
      <c r="A27" s="108" t="s">
        <v>186</v>
      </c>
      <c r="B27" s="113">
        <f>B24+B25</f>
        <v>8868.6</v>
      </c>
      <c r="C27" s="113">
        <f aca="true" t="shared" si="7" ref="C27:M27">C24+C25</f>
        <v>3469.6000000000004</v>
      </c>
      <c r="D27" s="113">
        <f t="shared" si="7"/>
        <v>1303.8000000000002</v>
      </c>
      <c r="E27" s="113">
        <f t="shared" si="7"/>
        <v>1335</v>
      </c>
      <c r="F27" s="113">
        <f t="shared" si="7"/>
        <v>320.9</v>
      </c>
      <c r="G27" s="113">
        <f t="shared" si="7"/>
        <v>125.6</v>
      </c>
      <c r="H27" s="113">
        <f t="shared" si="7"/>
        <v>71.89999999999999</v>
      </c>
      <c r="I27" s="113">
        <f t="shared" si="7"/>
        <v>579.5999999999999</v>
      </c>
      <c r="J27" s="113">
        <f t="shared" si="7"/>
        <v>729.4999999999998</v>
      </c>
      <c r="K27" s="113">
        <f t="shared" si="7"/>
        <v>179.39999999999998</v>
      </c>
      <c r="L27" s="113">
        <f t="shared" si="7"/>
        <v>1346.6000000000004</v>
      </c>
      <c r="M27" s="113">
        <f t="shared" si="7"/>
        <v>755.4000000000001</v>
      </c>
      <c r="N27" s="113">
        <f>N24+N25</f>
        <v>334.90000000000003</v>
      </c>
    </row>
    <row r="28" spans="1:14" ht="15">
      <c r="A28" s="108" t="s">
        <v>133</v>
      </c>
      <c r="B28" s="113">
        <f>B26+B27</f>
        <v>163424.4</v>
      </c>
      <c r="C28" s="113">
        <f aca="true" t="shared" si="8" ref="C28:N28">C26+C27</f>
        <v>66322.4</v>
      </c>
      <c r="D28" s="113">
        <f t="shared" si="8"/>
        <v>32098.8</v>
      </c>
      <c r="E28" s="113">
        <f t="shared" si="8"/>
        <v>11160.3</v>
      </c>
      <c r="F28" s="113">
        <f t="shared" si="8"/>
        <v>6118.799999999999</v>
      </c>
      <c r="G28" s="113">
        <f t="shared" si="8"/>
        <v>3764.3</v>
      </c>
      <c r="H28" s="113">
        <f t="shared" si="8"/>
        <v>1683.8999999999994</v>
      </c>
      <c r="I28" s="113">
        <f t="shared" si="8"/>
        <v>5881.799999999999</v>
      </c>
      <c r="J28" s="113">
        <f t="shared" si="8"/>
        <v>8513.400000000001</v>
      </c>
      <c r="K28" s="113">
        <f t="shared" si="8"/>
        <v>2279.2000000000003</v>
      </c>
      <c r="L28" s="113">
        <f t="shared" si="8"/>
        <v>22330.600000000006</v>
      </c>
      <c r="M28" s="113">
        <f t="shared" si="8"/>
        <v>3299.2000000000003</v>
      </c>
      <c r="N28" s="113">
        <f t="shared" si="8"/>
        <v>8994.199999999997</v>
      </c>
    </row>
    <row r="29" ht="15">
      <c r="A29" s="176" t="s">
        <v>182</v>
      </c>
    </row>
  </sheetData>
  <sheetProtection/>
  <mergeCells count="1">
    <mergeCell ref="A1:B1"/>
  </mergeCells>
  <printOptions horizontalCentered="1" verticalCentered="1"/>
  <pageMargins left="0.45" right="0.45" top="0.5" bottom="0.5" header="0.3" footer="0.3"/>
  <pageSetup fitToHeight="1" fitToWidth="1" horizontalDpi="600" verticalDpi="600" orientation="landscape" scale="48" r:id="rId1"/>
</worksheet>
</file>

<file path=xl/worksheets/sheet8.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A1" sqref="A1:N1"/>
    </sheetView>
  </sheetViews>
  <sheetFormatPr defaultColWidth="9.140625" defaultRowHeight="12.75"/>
  <cols>
    <col min="1" max="1" width="55.7109375" style="0" customWidth="1"/>
    <col min="2" max="14" width="15.7109375" style="0" customWidth="1"/>
  </cols>
  <sheetData>
    <row r="1" spans="1:14" ht="19.5" customHeight="1">
      <c r="A1" s="264" t="s">
        <v>203</v>
      </c>
      <c r="B1" s="264"/>
      <c r="C1" s="264"/>
      <c r="D1" s="264"/>
      <c r="E1" s="264"/>
      <c r="F1" s="264"/>
      <c r="G1" s="264"/>
      <c r="H1" s="264"/>
      <c r="I1" s="264"/>
      <c r="J1" s="264"/>
      <c r="K1" s="264"/>
      <c r="L1" s="264"/>
      <c r="M1" s="264"/>
      <c r="N1" s="264"/>
    </row>
    <row r="2" spans="1:14" ht="19.5" customHeight="1">
      <c r="A2" s="179"/>
      <c r="B2" s="180" t="s">
        <v>12</v>
      </c>
      <c r="C2" s="303" t="s">
        <v>54</v>
      </c>
      <c r="D2" s="303"/>
      <c r="E2" s="303"/>
      <c r="F2" s="303"/>
      <c r="G2" s="303"/>
      <c r="H2" s="303"/>
      <c r="I2" s="303"/>
      <c r="J2" s="303"/>
      <c r="K2" s="303"/>
      <c r="L2" s="303"/>
      <c r="M2" s="303"/>
      <c r="N2" s="303"/>
    </row>
    <row r="3" spans="1:14" ht="19.5" customHeight="1">
      <c r="A3" s="177" t="s">
        <v>12</v>
      </c>
      <c r="B3" s="21" t="s">
        <v>13</v>
      </c>
      <c r="C3" s="21" t="s">
        <v>17</v>
      </c>
      <c r="D3" s="21" t="s">
        <v>16</v>
      </c>
      <c r="E3" s="21" t="s">
        <v>14</v>
      </c>
      <c r="F3" s="21" t="s">
        <v>8</v>
      </c>
      <c r="G3" s="21" t="s">
        <v>44</v>
      </c>
      <c r="H3" s="21" t="s">
        <v>45</v>
      </c>
      <c r="I3" s="21" t="s">
        <v>7</v>
      </c>
      <c r="J3" s="21" t="s">
        <v>53</v>
      </c>
      <c r="K3" s="21" t="s">
        <v>124</v>
      </c>
      <c r="L3" s="21" t="s">
        <v>18</v>
      </c>
      <c r="M3" s="21" t="s">
        <v>3</v>
      </c>
      <c r="N3" s="21" t="s">
        <v>102</v>
      </c>
    </row>
    <row r="4" spans="1:14" ht="19.5" customHeight="1">
      <c r="A4" s="16" t="s">
        <v>49</v>
      </c>
      <c r="B4" s="181">
        <f>'2nd IA Parameters'!B22</f>
        <v>352.4359147443393</v>
      </c>
      <c r="C4" s="182" t="s">
        <v>12</v>
      </c>
      <c r="D4" s="182" t="s">
        <v>12</v>
      </c>
      <c r="E4" s="182" t="s">
        <v>12</v>
      </c>
      <c r="F4" s="182" t="s">
        <v>12</v>
      </c>
      <c r="G4" s="182" t="s">
        <v>12</v>
      </c>
      <c r="H4" s="182" t="s">
        <v>12</v>
      </c>
      <c r="I4" s="182" t="s">
        <v>12</v>
      </c>
      <c r="J4" s="182" t="s">
        <v>12</v>
      </c>
      <c r="K4" s="182" t="s">
        <v>12</v>
      </c>
      <c r="L4" s="182" t="s">
        <v>12</v>
      </c>
      <c r="M4" s="182" t="s">
        <v>12</v>
      </c>
      <c r="N4" s="182" t="s">
        <v>12</v>
      </c>
    </row>
    <row r="5" spans="1:14" ht="19.5" customHeight="1">
      <c r="A5" s="21" t="s">
        <v>130</v>
      </c>
      <c r="B5" s="181"/>
      <c r="C5" s="181"/>
      <c r="D5" s="181"/>
      <c r="E5" s="181"/>
      <c r="F5" s="181"/>
      <c r="G5" s="181"/>
      <c r="H5" s="181"/>
      <c r="I5" s="181"/>
      <c r="J5" s="181"/>
      <c r="K5" s="181"/>
      <c r="L5" s="181"/>
      <c r="M5" s="181"/>
      <c r="N5" s="181"/>
    </row>
    <row r="6" spans="1:14" ht="19.5" customHeight="1">
      <c r="A6" s="16" t="s">
        <v>183</v>
      </c>
      <c r="B6" s="182">
        <v>106.02</v>
      </c>
      <c r="C6" s="182">
        <v>106.02</v>
      </c>
      <c r="D6" s="182">
        <v>106.02</v>
      </c>
      <c r="E6" s="182">
        <v>106.02</v>
      </c>
      <c r="F6" s="182">
        <v>201.02</v>
      </c>
      <c r="G6" s="182">
        <v>201.02</v>
      </c>
      <c r="H6" s="182">
        <v>106.02</v>
      </c>
      <c r="I6" s="182">
        <v>106.02</v>
      </c>
      <c r="J6" s="182">
        <v>106.02</v>
      </c>
      <c r="K6" s="182">
        <v>106.02</v>
      </c>
      <c r="L6" s="182">
        <v>106.02</v>
      </c>
      <c r="M6" s="182">
        <v>106.02</v>
      </c>
      <c r="N6" s="182">
        <v>40</v>
      </c>
    </row>
    <row r="7" spans="1:14" ht="19.5" customHeight="1">
      <c r="A7" s="16" t="s">
        <v>204</v>
      </c>
      <c r="B7" s="183">
        <f>MAX(0.3*$B$4,0.24*B6,20)*365</f>
        <v>38591.73266450515</v>
      </c>
      <c r="C7" s="183">
        <f aca="true" t="shared" si="0" ref="C7:N7">MAX(0.3*$B$4,0.24*C6,20)*365</f>
        <v>38591.73266450515</v>
      </c>
      <c r="D7" s="183">
        <f t="shared" si="0"/>
        <v>38591.73266450515</v>
      </c>
      <c r="E7" s="183">
        <f t="shared" si="0"/>
        <v>38591.73266450515</v>
      </c>
      <c r="F7" s="183">
        <f t="shared" si="0"/>
        <v>38591.73266450515</v>
      </c>
      <c r="G7" s="183">
        <f t="shared" si="0"/>
        <v>38591.73266450515</v>
      </c>
      <c r="H7" s="183">
        <f t="shared" si="0"/>
        <v>38591.73266450515</v>
      </c>
      <c r="I7" s="183">
        <f t="shared" si="0"/>
        <v>38591.73266450515</v>
      </c>
      <c r="J7" s="183">
        <f t="shared" si="0"/>
        <v>38591.73266450515</v>
      </c>
      <c r="K7" s="183">
        <f>MAX(0.3*$B$4,0.24*K6,20)*365</f>
        <v>38591.73266450515</v>
      </c>
      <c r="L7" s="183">
        <f>MAX(0.3*$B$4,0.24*L6,20)*365</f>
        <v>38591.73266450515</v>
      </c>
      <c r="M7" s="183">
        <f>MAX(0.3*$B$4,0.24*M6,20)*365</f>
        <v>38591.73266450515</v>
      </c>
      <c r="N7" s="183">
        <f t="shared" si="0"/>
        <v>38591.73266450515</v>
      </c>
    </row>
    <row r="8" spans="1:14" ht="19.5" customHeight="1">
      <c r="A8" s="21" t="s">
        <v>131</v>
      </c>
      <c r="B8" s="184"/>
      <c r="C8" s="184"/>
      <c r="D8" s="184"/>
      <c r="E8" s="184"/>
      <c r="F8" s="184"/>
      <c r="G8" s="184"/>
      <c r="H8" s="184"/>
      <c r="I8" s="184"/>
      <c r="J8" s="184"/>
      <c r="K8" s="184"/>
      <c r="L8" s="184"/>
      <c r="M8" s="184"/>
      <c r="N8" s="184"/>
    </row>
    <row r="9" spans="1:14" ht="19.5" customHeight="1">
      <c r="A9" s="16" t="s">
        <v>184</v>
      </c>
      <c r="B9" s="182">
        <v>120</v>
      </c>
      <c r="C9" s="182">
        <v>120</v>
      </c>
      <c r="D9" s="182">
        <v>120</v>
      </c>
      <c r="E9" s="182">
        <v>120</v>
      </c>
      <c r="F9" s="182">
        <v>215</v>
      </c>
      <c r="G9" s="182">
        <v>215</v>
      </c>
      <c r="H9" s="182">
        <v>120</v>
      </c>
      <c r="I9" s="182">
        <v>120</v>
      </c>
      <c r="J9" s="182">
        <v>120</v>
      </c>
      <c r="K9" s="182">
        <v>120</v>
      </c>
      <c r="L9" s="182">
        <v>120</v>
      </c>
      <c r="M9" s="182">
        <v>120</v>
      </c>
      <c r="N9" s="182">
        <v>53.98</v>
      </c>
    </row>
    <row r="10" spans="1:14" ht="19.5" customHeight="1">
      <c r="A10" s="16" t="s">
        <v>205</v>
      </c>
      <c r="B10" s="183">
        <f>MAX(0.3*$B$4,0.24*B9,20)*365</f>
        <v>38591.73266450515</v>
      </c>
      <c r="C10" s="183">
        <f aca="true" t="shared" si="1" ref="C10:N10">MAX(0.3*$B$4,0.24*C9,20)*365</f>
        <v>38591.73266450515</v>
      </c>
      <c r="D10" s="183">
        <f t="shared" si="1"/>
        <v>38591.73266450515</v>
      </c>
      <c r="E10" s="183">
        <f t="shared" si="1"/>
        <v>38591.73266450515</v>
      </c>
      <c r="F10" s="183">
        <f t="shared" si="1"/>
        <v>38591.73266450515</v>
      </c>
      <c r="G10" s="183">
        <f t="shared" si="1"/>
        <v>38591.73266450515</v>
      </c>
      <c r="H10" s="183">
        <f t="shared" si="1"/>
        <v>38591.73266450515</v>
      </c>
      <c r="I10" s="183">
        <f t="shared" si="1"/>
        <v>38591.73266450515</v>
      </c>
      <c r="J10" s="183">
        <f t="shared" si="1"/>
        <v>38591.73266450515</v>
      </c>
      <c r="K10" s="183">
        <f>MAX(0.3*$B$4,0.24*K9,20)*365</f>
        <v>38591.73266450515</v>
      </c>
      <c r="L10" s="183">
        <f>MAX(0.3*$B$4,0.24*L9,20)*365</f>
        <v>38591.73266450515</v>
      </c>
      <c r="M10" s="183">
        <f>MAX(0.3*$B$4,0.24*M9,20)*365</f>
        <v>38591.73266450515</v>
      </c>
      <c r="N10" s="183">
        <f t="shared" si="1"/>
        <v>38591.73266450515</v>
      </c>
    </row>
    <row r="11" spans="1:14" ht="19.5" customHeight="1">
      <c r="A11" s="21" t="s">
        <v>132</v>
      </c>
      <c r="B11" s="184"/>
      <c r="C11" s="184"/>
      <c r="D11" s="184"/>
      <c r="E11" s="184"/>
      <c r="F11" s="184"/>
      <c r="G11" s="184"/>
      <c r="H11" s="184"/>
      <c r="I11" s="184"/>
      <c r="J11" s="184"/>
      <c r="K11" s="184"/>
      <c r="L11" s="184"/>
      <c r="M11" s="184"/>
      <c r="N11" s="184"/>
    </row>
    <row r="12" spans="1:14" ht="19.5" customHeight="1">
      <c r="A12" s="16" t="s">
        <v>185</v>
      </c>
      <c r="B12" s="182">
        <v>120</v>
      </c>
      <c r="C12" s="182">
        <v>120</v>
      </c>
      <c r="D12" s="182">
        <v>120</v>
      </c>
      <c r="E12" s="182">
        <v>120</v>
      </c>
      <c r="F12" s="182">
        <v>215</v>
      </c>
      <c r="G12" s="182">
        <v>215</v>
      </c>
      <c r="H12" s="182">
        <v>120</v>
      </c>
      <c r="I12" s="182">
        <v>120</v>
      </c>
      <c r="J12" s="182">
        <v>120</v>
      </c>
      <c r="K12" s="182">
        <v>120</v>
      </c>
      <c r="L12" s="182">
        <v>120</v>
      </c>
      <c r="M12" s="182">
        <v>120</v>
      </c>
      <c r="N12" s="182">
        <v>120</v>
      </c>
    </row>
    <row r="13" spans="1:14" ht="19.5" customHeight="1">
      <c r="A13" s="16" t="s">
        <v>206</v>
      </c>
      <c r="B13" s="183">
        <f aca="true" t="shared" si="2" ref="B13:N13">MAX(0.3*$B$4,0.24*B12,20)*365</f>
        <v>38591.73266450515</v>
      </c>
      <c r="C13" s="183">
        <f t="shared" si="2"/>
        <v>38591.73266450515</v>
      </c>
      <c r="D13" s="183">
        <f t="shared" si="2"/>
        <v>38591.73266450515</v>
      </c>
      <c r="E13" s="183">
        <f t="shared" si="2"/>
        <v>38591.73266450515</v>
      </c>
      <c r="F13" s="183">
        <f t="shared" si="2"/>
        <v>38591.73266450515</v>
      </c>
      <c r="G13" s="183">
        <f t="shared" si="2"/>
        <v>38591.73266450515</v>
      </c>
      <c r="H13" s="183">
        <f t="shared" si="2"/>
        <v>38591.73266450515</v>
      </c>
      <c r="I13" s="183">
        <f t="shared" si="2"/>
        <v>38591.73266450515</v>
      </c>
      <c r="J13" s="183">
        <f t="shared" si="2"/>
        <v>38591.73266450515</v>
      </c>
      <c r="K13" s="183">
        <f>MAX(0.3*$B$4,0.24*K12,20)*365</f>
        <v>38591.73266450515</v>
      </c>
      <c r="L13" s="183">
        <f>MAX(0.3*$B$4,0.24*L12,20)*365</f>
        <v>38591.73266450515</v>
      </c>
      <c r="M13" s="183">
        <f>MAX(0.3*$B$4,0.24*M12,20)*365</f>
        <v>38591.73266450515</v>
      </c>
      <c r="N13" s="183">
        <f t="shared" si="2"/>
        <v>38591.73266450515</v>
      </c>
    </row>
    <row r="17" spans="1:13" ht="17.25">
      <c r="A17" s="304" t="s">
        <v>216</v>
      </c>
      <c r="B17" s="304"/>
      <c r="C17" s="304"/>
      <c r="D17" s="304"/>
      <c r="E17" s="304"/>
      <c r="F17" s="304"/>
      <c r="G17" s="304"/>
      <c r="H17" s="304"/>
      <c r="I17" s="304"/>
      <c r="J17" s="178"/>
      <c r="K17" s="178"/>
      <c r="L17" s="178"/>
      <c r="M17" s="178"/>
    </row>
    <row r="18" spans="1:14" ht="19.5" customHeight="1">
      <c r="A18" s="16"/>
      <c r="B18" s="252" t="s">
        <v>12</v>
      </c>
      <c r="C18" s="303" t="s">
        <v>54</v>
      </c>
      <c r="D18" s="303"/>
      <c r="E18" s="303"/>
      <c r="F18" s="303"/>
      <c r="G18" s="303"/>
      <c r="H18" s="303"/>
      <c r="I18" s="303"/>
      <c r="J18" s="303"/>
      <c r="K18" s="303"/>
      <c r="L18" s="303"/>
      <c r="M18" s="303"/>
      <c r="N18" s="303"/>
    </row>
    <row r="19" spans="1:14" ht="19.5" customHeight="1">
      <c r="A19" s="177" t="s">
        <v>12</v>
      </c>
      <c r="B19" s="21" t="s">
        <v>13</v>
      </c>
      <c r="C19" s="21" t="s">
        <v>17</v>
      </c>
      <c r="D19" s="21" t="s">
        <v>16</v>
      </c>
      <c r="E19" s="21" t="s">
        <v>14</v>
      </c>
      <c r="F19" s="21" t="s">
        <v>8</v>
      </c>
      <c r="G19" s="21" t="s">
        <v>44</v>
      </c>
      <c r="H19" s="21" t="s">
        <v>45</v>
      </c>
      <c r="I19" s="21" t="s">
        <v>7</v>
      </c>
      <c r="J19" s="21" t="s">
        <v>53</v>
      </c>
      <c r="K19" s="21" t="s">
        <v>124</v>
      </c>
      <c r="L19" s="21" t="s">
        <v>18</v>
      </c>
      <c r="M19" s="21" t="s">
        <v>3</v>
      </c>
      <c r="N19" s="21" t="s">
        <v>102</v>
      </c>
    </row>
    <row r="20" spans="1:14" ht="19.5" customHeight="1">
      <c r="A20" s="16" t="s">
        <v>49</v>
      </c>
      <c r="B20" s="181">
        <f>B4</f>
        <v>352.4359147443393</v>
      </c>
      <c r="C20" s="182" t="s">
        <v>12</v>
      </c>
      <c r="D20" s="182" t="s">
        <v>12</v>
      </c>
      <c r="E20" s="182" t="s">
        <v>12</v>
      </c>
      <c r="F20" s="182" t="s">
        <v>12</v>
      </c>
      <c r="G20" s="182" t="s">
        <v>12</v>
      </c>
      <c r="H20" s="182" t="s">
        <v>12</v>
      </c>
      <c r="I20" s="182" t="s">
        <v>12</v>
      </c>
      <c r="J20" s="182" t="s">
        <v>12</v>
      </c>
      <c r="K20" s="182" t="s">
        <v>12</v>
      </c>
      <c r="L20" s="182" t="s">
        <v>12</v>
      </c>
      <c r="M20" s="182" t="s">
        <v>12</v>
      </c>
      <c r="N20" s="182" t="s">
        <v>12</v>
      </c>
    </row>
    <row r="21" spans="1:14" ht="19.5" customHeight="1">
      <c r="A21" s="21" t="s">
        <v>130</v>
      </c>
      <c r="B21" s="181"/>
      <c r="C21" s="181"/>
      <c r="D21" s="181"/>
      <c r="E21" s="181"/>
      <c r="F21" s="181"/>
      <c r="G21" s="181"/>
      <c r="H21" s="181"/>
      <c r="I21" s="181"/>
      <c r="J21" s="181"/>
      <c r="K21" s="181"/>
      <c r="L21" s="181"/>
      <c r="M21" s="181"/>
      <c r="N21" s="181"/>
    </row>
    <row r="22" spans="1:14" ht="19.5" customHeight="1">
      <c r="A22" s="16" t="s">
        <v>217</v>
      </c>
      <c r="B22" s="182">
        <v>26.5</v>
      </c>
      <c r="C22" s="182">
        <v>26.5</v>
      </c>
      <c r="D22" s="182">
        <v>26.5</v>
      </c>
      <c r="E22" s="182">
        <v>26.5</v>
      </c>
      <c r="F22" s="182">
        <v>120.43</v>
      </c>
      <c r="G22" s="182">
        <v>179</v>
      </c>
      <c r="H22" s="182">
        <v>26.5</v>
      </c>
      <c r="I22" s="182">
        <v>26.5</v>
      </c>
      <c r="J22" s="182">
        <v>26.5</v>
      </c>
      <c r="K22" s="182">
        <v>26.5</v>
      </c>
      <c r="L22" s="182">
        <v>26.5</v>
      </c>
      <c r="M22" s="182">
        <v>26.5</v>
      </c>
      <c r="N22" s="182">
        <v>26.5</v>
      </c>
    </row>
    <row r="23" spans="1:14" ht="19.5" customHeight="1">
      <c r="A23" s="16" t="s">
        <v>218</v>
      </c>
      <c r="B23" s="253">
        <f>MAX(0.2*B22,20)*365</f>
        <v>7300</v>
      </c>
      <c r="C23" s="253">
        <f aca="true" t="shared" si="3" ref="C23:N23">MAX(0.2*C22,20)*365</f>
        <v>7300</v>
      </c>
      <c r="D23" s="253">
        <f t="shared" si="3"/>
        <v>7300</v>
      </c>
      <c r="E23" s="253">
        <f t="shared" si="3"/>
        <v>7300</v>
      </c>
      <c r="F23" s="253">
        <f>MAX(0.2*F22,20)*365</f>
        <v>8791.390000000001</v>
      </c>
      <c r="G23" s="253">
        <f>MAX(0.2*G22,20)*365</f>
        <v>13067.000000000002</v>
      </c>
      <c r="H23" s="253">
        <f t="shared" si="3"/>
        <v>7300</v>
      </c>
      <c r="I23" s="253">
        <f t="shared" si="3"/>
        <v>7300</v>
      </c>
      <c r="J23" s="253">
        <f t="shared" si="3"/>
        <v>7300</v>
      </c>
      <c r="K23" s="253">
        <f t="shared" si="3"/>
        <v>7300</v>
      </c>
      <c r="L23" s="253">
        <f t="shared" si="3"/>
        <v>7300</v>
      </c>
      <c r="M23" s="253">
        <f t="shared" si="3"/>
        <v>7300</v>
      </c>
      <c r="N23" s="253">
        <f t="shared" si="3"/>
        <v>7300</v>
      </c>
    </row>
    <row r="24" spans="1:14" ht="19.5" customHeight="1">
      <c r="A24" s="21" t="s">
        <v>131</v>
      </c>
      <c r="B24" s="184"/>
      <c r="C24" s="184"/>
      <c r="D24" s="184"/>
      <c r="E24" s="184"/>
      <c r="F24" s="184"/>
      <c r="G24" s="184"/>
      <c r="H24" s="184"/>
      <c r="I24" s="184"/>
      <c r="J24" s="184"/>
      <c r="K24" s="184"/>
      <c r="L24" s="184"/>
      <c r="M24" s="184"/>
      <c r="N24" s="184"/>
    </row>
    <row r="25" spans="1:14" ht="19.5" customHeight="1">
      <c r="A25" s="16" t="s">
        <v>219</v>
      </c>
      <c r="B25" s="182">
        <v>26.5</v>
      </c>
      <c r="C25" s="182">
        <v>26.5</v>
      </c>
      <c r="D25" s="182">
        <v>26.5</v>
      </c>
      <c r="E25" s="182">
        <v>26.5</v>
      </c>
      <c r="F25" s="182">
        <v>120.43</v>
      </c>
      <c r="G25" s="182">
        <v>179</v>
      </c>
      <c r="H25" s="182">
        <v>26.5</v>
      </c>
      <c r="I25" s="182">
        <v>26.5</v>
      </c>
      <c r="J25" s="182">
        <v>26.5</v>
      </c>
      <c r="K25" s="182">
        <v>26.5</v>
      </c>
      <c r="L25" s="182">
        <v>26.5</v>
      </c>
      <c r="M25" s="182">
        <v>26.5</v>
      </c>
      <c r="N25" s="182">
        <v>26.5</v>
      </c>
    </row>
    <row r="26" spans="1:14" ht="19.5" customHeight="1">
      <c r="A26" s="16" t="s">
        <v>220</v>
      </c>
      <c r="B26" s="253">
        <f aca="true" t="shared" si="4" ref="B26:N26">MAX(0.2*B25,20)*365</f>
        <v>7300</v>
      </c>
      <c r="C26" s="253">
        <f t="shared" si="4"/>
        <v>7300</v>
      </c>
      <c r="D26" s="253">
        <f t="shared" si="4"/>
        <v>7300</v>
      </c>
      <c r="E26" s="253">
        <f t="shared" si="4"/>
        <v>7300</v>
      </c>
      <c r="F26" s="253">
        <f t="shared" si="4"/>
        <v>8791.390000000001</v>
      </c>
      <c r="G26" s="253">
        <f>MAX(0.2*G25,20)*365</f>
        <v>13067.000000000002</v>
      </c>
      <c r="H26" s="253">
        <f t="shared" si="4"/>
        <v>7300</v>
      </c>
      <c r="I26" s="253">
        <f t="shared" si="4"/>
        <v>7300</v>
      </c>
      <c r="J26" s="253">
        <f t="shared" si="4"/>
        <v>7300</v>
      </c>
      <c r="K26" s="253">
        <f t="shared" si="4"/>
        <v>7300</v>
      </c>
      <c r="L26" s="253">
        <f t="shared" si="4"/>
        <v>7300</v>
      </c>
      <c r="M26" s="253">
        <f t="shared" si="4"/>
        <v>7300</v>
      </c>
      <c r="N26" s="253">
        <f t="shared" si="4"/>
        <v>7300</v>
      </c>
    </row>
    <row r="27" spans="1:14" ht="19.5" customHeight="1">
      <c r="A27" s="21" t="s">
        <v>132</v>
      </c>
      <c r="B27" s="184"/>
      <c r="C27" s="184"/>
      <c r="D27" s="184"/>
      <c r="E27" s="184"/>
      <c r="F27" s="184"/>
      <c r="G27" s="184"/>
      <c r="H27" s="184"/>
      <c r="I27" s="184"/>
      <c r="J27" s="184"/>
      <c r="K27" s="184"/>
      <c r="L27" s="184"/>
      <c r="M27" s="184"/>
      <c r="N27" s="184"/>
    </row>
    <row r="28" spans="1:14" ht="19.5" customHeight="1">
      <c r="A28" s="16" t="s">
        <v>221</v>
      </c>
      <c r="B28" s="182">
        <v>26.5</v>
      </c>
      <c r="C28" s="182">
        <v>26.5</v>
      </c>
      <c r="D28" s="182">
        <v>26.5</v>
      </c>
      <c r="E28" s="182">
        <v>26.5</v>
      </c>
      <c r="F28" s="182">
        <v>120.43</v>
      </c>
      <c r="G28" s="182">
        <v>179</v>
      </c>
      <c r="H28" s="182">
        <v>26.5</v>
      </c>
      <c r="I28" s="182">
        <v>26.5</v>
      </c>
      <c r="J28" s="182">
        <v>26.5</v>
      </c>
      <c r="K28" s="182">
        <v>26.5</v>
      </c>
      <c r="L28" s="182">
        <v>26.5</v>
      </c>
      <c r="M28" s="182">
        <v>26.5</v>
      </c>
      <c r="N28" s="182">
        <v>26.5</v>
      </c>
    </row>
    <row r="29" spans="1:14" ht="19.5" customHeight="1">
      <c r="A29" s="16" t="s">
        <v>222</v>
      </c>
      <c r="B29" s="253">
        <f aca="true" t="shared" si="5" ref="B29:M29">MAX(0.2*B28,20)*365</f>
        <v>7300</v>
      </c>
      <c r="C29" s="253">
        <f t="shared" si="5"/>
        <v>7300</v>
      </c>
      <c r="D29" s="253">
        <f t="shared" si="5"/>
        <v>7300</v>
      </c>
      <c r="E29" s="253">
        <f t="shared" si="5"/>
        <v>7300</v>
      </c>
      <c r="F29" s="253">
        <f t="shared" si="5"/>
        <v>8791.390000000001</v>
      </c>
      <c r="G29" s="253">
        <f>MAX(0.2*G28,20)*365</f>
        <v>13067.000000000002</v>
      </c>
      <c r="H29" s="253">
        <f t="shared" si="5"/>
        <v>7300</v>
      </c>
      <c r="I29" s="253">
        <f t="shared" si="5"/>
        <v>7300</v>
      </c>
      <c r="J29" s="253">
        <f>MAX(0.2*J28,20)*365</f>
        <v>7300</v>
      </c>
      <c r="K29" s="253">
        <f t="shared" si="5"/>
        <v>7300</v>
      </c>
      <c r="L29" s="253">
        <f t="shared" si="5"/>
        <v>7300</v>
      </c>
      <c r="M29" s="253">
        <f t="shared" si="5"/>
        <v>7300</v>
      </c>
      <c r="N29" s="253">
        <f>MAX(0.2*N28,20)*365</f>
        <v>7300</v>
      </c>
    </row>
  </sheetData>
  <sheetProtection/>
  <mergeCells count="4">
    <mergeCell ref="A1:N1"/>
    <mergeCell ref="C2:N2"/>
    <mergeCell ref="A17:I17"/>
    <mergeCell ref="C18:N18"/>
  </mergeCells>
  <printOptions/>
  <pageMargins left="0.45" right="0.45" top="0.5" bottom="0.5" header="0.3" footer="0.3"/>
  <pageSetup fitToHeight="1" fitToWidth="1" horizontalDpi="600" verticalDpi="600" orientation="landscape" scale="49" r:id="rId1"/>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A1" sqref="A1:G1"/>
    </sheetView>
  </sheetViews>
  <sheetFormatPr defaultColWidth="9.140625" defaultRowHeight="12.75"/>
  <cols>
    <col min="1" max="1" width="76.57421875" style="0" customWidth="1"/>
    <col min="2" max="2" width="16.421875" style="0" customWidth="1"/>
    <col min="3" max="7" width="12.7109375" style="0" customWidth="1"/>
    <col min="8" max="8" width="70.28125" style="0" bestFit="1" customWidth="1"/>
  </cols>
  <sheetData>
    <row r="1" spans="1:7" ht="24.75" customHeight="1">
      <c r="A1" s="306" t="s">
        <v>201</v>
      </c>
      <c r="B1" s="306"/>
      <c r="C1" s="306"/>
      <c r="D1" s="306"/>
      <c r="E1" s="306"/>
      <c r="F1" s="306"/>
      <c r="G1" s="306"/>
    </row>
    <row r="2" spans="1:7" ht="24.75" customHeight="1">
      <c r="A2" s="36" t="s">
        <v>12</v>
      </c>
      <c r="B2" s="307" t="s">
        <v>120</v>
      </c>
      <c r="C2" s="307"/>
      <c r="D2" s="307"/>
      <c r="E2" s="307"/>
      <c r="F2" s="307"/>
      <c r="G2" s="307"/>
    </row>
    <row r="3" spans="1:7" ht="24.75" customHeight="1">
      <c r="A3" s="107" t="s">
        <v>12</v>
      </c>
      <c r="B3" s="48" t="s">
        <v>84</v>
      </c>
      <c r="C3" s="48" t="s">
        <v>79</v>
      </c>
      <c r="D3" s="48" t="s">
        <v>80</v>
      </c>
      <c r="E3" s="48" t="s">
        <v>81</v>
      </c>
      <c r="F3" s="48" t="s">
        <v>82</v>
      </c>
      <c r="G3" s="48" t="s">
        <v>83</v>
      </c>
    </row>
    <row r="4" spans="1:7" ht="24.75" customHeight="1">
      <c r="A4" s="27" t="s">
        <v>125</v>
      </c>
      <c r="B4" s="209">
        <v>9999</v>
      </c>
      <c r="C4" s="209">
        <v>222</v>
      </c>
      <c r="D4" s="209">
        <v>5753</v>
      </c>
      <c r="E4" s="209">
        <v>4407</v>
      </c>
      <c r="F4" s="209">
        <v>2863</v>
      </c>
      <c r="G4" s="209">
        <v>2888</v>
      </c>
    </row>
    <row r="5" spans="1:7" ht="24.75" customHeight="1">
      <c r="A5" s="27" t="s">
        <v>121</v>
      </c>
      <c r="B5" s="209">
        <v>3500</v>
      </c>
      <c r="C5" s="209">
        <f>ROUND(C4*$B$5/$B$4,0)</f>
        <v>78</v>
      </c>
      <c r="D5" s="209">
        <f>ROUND(D4*$B$5/$B$4,0)</f>
        <v>2014</v>
      </c>
      <c r="E5" s="209">
        <f>ROUND(E4*$B$5/$B$4,0)</f>
        <v>1543</v>
      </c>
      <c r="F5" s="209">
        <f>ROUND(F4*$B$5/$B$4,0)</f>
        <v>1002</v>
      </c>
      <c r="G5" s="209">
        <f>ROUND(G4*$B$5/$B$4,0)</f>
        <v>1011</v>
      </c>
    </row>
    <row r="6" spans="1:8" ht="24.75" customHeight="1">
      <c r="A6" s="27" t="s">
        <v>187</v>
      </c>
      <c r="B6" s="209">
        <f>SUM(C6:G6)</f>
        <v>10558</v>
      </c>
      <c r="C6" s="209">
        <v>188</v>
      </c>
      <c r="D6" s="209">
        <v>2649</v>
      </c>
      <c r="E6" s="209">
        <v>5459</v>
      </c>
      <c r="F6" s="209">
        <v>1591</v>
      </c>
      <c r="G6" s="209">
        <v>671</v>
      </c>
      <c r="H6" s="79" t="s">
        <v>12</v>
      </c>
    </row>
    <row r="7" spans="1:8" ht="24.75" customHeight="1">
      <c r="A7" s="105" t="s">
        <v>127</v>
      </c>
      <c r="B7" s="209">
        <f>SUM(C7:G7)</f>
        <v>4684</v>
      </c>
      <c r="C7" s="208">
        <v>0</v>
      </c>
      <c r="D7" s="209">
        <v>1916</v>
      </c>
      <c r="E7" s="209">
        <v>2399</v>
      </c>
      <c r="F7" s="209">
        <v>150</v>
      </c>
      <c r="G7" s="209">
        <v>219</v>
      </c>
      <c r="H7" s="79" t="s">
        <v>12</v>
      </c>
    </row>
    <row r="8" spans="1:8" ht="24.75" customHeight="1">
      <c r="A8" s="105" t="s">
        <v>214</v>
      </c>
      <c r="B8" s="209">
        <f>C8+D8+E8+F8+G8</f>
        <v>254</v>
      </c>
      <c r="C8" s="209">
        <v>26.9</v>
      </c>
      <c r="D8" s="208">
        <v>0</v>
      </c>
      <c r="E8" s="209">
        <v>87.5</v>
      </c>
      <c r="F8" s="209">
        <v>139.6</v>
      </c>
      <c r="G8" s="208">
        <v>0</v>
      </c>
      <c r="H8" s="79"/>
    </row>
    <row r="9" spans="1:8" ht="24.75" customHeight="1">
      <c r="A9" s="106" t="s">
        <v>202</v>
      </c>
      <c r="B9" s="209">
        <f aca="true" t="shared" si="0" ref="B9:G9">IF(MIN(B4-B5-B7-B8,B6-B5-B7-B8)&lt;0,0,MIN(B4-B5-B7-B8,B6-B5-B7-B8))</f>
        <v>1561</v>
      </c>
      <c r="C9" s="209">
        <f t="shared" si="0"/>
        <v>83.1</v>
      </c>
      <c r="D9" s="208">
        <f t="shared" si="0"/>
        <v>0</v>
      </c>
      <c r="E9" s="208">
        <f>IF(MIN(E4-E5-E7-E8,E6-E5-E7-E8)&lt;0,0,MIN(E4-E5-E7-E8,E6-E5-E7-E8))</f>
        <v>377.5</v>
      </c>
      <c r="F9" s="209">
        <f t="shared" si="0"/>
        <v>299.4</v>
      </c>
      <c r="G9" s="208">
        <f t="shared" si="0"/>
        <v>0</v>
      </c>
      <c r="H9" s="206" t="s">
        <v>12</v>
      </c>
    </row>
    <row r="10" ht="15" customHeight="1">
      <c r="A10" s="81" t="s">
        <v>126</v>
      </c>
    </row>
    <row r="11" spans="1:8" ht="24.75" customHeight="1">
      <c r="A11" s="308" t="s">
        <v>215</v>
      </c>
      <c r="B11" s="308"/>
      <c r="C11" s="308"/>
      <c r="D11" s="308"/>
      <c r="E11" s="308"/>
      <c r="F11" s="308"/>
      <c r="G11" s="308"/>
      <c r="H11" s="221" t="s">
        <v>12</v>
      </c>
    </row>
    <row r="12" spans="1:7" ht="30" customHeight="1">
      <c r="A12" s="305" t="s">
        <v>188</v>
      </c>
      <c r="B12" s="305"/>
      <c r="C12" s="305"/>
      <c r="D12" s="305"/>
      <c r="E12" s="305"/>
      <c r="F12" s="305"/>
      <c r="G12" s="305"/>
    </row>
    <row r="13" spans="1:7" ht="30" customHeight="1">
      <c r="A13" s="309" t="s">
        <v>189</v>
      </c>
      <c r="B13" s="309"/>
      <c r="C13" s="309"/>
      <c r="D13" s="309"/>
      <c r="E13" s="309"/>
      <c r="F13" s="309"/>
      <c r="G13" s="309"/>
    </row>
    <row r="15" spans="1:6" ht="12.75">
      <c r="A15" s="7" t="s">
        <v>12</v>
      </c>
      <c r="B15" s="251" t="s">
        <v>12</v>
      </c>
      <c r="E15" s="250" t="s">
        <v>12</v>
      </c>
      <c r="F15" s="251" t="s">
        <v>12</v>
      </c>
    </row>
    <row r="16" ht="12.75">
      <c r="B16" s="4" t="s">
        <v>12</v>
      </c>
    </row>
  </sheetData>
  <sheetProtection/>
  <mergeCells count="5">
    <mergeCell ref="A12:G12"/>
    <mergeCell ref="A1:G1"/>
    <mergeCell ref="B2:G2"/>
    <mergeCell ref="A11:G11"/>
    <mergeCell ref="A13:G13"/>
  </mergeCells>
  <printOptions/>
  <pageMargins left="0.45" right="0.45" top="0.5" bottom="0.5" header="0.3" footer="0.3"/>
  <pageSetup fitToHeight="1"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PJM User</dc:creator>
  <cp:keywords/>
  <dc:description/>
  <cp:lastModifiedBy>Heun, Nicole A.</cp:lastModifiedBy>
  <cp:lastPrinted>2016-06-10T19:23:48Z</cp:lastPrinted>
  <dcterms:created xsi:type="dcterms:W3CDTF">2007-01-26T13:56:48Z</dcterms:created>
  <dcterms:modified xsi:type="dcterms:W3CDTF">2016-08-02T20:34:41Z</dcterms:modified>
  <cp:category/>
  <cp:version/>
  <cp:contentType/>
  <cp:contentStatus/>
</cp:coreProperties>
</file>