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 tabRatio="591"/>
  </bookViews>
  <sheets>
    <sheet name="2022 Re-Settlement (ER23-1399)" sheetId="2" r:id="rId1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B323" i="2" l="1"/>
  <c r="B321" i="2"/>
  <c r="B319" i="2"/>
  <c r="B317" i="2"/>
  <c r="B315" i="2"/>
  <c r="B313" i="2"/>
  <c r="B294" i="2"/>
  <c r="B296" i="2"/>
  <c r="B298" i="2"/>
  <c r="B300" i="2"/>
  <c r="B302" i="2"/>
  <c r="B304" i="2"/>
  <c r="B245" i="2" l="1"/>
  <c r="B243" i="2"/>
  <c r="C243" i="2" s="1"/>
  <c r="Y244" i="2" s="1"/>
  <c r="B241" i="2"/>
  <c r="C241" i="2" s="1"/>
  <c r="X242" i="2" s="1"/>
  <c r="B239" i="2"/>
  <c r="C239" i="2" s="1"/>
  <c r="B237" i="2"/>
  <c r="B235" i="2"/>
  <c r="B233" i="2"/>
  <c r="C233" i="2" s="1"/>
  <c r="AB234" i="2" s="1"/>
  <c r="B231" i="2"/>
  <c r="C231" i="2" s="1"/>
  <c r="B111" i="2"/>
  <c r="B89" i="2"/>
  <c r="B87" i="2"/>
  <c r="B85" i="2"/>
  <c r="B83" i="2"/>
  <c r="B81" i="2"/>
  <c r="B79" i="2"/>
  <c r="B77" i="2"/>
  <c r="B75" i="2"/>
  <c r="B73" i="2"/>
  <c r="B71" i="2"/>
  <c r="B69" i="2"/>
  <c r="B67" i="2"/>
  <c r="B65" i="2"/>
  <c r="B63" i="2"/>
  <c r="C245" i="2"/>
  <c r="C237" i="2"/>
  <c r="AA238" i="2" s="1"/>
  <c r="C235" i="2"/>
  <c r="P234" i="2" l="1"/>
  <c r="E234" i="2"/>
  <c r="Z234" i="2"/>
  <c r="C247" i="2"/>
  <c r="U232" i="2"/>
  <c r="K232" i="2"/>
  <c r="T232" i="2"/>
  <c r="I232" i="2"/>
  <c r="O232" i="2"/>
  <c r="AA232" i="2"/>
  <c r="P232" i="2"/>
  <c r="E232" i="2"/>
  <c r="Y232" i="2"/>
  <c r="D232" i="2"/>
  <c r="Y240" i="2"/>
  <c r="AB240" i="2"/>
  <c r="G240" i="2"/>
  <c r="L240" i="2"/>
  <c r="W240" i="2"/>
  <c r="Q240" i="2"/>
  <c r="N244" i="2"/>
  <c r="I234" i="2"/>
  <c r="T234" i="2"/>
  <c r="H242" i="2"/>
  <c r="E244" i="2"/>
  <c r="U244" i="2"/>
  <c r="J234" i="2"/>
  <c r="U234" i="2"/>
  <c r="P242" i="2"/>
  <c r="F244" i="2"/>
  <c r="V244" i="2"/>
  <c r="D234" i="2"/>
  <c r="N234" i="2"/>
  <c r="Y234" i="2"/>
  <c r="M244" i="2"/>
  <c r="Y246" i="2"/>
  <c r="U246" i="2"/>
  <c r="Q246" i="2"/>
  <c r="M246" i="2"/>
  <c r="I246" i="2"/>
  <c r="E246" i="2"/>
  <c r="AB246" i="2"/>
  <c r="X246" i="2"/>
  <c r="T246" i="2"/>
  <c r="P246" i="2"/>
  <c r="L246" i="2"/>
  <c r="H246" i="2"/>
  <c r="D246" i="2"/>
  <c r="W246" i="2"/>
  <c r="O246" i="2"/>
  <c r="G246" i="2"/>
  <c r="S246" i="2"/>
  <c r="R246" i="2"/>
  <c r="V246" i="2"/>
  <c r="N246" i="2"/>
  <c r="F246" i="2"/>
  <c r="AA246" i="2"/>
  <c r="K246" i="2"/>
  <c r="Z246" i="2"/>
  <c r="J246" i="2"/>
  <c r="AB236" i="2"/>
  <c r="X236" i="2"/>
  <c r="T236" i="2"/>
  <c r="P236" i="2"/>
  <c r="L236" i="2"/>
  <c r="H236" i="2"/>
  <c r="D236" i="2"/>
  <c r="N236" i="2"/>
  <c r="Y236" i="2"/>
  <c r="H238" i="2"/>
  <c r="S238" i="2"/>
  <c r="J236" i="2"/>
  <c r="U236" i="2"/>
  <c r="D238" i="2"/>
  <c r="O238" i="2"/>
  <c r="Z238" i="2"/>
  <c r="H240" i="2"/>
  <c r="AA242" i="2"/>
  <c r="W242" i="2"/>
  <c r="S242" i="2"/>
  <c r="O242" i="2"/>
  <c r="K242" i="2"/>
  <c r="G242" i="2"/>
  <c r="Z242" i="2"/>
  <c r="V242" i="2"/>
  <c r="R242" i="2"/>
  <c r="N242" i="2"/>
  <c r="J242" i="2"/>
  <c r="F242" i="2"/>
  <c r="Q242" i="2"/>
  <c r="Y242" i="2"/>
  <c r="B247" i="2"/>
  <c r="G232" i="2"/>
  <c r="L232" i="2"/>
  <c r="Q232" i="2"/>
  <c r="W232" i="2"/>
  <c r="AB232" i="2"/>
  <c r="F234" i="2"/>
  <c r="L234" i="2"/>
  <c r="Q234" i="2"/>
  <c r="V234" i="2"/>
  <c r="F236" i="2"/>
  <c r="K236" i="2"/>
  <c r="Q236" i="2"/>
  <c r="V236" i="2"/>
  <c r="AA236" i="2"/>
  <c r="F238" i="2"/>
  <c r="K238" i="2"/>
  <c r="P238" i="2"/>
  <c r="V238" i="2"/>
  <c r="D240" i="2"/>
  <c r="I240" i="2"/>
  <c r="O240" i="2"/>
  <c r="T240" i="2"/>
  <c r="D242" i="2"/>
  <c r="L242" i="2"/>
  <c r="T242" i="2"/>
  <c r="AB242" i="2"/>
  <c r="I244" i="2"/>
  <c r="Q244" i="2"/>
  <c r="I236" i="2"/>
  <c r="S236" i="2"/>
  <c r="Y238" i="2"/>
  <c r="U238" i="2"/>
  <c r="Q238" i="2"/>
  <c r="M238" i="2"/>
  <c r="I238" i="2"/>
  <c r="E238" i="2"/>
  <c r="N238" i="2"/>
  <c r="X238" i="2"/>
  <c r="E236" i="2"/>
  <c r="O236" i="2"/>
  <c r="Z236" i="2"/>
  <c r="J238" i="2"/>
  <c r="T238" i="2"/>
  <c r="Z240" i="2"/>
  <c r="V240" i="2"/>
  <c r="R240" i="2"/>
  <c r="N240" i="2"/>
  <c r="J240" i="2"/>
  <c r="F240" i="2"/>
  <c r="M240" i="2"/>
  <c r="S240" i="2"/>
  <c r="X240" i="2"/>
  <c r="I242" i="2"/>
  <c r="Z232" i="2"/>
  <c r="V232" i="2"/>
  <c r="R232" i="2"/>
  <c r="N232" i="2"/>
  <c r="J232" i="2"/>
  <c r="F232" i="2"/>
  <c r="H232" i="2"/>
  <c r="M232" i="2"/>
  <c r="S232" i="2"/>
  <c r="X232" i="2"/>
  <c r="AA234" i="2"/>
  <c r="W234" i="2"/>
  <c r="S234" i="2"/>
  <c r="O234" i="2"/>
  <c r="K234" i="2"/>
  <c r="G234" i="2"/>
  <c r="H234" i="2"/>
  <c r="M234" i="2"/>
  <c r="R234" i="2"/>
  <c r="X234" i="2"/>
  <c r="G236" i="2"/>
  <c r="M236" i="2"/>
  <c r="R236" i="2"/>
  <c r="W236" i="2"/>
  <c r="G238" i="2"/>
  <c r="L238" i="2"/>
  <c r="R238" i="2"/>
  <c r="W238" i="2"/>
  <c r="AB238" i="2"/>
  <c r="E240" i="2"/>
  <c r="K240" i="2"/>
  <c r="P240" i="2"/>
  <c r="U240" i="2"/>
  <c r="AA240" i="2"/>
  <c r="E242" i="2"/>
  <c r="M242" i="2"/>
  <c r="U242" i="2"/>
  <c r="AB244" i="2"/>
  <c r="X244" i="2"/>
  <c r="T244" i="2"/>
  <c r="P244" i="2"/>
  <c r="L244" i="2"/>
  <c r="H244" i="2"/>
  <c r="D244" i="2"/>
  <c r="AA244" i="2"/>
  <c r="W244" i="2"/>
  <c r="S244" i="2"/>
  <c r="O244" i="2"/>
  <c r="K244" i="2"/>
  <c r="G244" i="2"/>
  <c r="J244" i="2"/>
  <c r="R244" i="2"/>
  <c r="Z244" i="2"/>
  <c r="Y247" i="2" l="1"/>
  <c r="O247" i="2"/>
  <c r="E247" i="2"/>
  <c r="U247" i="2"/>
  <c r="I247" i="2"/>
  <c r="T247" i="2"/>
  <c r="D247" i="2"/>
  <c r="N247" i="2"/>
  <c r="K247" i="2"/>
  <c r="AA247" i="2"/>
  <c r="P247" i="2"/>
  <c r="R247" i="2"/>
  <c r="X247" i="2"/>
  <c r="F247" i="2"/>
  <c r="V247" i="2"/>
  <c r="L247" i="2"/>
  <c r="M247" i="2"/>
  <c r="W247" i="2"/>
  <c r="H247" i="2"/>
  <c r="Q247" i="2"/>
  <c r="S247" i="2"/>
  <c r="J247" i="2"/>
  <c r="Z247" i="2"/>
  <c r="AB247" i="2"/>
  <c r="G247" i="2"/>
  <c r="B176" i="2" l="1"/>
  <c r="B177" i="2" s="1"/>
  <c r="C174" i="2"/>
  <c r="AA175" i="2" s="1"/>
  <c r="C172" i="2"/>
  <c r="R173" i="2" s="1"/>
  <c r="C170" i="2"/>
  <c r="AA171" i="2" s="1"/>
  <c r="C168" i="2"/>
  <c r="C166" i="2"/>
  <c r="R167" i="2" s="1"/>
  <c r="C164" i="2"/>
  <c r="C162" i="2"/>
  <c r="M163" i="2" s="1"/>
  <c r="C160" i="2"/>
  <c r="C158" i="2"/>
  <c r="Q159" i="2" s="1"/>
  <c r="C156" i="2"/>
  <c r="R157" i="2" s="1"/>
  <c r="C154" i="2"/>
  <c r="V155" i="2" s="1"/>
  <c r="C152" i="2"/>
  <c r="AB153" i="2" s="1"/>
  <c r="C150" i="2"/>
  <c r="R151" i="2" s="1"/>
  <c r="C148" i="2"/>
  <c r="AA149" i="2" s="1"/>
  <c r="C146" i="2"/>
  <c r="V147" i="2" s="1"/>
  <c r="C144" i="2"/>
  <c r="C142" i="2"/>
  <c r="W143" i="2" s="1"/>
  <c r="C140" i="2"/>
  <c r="AA141" i="2" s="1"/>
  <c r="C138" i="2"/>
  <c r="J139" i="2" s="1"/>
  <c r="C136" i="2"/>
  <c r="AA137" i="2" s="1"/>
  <c r="C134" i="2"/>
  <c r="T135" i="2" s="1"/>
  <c r="C132" i="2"/>
  <c r="Y133" i="2" s="1"/>
  <c r="C130" i="2"/>
  <c r="AA131" i="2" s="1"/>
  <c r="C128" i="2"/>
  <c r="C126" i="2"/>
  <c r="U127" i="2" s="1"/>
  <c r="C124" i="2"/>
  <c r="H151" i="2" l="1"/>
  <c r="L159" i="2"/>
  <c r="G173" i="2"/>
  <c r="E141" i="2"/>
  <c r="H173" i="2"/>
  <c r="F141" i="2"/>
  <c r="N147" i="2"/>
  <c r="F159" i="2"/>
  <c r="Q141" i="2"/>
  <c r="L149" i="2"/>
  <c r="V151" i="2"/>
  <c r="S173" i="2"/>
  <c r="U141" i="2"/>
  <c r="T149" i="2"/>
  <c r="U137" i="2"/>
  <c r="Z137" i="2"/>
  <c r="O143" i="2"/>
  <c r="L157" i="2"/>
  <c r="N127" i="2"/>
  <c r="J137" i="2"/>
  <c r="J141" i="2"/>
  <c r="Z141" i="2"/>
  <c r="AB149" i="2"/>
  <c r="AB157" i="2"/>
  <c r="R159" i="2"/>
  <c r="H127" i="2"/>
  <c r="E137" i="2"/>
  <c r="P137" i="2"/>
  <c r="P141" i="2"/>
  <c r="AB141" i="2"/>
  <c r="E149" i="2"/>
  <c r="AB159" i="2"/>
  <c r="J171" i="2"/>
  <c r="U171" i="2"/>
  <c r="J175" i="2"/>
  <c r="U175" i="2"/>
  <c r="D131" i="2"/>
  <c r="L131" i="2"/>
  <c r="V131" i="2"/>
  <c r="J133" i="2"/>
  <c r="H135" i="2"/>
  <c r="L137" i="2"/>
  <c r="V137" i="2"/>
  <c r="R139" i="2"/>
  <c r="Z143" i="2"/>
  <c r="F149" i="2"/>
  <c r="N149" i="2"/>
  <c r="U149" i="2"/>
  <c r="AB151" i="2"/>
  <c r="L155" i="2"/>
  <c r="H159" i="2"/>
  <c r="V159" i="2"/>
  <c r="H163" i="2"/>
  <c r="M167" i="2"/>
  <c r="D171" i="2"/>
  <c r="N171" i="2"/>
  <c r="Y171" i="2"/>
  <c r="D175" i="2"/>
  <c r="N175" i="2"/>
  <c r="Y175" i="2"/>
  <c r="J131" i="2"/>
  <c r="U131" i="2"/>
  <c r="Z135" i="2"/>
  <c r="E131" i="2"/>
  <c r="P131" i="2"/>
  <c r="Z131" i="2"/>
  <c r="N133" i="2"/>
  <c r="L135" i="2"/>
  <c r="Z139" i="2"/>
  <c r="I149" i="2"/>
  <c r="P149" i="2"/>
  <c r="V149" i="2"/>
  <c r="E171" i="2"/>
  <c r="P171" i="2"/>
  <c r="Z171" i="2"/>
  <c r="E175" i="2"/>
  <c r="P175" i="2"/>
  <c r="Z175" i="2"/>
  <c r="F131" i="2"/>
  <c r="Q131" i="2"/>
  <c r="AB131" i="2"/>
  <c r="Z133" i="2"/>
  <c r="F137" i="2"/>
  <c r="Q137" i="2"/>
  <c r="AB137" i="2"/>
  <c r="L141" i="2"/>
  <c r="V141" i="2"/>
  <c r="J143" i="2"/>
  <c r="D149" i="2"/>
  <c r="J149" i="2"/>
  <c r="Q149" i="2"/>
  <c r="Y149" i="2"/>
  <c r="L151" i="2"/>
  <c r="W153" i="2"/>
  <c r="I171" i="2"/>
  <c r="T171" i="2"/>
  <c r="W173" i="2"/>
  <c r="I175" i="2"/>
  <c r="T175" i="2"/>
  <c r="C176" i="2"/>
  <c r="C177" i="2" s="1"/>
  <c r="Z125" i="2"/>
  <c r="J125" i="2"/>
  <c r="V125" i="2"/>
  <c r="Y129" i="2"/>
  <c r="N129" i="2"/>
  <c r="V129" i="2"/>
  <c r="AA145" i="2"/>
  <c r="Z145" i="2"/>
  <c r="U145" i="2"/>
  <c r="P145" i="2"/>
  <c r="J145" i="2"/>
  <c r="E145" i="2"/>
  <c r="Y145" i="2"/>
  <c r="T145" i="2"/>
  <c r="N145" i="2"/>
  <c r="I145" i="2"/>
  <c r="D145" i="2"/>
  <c r="M145" i="2"/>
  <c r="X145" i="2"/>
  <c r="AB165" i="2"/>
  <c r="L165" i="2"/>
  <c r="W165" i="2"/>
  <c r="H165" i="2"/>
  <c r="S165" i="2"/>
  <c r="G165" i="2"/>
  <c r="F125" i="2"/>
  <c r="AA127" i="2"/>
  <c r="AB127" i="2"/>
  <c r="V127" i="2"/>
  <c r="Q127" i="2"/>
  <c r="L127" i="2"/>
  <c r="F127" i="2"/>
  <c r="I127" i="2"/>
  <c r="P127" i="2"/>
  <c r="X127" i="2"/>
  <c r="F129" i="2"/>
  <c r="Z129" i="2"/>
  <c r="F145" i="2"/>
  <c r="Q145" i="2"/>
  <c r="AB145" i="2"/>
  <c r="AA155" i="2"/>
  <c r="Z155" i="2"/>
  <c r="U155" i="2"/>
  <c r="P155" i="2"/>
  <c r="J155" i="2"/>
  <c r="E155" i="2"/>
  <c r="Y155" i="2"/>
  <c r="T155" i="2"/>
  <c r="N155" i="2"/>
  <c r="I155" i="2"/>
  <c r="D155" i="2"/>
  <c r="M155" i="2"/>
  <c r="X155" i="2"/>
  <c r="AB161" i="2"/>
  <c r="W161" i="2"/>
  <c r="L161" i="2"/>
  <c r="R165" i="2"/>
  <c r="N125" i="2"/>
  <c r="D127" i="2"/>
  <c r="J127" i="2"/>
  <c r="R127" i="2"/>
  <c r="Y127" i="2"/>
  <c r="J129" i="2"/>
  <c r="X135" i="2"/>
  <c r="R135" i="2"/>
  <c r="J135" i="2"/>
  <c r="E135" i="2"/>
  <c r="W135" i="2"/>
  <c r="O135" i="2"/>
  <c r="I135" i="2"/>
  <c r="D135" i="2"/>
  <c r="N135" i="2"/>
  <c r="AB135" i="2"/>
  <c r="H145" i="2"/>
  <c r="R145" i="2"/>
  <c r="R147" i="2"/>
  <c r="G147" i="2"/>
  <c r="Z147" i="2"/>
  <c r="O147" i="2"/>
  <c r="F147" i="2"/>
  <c r="W147" i="2"/>
  <c r="F155" i="2"/>
  <c r="Q155" i="2"/>
  <c r="AB155" i="2"/>
  <c r="AA163" i="2"/>
  <c r="AB163" i="2"/>
  <c r="V163" i="2"/>
  <c r="Q163" i="2"/>
  <c r="L163" i="2"/>
  <c r="F163" i="2"/>
  <c r="Z163" i="2"/>
  <c r="U163" i="2"/>
  <c r="P163" i="2"/>
  <c r="J163" i="2"/>
  <c r="E163" i="2"/>
  <c r="Y163" i="2"/>
  <c r="T163" i="2"/>
  <c r="N163" i="2"/>
  <c r="I163" i="2"/>
  <c r="R163" i="2"/>
  <c r="AA167" i="2"/>
  <c r="AB167" i="2"/>
  <c r="V167" i="2"/>
  <c r="Q167" i="2"/>
  <c r="L167" i="2"/>
  <c r="F167" i="2"/>
  <c r="Z167" i="2"/>
  <c r="U167" i="2"/>
  <c r="P167" i="2"/>
  <c r="J167" i="2"/>
  <c r="E167" i="2"/>
  <c r="Y167" i="2"/>
  <c r="T167" i="2"/>
  <c r="N167" i="2"/>
  <c r="I167" i="2"/>
  <c r="D167" i="2"/>
  <c r="X167" i="2"/>
  <c r="R125" i="2"/>
  <c r="E127" i="2"/>
  <c r="M127" i="2"/>
  <c r="T127" i="2"/>
  <c r="Z127" i="2"/>
  <c r="R129" i="2"/>
  <c r="F135" i="2"/>
  <c r="S135" i="2"/>
  <c r="L145" i="2"/>
  <c r="V145" i="2"/>
  <c r="J147" i="2"/>
  <c r="H155" i="2"/>
  <c r="R155" i="2"/>
  <c r="W157" i="2"/>
  <c r="H157" i="2"/>
  <c r="S157" i="2"/>
  <c r="G157" i="2"/>
  <c r="AA159" i="2"/>
  <c r="Z159" i="2"/>
  <c r="U159" i="2"/>
  <c r="P159" i="2"/>
  <c r="J159" i="2"/>
  <c r="E159" i="2"/>
  <c r="Y159" i="2"/>
  <c r="T159" i="2"/>
  <c r="N159" i="2"/>
  <c r="I159" i="2"/>
  <c r="D159" i="2"/>
  <c r="M159" i="2"/>
  <c r="X159" i="2"/>
  <c r="D163" i="2"/>
  <c r="X163" i="2"/>
  <c r="H167" i="2"/>
  <c r="AB169" i="2"/>
  <c r="W169" i="2"/>
  <c r="L169" i="2"/>
  <c r="H131" i="2"/>
  <c r="M131" i="2"/>
  <c r="R131" i="2"/>
  <c r="X131" i="2"/>
  <c r="R133" i="2"/>
  <c r="H137" i="2"/>
  <c r="M137" i="2"/>
  <c r="R137" i="2"/>
  <c r="X137" i="2"/>
  <c r="H141" i="2"/>
  <c r="M141" i="2"/>
  <c r="R141" i="2"/>
  <c r="X141" i="2"/>
  <c r="R143" i="2"/>
  <c r="Q151" i="2"/>
  <c r="F171" i="2"/>
  <c r="L171" i="2"/>
  <c r="Q171" i="2"/>
  <c r="V171" i="2"/>
  <c r="AB171" i="2"/>
  <c r="L173" i="2"/>
  <c r="AB173" i="2"/>
  <c r="F175" i="2"/>
  <c r="L175" i="2"/>
  <c r="Q175" i="2"/>
  <c r="V175" i="2"/>
  <c r="AB175" i="2"/>
  <c r="I131" i="2"/>
  <c r="N131" i="2"/>
  <c r="T131" i="2"/>
  <c r="Y131" i="2"/>
  <c r="F133" i="2"/>
  <c r="V133" i="2"/>
  <c r="D137" i="2"/>
  <c r="I137" i="2"/>
  <c r="N137" i="2"/>
  <c r="T137" i="2"/>
  <c r="Y137" i="2"/>
  <c r="D141" i="2"/>
  <c r="I141" i="2"/>
  <c r="N141" i="2"/>
  <c r="T141" i="2"/>
  <c r="Y141" i="2"/>
  <c r="G143" i="2"/>
  <c r="H149" i="2"/>
  <c r="M149" i="2"/>
  <c r="R149" i="2"/>
  <c r="X149" i="2"/>
  <c r="F151" i="2"/>
  <c r="L153" i="2"/>
  <c r="H171" i="2"/>
  <c r="M171" i="2"/>
  <c r="R171" i="2"/>
  <c r="X171" i="2"/>
  <c r="H175" i="2"/>
  <c r="M175" i="2"/>
  <c r="R175" i="2"/>
  <c r="X175" i="2"/>
  <c r="G125" i="2"/>
  <c r="O125" i="2"/>
  <c r="W125" i="2"/>
  <c r="G129" i="2"/>
  <c r="K129" i="2"/>
  <c r="S129" i="2"/>
  <c r="AA129" i="2"/>
  <c r="K133" i="2"/>
  <c r="S133" i="2"/>
  <c r="AA133" i="2"/>
  <c r="Y139" i="2"/>
  <c r="U139" i="2"/>
  <c r="Q139" i="2"/>
  <c r="M139" i="2"/>
  <c r="I139" i="2"/>
  <c r="E139" i="2"/>
  <c r="AB139" i="2"/>
  <c r="X139" i="2"/>
  <c r="T139" i="2"/>
  <c r="P139" i="2"/>
  <c r="L139" i="2"/>
  <c r="H139" i="2"/>
  <c r="D139" i="2"/>
  <c r="S139" i="2"/>
  <c r="N153" i="2"/>
  <c r="N161" i="2"/>
  <c r="X169" i="2"/>
  <c r="D125" i="2"/>
  <c r="P125" i="2"/>
  <c r="H129" i="2"/>
  <c r="T129" i="2"/>
  <c r="D133" i="2"/>
  <c r="H133" i="2"/>
  <c r="L133" i="2"/>
  <c r="P133" i="2"/>
  <c r="T133" i="2"/>
  <c r="X133" i="2"/>
  <c r="AB133" i="2"/>
  <c r="F139" i="2"/>
  <c r="N139" i="2"/>
  <c r="V139" i="2"/>
  <c r="Y143" i="2"/>
  <c r="U143" i="2"/>
  <c r="Q143" i="2"/>
  <c r="M143" i="2"/>
  <c r="I143" i="2"/>
  <c r="E143" i="2"/>
  <c r="AB143" i="2"/>
  <c r="X143" i="2"/>
  <c r="T143" i="2"/>
  <c r="P143" i="2"/>
  <c r="L143" i="2"/>
  <c r="H143" i="2"/>
  <c r="D143" i="2"/>
  <c r="K143" i="2"/>
  <c r="S143" i="2"/>
  <c r="AA143" i="2"/>
  <c r="G153" i="2"/>
  <c r="R153" i="2"/>
  <c r="G161" i="2"/>
  <c r="R161" i="2"/>
  <c r="G169" i="2"/>
  <c r="R169" i="2"/>
  <c r="K125" i="2"/>
  <c r="S125" i="2"/>
  <c r="AA125" i="2"/>
  <c r="O129" i="2"/>
  <c r="W129" i="2"/>
  <c r="G133" i="2"/>
  <c r="O133" i="2"/>
  <c r="W133" i="2"/>
  <c r="K139" i="2"/>
  <c r="AA139" i="2"/>
  <c r="Y153" i="2"/>
  <c r="U153" i="2"/>
  <c r="Q153" i="2"/>
  <c r="M153" i="2"/>
  <c r="I153" i="2"/>
  <c r="E153" i="2"/>
  <c r="AA153" i="2"/>
  <c r="V153" i="2"/>
  <c r="P153" i="2"/>
  <c r="K153" i="2"/>
  <c r="F153" i="2"/>
  <c r="Z153" i="2"/>
  <c r="T153" i="2"/>
  <c r="O153" i="2"/>
  <c r="J153" i="2"/>
  <c r="D153" i="2"/>
  <c r="X153" i="2"/>
  <c r="Y161" i="2"/>
  <c r="U161" i="2"/>
  <c r="Q161" i="2"/>
  <c r="M161" i="2"/>
  <c r="I161" i="2"/>
  <c r="E161" i="2"/>
  <c r="AA161" i="2"/>
  <c r="V161" i="2"/>
  <c r="P161" i="2"/>
  <c r="K161" i="2"/>
  <c r="F161" i="2"/>
  <c r="Z161" i="2"/>
  <c r="T161" i="2"/>
  <c r="O161" i="2"/>
  <c r="J161" i="2"/>
  <c r="D161" i="2"/>
  <c r="X161" i="2"/>
  <c r="Y169" i="2"/>
  <c r="U169" i="2"/>
  <c r="Q169" i="2"/>
  <c r="M169" i="2"/>
  <c r="I169" i="2"/>
  <c r="E169" i="2"/>
  <c r="AA169" i="2"/>
  <c r="V169" i="2"/>
  <c r="P169" i="2"/>
  <c r="K169" i="2"/>
  <c r="F169" i="2"/>
  <c r="Z169" i="2"/>
  <c r="T169" i="2"/>
  <c r="O169" i="2"/>
  <c r="J169" i="2"/>
  <c r="D169" i="2"/>
  <c r="N169" i="2"/>
  <c r="H125" i="2"/>
  <c r="L125" i="2"/>
  <c r="T125" i="2"/>
  <c r="X125" i="2"/>
  <c r="AB125" i="2"/>
  <c r="D129" i="2"/>
  <c r="L129" i="2"/>
  <c r="P129" i="2"/>
  <c r="X129" i="2"/>
  <c r="AB129" i="2"/>
  <c r="E125" i="2"/>
  <c r="I125" i="2"/>
  <c r="M125" i="2"/>
  <c r="Q125" i="2"/>
  <c r="U125" i="2"/>
  <c r="Y125" i="2"/>
  <c r="G127" i="2"/>
  <c r="K127" i="2"/>
  <c r="O127" i="2"/>
  <c r="S127" i="2"/>
  <c r="W127" i="2"/>
  <c r="E129" i="2"/>
  <c r="I129" i="2"/>
  <c r="M129" i="2"/>
  <c r="Q129" i="2"/>
  <c r="U129" i="2"/>
  <c r="G131" i="2"/>
  <c r="K131" i="2"/>
  <c r="O131" i="2"/>
  <c r="S131" i="2"/>
  <c r="W131" i="2"/>
  <c r="E133" i="2"/>
  <c r="I133" i="2"/>
  <c r="M133" i="2"/>
  <c r="Q133" i="2"/>
  <c r="U133" i="2"/>
  <c r="Y135" i="2"/>
  <c r="U135" i="2"/>
  <c r="Q135" i="2"/>
  <c r="M135" i="2"/>
  <c r="G135" i="2"/>
  <c r="K135" i="2"/>
  <c r="P135" i="2"/>
  <c r="V135" i="2"/>
  <c r="AA135" i="2"/>
  <c r="G139" i="2"/>
  <c r="O139" i="2"/>
  <c r="W139" i="2"/>
  <c r="F143" i="2"/>
  <c r="N143" i="2"/>
  <c r="V143" i="2"/>
  <c r="Y147" i="2"/>
  <c r="U147" i="2"/>
  <c r="Q147" i="2"/>
  <c r="M147" i="2"/>
  <c r="I147" i="2"/>
  <c r="E147" i="2"/>
  <c r="AB147" i="2"/>
  <c r="X147" i="2"/>
  <c r="T147" i="2"/>
  <c r="P147" i="2"/>
  <c r="L147" i="2"/>
  <c r="H147" i="2"/>
  <c r="D147" i="2"/>
  <c r="K147" i="2"/>
  <c r="S147" i="2"/>
  <c r="AA147" i="2"/>
  <c r="AA151" i="2"/>
  <c r="W151" i="2"/>
  <c r="S151" i="2"/>
  <c r="O151" i="2"/>
  <c r="K151" i="2"/>
  <c r="G151" i="2"/>
  <c r="Z151" i="2"/>
  <c r="U151" i="2"/>
  <c r="P151" i="2"/>
  <c r="J151" i="2"/>
  <c r="E151" i="2"/>
  <c r="Y151" i="2"/>
  <c r="T151" i="2"/>
  <c r="N151" i="2"/>
  <c r="I151" i="2"/>
  <c r="D151" i="2"/>
  <c r="M151" i="2"/>
  <c r="X151" i="2"/>
  <c r="H153" i="2"/>
  <c r="S153" i="2"/>
  <c r="Y157" i="2"/>
  <c r="U157" i="2"/>
  <c r="Q157" i="2"/>
  <c r="M157" i="2"/>
  <c r="I157" i="2"/>
  <c r="E157" i="2"/>
  <c r="AA157" i="2"/>
  <c r="V157" i="2"/>
  <c r="P157" i="2"/>
  <c r="K157" i="2"/>
  <c r="F157" i="2"/>
  <c r="Z157" i="2"/>
  <c r="T157" i="2"/>
  <c r="O157" i="2"/>
  <c r="J157" i="2"/>
  <c r="D157" i="2"/>
  <c r="N157" i="2"/>
  <c r="X157" i="2"/>
  <c r="H161" i="2"/>
  <c r="S161" i="2"/>
  <c r="Y165" i="2"/>
  <c r="U165" i="2"/>
  <c r="Q165" i="2"/>
  <c r="M165" i="2"/>
  <c r="I165" i="2"/>
  <c r="E165" i="2"/>
  <c r="AA165" i="2"/>
  <c r="V165" i="2"/>
  <c r="P165" i="2"/>
  <c r="K165" i="2"/>
  <c r="F165" i="2"/>
  <c r="Z165" i="2"/>
  <c r="T165" i="2"/>
  <c r="O165" i="2"/>
  <c r="J165" i="2"/>
  <c r="D165" i="2"/>
  <c r="N165" i="2"/>
  <c r="X165" i="2"/>
  <c r="H169" i="2"/>
  <c r="S169" i="2"/>
  <c r="Y173" i="2"/>
  <c r="U173" i="2"/>
  <c r="Q173" i="2"/>
  <c r="M173" i="2"/>
  <c r="I173" i="2"/>
  <c r="E173" i="2"/>
  <c r="AA173" i="2"/>
  <c r="V173" i="2"/>
  <c r="P173" i="2"/>
  <c r="K173" i="2"/>
  <c r="F173" i="2"/>
  <c r="Z173" i="2"/>
  <c r="T173" i="2"/>
  <c r="O173" i="2"/>
  <c r="J173" i="2"/>
  <c r="D173" i="2"/>
  <c r="N173" i="2"/>
  <c r="X173" i="2"/>
  <c r="Z149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5" i="2"/>
  <c r="K155" i="2"/>
  <c r="O155" i="2"/>
  <c r="S155" i="2"/>
  <c r="W155" i="2"/>
  <c r="G159" i="2"/>
  <c r="K159" i="2"/>
  <c r="O159" i="2"/>
  <c r="S159" i="2"/>
  <c r="W159" i="2"/>
  <c r="G163" i="2"/>
  <c r="K163" i="2"/>
  <c r="O163" i="2"/>
  <c r="S163" i="2"/>
  <c r="W163" i="2"/>
  <c r="G167" i="2"/>
  <c r="K167" i="2"/>
  <c r="O167" i="2"/>
  <c r="S167" i="2"/>
  <c r="W167" i="2"/>
  <c r="G171" i="2"/>
  <c r="K171" i="2"/>
  <c r="O171" i="2"/>
  <c r="S171" i="2"/>
  <c r="W171" i="2"/>
  <c r="G175" i="2"/>
  <c r="K175" i="2"/>
  <c r="O175" i="2"/>
  <c r="S175" i="2"/>
  <c r="W175" i="2"/>
  <c r="C113" i="2"/>
  <c r="B115" i="2"/>
  <c r="C89" i="2"/>
  <c r="T90" i="2" s="1"/>
  <c r="C87" i="2"/>
  <c r="S88" i="2" s="1"/>
  <c r="C85" i="2"/>
  <c r="V86" i="2" s="1"/>
  <c r="C83" i="2"/>
  <c r="Q84" i="2" s="1"/>
  <c r="C81" i="2"/>
  <c r="AB82" i="2" s="1"/>
  <c r="C79" i="2"/>
  <c r="AA80" i="2" s="1"/>
  <c r="C77" i="2"/>
  <c r="Z78" i="2" s="1"/>
  <c r="C75" i="2"/>
  <c r="I76" i="2" s="1"/>
  <c r="C67" i="2"/>
  <c r="C55" i="2"/>
  <c r="C323" i="2"/>
  <c r="AA324" i="2" s="1"/>
  <c r="C321" i="2"/>
  <c r="C319" i="2"/>
  <c r="C317" i="2"/>
  <c r="C315" i="2"/>
  <c r="AA316" i="2" s="1"/>
  <c r="C313" i="2"/>
  <c r="V176" i="2" l="1"/>
  <c r="N78" i="2"/>
  <c r="X90" i="2"/>
  <c r="N176" i="2"/>
  <c r="R176" i="2"/>
  <c r="Z176" i="2"/>
  <c r="F176" i="2"/>
  <c r="J176" i="2"/>
  <c r="Q176" i="2"/>
  <c r="D176" i="2"/>
  <c r="M176" i="2"/>
  <c r="H176" i="2"/>
  <c r="W176" i="2"/>
  <c r="Y176" i="2"/>
  <c r="I176" i="2"/>
  <c r="X176" i="2"/>
  <c r="K176" i="2"/>
  <c r="O176" i="2"/>
  <c r="L176" i="2"/>
  <c r="AA176" i="2"/>
  <c r="AB176" i="2"/>
  <c r="S176" i="2"/>
  <c r="U176" i="2"/>
  <c r="E176" i="2"/>
  <c r="T176" i="2"/>
  <c r="P176" i="2"/>
  <c r="G176" i="2"/>
  <c r="AB90" i="2"/>
  <c r="D90" i="2"/>
  <c r="M76" i="2"/>
  <c r="J78" i="2"/>
  <c r="H90" i="2"/>
  <c r="P82" i="2"/>
  <c r="E76" i="2"/>
  <c r="Y76" i="2"/>
  <c r="O80" i="2"/>
  <c r="W88" i="2"/>
  <c r="L90" i="2"/>
  <c r="U76" i="2"/>
  <c r="K80" i="2"/>
  <c r="Y114" i="2"/>
  <c r="U114" i="2"/>
  <c r="Q114" i="2"/>
  <c r="M114" i="2"/>
  <c r="I114" i="2"/>
  <c r="E114" i="2"/>
  <c r="AB114" i="2"/>
  <c r="X114" i="2"/>
  <c r="T114" i="2"/>
  <c r="P114" i="2"/>
  <c r="L114" i="2"/>
  <c r="H114" i="2"/>
  <c r="D114" i="2"/>
  <c r="AA114" i="2"/>
  <c r="W114" i="2"/>
  <c r="S114" i="2"/>
  <c r="O114" i="2"/>
  <c r="K114" i="2"/>
  <c r="G114" i="2"/>
  <c r="Z114" i="2"/>
  <c r="V114" i="2"/>
  <c r="R114" i="2"/>
  <c r="N114" i="2"/>
  <c r="J114" i="2"/>
  <c r="F114" i="2"/>
  <c r="C111" i="2"/>
  <c r="AB56" i="2"/>
  <c r="X56" i="2"/>
  <c r="T56" i="2"/>
  <c r="P56" i="2"/>
  <c r="L56" i="2"/>
  <c r="H56" i="2"/>
  <c r="D56" i="2"/>
  <c r="Z56" i="2"/>
  <c r="U56" i="2"/>
  <c r="O56" i="2"/>
  <c r="J56" i="2"/>
  <c r="E56" i="2"/>
  <c r="S56" i="2"/>
  <c r="I56" i="2"/>
  <c r="W56" i="2"/>
  <c r="M56" i="2"/>
  <c r="V56" i="2"/>
  <c r="Q56" i="2"/>
  <c r="F56" i="2"/>
  <c r="Y56" i="2"/>
  <c r="N56" i="2"/>
  <c r="R56" i="2"/>
  <c r="G56" i="2"/>
  <c r="AA56" i="2"/>
  <c r="K56" i="2"/>
  <c r="AB68" i="2"/>
  <c r="X68" i="2"/>
  <c r="T68" i="2"/>
  <c r="P68" i="2"/>
  <c r="L68" i="2"/>
  <c r="H68" i="2"/>
  <c r="AA68" i="2"/>
  <c r="W68" i="2"/>
  <c r="S68" i="2"/>
  <c r="O68" i="2"/>
  <c r="K68" i="2"/>
  <c r="G68" i="2"/>
  <c r="Z68" i="2"/>
  <c r="V68" i="2"/>
  <c r="R68" i="2"/>
  <c r="N68" i="2"/>
  <c r="J68" i="2"/>
  <c r="F68" i="2"/>
  <c r="Q68" i="2"/>
  <c r="D68" i="2"/>
  <c r="M68" i="2"/>
  <c r="C53" i="2"/>
  <c r="C71" i="2"/>
  <c r="C73" i="2"/>
  <c r="C63" i="2"/>
  <c r="C69" i="2"/>
  <c r="C65" i="2"/>
  <c r="Y86" i="2"/>
  <c r="U86" i="2"/>
  <c r="Q86" i="2"/>
  <c r="M86" i="2"/>
  <c r="I86" i="2"/>
  <c r="E86" i="2"/>
  <c r="AB86" i="2"/>
  <c r="X86" i="2"/>
  <c r="T86" i="2"/>
  <c r="P86" i="2"/>
  <c r="L86" i="2"/>
  <c r="H86" i="2"/>
  <c r="D86" i="2"/>
  <c r="AA86" i="2"/>
  <c r="W86" i="2"/>
  <c r="S86" i="2"/>
  <c r="O86" i="2"/>
  <c r="K86" i="2"/>
  <c r="G86" i="2"/>
  <c r="N86" i="2"/>
  <c r="Z86" i="2"/>
  <c r="J86" i="2"/>
  <c r="I68" i="2"/>
  <c r="AA82" i="2"/>
  <c r="W82" i="2"/>
  <c r="S82" i="2"/>
  <c r="O82" i="2"/>
  <c r="K82" i="2"/>
  <c r="G82" i="2"/>
  <c r="Z82" i="2"/>
  <c r="V82" i="2"/>
  <c r="R82" i="2"/>
  <c r="N82" i="2"/>
  <c r="J82" i="2"/>
  <c r="F82" i="2"/>
  <c r="Y82" i="2"/>
  <c r="U82" i="2"/>
  <c r="Q82" i="2"/>
  <c r="M82" i="2"/>
  <c r="I82" i="2"/>
  <c r="E82" i="2"/>
  <c r="X82" i="2"/>
  <c r="H82" i="2"/>
  <c r="T82" i="2"/>
  <c r="D82" i="2"/>
  <c r="AB84" i="2"/>
  <c r="X84" i="2"/>
  <c r="T84" i="2"/>
  <c r="P84" i="2"/>
  <c r="L84" i="2"/>
  <c r="H84" i="2"/>
  <c r="D84" i="2"/>
  <c r="AA84" i="2"/>
  <c r="W84" i="2"/>
  <c r="S84" i="2"/>
  <c r="O84" i="2"/>
  <c r="K84" i="2"/>
  <c r="G84" i="2"/>
  <c r="Z84" i="2"/>
  <c r="V84" i="2"/>
  <c r="R84" i="2"/>
  <c r="N84" i="2"/>
  <c r="J84" i="2"/>
  <c r="F84" i="2"/>
  <c r="Y84" i="2"/>
  <c r="I84" i="2"/>
  <c r="U84" i="2"/>
  <c r="E84" i="2"/>
  <c r="F86" i="2"/>
  <c r="Z88" i="2"/>
  <c r="V88" i="2"/>
  <c r="R88" i="2"/>
  <c r="N88" i="2"/>
  <c r="J88" i="2"/>
  <c r="F88" i="2"/>
  <c r="Y88" i="2"/>
  <c r="U88" i="2"/>
  <c r="Q88" i="2"/>
  <c r="M88" i="2"/>
  <c r="I88" i="2"/>
  <c r="E88" i="2"/>
  <c r="AB88" i="2"/>
  <c r="X88" i="2"/>
  <c r="T88" i="2"/>
  <c r="P88" i="2"/>
  <c r="L88" i="2"/>
  <c r="H88" i="2"/>
  <c r="D88" i="2"/>
  <c r="O88" i="2"/>
  <c r="AA88" i="2"/>
  <c r="K88" i="2"/>
  <c r="Y68" i="2"/>
  <c r="E68" i="2"/>
  <c r="C57" i="2"/>
  <c r="U68" i="2"/>
  <c r="L82" i="2"/>
  <c r="M84" i="2"/>
  <c r="R86" i="2"/>
  <c r="G88" i="2"/>
  <c r="Y78" i="2"/>
  <c r="U78" i="2"/>
  <c r="Q78" i="2"/>
  <c r="M78" i="2"/>
  <c r="I78" i="2"/>
  <c r="E78" i="2"/>
  <c r="AB78" i="2"/>
  <c r="X78" i="2"/>
  <c r="T78" i="2"/>
  <c r="P78" i="2"/>
  <c r="L78" i="2"/>
  <c r="H78" i="2"/>
  <c r="D78" i="2"/>
  <c r="AA78" i="2"/>
  <c r="W78" i="2"/>
  <c r="S78" i="2"/>
  <c r="O78" i="2"/>
  <c r="K78" i="2"/>
  <c r="G78" i="2"/>
  <c r="R78" i="2"/>
  <c r="Z80" i="2"/>
  <c r="V80" i="2"/>
  <c r="R80" i="2"/>
  <c r="N80" i="2"/>
  <c r="J80" i="2"/>
  <c r="F80" i="2"/>
  <c r="Y80" i="2"/>
  <c r="U80" i="2"/>
  <c r="Q80" i="2"/>
  <c r="M80" i="2"/>
  <c r="I80" i="2"/>
  <c r="E80" i="2"/>
  <c r="AB80" i="2"/>
  <c r="X80" i="2"/>
  <c r="T80" i="2"/>
  <c r="P80" i="2"/>
  <c r="L80" i="2"/>
  <c r="H80" i="2"/>
  <c r="D80" i="2"/>
  <c r="S80" i="2"/>
  <c r="AB76" i="2"/>
  <c r="X76" i="2"/>
  <c r="T76" i="2"/>
  <c r="P76" i="2"/>
  <c r="L76" i="2"/>
  <c r="H76" i="2"/>
  <c r="D76" i="2"/>
  <c r="AA76" i="2"/>
  <c r="W76" i="2"/>
  <c r="S76" i="2"/>
  <c r="O76" i="2"/>
  <c r="K76" i="2"/>
  <c r="G76" i="2"/>
  <c r="Z76" i="2"/>
  <c r="V76" i="2"/>
  <c r="R76" i="2"/>
  <c r="N76" i="2"/>
  <c r="J76" i="2"/>
  <c r="F76" i="2"/>
  <c r="Q76" i="2"/>
  <c r="F78" i="2"/>
  <c r="V78" i="2"/>
  <c r="G80" i="2"/>
  <c r="W80" i="2"/>
  <c r="AA90" i="2"/>
  <c r="W90" i="2"/>
  <c r="S90" i="2"/>
  <c r="O90" i="2"/>
  <c r="K90" i="2"/>
  <c r="G90" i="2"/>
  <c r="Z90" i="2"/>
  <c r="V90" i="2"/>
  <c r="R90" i="2"/>
  <c r="N90" i="2"/>
  <c r="J90" i="2"/>
  <c r="F90" i="2"/>
  <c r="Y90" i="2"/>
  <c r="U90" i="2"/>
  <c r="Q90" i="2"/>
  <c r="M90" i="2"/>
  <c r="I90" i="2"/>
  <c r="E90" i="2"/>
  <c r="P90" i="2"/>
  <c r="AA318" i="2"/>
  <c r="AB318" i="2"/>
  <c r="T318" i="2"/>
  <c r="L318" i="2"/>
  <c r="D318" i="2"/>
  <c r="Y318" i="2"/>
  <c r="Q318" i="2"/>
  <c r="I318" i="2"/>
  <c r="X318" i="2"/>
  <c r="P318" i="2"/>
  <c r="H318" i="2"/>
  <c r="U318" i="2"/>
  <c r="M318" i="2"/>
  <c r="E318" i="2"/>
  <c r="Y320" i="2"/>
  <c r="U320" i="2"/>
  <c r="Q320" i="2"/>
  <c r="M320" i="2"/>
  <c r="I320" i="2"/>
  <c r="E320" i="2"/>
  <c r="AB320" i="2"/>
  <c r="X320" i="2"/>
  <c r="T320" i="2"/>
  <c r="P320" i="2"/>
  <c r="L320" i="2"/>
  <c r="H320" i="2"/>
  <c r="D320" i="2"/>
  <c r="AA320" i="2"/>
  <c r="W320" i="2"/>
  <c r="S320" i="2"/>
  <c r="O320" i="2"/>
  <c r="K320" i="2"/>
  <c r="G320" i="2"/>
  <c r="Z320" i="2"/>
  <c r="V320" i="2"/>
  <c r="R320" i="2"/>
  <c r="N320" i="2"/>
  <c r="J320" i="2"/>
  <c r="F320" i="2"/>
  <c r="Z314" i="2"/>
  <c r="R314" i="2"/>
  <c r="J314" i="2"/>
  <c r="C325" i="2"/>
  <c r="Y314" i="2"/>
  <c r="U314" i="2"/>
  <c r="Q314" i="2"/>
  <c r="M314" i="2"/>
  <c r="I314" i="2"/>
  <c r="E314" i="2"/>
  <c r="AA314" i="2"/>
  <c r="S314" i="2"/>
  <c r="K314" i="2"/>
  <c r="V314" i="2"/>
  <c r="F314" i="2"/>
  <c r="AB314" i="2"/>
  <c r="X314" i="2"/>
  <c r="T314" i="2"/>
  <c r="P314" i="2"/>
  <c r="L314" i="2"/>
  <c r="H314" i="2"/>
  <c r="D314" i="2"/>
  <c r="W314" i="2"/>
  <c r="O314" i="2"/>
  <c r="G314" i="2"/>
  <c r="N314" i="2"/>
  <c r="Z322" i="2"/>
  <c r="V322" i="2"/>
  <c r="R322" i="2"/>
  <c r="N322" i="2"/>
  <c r="J322" i="2"/>
  <c r="F322" i="2"/>
  <c r="Y322" i="2"/>
  <c r="U322" i="2"/>
  <c r="Q322" i="2"/>
  <c r="M322" i="2"/>
  <c r="I322" i="2"/>
  <c r="E322" i="2"/>
  <c r="AB322" i="2"/>
  <c r="X322" i="2"/>
  <c r="T322" i="2"/>
  <c r="P322" i="2"/>
  <c r="L322" i="2"/>
  <c r="H322" i="2"/>
  <c r="D322" i="2"/>
  <c r="AA322" i="2"/>
  <c r="W322" i="2"/>
  <c r="S322" i="2"/>
  <c r="O322" i="2"/>
  <c r="K322" i="2"/>
  <c r="G322" i="2"/>
  <c r="D324" i="2"/>
  <c r="H324" i="2"/>
  <c r="L324" i="2"/>
  <c r="P324" i="2"/>
  <c r="T324" i="2"/>
  <c r="X324" i="2"/>
  <c r="AB324" i="2"/>
  <c r="D316" i="2"/>
  <c r="L316" i="2"/>
  <c r="T316" i="2"/>
  <c r="E316" i="2"/>
  <c r="I316" i="2"/>
  <c r="M316" i="2"/>
  <c r="Q316" i="2"/>
  <c r="U316" i="2"/>
  <c r="Y316" i="2"/>
  <c r="F318" i="2"/>
  <c r="J318" i="2"/>
  <c r="N318" i="2"/>
  <c r="R318" i="2"/>
  <c r="V318" i="2"/>
  <c r="Z318" i="2"/>
  <c r="E324" i="2"/>
  <c r="I324" i="2"/>
  <c r="M324" i="2"/>
  <c r="Q324" i="2"/>
  <c r="U324" i="2"/>
  <c r="Y324" i="2"/>
  <c r="B325" i="2"/>
  <c r="H316" i="2"/>
  <c r="P316" i="2"/>
  <c r="X316" i="2"/>
  <c r="AB316" i="2"/>
  <c r="F316" i="2"/>
  <c r="J316" i="2"/>
  <c r="N316" i="2"/>
  <c r="R316" i="2"/>
  <c r="V316" i="2"/>
  <c r="Z316" i="2"/>
  <c r="G318" i="2"/>
  <c r="K318" i="2"/>
  <c r="O318" i="2"/>
  <c r="S318" i="2"/>
  <c r="W318" i="2"/>
  <c r="F324" i="2"/>
  <c r="J324" i="2"/>
  <c r="N324" i="2"/>
  <c r="R324" i="2"/>
  <c r="V324" i="2"/>
  <c r="Z324" i="2"/>
  <c r="G316" i="2"/>
  <c r="K316" i="2"/>
  <c r="O316" i="2"/>
  <c r="S316" i="2"/>
  <c r="W316" i="2"/>
  <c r="G324" i="2"/>
  <c r="K324" i="2"/>
  <c r="O324" i="2"/>
  <c r="S324" i="2"/>
  <c r="W324" i="2"/>
  <c r="AB112" i="2" l="1"/>
  <c r="AB115" i="2" s="1"/>
  <c r="X112" i="2"/>
  <c r="X115" i="2" s="1"/>
  <c r="T112" i="2"/>
  <c r="T115" i="2" s="1"/>
  <c r="P112" i="2"/>
  <c r="P115" i="2" s="1"/>
  <c r="L112" i="2"/>
  <c r="L115" i="2" s="1"/>
  <c r="H112" i="2"/>
  <c r="H115" i="2" s="1"/>
  <c r="D112" i="2"/>
  <c r="D115" i="2" s="1"/>
  <c r="AA112" i="2"/>
  <c r="AA115" i="2" s="1"/>
  <c r="W112" i="2"/>
  <c r="W115" i="2" s="1"/>
  <c r="S112" i="2"/>
  <c r="S115" i="2" s="1"/>
  <c r="O112" i="2"/>
  <c r="O115" i="2" s="1"/>
  <c r="K112" i="2"/>
  <c r="K115" i="2" s="1"/>
  <c r="G112" i="2"/>
  <c r="G115" i="2" s="1"/>
  <c r="Z112" i="2"/>
  <c r="Z115" i="2" s="1"/>
  <c r="V112" i="2"/>
  <c r="V115" i="2" s="1"/>
  <c r="R112" i="2"/>
  <c r="R115" i="2" s="1"/>
  <c r="N112" i="2"/>
  <c r="N115" i="2" s="1"/>
  <c r="J112" i="2"/>
  <c r="J115" i="2" s="1"/>
  <c r="F112" i="2"/>
  <c r="F115" i="2" s="1"/>
  <c r="C115" i="2"/>
  <c r="Y112" i="2"/>
  <c r="Y115" i="2" s="1"/>
  <c r="U112" i="2"/>
  <c r="U115" i="2" s="1"/>
  <c r="Q112" i="2"/>
  <c r="Q115" i="2" s="1"/>
  <c r="M112" i="2"/>
  <c r="M115" i="2" s="1"/>
  <c r="I112" i="2"/>
  <c r="I115" i="2" s="1"/>
  <c r="E112" i="2"/>
  <c r="E115" i="2" s="1"/>
  <c r="C91" i="2"/>
  <c r="AA54" i="2"/>
  <c r="W54" i="2"/>
  <c r="S54" i="2"/>
  <c r="O54" i="2"/>
  <c r="K54" i="2"/>
  <c r="G54" i="2"/>
  <c r="Z54" i="2"/>
  <c r="U54" i="2"/>
  <c r="P54" i="2"/>
  <c r="J54" i="2"/>
  <c r="E54" i="2"/>
  <c r="Y54" i="2"/>
  <c r="N54" i="2"/>
  <c r="D54" i="2"/>
  <c r="R54" i="2"/>
  <c r="H54" i="2"/>
  <c r="V54" i="2"/>
  <c r="L54" i="2"/>
  <c r="T54" i="2"/>
  <c r="I54" i="2"/>
  <c r="X54" i="2"/>
  <c r="M54" i="2"/>
  <c r="AB54" i="2"/>
  <c r="Q54" i="2"/>
  <c r="F54" i="2"/>
  <c r="Y58" i="2"/>
  <c r="U58" i="2"/>
  <c r="Q58" i="2"/>
  <c r="M58" i="2"/>
  <c r="I58" i="2"/>
  <c r="E58" i="2"/>
  <c r="Z58" i="2"/>
  <c r="T58" i="2"/>
  <c r="O58" i="2"/>
  <c r="J58" i="2"/>
  <c r="D58" i="2"/>
  <c r="AB58" i="2"/>
  <c r="R58" i="2"/>
  <c r="G58" i="2"/>
  <c r="AA58" i="2"/>
  <c r="P58" i="2"/>
  <c r="F58" i="2"/>
  <c r="X58" i="2"/>
  <c r="S58" i="2"/>
  <c r="N58" i="2"/>
  <c r="H58" i="2"/>
  <c r="W58" i="2"/>
  <c r="L58" i="2"/>
  <c r="V58" i="2"/>
  <c r="K58" i="2"/>
  <c r="B91" i="2"/>
  <c r="AA74" i="2"/>
  <c r="W74" i="2"/>
  <c r="S74" i="2"/>
  <c r="O74" i="2"/>
  <c r="K74" i="2"/>
  <c r="G74" i="2"/>
  <c r="Z74" i="2"/>
  <c r="V74" i="2"/>
  <c r="R74" i="2"/>
  <c r="N74" i="2"/>
  <c r="J74" i="2"/>
  <c r="F74" i="2"/>
  <c r="Y74" i="2"/>
  <c r="U74" i="2"/>
  <c r="Q74" i="2"/>
  <c r="M74" i="2"/>
  <c r="I74" i="2"/>
  <c r="E74" i="2"/>
  <c r="P74" i="2"/>
  <c r="AB74" i="2"/>
  <c r="L74" i="2"/>
  <c r="D74" i="2"/>
  <c r="X74" i="2"/>
  <c r="T74" i="2"/>
  <c r="H74" i="2"/>
  <c r="Y70" i="2"/>
  <c r="U70" i="2"/>
  <c r="Q70" i="2"/>
  <c r="M70" i="2"/>
  <c r="I70" i="2"/>
  <c r="E70" i="2"/>
  <c r="AB70" i="2"/>
  <c r="X70" i="2"/>
  <c r="T70" i="2"/>
  <c r="P70" i="2"/>
  <c r="L70" i="2"/>
  <c r="H70" i="2"/>
  <c r="D70" i="2"/>
  <c r="AA70" i="2"/>
  <c r="W70" i="2"/>
  <c r="S70" i="2"/>
  <c r="O70" i="2"/>
  <c r="K70" i="2"/>
  <c r="G70" i="2"/>
  <c r="V70" i="2"/>
  <c r="F70" i="2"/>
  <c r="R70" i="2"/>
  <c r="Z70" i="2"/>
  <c r="N70" i="2"/>
  <c r="J70" i="2"/>
  <c r="Z64" i="2"/>
  <c r="V64" i="2"/>
  <c r="R64" i="2"/>
  <c r="N64" i="2"/>
  <c r="J64" i="2"/>
  <c r="F64" i="2"/>
  <c r="Y64" i="2"/>
  <c r="U64" i="2"/>
  <c r="Q64" i="2"/>
  <c r="W64" i="2"/>
  <c r="O64" i="2"/>
  <c r="I64" i="2"/>
  <c r="D64" i="2"/>
  <c r="AA64" i="2"/>
  <c r="L64" i="2"/>
  <c r="X64" i="2"/>
  <c r="K64" i="2"/>
  <c r="AB64" i="2"/>
  <c r="T64" i="2"/>
  <c r="M64" i="2"/>
  <c r="H64" i="2"/>
  <c r="S64" i="2"/>
  <c r="G64" i="2"/>
  <c r="P64" i="2"/>
  <c r="E64" i="2"/>
  <c r="AA66" i="2"/>
  <c r="W66" i="2"/>
  <c r="S66" i="2"/>
  <c r="O66" i="2"/>
  <c r="K66" i="2"/>
  <c r="G66" i="2"/>
  <c r="Z66" i="2"/>
  <c r="V66" i="2"/>
  <c r="R66" i="2"/>
  <c r="N66" i="2"/>
  <c r="J66" i="2"/>
  <c r="F66" i="2"/>
  <c r="AB66" i="2"/>
  <c r="T66" i="2"/>
  <c r="L66" i="2"/>
  <c r="D66" i="2"/>
  <c r="P66" i="2"/>
  <c r="U66" i="2"/>
  <c r="M66" i="2"/>
  <c r="E66" i="2"/>
  <c r="Y66" i="2"/>
  <c r="Q66" i="2"/>
  <c r="I66" i="2"/>
  <c r="X66" i="2"/>
  <c r="H66" i="2"/>
  <c r="Z72" i="2"/>
  <c r="V72" i="2"/>
  <c r="R72" i="2"/>
  <c r="N72" i="2"/>
  <c r="J72" i="2"/>
  <c r="F72" i="2"/>
  <c r="Y72" i="2"/>
  <c r="U72" i="2"/>
  <c r="Q72" i="2"/>
  <c r="M72" i="2"/>
  <c r="I72" i="2"/>
  <c r="E72" i="2"/>
  <c r="AB72" i="2"/>
  <c r="X72" i="2"/>
  <c r="T72" i="2"/>
  <c r="P72" i="2"/>
  <c r="L72" i="2"/>
  <c r="H72" i="2"/>
  <c r="D72" i="2"/>
  <c r="AA72" i="2"/>
  <c r="K72" i="2"/>
  <c r="W72" i="2"/>
  <c r="G72" i="2"/>
  <c r="O72" i="2"/>
  <c r="S72" i="2"/>
  <c r="T325" i="2"/>
  <c r="V325" i="2"/>
  <c r="F325" i="2"/>
  <c r="AA325" i="2"/>
  <c r="P325" i="2"/>
  <c r="J325" i="2"/>
  <c r="N325" i="2"/>
  <c r="E325" i="2"/>
  <c r="U325" i="2"/>
  <c r="G325" i="2"/>
  <c r="H325" i="2"/>
  <c r="X325" i="2"/>
  <c r="K325" i="2"/>
  <c r="I325" i="2"/>
  <c r="Y325" i="2"/>
  <c r="Z325" i="2"/>
  <c r="W325" i="2"/>
  <c r="Q325" i="2"/>
  <c r="D325" i="2"/>
  <c r="R325" i="2"/>
  <c r="O325" i="2"/>
  <c r="L325" i="2"/>
  <c r="AB325" i="2"/>
  <c r="S325" i="2"/>
  <c r="M325" i="2"/>
  <c r="B12" i="2"/>
  <c r="C12" i="2" s="1"/>
  <c r="AB91" i="2" l="1"/>
  <c r="R91" i="2"/>
  <c r="Z91" i="2"/>
  <c r="M91" i="2"/>
  <c r="D91" i="2"/>
  <c r="G91" i="2"/>
  <c r="F91" i="2"/>
  <c r="X91" i="2"/>
  <c r="V91" i="2"/>
  <c r="N91" i="2"/>
  <c r="P91" i="2"/>
  <c r="K91" i="2"/>
  <c r="AA91" i="2"/>
  <c r="T91" i="2"/>
  <c r="E91" i="2"/>
  <c r="S91" i="2"/>
  <c r="L91" i="2"/>
  <c r="J91" i="2"/>
  <c r="W91" i="2"/>
  <c r="Q91" i="2"/>
  <c r="I91" i="2"/>
  <c r="H91" i="2"/>
  <c r="Y91" i="2"/>
  <c r="U91" i="2"/>
  <c r="O91" i="2"/>
  <c r="E13" i="2"/>
  <c r="P13" i="2"/>
  <c r="D13" i="2"/>
  <c r="T13" i="2"/>
  <c r="AB13" i="2"/>
  <c r="X13" i="2"/>
  <c r="H13" i="2"/>
  <c r="W13" i="2"/>
  <c r="L13" i="2"/>
  <c r="AA13" i="2"/>
  <c r="Z13" i="2"/>
  <c r="R13" i="2"/>
  <c r="J13" i="2"/>
  <c r="S13" i="2"/>
  <c r="O13" i="2"/>
  <c r="K13" i="2"/>
  <c r="G13" i="2"/>
  <c r="V13" i="2"/>
  <c r="N13" i="2"/>
  <c r="F13" i="2"/>
  <c r="Y13" i="2"/>
  <c r="U13" i="2"/>
  <c r="Q13" i="2"/>
  <c r="M13" i="2"/>
  <c r="I13" i="2"/>
  <c r="B344" i="2" l="1"/>
  <c r="C344" i="2" s="1"/>
  <c r="I345" i="2" s="1"/>
  <c r="B342" i="2"/>
  <c r="C342" i="2" s="1"/>
  <c r="B340" i="2"/>
  <c r="C340" i="2" s="1"/>
  <c r="B338" i="2"/>
  <c r="C338" i="2" s="1"/>
  <c r="T339" i="2" s="1"/>
  <c r="B336" i="2"/>
  <c r="C336" i="2" s="1"/>
  <c r="S337" i="2" s="1"/>
  <c r="B334" i="2"/>
  <c r="C304" i="2"/>
  <c r="T305" i="2" s="1"/>
  <c r="C302" i="2"/>
  <c r="I303" i="2" s="1"/>
  <c r="C300" i="2"/>
  <c r="C298" i="2"/>
  <c r="C296" i="2"/>
  <c r="C294" i="2"/>
  <c r="C283" i="2"/>
  <c r="C281" i="2"/>
  <c r="AA282" i="2" s="1"/>
  <c r="B279" i="2"/>
  <c r="C279" i="2" s="1"/>
  <c r="L280" i="2" s="1"/>
  <c r="B277" i="2"/>
  <c r="B268" i="2"/>
  <c r="C266" i="2"/>
  <c r="V267" i="2" s="1"/>
  <c r="C264" i="2"/>
  <c r="C262" i="2"/>
  <c r="C260" i="2"/>
  <c r="R261" i="2" s="1"/>
  <c r="C258" i="2"/>
  <c r="C256" i="2"/>
  <c r="AA257" i="2" s="1"/>
  <c r="B222" i="2"/>
  <c r="C222" i="2" s="1"/>
  <c r="B220" i="2"/>
  <c r="C220" i="2" s="1"/>
  <c r="B218" i="2"/>
  <c r="C218" i="2" s="1"/>
  <c r="B216" i="2"/>
  <c r="C216" i="2" s="1"/>
  <c r="P217" i="2" s="1"/>
  <c r="B214" i="2"/>
  <c r="C214" i="2" s="1"/>
  <c r="B212" i="2"/>
  <c r="C212" i="2" s="1"/>
  <c r="Y213" i="2" s="1"/>
  <c r="B210" i="2"/>
  <c r="C210" i="2" s="1"/>
  <c r="Y211" i="2" s="1"/>
  <c r="B208" i="2"/>
  <c r="C208" i="2" s="1"/>
  <c r="B197" i="2"/>
  <c r="C197" i="2" s="1"/>
  <c r="B195" i="2"/>
  <c r="C195" i="2" s="1"/>
  <c r="AB196" i="2" s="1"/>
  <c r="B193" i="2"/>
  <c r="C193" i="2" s="1"/>
  <c r="B191" i="2"/>
  <c r="C191" i="2" s="1"/>
  <c r="B189" i="2"/>
  <c r="C189" i="2" s="1"/>
  <c r="B187" i="2"/>
  <c r="C187" i="2" s="1"/>
  <c r="S188" i="2" s="1"/>
  <c r="B102" i="2"/>
  <c r="B100" i="2"/>
  <c r="C100" i="2" s="1"/>
  <c r="AA101" i="2" s="1"/>
  <c r="B44" i="2"/>
  <c r="C44" i="2" s="1"/>
  <c r="B42" i="2"/>
  <c r="C42" i="2" s="1"/>
  <c r="AB43" i="2" s="1"/>
  <c r="B40" i="2"/>
  <c r="C40" i="2" s="1"/>
  <c r="B38" i="2"/>
  <c r="C38" i="2" s="1"/>
  <c r="Z39" i="2" s="1"/>
  <c r="B36" i="2"/>
  <c r="C36" i="2" s="1"/>
  <c r="B34" i="2"/>
  <c r="C34" i="2" s="1"/>
  <c r="AB35" i="2" s="1"/>
  <c r="B32" i="2"/>
  <c r="C32" i="2" s="1"/>
  <c r="Z33" i="2" s="1"/>
  <c r="B30" i="2"/>
  <c r="C30" i="2" s="1"/>
  <c r="B26" i="2"/>
  <c r="C26" i="2" s="1"/>
  <c r="B22" i="2"/>
  <c r="C22" i="2" s="1"/>
  <c r="B18" i="2"/>
  <c r="C18" i="2" s="1"/>
  <c r="B24" i="2"/>
  <c r="C24" i="2" s="1"/>
  <c r="B10" i="2"/>
  <c r="C10" i="2" s="1"/>
  <c r="B8" i="2"/>
  <c r="C8" i="2" l="1"/>
  <c r="C334" i="2"/>
  <c r="B346" i="2"/>
  <c r="F257" i="2"/>
  <c r="B285" i="2"/>
  <c r="X43" i="2"/>
  <c r="D211" i="2"/>
  <c r="C277" i="2"/>
  <c r="Z278" i="2" s="1"/>
  <c r="V39" i="2"/>
  <c r="W284" i="2"/>
  <c r="L284" i="2"/>
  <c r="G192" i="2"/>
  <c r="K192" i="2"/>
  <c r="AB198" i="2"/>
  <c r="I198" i="2"/>
  <c r="Z265" i="2"/>
  <c r="G265" i="2"/>
  <c r="Y215" i="2"/>
  <c r="N215" i="2"/>
  <c r="Q257" i="2"/>
  <c r="AB257" i="2"/>
  <c r="K282" i="2"/>
  <c r="AA41" i="2"/>
  <c r="O41" i="2"/>
  <c r="W37" i="2"/>
  <c r="I37" i="2"/>
  <c r="Y37" i="2"/>
  <c r="AB45" i="2"/>
  <c r="I45" i="2"/>
  <c r="Y45" i="2"/>
  <c r="AA301" i="2"/>
  <c r="P301" i="2"/>
  <c r="D301" i="2"/>
  <c r="F39" i="2"/>
  <c r="V209" i="2"/>
  <c r="H209" i="2"/>
  <c r="T213" i="2"/>
  <c r="V213" i="2"/>
  <c r="F213" i="2"/>
  <c r="Q213" i="2"/>
  <c r="E213" i="2"/>
  <c r="AB213" i="2"/>
  <c r="N213" i="2"/>
  <c r="D213" i="2"/>
  <c r="Y219" i="2"/>
  <c r="P219" i="2"/>
  <c r="L213" i="2"/>
  <c r="Y198" i="2"/>
  <c r="K211" i="2"/>
  <c r="Q211" i="2"/>
  <c r="AA267" i="2"/>
  <c r="T267" i="2"/>
  <c r="I267" i="2"/>
  <c r="AB267" i="2"/>
  <c r="Q267" i="2"/>
  <c r="F267" i="2"/>
  <c r="Y267" i="2"/>
  <c r="N267" i="2"/>
  <c r="D267" i="2"/>
  <c r="AB211" i="2"/>
  <c r="L267" i="2"/>
  <c r="I257" i="2"/>
  <c r="T257" i="2"/>
  <c r="W280" i="2"/>
  <c r="D280" i="2"/>
  <c r="X280" i="2"/>
  <c r="P280" i="2"/>
  <c r="L257" i="2"/>
  <c r="V257" i="2"/>
  <c r="D257" i="2"/>
  <c r="N257" i="2"/>
  <c r="Y257" i="2"/>
  <c r="H261" i="2"/>
  <c r="W265" i="2"/>
  <c r="W282" i="2"/>
  <c r="Q284" i="2"/>
  <c r="AB284" i="2"/>
  <c r="M345" i="2"/>
  <c r="G284" i="2"/>
  <c r="Y345" i="2"/>
  <c r="I101" i="2"/>
  <c r="Q101" i="2"/>
  <c r="Y101" i="2"/>
  <c r="M221" i="2"/>
  <c r="AB221" i="2"/>
  <c r="I221" i="2"/>
  <c r="X221" i="2"/>
  <c r="F221" i="2"/>
  <c r="Y295" i="2"/>
  <c r="N295" i="2"/>
  <c r="E295" i="2"/>
  <c r="U295" i="2"/>
  <c r="I295" i="2"/>
  <c r="M295" i="2"/>
  <c r="V295" i="2"/>
  <c r="Q295" i="2"/>
  <c r="F295" i="2"/>
  <c r="M37" i="2"/>
  <c r="W41" i="2"/>
  <c r="M45" i="2"/>
  <c r="D101" i="2"/>
  <c r="L101" i="2"/>
  <c r="T101" i="2"/>
  <c r="AB101" i="2"/>
  <c r="X196" i="2"/>
  <c r="T196" i="2"/>
  <c r="L196" i="2"/>
  <c r="D196" i="2"/>
  <c r="T221" i="2"/>
  <c r="Q37" i="2"/>
  <c r="Q45" i="2"/>
  <c r="E101" i="2"/>
  <c r="M101" i="2"/>
  <c r="U101" i="2"/>
  <c r="X190" i="2"/>
  <c r="T190" i="2"/>
  <c r="L190" i="2"/>
  <c r="D190" i="2"/>
  <c r="AA219" i="2"/>
  <c r="W219" i="2"/>
  <c r="O219" i="2"/>
  <c r="G219" i="2"/>
  <c r="T219" i="2"/>
  <c r="L219" i="2"/>
  <c r="E219" i="2"/>
  <c r="AB219" i="2"/>
  <c r="Q219" i="2"/>
  <c r="K219" i="2"/>
  <c r="D219" i="2"/>
  <c r="AA263" i="2"/>
  <c r="Z263" i="2"/>
  <c r="R263" i="2"/>
  <c r="J263" i="2"/>
  <c r="E37" i="2"/>
  <c r="U37" i="2"/>
  <c r="N39" i="2"/>
  <c r="G41" i="2"/>
  <c r="H43" i="2"/>
  <c r="E45" i="2"/>
  <c r="U45" i="2"/>
  <c r="H101" i="2"/>
  <c r="P101" i="2"/>
  <c r="X101" i="2"/>
  <c r="AB190" i="2"/>
  <c r="S217" i="2"/>
  <c r="K217" i="2"/>
  <c r="AA217" i="2"/>
  <c r="F217" i="2"/>
  <c r="V217" i="2"/>
  <c r="I219" i="2"/>
  <c r="N223" i="2"/>
  <c r="Y223" i="2"/>
  <c r="K223" i="2"/>
  <c r="O192" i="2"/>
  <c r="M198" i="2"/>
  <c r="S209" i="2"/>
  <c r="E211" i="2"/>
  <c r="L211" i="2"/>
  <c r="T211" i="2"/>
  <c r="I213" i="2"/>
  <c r="M261" i="2"/>
  <c r="W192" i="2"/>
  <c r="Q198" i="2"/>
  <c r="G211" i="2"/>
  <c r="O211" i="2"/>
  <c r="W211" i="2"/>
  <c r="E198" i="2"/>
  <c r="U198" i="2"/>
  <c r="I211" i="2"/>
  <c r="P211" i="2"/>
  <c r="AA261" i="2"/>
  <c r="AB261" i="2"/>
  <c r="V261" i="2"/>
  <c r="Q261" i="2"/>
  <c r="L261" i="2"/>
  <c r="F261" i="2"/>
  <c r="Z261" i="2"/>
  <c r="U261" i="2"/>
  <c r="P261" i="2"/>
  <c r="J261" i="2"/>
  <c r="E261" i="2"/>
  <c r="Y261" i="2"/>
  <c r="T261" i="2"/>
  <c r="N261" i="2"/>
  <c r="I261" i="2"/>
  <c r="D261" i="2"/>
  <c r="X261" i="2"/>
  <c r="E257" i="2"/>
  <c r="J257" i="2"/>
  <c r="P257" i="2"/>
  <c r="U257" i="2"/>
  <c r="Z257" i="2"/>
  <c r="N265" i="2"/>
  <c r="H267" i="2"/>
  <c r="M267" i="2"/>
  <c r="R267" i="2"/>
  <c r="X267" i="2"/>
  <c r="R297" i="2"/>
  <c r="Z297" i="2"/>
  <c r="O265" i="2"/>
  <c r="H257" i="2"/>
  <c r="M257" i="2"/>
  <c r="R257" i="2"/>
  <c r="X257" i="2"/>
  <c r="F265" i="2"/>
  <c r="V265" i="2"/>
  <c r="E267" i="2"/>
  <c r="J267" i="2"/>
  <c r="P267" i="2"/>
  <c r="U267" i="2"/>
  <c r="Z267" i="2"/>
  <c r="G280" i="2"/>
  <c r="M282" i="2"/>
  <c r="R282" i="2"/>
  <c r="G282" i="2"/>
  <c r="Q282" i="2"/>
  <c r="T280" i="2"/>
  <c r="H280" i="2"/>
  <c r="O280" i="2"/>
  <c r="AB280" i="2"/>
  <c r="F282" i="2"/>
  <c r="V282" i="2"/>
  <c r="V299" i="2"/>
  <c r="K299" i="2"/>
  <c r="T303" i="2"/>
  <c r="H303" i="2"/>
  <c r="S303" i="2"/>
  <c r="D303" i="2"/>
  <c r="O303" i="2"/>
  <c r="X343" i="2"/>
  <c r="L343" i="2"/>
  <c r="H343" i="2"/>
  <c r="AB343" i="2"/>
  <c r="Y303" i="2"/>
  <c r="F301" i="2"/>
  <c r="T301" i="2"/>
  <c r="J301" i="2"/>
  <c r="Z301" i="2"/>
  <c r="I305" i="2"/>
  <c r="O301" i="2"/>
  <c r="Y23" i="2"/>
  <c r="U23" i="2"/>
  <c r="Q23" i="2"/>
  <c r="M23" i="2"/>
  <c r="I23" i="2"/>
  <c r="E23" i="2"/>
  <c r="X23" i="2"/>
  <c r="T23" i="2"/>
  <c r="L23" i="2"/>
  <c r="D23" i="2"/>
  <c r="R23" i="2"/>
  <c r="F23" i="2"/>
  <c r="AB23" i="2"/>
  <c r="P23" i="2"/>
  <c r="H23" i="2"/>
  <c r="Z23" i="2"/>
  <c r="J23" i="2"/>
  <c r="AA23" i="2"/>
  <c r="W23" i="2"/>
  <c r="S23" i="2"/>
  <c r="O23" i="2"/>
  <c r="K23" i="2"/>
  <c r="G23" i="2"/>
  <c r="V23" i="2"/>
  <c r="N23" i="2"/>
  <c r="Z25" i="2"/>
  <c r="V25" i="2"/>
  <c r="R25" i="2"/>
  <c r="N25" i="2"/>
  <c r="J25" i="2"/>
  <c r="F25" i="2"/>
  <c r="U25" i="2"/>
  <c r="M25" i="2"/>
  <c r="E25" i="2"/>
  <c r="W25" i="2"/>
  <c r="K25" i="2"/>
  <c r="Y25" i="2"/>
  <c r="Q25" i="2"/>
  <c r="I25" i="2"/>
  <c r="O25" i="2"/>
  <c r="AB25" i="2"/>
  <c r="X25" i="2"/>
  <c r="T25" i="2"/>
  <c r="P25" i="2"/>
  <c r="L25" i="2"/>
  <c r="H25" i="2"/>
  <c r="D25" i="2"/>
  <c r="AA25" i="2"/>
  <c r="S25" i="2"/>
  <c r="G25" i="2"/>
  <c r="AA19" i="2"/>
  <c r="W19" i="2"/>
  <c r="S19" i="2"/>
  <c r="O19" i="2"/>
  <c r="K19" i="2"/>
  <c r="G19" i="2"/>
  <c r="Z19" i="2"/>
  <c r="V19" i="2"/>
  <c r="N19" i="2"/>
  <c r="F19" i="2"/>
  <c r="X19" i="2"/>
  <c r="P19" i="2"/>
  <c r="D19" i="2"/>
  <c r="R19" i="2"/>
  <c r="J19" i="2"/>
  <c r="AB19" i="2"/>
  <c r="T19" i="2"/>
  <c r="H19" i="2"/>
  <c r="Y19" i="2"/>
  <c r="U19" i="2"/>
  <c r="Q19" i="2"/>
  <c r="M19" i="2"/>
  <c r="I19" i="2"/>
  <c r="E19" i="2"/>
  <c r="L19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7" i="2"/>
  <c r="W27" i="2"/>
  <c r="S27" i="2"/>
  <c r="O27" i="2"/>
  <c r="K27" i="2"/>
  <c r="G27" i="2"/>
  <c r="V27" i="2"/>
  <c r="R27" i="2"/>
  <c r="J27" i="2"/>
  <c r="AB27" i="2"/>
  <c r="P27" i="2"/>
  <c r="H27" i="2"/>
  <c r="Z27" i="2"/>
  <c r="N27" i="2"/>
  <c r="F27" i="2"/>
  <c r="X27" i="2"/>
  <c r="D27" i="2"/>
  <c r="Y27" i="2"/>
  <c r="U27" i="2"/>
  <c r="Q27" i="2"/>
  <c r="M27" i="2"/>
  <c r="I27" i="2"/>
  <c r="E27" i="2"/>
  <c r="T27" i="2"/>
  <c r="L27" i="2"/>
  <c r="Y31" i="2"/>
  <c r="U31" i="2"/>
  <c r="Q31" i="2"/>
  <c r="M31" i="2"/>
  <c r="I31" i="2"/>
  <c r="E31" i="2"/>
  <c r="AB31" i="2"/>
  <c r="X31" i="2"/>
  <c r="P31" i="2"/>
  <c r="L31" i="2"/>
  <c r="D31" i="2"/>
  <c r="R31" i="2"/>
  <c r="F31" i="2"/>
  <c r="T31" i="2"/>
  <c r="H31" i="2"/>
  <c r="Z31" i="2"/>
  <c r="N31" i="2"/>
  <c r="AA31" i="2"/>
  <c r="W31" i="2"/>
  <c r="S31" i="2"/>
  <c r="O31" i="2"/>
  <c r="K31" i="2"/>
  <c r="G31" i="2"/>
  <c r="V31" i="2"/>
  <c r="J31" i="2"/>
  <c r="G9" i="2"/>
  <c r="S9" i="2"/>
  <c r="G33" i="2"/>
  <c r="O33" i="2"/>
  <c r="W33" i="2"/>
  <c r="R35" i="2"/>
  <c r="D9" i="2"/>
  <c r="H9" i="2"/>
  <c r="L9" i="2"/>
  <c r="P9" i="2"/>
  <c r="T9" i="2"/>
  <c r="X9" i="2"/>
  <c r="AB9" i="2"/>
  <c r="B20" i="2"/>
  <c r="C20" i="2" s="1"/>
  <c r="B28" i="2"/>
  <c r="C28" i="2" s="1"/>
  <c r="D33" i="2"/>
  <c r="H33" i="2"/>
  <c r="L33" i="2"/>
  <c r="P33" i="2"/>
  <c r="T33" i="2"/>
  <c r="X33" i="2"/>
  <c r="AB33" i="2"/>
  <c r="D35" i="2"/>
  <c r="L35" i="2"/>
  <c r="T35" i="2"/>
  <c r="G37" i="2"/>
  <c r="O37" i="2"/>
  <c r="J39" i="2"/>
  <c r="K41" i="2"/>
  <c r="L43" i="2"/>
  <c r="B104" i="2"/>
  <c r="C102" i="2"/>
  <c r="Z188" i="2"/>
  <c r="V188" i="2"/>
  <c r="R188" i="2"/>
  <c r="N188" i="2"/>
  <c r="J188" i="2"/>
  <c r="F188" i="2"/>
  <c r="Y188" i="2"/>
  <c r="U188" i="2"/>
  <c r="Q188" i="2"/>
  <c r="M188" i="2"/>
  <c r="I188" i="2"/>
  <c r="E188" i="2"/>
  <c r="AB188" i="2"/>
  <c r="X188" i="2"/>
  <c r="T188" i="2"/>
  <c r="P188" i="2"/>
  <c r="L188" i="2"/>
  <c r="H188" i="2"/>
  <c r="D188" i="2"/>
  <c r="O188" i="2"/>
  <c r="AA188" i="2"/>
  <c r="K188" i="2"/>
  <c r="W188" i="2"/>
  <c r="G188" i="2"/>
  <c r="K9" i="2"/>
  <c r="W9" i="2"/>
  <c r="K33" i="2"/>
  <c r="AA33" i="2"/>
  <c r="AA35" i="2"/>
  <c r="W35" i="2"/>
  <c r="S35" i="2"/>
  <c r="O35" i="2"/>
  <c r="K35" i="2"/>
  <c r="G35" i="2"/>
  <c r="Y35" i="2"/>
  <c r="U35" i="2"/>
  <c r="Q35" i="2"/>
  <c r="M35" i="2"/>
  <c r="I35" i="2"/>
  <c r="E35" i="2"/>
  <c r="E9" i="2"/>
  <c r="E33" i="2"/>
  <c r="Q33" i="2"/>
  <c r="F35" i="2"/>
  <c r="N35" i="2"/>
  <c r="V35" i="2"/>
  <c r="AA43" i="2"/>
  <c r="W43" i="2"/>
  <c r="S43" i="2"/>
  <c r="O43" i="2"/>
  <c r="K43" i="2"/>
  <c r="G43" i="2"/>
  <c r="Z43" i="2"/>
  <c r="V43" i="2"/>
  <c r="R43" i="2"/>
  <c r="N43" i="2"/>
  <c r="J43" i="2"/>
  <c r="F43" i="2"/>
  <c r="Y43" i="2"/>
  <c r="U43" i="2"/>
  <c r="Q43" i="2"/>
  <c r="M43" i="2"/>
  <c r="I43" i="2"/>
  <c r="E43" i="2"/>
  <c r="P43" i="2"/>
  <c r="AA194" i="2"/>
  <c r="W194" i="2"/>
  <c r="S194" i="2"/>
  <c r="O194" i="2"/>
  <c r="K194" i="2"/>
  <c r="G194" i="2"/>
  <c r="Z194" i="2"/>
  <c r="V194" i="2"/>
  <c r="R194" i="2"/>
  <c r="N194" i="2"/>
  <c r="J194" i="2"/>
  <c r="F194" i="2"/>
  <c r="Y194" i="2"/>
  <c r="U194" i="2"/>
  <c r="Q194" i="2"/>
  <c r="M194" i="2"/>
  <c r="I194" i="2"/>
  <c r="E194" i="2"/>
  <c r="AB194" i="2"/>
  <c r="L194" i="2"/>
  <c r="X194" i="2"/>
  <c r="H194" i="2"/>
  <c r="T194" i="2"/>
  <c r="D194" i="2"/>
  <c r="O9" i="2"/>
  <c r="AA9" i="2"/>
  <c r="S33" i="2"/>
  <c r="J35" i="2"/>
  <c r="Z35" i="2"/>
  <c r="I9" i="2"/>
  <c r="M9" i="2"/>
  <c r="U9" i="2"/>
  <c r="Y9" i="2"/>
  <c r="I33" i="2"/>
  <c r="M33" i="2"/>
  <c r="U33" i="2"/>
  <c r="Y33" i="2"/>
  <c r="F9" i="2"/>
  <c r="J9" i="2"/>
  <c r="N9" i="2"/>
  <c r="R9" i="2"/>
  <c r="V9" i="2"/>
  <c r="Z9" i="2"/>
  <c r="F33" i="2"/>
  <c r="J33" i="2"/>
  <c r="N33" i="2"/>
  <c r="R33" i="2"/>
  <c r="V33" i="2"/>
  <c r="H35" i="2"/>
  <c r="P35" i="2"/>
  <c r="X35" i="2"/>
  <c r="AB37" i="2"/>
  <c r="X37" i="2"/>
  <c r="T37" i="2"/>
  <c r="P37" i="2"/>
  <c r="L37" i="2"/>
  <c r="H37" i="2"/>
  <c r="D37" i="2"/>
  <c r="AA37" i="2"/>
  <c r="Z37" i="2"/>
  <c r="V37" i="2"/>
  <c r="R37" i="2"/>
  <c r="N37" i="2"/>
  <c r="J37" i="2"/>
  <c r="F37" i="2"/>
  <c r="K37" i="2"/>
  <c r="S37" i="2"/>
  <c r="Y39" i="2"/>
  <c r="U39" i="2"/>
  <c r="Q39" i="2"/>
  <c r="M39" i="2"/>
  <c r="I39" i="2"/>
  <c r="E39" i="2"/>
  <c r="AB39" i="2"/>
  <c r="X39" i="2"/>
  <c r="T39" i="2"/>
  <c r="P39" i="2"/>
  <c r="L39" i="2"/>
  <c r="H39" i="2"/>
  <c r="D39" i="2"/>
  <c r="AA39" i="2"/>
  <c r="W39" i="2"/>
  <c r="S39" i="2"/>
  <c r="O39" i="2"/>
  <c r="K39" i="2"/>
  <c r="G39" i="2"/>
  <c r="R39" i="2"/>
  <c r="Z41" i="2"/>
  <c r="V41" i="2"/>
  <c r="R41" i="2"/>
  <c r="N41" i="2"/>
  <c r="J41" i="2"/>
  <c r="F41" i="2"/>
  <c r="Y41" i="2"/>
  <c r="U41" i="2"/>
  <c r="Q41" i="2"/>
  <c r="M41" i="2"/>
  <c r="I41" i="2"/>
  <c r="E41" i="2"/>
  <c r="AB41" i="2"/>
  <c r="X41" i="2"/>
  <c r="T41" i="2"/>
  <c r="P41" i="2"/>
  <c r="L41" i="2"/>
  <c r="H41" i="2"/>
  <c r="D41" i="2"/>
  <c r="S41" i="2"/>
  <c r="D43" i="2"/>
  <c r="T43" i="2"/>
  <c r="P194" i="2"/>
  <c r="F45" i="2"/>
  <c r="J45" i="2"/>
  <c r="N45" i="2"/>
  <c r="R45" i="2"/>
  <c r="V45" i="2"/>
  <c r="Z45" i="2"/>
  <c r="F101" i="2"/>
  <c r="J101" i="2"/>
  <c r="N101" i="2"/>
  <c r="R101" i="2"/>
  <c r="V101" i="2"/>
  <c r="Z101" i="2"/>
  <c r="H190" i="2"/>
  <c r="Z192" i="2"/>
  <c r="V192" i="2"/>
  <c r="R192" i="2"/>
  <c r="N192" i="2"/>
  <c r="J192" i="2"/>
  <c r="F192" i="2"/>
  <c r="Y192" i="2"/>
  <c r="U192" i="2"/>
  <c r="Q192" i="2"/>
  <c r="M192" i="2"/>
  <c r="I192" i="2"/>
  <c r="E192" i="2"/>
  <c r="AB192" i="2"/>
  <c r="X192" i="2"/>
  <c r="T192" i="2"/>
  <c r="P192" i="2"/>
  <c r="L192" i="2"/>
  <c r="H192" i="2"/>
  <c r="D192" i="2"/>
  <c r="S192" i="2"/>
  <c r="G45" i="2"/>
  <c r="K45" i="2"/>
  <c r="O45" i="2"/>
  <c r="S45" i="2"/>
  <c r="W45" i="2"/>
  <c r="AA45" i="2"/>
  <c r="G101" i="2"/>
  <c r="K101" i="2"/>
  <c r="O101" i="2"/>
  <c r="S101" i="2"/>
  <c r="W101" i="2"/>
  <c r="D45" i="2"/>
  <c r="H45" i="2"/>
  <c r="L45" i="2"/>
  <c r="P45" i="2"/>
  <c r="T45" i="2"/>
  <c r="X45" i="2"/>
  <c r="AA190" i="2"/>
  <c r="W190" i="2"/>
  <c r="S190" i="2"/>
  <c r="O190" i="2"/>
  <c r="K190" i="2"/>
  <c r="G190" i="2"/>
  <c r="Z190" i="2"/>
  <c r="V190" i="2"/>
  <c r="R190" i="2"/>
  <c r="N190" i="2"/>
  <c r="J190" i="2"/>
  <c r="F190" i="2"/>
  <c r="Y190" i="2"/>
  <c r="U190" i="2"/>
  <c r="Q190" i="2"/>
  <c r="M190" i="2"/>
  <c r="I190" i="2"/>
  <c r="E190" i="2"/>
  <c r="P190" i="2"/>
  <c r="AA192" i="2"/>
  <c r="H196" i="2"/>
  <c r="C199" i="2"/>
  <c r="B199" i="2"/>
  <c r="AA196" i="2"/>
  <c r="W196" i="2"/>
  <c r="S196" i="2"/>
  <c r="O196" i="2"/>
  <c r="K196" i="2"/>
  <c r="G196" i="2"/>
  <c r="Z196" i="2"/>
  <c r="V196" i="2"/>
  <c r="R196" i="2"/>
  <c r="N196" i="2"/>
  <c r="J196" i="2"/>
  <c r="F196" i="2"/>
  <c r="Y196" i="2"/>
  <c r="U196" i="2"/>
  <c r="Q196" i="2"/>
  <c r="M196" i="2"/>
  <c r="I196" i="2"/>
  <c r="E196" i="2"/>
  <c r="P196" i="2"/>
  <c r="AB215" i="2"/>
  <c r="X215" i="2"/>
  <c r="T215" i="2"/>
  <c r="P215" i="2"/>
  <c r="L215" i="2"/>
  <c r="H215" i="2"/>
  <c r="D215" i="2"/>
  <c r="Z215" i="2"/>
  <c r="U215" i="2"/>
  <c r="O215" i="2"/>
  <c r="J215" i="2"/>
  <c r="E215" i="2"/>
  <c r="W215" i="2"/>
  <c r="R215" i="2"/>
  <c r="M215" i="2"/>
  <c r="G215" i="2"/>
  <c r="V215" i="2"/>
  <c r="K215" i="2"/>
  <c r="S215" i="2"/>
  <c r="I215" i="2"/>
  <c r="AA215" i="2"/>
  <c r="Q215" i="2"/>
  <c r="F215" i="2"/>
  <c r="F198" i="2"/>
  <c r="J198" i="2"/>
  <c r="N198" i="2"/>
  <c r="R198" i="2"/>
  <c r="V198" i="2"/>
  <c r="Z198" i="2"/>
  <c r="K209" i="2"/>
  <c r="H217" i="2"/>
  <c r="AA221" i="2"/>
  <c r="W221" i="2"/>
  <c r="S221" i="2"/>
  <c r="O221" i="2"/>
  <c r="K221" i="2"/>
  <c r="G221" i="2"/>
  <c r="Z221" i="2"/>
  <c r="U221" i="2"/>
  <c r="P221" i="2"/>
  <c r="J221" i="2"/>
  <c r="E221" i="2"/>
  <c r="V221" i="2"/>
  <c r="N221" i="2"/>
  <c r="H221" i="2"/>
  <c r="Y221" i="2"/>
  <c r="R221" i="2"/>
  <c r="L221" i="2"/>
  <c r="D221" i="2"/>
  <c r="Q221" i="2"/>
  <c r="G198" i="2"/>
  <c r="K198" i="2"/>
  <c r="O198" i="2"/>
  <c r="S198" i="2"/>
  <c r="W198" i="2"/>
  <c r="AA198" i="2"/>
  <c r="Y209" i="2"/>
  <c r="U209" i="2"/>
  <c r="Q209" i="2"/>
  <c r="M209" i="2"/>
  <c r="I209" i="2"/>
  <c r="E209" i="2"/>
  <c r="AB209" i="2"/>
  <c r="W209" i="2"/>
  <c r="R209" i="2"/>
  <c r="L209" i="2"/>
  <c r="G209" i="2"/>
  <c r="Z209" i="2"/>
  <c r="T209" i="2"/>
  <c r="O209" i="2"/>
  <c r="J209" i="2"/>
  <c r="D209" i="2"/>
  <c r="N209" i="2"/>
  <c r="X209" i="2"/>
  <c r="AB223" i="2"/>
  <c r="X223" i="2"/>
  <c r="T223" i="2"/>
  <c r="P223" i="2"/>
  <c r="L223" i="2"/>
  <c r="H223" i="2"/>
  <c r="D223" i="2"/>
  <c r="Z223" i="2"/>
  <c r="U223" i="2"/>
  <c r="O223" i="2"/>
  <c r="J223" i="2"/>
  <c r="E223" i="2"/>
  <c r="W223" i="2"/>
  <c r="Q223" i="2"/>
  <c r="I223" i="2"/>
  <c r="AA223" i="2"/>
  <c r="S223" i="2"/>
  <c r="M223" i="2"/>
  <c r="F223" i="2"/>
  <c r="R223" i="2"/>
  <c r="Y259" i="2"/>
  <c r="U259" i="2"/>
  <c r="Q259" i="2"/>
  <c r="M259" i="2"/>
  <c r="I259" i="2"/>
  <c r="E259" i="2"/>
  <c r="AB259" i="2"/>
  <c r="X259" i="2"/>
  <c r="T259" i="2"/>
  <c r="P259" i="2"/>
  <c r="L259" i="2"/>
  <c r="H259" i="2"/>
  <c r="D259" i="2"/>
  <c r="Z259" i="2"/>
  <c r="R259" i="2"/>
  <c r="J259" i="2"/>
  <c r="W259" i="2"/>
  <c r="O259" i="2"/>
  <c r="G259" i="2"/>
  <c r="N259" i="2"/>
  <c r="AA259" i="2"/>
  <c r="K259" i="2"/>
  <c r="V259" i="2"/>
  <c r="F259" i="2"/>
  <c r="D198" i="2"/>
  <c r="H198" i="2"/>
  <c r="L198" i="2"/>
  <c r="P198" i="2"/>
  <c r="T198" i="2"/>
  <c r="X198" i="2"/>
  <c r="C224" i="2"/>
  <c r="F209" i="2"/>
  <c r="P209" i="2"/>
  <c r="AA209" i="2"/>
  <c r="Y217" i="2"/>
  <c r="U217" i="2"/>
  <c r="Q217" i="2"/>
  <c r="M217" i="2"/>
  <c r="I217" i="2"/>
  <c r="E217" i="2"/>
  <c r="Z217" i="2"/>
  <c r="T217" i="2"/>
  <c r="O217" i="2"/>
  <c r="J217" i="2"/>
  <c r="D217" i="2"/>
  <c r="AB217" i="2"/>
  <c r="W217" i="2"/>
  <c r="R217" i="2"/>
  <c r="L217" i="2"/>
  <c r="G217" i="2"/>
  <c r="N217" i="2"/>
  <c r="X217" i="2"/>
  <c r="G223" i="2"/>
  <c r="V223" i="2"/>
  <c r="S259" i="2"/>
  <c r="Z211" i="2"/>
  <c r="V211" i="2"/>
  <c r="R211" i="2"/>
  <c r="N211" i="2"/>
  <c r="J211" i="2"/>
  <c r="F211" i="2"/>
  <c r="H211" i="2"/>
  <c r="M211" i="2"/>
  <c r="S211" i="2"/>
  <c r="X211" i="2"/>
  <c r="AA213" i="2"/>
  <c r="W213" i="2"/>
  <c r="S213" i="2"/>
  <c r="O213" i="2"/>
  <c r="K213" i="2"/>
  <c r="G213" i="2"/>
  <c r="H213" i="2"/>
  <c r="M213" i="2"/>
  <c r="R213" i="2"/>
  <c r="X213" i="2"/>
  <c r="U219" i="2"/>
  <c r="B224" i="2"/>
  <c r="C268" i="2"/>
  <c r="K263" i="2"/>
  <c r="U211" i="2"/>
  <c r="AA211" i="2"/>
  <c r="J213" i="2"/>
  <c r="P213" i="2"/>
  <c r="U213" i="2"/>
  <c r="Z213" i="2"/>
  <c r="Z219" i="2"/>
  <c r="V219" i="2"/>
  <c r="R219" i="2"/>
  <c r="N219" i="2"/>
  <c r="J219" i="2"/>
  <c r="F219" i="2"/>
  <c r="H219" i="2"/>
  <c r="M219" i="2"/>
  <c r="S219" i="2"/>
  <c r="X219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W263" i="2"/>
  <c r="O263" i="2"/>
  <c r="G263" i="2"/>
  <c r="V263" i="2"/>
  <c r="N263" i="2"/>
  <c r="F263" i="2"/>
  <c r="S263" i="2"/>
  <c r="J265" i="2"/>
  <c r="R265" i="2"/>
  <c r="C306" i="2"/>
  <c r="Y265" i="2"/>
  <c r="U265" i="2"/>
  <c r="Q265" i="2"/>
  <c r="M265" i="2"/>
  <c r="I265" i="2"/>
  <c r="E265" i="2"/>
  <c r="AB265" i="2"/>
  <c r="X265" i="2"/>
  <c r="T265" i="2"/>
  <c r="P265" i="2"/>
  <c r="L265" i="2"/>
  <c r="H265" i="2"/>
  <c r="D265" i="2"/>
  <c r="K265" i="2"/>
  <c r="S265" i="2"/>
  <c r="AA265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W297" i="2"/>
  <c r="O297" i="2"/>
  <c r="G297" i="2"/>
  <c r="V297" i="2"/>
  <c r="N297" i="2"/>
  <c r="F297" i="2"/>
  <c r="AA297" i="2"/>
  <c r="S297" i="2"/>
  <c r="K297" i="2"/>
  <c r="G257" i="2"/>
  <c r="K257" i="2"/>
  <c r="O257" i="2"/>
  <c r="S257" i="2"/>
  <c r="W257" i="2"/>
  <c r="G261" i="2"/>
  <c r="K261" i="2"/>
  <c r="O261" i="2"/>
  <c r="S261" i="2"/>
  <c r="W261" i="2"/>
  <c r="G267" i="2"/>
  <c r="K267" i="2"/>
  <c r="O267" i="2"/>
  <c r="S267" i="2"/>
  <c r="W267" i="2"/>
  <c r="Z280" i="2"/>
  <c r="V280" i="2"/>
  <c r="R280" i="2"/>
  <c r="N280" i="2"/>
  <c r="J280" i="2"/>
  <c r="F280" i="2"/>
  <c r="Y280" i="2"/>
  <c r="U280" i="2"/>
  <c r="Q280" i="2"/>
  <c r="M280" i="2"/>
  <c r="I280" i="2"/>
  <c r="E280" i="2"/>
  <c r="K280" i="2"/>
  <c r="S280" i="2"/>
  <c r="AA280" i="2"/>
  <c r="J297" i="2"/>
  <c r="AB299" i="2"/>
  <c r="X299" i="2"/>
  <c r="T299" i="2"/>
  <c r="P299" i="2"/>
  <c r="L299" i="2"/>
  <c r="H299" i="2"/>
  <c r="D299" i="2"/>
  <c r="Y299" i="2"/>
  <c r="S299" i="2"/>
  <c r="N299" i="2"/>
  <c r="I299" i="2"/>
  <c r="W299" i="2"/>
  <c r="R299" i="2"/>
  <c r="M299" i="2"/>
  <c r="G299" i="2"/>
  <c r="U299" i="2"/>
  <c r="J299" i="2"/>
  <c r="AA299" i="2"/>
  <c r="Q299" i="2"/>
  <c r="F299" i="2"/>
  <c r="Z299" i="2"/>
  <c r="O299" i="2"/>
  <c r="E299" i="2"/>
  <c r="Z284" i="2"/>
  <c r="V284" i="2"/>
  <c r="R284" i="2"/>
  <c r="N284" i="2"/>
  <c r="J284" i="2"/>
  <c r="F284" i="2"/>
  <c r="H284" i="2"/>
  <c r="M284" i="2"/>
  <c r="S284" i="2"/>
  <c r="X284" i="2"/>
  <c r="AA305" i="2"/>
  <c r="W305" i="2"/>
  <c r="S305" i="2"/>
  <c r="O305" i="2"/>
  <c r="K305" i="2"/>
  <c r="G305" i="2"/>
  <c r="AB305" i="2"/>
  <c r="V305" i="2"/>
  <c r="Q305" i="2"/>
  <c r="L305" i="2"/>
  <c r="F305" i="2"/>
  <c r="Z305" i="2"/>
  <c r="U305" i="2"/>
  <c r="P305" i="2"/>
  <c r="J305" i="2"/>
  <c r="E305" i="2"/>
  <c r="M305" i="2"/>
  <c r="X305" i="2"/>
  <c r="AB282" i="2"/>
  <c r="X282" i="2"/>
  <c r="T282" i="2"/>
  <c r="P282" i="2"/>
  <c r="L282" i="2"/>
  <c r="H282" i="2"/>
  <c r="D282" i="2"/>
  <c r="I282" i="2"/>
  <c r="N282" i="2"/>
  <c r="S282" i="2"/>
  <c r="Y282" i="2"/>
  <c r="D284" i="2"/>
  <c r="I284" i="2"/>
  <c r="O284" i="2"/>
  <c r="T284" i="2"/>
  <c r="Y284" i="2"/>
  <c r="D305" i="2"/>
  <c r="N305" i="2"/>
  <c r="Y305" i="2"/>
  <c r="E282" i="2"/>
  <c r="J282" i="2"/>
  <c r="O282" i="2"/>
  <c r="U282" i="2"/>
  <c r="Z282" i="2"/>
  <c r="E284" i="2"/>
  <c r="K284" i="2"/>
  <c r="P284" i="2"/>
  <c r="U284" i="2"/>
  <c r="AA284" i="2"/>
  <c r="AB295" i="2"/>
  <c r="X295" i="2"/>
  <c r="T295" i="2"/>
  <c r="P295" i="2"/>
  <c r="L295" i="2"/>
  <c r="H295" i="2"/>
  <c r="D295" i="2"/>
  <c r="AA295" i="2"/>
  <c r="W295" i="2"/>
  <c r="S295" i="2"/>
  <c r="O295" i="2"/>
  <c r="K295" i="2"/>
  <c r="G295" i="2"/>
  <c r="J295" i="2"/>
  <c r="R295" i="2"/>
  <c r="Z295" i="2"/>
  <c r="Y301" i="2"/>
  <c r="U301" i="2"/>
  <c r="Q301" i="2"/>
  <c r="M301" i="2"/>
  <c r="I301" i="2"/>
  <c r="E301" i="2"/>
  <c r="X301" i="2"/>
  <c r="S301" i="2"/>
  <c r="N301" i="2"/>
  <c r="H301" i="2"/>
  <c r="AB301" i="2"/>
  <c r="W301" i="2"/>
  <c r="R301" i="2"/>
  <c r="L301" i="2"/>
  <c r="G301" i="2"/>
  <c r="K301" i="2"/>
  <c r="V301" i="2"/>
  <c r="Z303" i="2"/>
  <c r="V303" i="2"/>
  <c r="R303" i="2"/>
  <c r="N303" i="2"/>
  <c r="J303" i="2"/>
  <c r="F303" i="2"/>
  <c r="AB303" i="2"/>
  <c r="W303" i="2"/>
  <c r="Q303" i="2"/>
  <c r="L303" i="2"/>
  <c r="G303" i="2"/>
  <c r="AA303" i="2"/>
  <c r="U303" i="2"/>
  <c r="P303" i="2"/>
  <c r="K303" i="2"/>
  <c r="E303" i="2"/>
  <c r="M303" i="2"/>
  <c r="X303" i="2"/>
  <c r="H305" i="2"/>
  <c r="R305" i="2"/>
  <c r="B306" i="2"/>
  <c r="AA339" i="2"/>
  <c r="W339" i="2"/>
  <c r="S339" i="2"/>
  <c r="O339" i="2"/>
  <c r="K339" i="2"/>
  <c r="G339" i="2"/>
  <c r="Z339" i="2"/>
  <c r="V339" i="2"/>
  <c r="R339" i="2"/>
  <c r="N339" i="2"/>
  <c r="J339" i="2"/>
  <c r="F339" i="2"/>
  <c r="Y339" i="2"/>
  <c r="U339" i="2"/>
  <c r="Q339" i="2"/>
  <c r="M339" i="2"/>
  <c r="I339" i="2"/>
  <c r="E339" i="2"/>
  <c r="AB339" i="2"/>
  <c r="L339" i="2"/>
  <c r="X339" i="2"/>
  <c r="H339" i="2"/>
  <c r="P339" i="2"/>
  <c r="D339" i="2"/>
  <c r="AB341" i="2"/>
  <c r="X341" i="2"/>
  <c r="T341" i="2"/>
  <c r="P341" i="2"/>
  <c r="L341" i="2"/>
  <c r="H341" i="2"/>
  <c r="D341" i="2"/>
  <c r="AA341" i="2"/>
  <c r="W341" i="2"/>
  <c r="S341" i="2"/>
  <c r="O341" i="2"/>
  <c r="K341" i="2"/>
  <c r="G341" i="2"/>
  <c r="Z341" i="2"/>
  <c r="V341" i="2"/>
  <c r="R341" i="2"/>
  <c r="N341" i="2"/>
  <c r="J341" i="2"/>
  <c r="F341" i="2"/>
  <c r="M341" i="2"/>
  <c r="Y341" i="2"/>
  <c r="I341" i="2"/>
  <c r="Q341" i="2"/>
  <c r="E341" i="2"/>
  <c r="U341" i="2"/>
  <c r="Y335" i="2"/>
  <c r="U335" i="2"/>
  <c r="Q335" i="2"/>
  <c r="M335" i="2"/>
  <c r="I335" i="2"/>
  <c r="E335" i="2"/>
  <c r="AB335" i="2"/>
  <c r="X335" i="2"/>
  <c r="T335" i="2"/>
  <c r="P335" i="2"/>
  <c r="L335" i="2"/>
  <c r="H335" i="2"/>
  <c r="D335" i="2"/>
  <c r="AA335" i="2"/>
  <c r="W335" i="2"/>
  <c r="S335" i="2"/>
  <c r="O335" i="2"/>
  <c r="K335" i="2"/>
  <c r="G335" i="2"/>
  <c r="Z335" i="2"/>
  <c r="J335" i="2"/>
  <c r="V335" i="2"/>
  <c r="F335" i="2"/>
  <c r="Z337" i="2"/>
  <c r="V337" i="2"/>
  <c r="R337" i="2"/>
  <c r="N337" i="2"/>
  <c r="J337" i="2"/>
  <c r="F337" i="2"/>
  <c r="Y337" i="2"/>
  <c r="U337" i="2"/>
  <c r="Q337" i="2"/>
  <c r="M337" i="2"/>
  <c r="I337" i="2"/>
  <c r="E337" i="2"/>
  <c r="AB337" i="2"/>
  <c r="X337" i="2"/>
  <c r="T337" i="2"/>
  <c r="P337" i="2"/>
  <c r="L337" i="2"/>
  <c r="H337" i="2"/>
  <c r="D337" i="2"/>
  <c r="AA337" i="2"/>
  <c r="K337" i="2"/>
  <c r="W337" i="2"/>
  <c r="G337" i="2"/>
  <c r="N335" i="2"/>
  <c r="O337" i="2"/>
  <c r="AA343" i="2"/>
  <c r="W343" i="2"/>
  <c r="S343" i="2"/>
  <c r="O343" i="2"/>
  <c r="K343" i="2"/>
  <c r="G343" i="2"/>
  <c r="Z343" i="2"/>
  <c r="V343" i="2"/>
  <c r="R343" i="2"/>
  <c r="N343" i="2"/>
  <c r="J343" i="2"/>
  <c r="F343" i="2"/>
  <c r="Y343" i="2"/>
  <c r="U343" i="2"/>
  <c r="Q343" i="2"/>
  <c r="M343" i="2"/>
  <c r="I343" i="2"/>
  <c r="E343" i="2"/>
  <c r="P343" i="2"/>
  <c r="AA345" i="2"/>
  <c r="X345" i="2"/>
  <c r="T345" i="2"/>
  <c r="P345" i="2"/>
  <c r="L345" i="2"/>
  <c r="H345" i="2"/>
  <c r="D345" i="2"/>
  <c r="AB345" i="2"/>
  <c r="W345" i="2"/>
  <c r="S345" i="2"/>
  <c r="O345" i="2"/>
  <c r="K345" i="2"/>
  <c r="G345" i="2"/>
  <c r="Z345" i="2"/>
  <c r="V345" i="2"/>
  <c r="R345" i="2"/>
  <c r="N345" i="2"/>
  <c r="J345" i="2"/>
  <c r="F345" i="2"/>
  <c r="Q345" i="2"/>
  <c r="D343" i="2"/>
  <c r="T343" i="2"/>
  <c r="E345" i="2"/>
  <c r="U345" i="2"/>
  <c r="H346" i="2" l="1"/>
  <c r="T199" i="2"/>
  <c r="W268" i="2"/>
  <c r="L346" i="2"/>
  <c r="G268" i="2"/>
  <c r="AA268" i="2"/>
  <c r="W224" i="2"/>
  <c r="V346" i="2"/>
  <c r="AA346" i="2"/>
  <c r="L306" i="2"/>
  <c r="AB306" i="2"/>
  <c r="S268" i="2"/>
  <c r="R224" i="2"/>
  <c r="F224" i="2"/>
  <c r="O224" i="2"/>
  <c r="L224" i="2"/>
  <c r="K224" i="2"/>
  <c r="K346" i="2"/>
  <c r="P346" i="2"/>
  <c r="U346" i="2"/>
  <c r="W306" i="2"/>
  <c r="U224" i="2"/>
  <c r="J346" i="2"/>
  <c r="O346" i="2"/>
  <c r="D346" i="2"/>
  <c r="T346" i="2"/>
  <c r="I346" i="2"/>
  <c r="Y346" i="2"/>
  <c r="H306" i="2"/>
  <c r="Z306" i="2"/>
  <c r="K306" i="2"/>
  <c r="AA306" i="2"/>
  <c r="P306" i="2"/>
  <c r="F306" i="2"/>
  <c r="S306" i="2"/>
  <c r="O268" i="2"/>
  <c r="T306" i="2"/>
  <c r="M224" i="2"/>
  <c r="N224" i="2"/>
  <c r="I224" i="2"/>
  <c r="K199" i="2"/>
  <c r="M199" i="2"/>
  <c r="F199" i="2"/>
  <c r="V199" i="2"/>
  <c r="R268" i="2"/>
  <c r="U268" i="2"/>
  <c r="E306" i="2"/>
  <c r="L268" i="2"/>
  <c r="F268" i="2"/>
  <c r="AB268" i="2"/>
  <c r="Z285" i="2"/>
  <c r="B46" i="2"/>
  <c r="E346" i="2"/>
  <c r="V306" i="2"/>
  <c r="E224" i="2"/>
  <c r="Z346" i="2"/>
  <c r="S346" i="2"/>
  <c r="X346" i="2"/>
  <c r="M346" i="2"/>
  <c r="R306" i="2"/>
  <c r="O306" i="2"/>
  <c r="X306" i="2"/>
  <c r="G306" i="2"/>
  <c r="K268" i="2"/>
  <c r="AA224" i="2"/>
  <c r="X199" i="2"/>
  <c r="H199" i="2"/>
  <c r="Z224" i="2"/>
  <c r="AA199" i="2"/>
  <c r="L199" i="2"/>
  <c r="AB199" i="2"/>
  <c r="J199" i="2"/>
  <c r="Z199" i="2"/>
  <c r="M268" i="2"/>
  <c r="P268" i="2"/>
  <c r="N306" i="2"/>
  <c r="T268" i="2"/>
  <c r="V224" i="2"/>
  <c r="Q268" i="2"/>
  <c r="D224" i="2"/>
  <c r="Q9" i="2"/>
  <c r="C46" i="2"/>
  <c r="G346" i="2"/>
  <c r="W346" i="2"/>
  <c r="AB346" i="2"/>
  <c r="Q346" i="2"/>
  <c r="J306" i="2"/>
  <c r="Y306" i="2"/>
  <c r="P224" i="2"/>
  <c r="J224" i="2"/>
  <c r="G224" i="2"/>
  <c r="AB224" i="2"/>
  <c r="R199" i="2"/>
  <c r="S224" i="2"/>
  <c r="G199" i="2"/>
  <c r="O199" i="2"/>
  <c r="P199" i="2"/>
  <c r="E199" i="2"/>
  <c r="U199" i="2"/>
  <c r="N199" i="2"/>
  <c r="J268" i="2"/>
  <c r="I306" i="2"/>
  <c r="D268" i="2"/>
  <c r="I268" i="2"/>
  <c r="Q224" i="2"/>
  <c r="W199" i="2"/>
  <c r="I199" i="2"/>
  <c r="X268" i="2"/>
  <c r="Z268" i="2"/>
  <c r="E268" i="2"/>
  <c r="U306" i="2"/>
  <c r="Y268" i="2"/>
  <c r="R335" i="2"/>
  <c r="R346" i="2" s="1"/>
  <c r="C346" i="2"/>
  <c r="V268" i="2"/>
  <c r="N268" i="2"/>
  <c r="H268" i="2"/>
  <c r="Q306" i="2"/>
  <c r="D306" i="2"/>
  <c r="N346" i="2"/>
  <c r="F346" i="2"/>
  <c r="S199" i="2"/>
  <c r="Y199" i="2"/>
  <c r="Q199" i="2"/>
  <c r="D199" i="2"/>
  <c r="H224" i="2"/>
  <c r="Y224" i="2"/>
  <c r="X224" i="2"/>
  <c r="T224" i="2"/>
  <c r="M306" i="2"/>
  <c r="AB278" i="2"/>
  <c r="AB285" i="2" s="1"/>
  <c r="AA278" i="2"/>
  <c r="AA285" i="2" s="1"/>
  <c r="O278" i="2"/>
  <c r="O285" i="2" s="1"/>
  <c r="R278" i="2"/>
  <c r="R285" i="2" s="1"/>
  <c r="C285" i="2"/>
  <c r="S278" i="2"/>
  <c r="S285" i="2" s="1"/>
  <c r="H278" i="2"/>
  <c r="H285" i="2" s="1"/>
  <c r="M278" i="2"/>
  <c r="M285" i="2" s="1"/>
  <c r="F278" i="2"/>
  <c r="F285" i="2" s="1"/>
  <c r="L278" i="2"/>
  <c r="L285" i="2" s="1"/>
  <c r="Q278" i="2"/>
  <c r="Q285" i="2" s="1"/>
  <c r="G278" i="2"/>
  <c r="G285" i="2" s="1"/>
  <c r="X278" i="2"/>
  <c r="X285" i="2" s="1"/>
  <c r="N278" i="2"/>
  <c r="N285" i="2" s="1"/>
  <c r="W278" i="2"/>
  <c r="W285" i="2" s="1"/>
  <c r="P278" i="2"/>
  <c r="P285" i="2" s="1"/>
  <c r="E278" i="2"/>
  <c r="E285" i="2" s="1"/>
  <c r="U278" i="2"/>
  <c r="U285" i="2" s="1"/>
  <c r="K278" i="2"/>
  <c r="K285" i="2" s="1"/>
  <c r="V278" i="2"/>
  <c r="V285" i="2" s="1"/>
  <c r="D278" i="2"/>
  <c r="D285" i="2" s="1"/>
  <c r="T278" i="2"/>
  <c r="T285" i="2" s="1"/>
  <c r="I278" i="2"/>
  <c r="I285" i="2" s="1"/>
  <c r="Y278" i="2"/>
  <c r="Y285" i="2" s="1"/>
  <c r="J278" i="2"/>
  <c r="J285" i="2" s="1"/>
  <c r="Y103" i="2"/>
  <c r="Y104" i="2" s="1"/>
  <c r="U103" i="2"/>
  <c r="U104" i="2" s="1"/>
  <c r="Q103" i="2"/>
  <c r="Q104" i="2" s="1"/>
  <c r="M103" i="2"/>
  <c r="M104" i="2" s="1"/>
  <c r="I103" i="2"/>
  <c r="I104" i="2" s="1"/>
  <c r="E103" i="2"/>
  <c r="E104" i="2" s="1"/>
  <c r="AB103" i="2"/>
  <c r="AB104" i="2" s="1"/>
  <c r="X103" i="2"/>
  <c r="X104" i="2" s="1"/>
  <c r="T103" i="2"/>
  <c r="T104" i="2" s="1"/>
  <c r="P103" i="2"/>
  <c r="P104" i="2" s="1"/>
  <c r="L103" i="2"/>
  <c r="L104" i="2" s="1"/>
  <c r="H103" i="2"/>
  <c r="H104" i="2" s="1"/>
  <c r="D103" i="2"/>
  <c r="D104" i="2" s="1"/>
  <c r="AA103" i="2"/>
  <c r="AA104" i="2" s="1"/>
  <c r="W103" i="2"/>
  <c r="W104" i="2" s="1"/>
  <c r="S103" i="2"/>
  <c r="S104" i="2" s="1"/>
  <c r="O103" i="2"/>
  <c r="O104" i="2" s="1"/>
  <c r="K103" i="2"/>
  <c r="K104" i="2" s="1"/>
  <c r="G103" i="2"/>
  <c r="G104" i="2" s="1"/>
  <c r="Z103" i="2"/>
  <c r="Z104" i="2" s="1"/>
  <c r="J103" i="2"/>
  <c r="J104" i="2" s="1"/>
  <c r="C104" i="2"/>
  <c r="N103" i="2"/>
  <c r="N104" i="2" s="1"/>
  <c r="V103" i="2"/>
  <c r="V104" i="2" s="1"/>
  <c r="F103" i="2"/>
  <c r="F104" i="2" s="1"/>
  <c r="R103" i="2"/>
  <c r="R104" i="2" s="1"/>
  <c r="AB29" i="2"/>
  <c r="X29" i="2"/>
  <c r="T29" i="2"/>
  <c r="P29" i="2"/>
  <c r="L29" i="2"/>
  <c r="H29" i="2"/>
  <c r="D29" i="2"/>
  <c r="W29" i="2"/>
  <c r="O29" i="2"/>
  <c r="G29" i="2"/>
  <c r="Y29" i="2"/>
  <c r="Q29" i="2"/>
  <c r="M29" i="2"/>
  <c r="I29" i="2"/>
  <c r="E29" i="2"/>
  <c r="AA29" i="2"/>
  <c r="S29" i="2"/>
  <c r="K29" i="2"/>
  <c r="U29" i="2"/>
  <c r="Z29" i="2"/>
  <c r="V29" i="2"/>
  <c r="R29" i="2"/>
  <c r="N29" i="2"/>
  <c r="J29" i="2"/>
  <c r="F29" i="2"/>
  <c r="AB21" i="2"/>
  <c r="X21" i="2"/>
  <c r="X46" i="2" s="1"/>
  <c r="T21" i="2"/>
  <c r="P21" i="2"/>
  <c r="L21" i="2"/>
  <c r="H21" i="2"/>
  <c r="D21" i="2"/>
  <c r="W21" i="2"/>
  <c r="O21" i="2"/>
  <c r="G21" i="2"/>
  <c r="G46" i="2" s="1"/>
  <c r="U21" i="2"/>
  <c r="M21" i="2"/>
  <c r="M46" i="2" s="1"/>
  <c r="E21" i="2"/>
  <c r="AA21" i="2"/>
  <c r="S21" i="2"/>
  <c r="K21" i="2"/>
  <c r="Y21" i="2"/>
  <c r="Q21" i="2"/>
  <c r="I21" i="2"/>
  <c r="Z21" i="2"/>
  <c r="V21" i="2"/>
  <c r="R21" i="2"/>
  <c r="R46" i="2" s="1"/>
  <c r="N21" i="2"/>
  <c r="J21" i="2"/>
  <c r="F21" i="2"/>
  <c r="J46" i="2" l="1"/>
  <c r="Z46" i="2"/>
  <c r="W46" i="2"/>
  <c r="P46" i="2"/>
  <c r="Y46" i="2"/>
  <c r="K46" i="2"/>
  <c r="F46" i="2"/>
  <c r="AB46" i="2"/>
  <c r="I46" i="2"/>
  <c r="AA46" i="2"/>
  <c r="E46" i="2"/>
  <c r="Q46" i="2"/>
  <c r="S46" i="2"/>
  <c r="U46" i="2"/>
  <c r="D46" i="2"/>
  <c r="T46" i="2"/>
  <c r="O46" i="2"/>
  <c r="L46" i="2"/>
  <c r="V46" i="2"/>
  <c r="N46" i="2"/>
  <c r="H46" i="2"/>
</calcChain>
</file>

<file path=xl/sharedStrings.xml><?xml version="1.0" encoding="utf-8"?>
<sst xmlns="http://schemas.openxmlformats.org/spreadsheetml/2006/main" count="638" uniqueCount="139">
  <si>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</si>
  <si>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</si>
  <si>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</si>
  <si>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</si>
  <si>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</si>
  <si>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</si>
  <si>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</si>
  <si>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</si>
  <si>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</si>
  <si>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</si>
  <si>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</si>
  <si>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</si>
  <si>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</si>
  <si>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</si>
  <si>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</si>
  <si>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</si>
  <si>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</si>
  <si>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</si>
  <si>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</si>
  <si>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</si>
  <si>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</si>
  <si>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</si>
  <si>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</si>
  <si>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</si>
  <si>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</si>
  <si>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</si>
  <si>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</si>
  <si>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</si>
  <si>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</si>
  <si>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</si>
  <si>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</si>
  <si>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</si>
  <si>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</si>
  <si>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b0328.1</t>
  </si>
  <si>
    <t>b0328.2</t>
  </si>
  <si>
    <t>b0347.1</t>
  </si>
  <si>
    <t>b0347.2</t>
  </si>
  <si>
    <t>b0347.3</t>
  </si>
  <si>
    <t>b0347.4</t>
  </si>
  <si>
    <t>b0559</t>
  </si>
  <si>
    <t>TOTAL</t>
  </si>
  <si>
    <t>Required Transmission Enhancements owned by:  Baltimore Gas and Electric Company's Network Customers</t>
  </si>
  <si>
    <t>b0217</t>
  </si>
  <si>
    <t>b0222</t>
  </si>
  <si>
    <t>b0328.3</t>
  </si>
  <si>
    <t>b0328.4</t>
  </si>
  <si>
    <t>b1507</t>
  </si>
  <si>
    <t>b0457</t>
  </si>
  <si>
    <t>w/out incentives</t>
  </si>
  <si>
    <t>Required Transmission Enhancements owned by:  PSE&amp;G's Network Customers</t>
  </si>
  <si>
    <t>b0172.2</t>
  </si>
  <si>
    <t>b0290</t>
  </si>
  <si>
    <t>Required Transmission Enhancements owned by:  PPL Electric Utilities Corp. dba PPL Utilities</t>
  </si>
  <si>
    <t>b0171.2</t>
  </si>
  <si>
    <t>b0172.1</t>
  </si>
  <si>
    <t>b0284.2</t>
  </si>
  <si>
    <t xml:space="preserve"> </t>
  </si>
  <si>
    <t>EKPC</t>
  </si>
  <si>
    <t>b1797</t>
  </si>
  <si>
    <t>b1799</t>
  </si>
  <si>
    <t>b1798</t>
  </si>
  <si>
    <t>b1805</t>
  </si>
  <si>
    <t>b1803</t>
  </si>
  <si>
    <t>b1800</t>
  </si>
  <si>
    <t>b1908</t>
  </si>
  <si>
    <t>b0376</t>
  </si>
  <si>
    <t>b1660</t>
  </si>
  <si>
    <t>b1660.1</t>
  </si>
  <si>
    <t>b1797.1</t>
  </si>
  <si>
    <t>b1660.1_dfax</t>
  </si>
  <si>
    <t>b1797.1_dfax</t>
  </si>
  <si>
    <t>b1804</t>
  </si>
  <si>
    <t>Required Transmission Enhancements owned by: Mid-Atlantic Interstate Transmission, LLC</t>
  </si>
  <si>
    <t>b0549</t>
  </si>
  <si>
    <t>b2006.1.1</t>
  </si>
  <si>
    <t>b2006.1.1_dfax</t>
  </si>
  <si>
    <t>Required Transmission Enhancements owned by: PECO Energy Company</t>
  </si>
  <si>
    <t>b0171.1</t>
  </si>
  <si>
    <t>b2006.1</t>
  </si>
  <si>
    <t>b0287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</si>
  <si>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</si>
  <si>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</si>
  <si>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</si>
  <si>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</si>
  <si>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</si>
  <si>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</si>
  <si>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</si>
  <si>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</si>
  <si>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b1803_dfax</t>
  </si>
  <si>
    <t>b1804_dfax</t>
  </si>
  <si>
    <t>b0376_dfax</t>
  </si>
  <si>
    <t>b0217_dfax</t>
  </si>
  <si>
    <t>b0222_dfax</t>
  </si>
  <si>
    <t>b0328.3_dfax</t>
  </si>
  <si>
    <t>b0328.4_dfax</t>
  </si>
  <si>
    <t>b1507_dfax</t>
  </si>
  <si>
    <t>b0457_dfax</t>
  </si>
  <si>
    <t>b1797_dfax</t>
  </si>
  <si>
    <t>b1799_dfax</t>
  </si>
  <si>
    <t>b1798_dfax</t>
  </si>
  <si>
    <t>b1805_dfax</t>
  </si>
  <si>
    <t>b1908_dfax</t>
  </si>
  <si>
    <t>b0172.2_dfax</t>
  </si>
  <si>
    <t>b0290_dfax</t>
  </si>
  <si>
    <t>b0171.2_dfax</t>
  </si>
  <si>
    <t>b0172.1_dfax</t>
  </si>
  <si>
    <t>b0284.2_dfax</t>
  </si>
  <si>
    <t>b2006.1_dfax</t>
  </si>
  <si>
    <t>b0549_dfax</t>
  </si>
  <si>
    <t>b0171.1_dfax</t>
  </si>
  <si>
    <t>b0287_dfax</t>
  </si>
  <si>
    <t>b1800_dfax</t>
  </si>
  <si>
    <t>b1660_dfax</t>
  </si>
  <si>
    <t>MISO</t>
  </si>
  <si>
    <t>b2582</t>
  </si>
  <si>
    <t>OVEC</t>
  </si>
  <si>
    <t>Required Transmission Enhancements owned by:  AEP East Operating Companies and AEP Transmission Companies</t>
  </si>
  <si>
    <t>b2766.2</t>
  </si>
  <si>
    <t>b2766.2_dfax</t>
  </si>
  <si>
    <t>b2582_dfax</t>
  </si>
  <si>
    <t>Required Transmission Enhancements owned by:  South FirstEnergy Operating Companies</t>
  </si>
  <si>
    <t>b1507.2</t>
  </si>
  <si>
    <t>b1507.3</t>
  </si>
  <si>
    <t>b1507.2_dfax</t>
  </si>
  <si>
    <t>b1507.3_dfax</t>
  </si>
  <si>
    <t>b0347.17-32_dfax</t>
  </si>
  <si>
    <t>b0347.17-32</t>
  </si>
  <si>
    <t>Required Transmission Enhancements owned by:  Dominion Virginia Power's Network Customers</t>
  </si>
  <si>
    <t>b2766.1</t>
  </si>
  <si>
    <t>b2766.1_dfax</t>
  </si>
  <si>
    <t>incentives (TBD)</t>
  </si>
  <si>
    <t>(January - May 2022*)</t>
  </si>
  <si>
    <t>(June 2022-May 2023)</t>
  </si>
  <si>
    <t>(June 2021-May 2022)</t>
  </si>
  <si>
    <t>(Jan-Dec 2022)</t>
  </si>
  <si>
    <t>*PPL revised revenue requirements for the remainder of their rate year pursuant to Settlement approved in Docket No. ER21-2724</t>
  </si>
  <si>
    <t xml:space="preserve">numbers in red </t>
  </si>
  <si>
    <t xml:space="preserve">&gt; identifies projects and allocations which changed </t>
  </si>
  <si>
    <t>Transmission Enhancement Charges (PJM OATT Schedule 12) Worksheet - 2022 Cost Allocation Updates Pursuant to May 15, 2023 Order in Docket No. ER23-1399-000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</si>
</sst>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&quot;$&quot;#,##0"/>
    <numFmt numFmtId="167" formatCode="&quot;$&quot;#,##0.00"/>
    <numFmt numFmtId="168" formatCode="&quot;$&quot;#,##0.0"/>
    <numFmt numFmtId="169" formatCode="#,##0.0_);\(#,##0.0\)"/>
    <numFmt numFmtId="170" formatCode="&quot;$&quot;#,##0.000_);\(&quot;$&quot;#,##0.000\)"/>
    <numFmt numFmtId="171" formatCode="&quot;$&quot;#,##0.0_);\(&quot;$&quot;#,##0.0\)"/>
    <numFmt numFmtId="172" formatCode="#,##0.000_);\(#,##0.000\)"/>
    <numFmt numFmtId="173" formatCode="_(* #,##0.0\¢_m;[Red]_(* \-#,##0.0\¢_m;[Green]_(* 0.0\¢_m;_(@_)_%"/>
    <numFmt numFmtId="174" formatCode="_(* #,##0.00\¢_m;[Red]_(* \-#,##0.00\¢_m;[Green]_(* 0.00\¢_m;_(@_)_%"/>
    <numFmt numFmtId="175" formatCode="_(* #,##0.000\¢_m;[Red]_(* \-#,##0.000\¢_m;[Green]_(* 0.000\¢_m;_(@_)_%"/>
    <numFmt numFmtId="176" formatCode="_(_(\£* #,##0_)_%;[Red]_(\(\£* #,##0\)_%;[Green]_(_(\£* #,##0_)_%;_(@_)_%"/>
    <numFmt numFmtId="177" formatCode="_(_(\£* #,##0.0_)_%;[Red]_(\(\£* #,##0.0\)_%;[Green]_(_(\£* #,##0.0_)_%;_(@_)_%"/>
    <numFmt numFmtId="178" formatCode="_(_(\£* #,##0.00_)_%;[Red]_(\(\£* #,##0.00\)_%;[Green]_(_(\£* #,##0.00_)_%;_(@_)_%"/>
    <numFmt numFmtId="179" formatCode="0.0%_);\(0.0%\)"/>
    <numFmt numFmtId="180" formatCode="\•\ \ @"/>
    <numFmt numFmtId="181" formatCode="_(_(\•_ #0_)_%;[Red]_(_(\•_ \-#0\)_%;[Green]_(_(\•_ #0_)_%;_(_(\•_ @_)_%"/>
    <numFmt numFmtId="182" formatCode="_(_(_•_ \•_ #0_)_%;[Red]_(_(_•_ \•_ \-#0\)_%;[Green]_(_(_•_ \•_ #0_)_%;_(_(_•_ \•_ @_)_%"/>
    <numFmt numFmtId="183" formatCode="_(_(_•_ _•_ \•_ #0_)_%;[Red]_(_(_•_ _•_ \•_ \-#0\)_%;[Green]_(_(_•_ _•_ \•_ #0_)_%;_(_(_•_ \•_ @_)_%"/>
    <numFmt numFmtId="184" formatCode="#,##0,_);\(#,##0,\)"/>
    <numFmt numFmtId="185" formatCode="0.0,_);\(0.0,\)"/>
    <numFmt numFmtId="186" formatCode="0.00,_);\(0.00,\)"/>
    <numFmt numFmtId="187" formatCode="_(_(_$* #,##0.0_)_%;[Red]_(\(_$* #,##0.0\)_%;[Green]_(_(_$* #,##0.0_)_%;_(@_)_%"/>
    <numFmt numFmtId="188" formatCode="_(_(_$* #,##0.00_)_%;[Red]_(\(_$* #,##0.00\)_%;[Green]_(_(_$* #,##0.00_)_%;_(@_)_%"/>
    <numFmt numFmtId="189" formatCode="_(_(_$* #,##0.000_)_%;[Red]_(\(_$* #,##0.000\)_%;[Green]_(_(_$* #,##0.000_)_%;_(@_)_%"/>
    <numFmt numFmtId="190" formatCode="_._.* #,##0.0_)_%;_._.* \(#,##0.0\)_%;_._.* \ ?_)_%"/>
    <numFmt numFmtId="191" formatCode="_._.* #,##0.00_)_%;_._.* \(#,##0.00\)_%;_._.* \ ?_)_%"/>
    <numFmt numFmtId="192" formatCode="_._.* #,##0.000_)_%;_._.* \(#,##0.000\)_%;_._.* \ ?_)_%"/>
    <numFmt numFmtId="193" formatCode="_._.* #,##0.0000_)_%;_._.* \(#,##0.0000\)_%;_._.* \ ?_)_%"/>
    <numFmt numFmtId="194" formatCode="_(_(&quot;$&quot;* #,##0.0_)_%;[Red]_(\(&quot;$&quot;* #,##0.0\)_%;[Green]_(_(&quot;$&quot;* #,##0.0_)_%;_(@_)_%"/>
    <numFmt numFmtId="195" formatCode="_(_(&quot;$&quot;* #,##0.00_)_%;[Red]_(\(&quot;$&quot;* #,##0.00\)_%;[Green]_(_(&quot;$&quot;* #,##0.00_)_%;_(@_)_%"/>
    <numFmt numFmtId="196" formatCode="_(_(&quot;$&quot;* #,##0.000_)_%;[Red]_(\(&quot;$&quot;* #,##0.000\)_%;[Green]_(_(&quot;$&quot;* #,##0.000_)_%;_(@_)_%"/>
    <numFmt numFmtId="197" formatCode="_._.&quot;$&quot;* #,##0.0_)_%;_._.&quot;$&quot;* \(#,##0.0\)_%;_._.&quot;$&quot;* \ ?_)_%"/>
    <numFmt numFmtId="198" formatCode="_._.&quot;$&quot;* #,##0.00_)_%;_._.&quot;$&quot;* \(#,##0.00\)_%;_._.&quot;$&quot;* \ ?_)_%"/>
    <numFmt numFmtId="199" formatCode="_._.&quot;$&quot;* #,##0.000_)_%;_._.&quot;$&quot;* \(#,##0.000\)_%;_._.&quot;$&quot;* \ ?_)_%"/>
    <numFmt numFmtId="200" formatCode="_._.&quot;$&quot;* #,##0.0000_)_%;_._.&quot;$&quot;* \(#,##0.0000\)_%;_._.&quot;$&quot;* \ ?_)_%"/>
    <numFmt numFmtId="201" formatCode="&quot;$&quot;#,##0,_);\(&quot;$&quot;#,##0,\)"/>
    <numFmt numFmtId="202" formatCode="&quot;$&quot;0.0,_);\(&quot;$&quot;0.0,\)"/>
    <numFmt numFmtId="203" formatCode="&quot;$&quot;0.00,_);\(&quot;$&quot;0.00,\)"/>
    <numFmt numFmtId="204" formatCode="_(* dd\-mmm\-yy_)_%"/>
    <numFmt numFmtId="205" formatCode="_(* dd\ mmmm\ yyyy_)_%"/>
    <numFmt numFmtId="206" formatCode="_(* mmmm\ dd\,\ yyyy_)_%"/>
    <numFmt numFmtId="207" formatCode="_(* dd\.mm\.yyyy_)_%"/>
    <numFmt numFmtId="208" formatCode="_(* mm/dd/yyyy_)_%"/>
    <numFmt numFmtId="209" formatCode="m/d/yy;@"/>
    <numFmt numFmtId="210" formatCode="#,##0.0\x_);\(#,##0.0\x\)"/>
    <numFmt numFmtId="211" formatCode="#,##0.00\x_);\(#,##0.00\x\)"/>
    <numFmt numFmtId="212" formatCode="[$€-2]\ #,##0_);\([$€-2]\ #,##0\)"/>
    <numFmt numFmtId="213" formatCode="[$€-2]\ #,##0.0_);\([$€-2]\ #,##0.0\)"/>
    <numFmt numFmtId="214" formatCode="_([$€-2]* #,##0.00_);_([$€-2]* \(#,##0.00\);_([$€-2]* &quot;-&quot;??_)"/>
    <numFmt numFmtId="215" formatCode="General_)_%"/>
    <numFmt numFmtId="216" formatCode="_(_(#0_)_%;[Red]_(_(\-#0\)_%;[Green]_(_(#0_)_%;_(_(@_)_%"/>
    <numFmt numFmtId="217" formatCode="_(_(_•_ #0_)_%;[Red]_(_(_•_ \-#0\)_%;[Green]_(_(_•_ #0_)_%;_(_(_•_ @_)_%"/>
    <numFmt numFmtId="218" formatCode="_(_(_•_ _•_ #0_)_%;[Red]_(_(_•_ _•_ \-#0\)_%;[Green]_(_(_•_ _•_ #0_)_%;_(_(_•_ _•_ @_)_%"/>
    <numFmt numFmtId="219" formatCode="_(_(_•_ _•_ _•_ #0_)_%;[Red]_(_(_•_ _•_ _•_ \-#0\)_%;[Green]_(_(_•_ _•_ _•_ #0_)_%;_(_(_•_ _•_ _•_ @_)_%"/>
    <numFmt numFmtId="220" formatCode="#,##0\x;\(#,##0\x\)"/>
    <numFmt numFmtId="221" formatCode="0.0\x;\(0.0\x\)"/>
    <numFmt numFmtId="222" formatCode="#,##0.00\x;\(#,##0.00\x\)"/>
    <numFmt numFmtId="223" formatCode="#,##0.000\x;\(#,##0.000\x\)"/>
    <numFmt numFmtId="224" formatCode="0.0_);\(0.0\)"/>
    <numFmt numFmtId="225" formatCode="0%;\(0%\)"/>
    <numFmt numFmtId="226" formatCode="0.00\ \x_);\(0.00\ \x\)"/>
    <numFmt numFmtId="227" formatCode="_(* #,##0_);_(* \(#,##0\);_(* &quot;-&quot;????_);_(@_)"/>
    <numFmt numFmtId="228" formatCode="0__"/>
    <numFmt numFmtId="229" formatCode="h:mmAM/PM"/>
    <numFmt numFmtId="230" formatCode="0&quot; E&quot;"/>
    <numFmt numFmtId="231" formatCode="yyyy"/>
    <numFmt numFmtId="232" formatCode="0.0%;\(0.0%\)"/>
    <numFmt numFmtId="233" formatCode="0.00%_);\(0.00%\)"/>
    <numFmt numFmtId="234" formatCode="0.000%_);\(0.000%\)"/>
    <numFmt numFmtId="235" formatCode="_(0_)%;\(0\)%;\ \ ?_)%"/>
    <numFmt numFmtId="236" formatCode="_._._(* 0_)%;_._.* \(0\)%;_._._(* \ ?_)%"/>
    <numFmt numFmtId="237" formatCode="0%_);\(0%\)"/>
    <numFmt numFmtId="238" formatCode="_(* #,##0_)_%;[Red]_(* \(#,##0\)_%;[Green]_(* 0_)_%;_(@_)_%"/>
    <numFmt numFmtId="239" formatCode="_(* #,##0.0%_);[Red]_(* \-#,##0.0%_);[Green]_(* 0.0%_);_(@_)_%"/>
    <numFmt numFmtId="240" formatCode="_(* #,##0.00%_);[Red]_(* \-#,##0.00%_);[Green]_(* 0.00%_);_(@_)_%"/>
    <numFmt numFmtId="241" formatCode="_(* #,##0.000%_);[Red]_(* \-#,##0.000%_);[Green]_(* 0.000%_);_(@_)_%"/>
    <numFmt numFmtId="242" formatCode="_(0.0_)%;\(0.0\)%;\ \ ?_)%"/>
    <numFmt numFmtId="243" formatCode="_._._(* 0.0_)%;_._.* \(0.0\)%;_._._(* \ ?_)%"/>
    <numFmt numFmtId="244" formatCode="_(0.00_)%;\(0.00\)%;\ \ ?_)%"/>
    <numFmt numFmtId="245" formatCode="_._._(* 0.00_)%;_._.* \(0.00\)%;_._._(* \ ?_)%"/>
    <numFmt numFmtId="246" formatCode="_(0.000_)%;\(0.000\)%;\ \ ?_)%"/>
    <numFmt numFmtId="247" formatCode="_._._(* 0.000_)%;_._.* \(0.000\)%;_._._(* \ ?_)%"/>
    <numFmt numFmtId="248" formatCode="_(0.0000_)%;\(0.0000\)%;\ \ ?_)%"/>
    <numFmt numFmtId="249" formatCode="_._._(* 0.0000_)%;_._.* \(0.0000\)%;_._._(* \ ?_)%"/>
    <numFmt numFmtId="250" formatCode="mmmm\ dd\,\ yy"/>
    <numFmt numFmtId="251" formatCode="0.0\x"/>
    <numFmt numFmtId="252" formatCode="_(* #,##0_);_(* \(#,##0\);_(* \ ?_)"/>
    <numFmt numFmtId="253" formatCode="_(* #,##0.0_);_(* \(#,##0.0\);_(* \ ?_)"/>
    <numFmt numFmtId="254" formatCode="_(* #,##0.00_);_(* \(#,##0.00\);_(* \ ?_)"/>
    <numFmt numFmtId="255" formatCode="_(* #,##0.000_);_(* \(#,##0.000\);_(* \ ?_)"/>
    <numFmt numFmtId="256" formatCode="_(&quot;$&quot;* #,##0_);_(&quot;$&quot;* \(#,##0\);_(&quot;$&quot;* \ ?_)"/>
    <numFmt numFmtId="257" formatCode="_(&quot;$&quot;* #,##0.0_);_(&quot;$&quot;* \(#,##0.0\);_(&quot;$&quot;* \ ?_)"/>
    <numFmt numFmtId="258" formatCode="_(&quot;$&quot;* #,##0.00_);_(&quot;$&quot;* \(#,##0.00\);_(&quot;$&quot;* \ ?_)"/>
    <numFmt numFmtId="259" formatCode="_(&quot;$&quot;* #,##0.000_);_(&quot;$&quot;* \(#,##0.000\);_(&quot;$&quot;* \ ?_)"/>
    <numFmt numFmtId="260" formatCode="0000&quot;A&quot;"/>
    <numFmt numFmtId="261" formatCode="0&quot;E&quot;"/>
    <numFmt numFmtId="262" formatCode="0000&quot;E&quot;"/>
    <numFmt numFmtId="263" formatCode="mmmm\ d\,\ yyyy"/>
    <numFmt numFmtId="264" formatCode="mm/dd/yy"/>
    <numFmt numFmtId="265" formatCode="0.00_)"/>
    <numFmt numFmtId="266" formatCode="0.000000%;[Red]\-0.000000%"/>
    <numFmt numFmtId="267" formatCode="&quot;$&quot;#,##0\ ;\(&quot;$&quot;#,##0\)"/>
  </numFmts>
  <fonts count="15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u/>
      <sz val="8"/>
      <name val="Arial"/>
      <family val="2"/>
    </font>
    <font>
      <b/>
      <sz val="9"/>
      <color rgb="FFFF0000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2487">
    <xf numFmtId="0" fontId="0" fillId="0" borderId="0"/>
    <xf numFmtId="9" fontId="152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3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0" fontId="3" fillId="0" borderId="0"/>
    <xf numFmtId="0" fontId="7" fillId="2" borderId="0" applyNumberFormat="0" applyBorder="0" applyAlignment="0" applyProtection="0"/>
    <xf numFmtId="0" fontId="86" fillId="3" borderId="0" applyNumberFormat="0" applyBorder="0" applyAlignment="0" applyProtection="0"/>
    <xf numFmtId="0" fontId="7" fillId="4" borderId="0" applyNumberFormat="0" applyBorder="0" applyAlignment="0" applyProtection="0"/>
    <xf numFmtId="0" fontId="86" fillId="5" borderId="0" applyNumberFormat="0" applyBorder="0" applyAlignment="0" applyProtection="0"/>
    <xf numFmtId="0" fontId="7" fillId="6" borderId="0" applyNumberFormat="0" applyBorder="0" applyAlignment="0" applyProtection="0"/>
    <xf numFmtId="0" fontId="86" fillId="7" borderId="0" applyNumberFormat="0" applyBorder="0" applyAlignment="0" applyProtection="0"/>
    <xf numFmtId="0" fontId="7" fillId="8" borderId="0" applyNumberFormat="0" applyBorder="0" applyAlignment="0" applyProtection="0"/>
    <xf numFmtId="0" fontId="86" fillId="9" borderId="0" applyNumberFormat="0" applyBorder="0" applyAlignment="0" applyProtection="0"/>
    <xf numFmtId="0" fontId="7" fillId="10" borderId="0" applyNumberFormat="0" applyBorder="0" applyAlignment="0" applyProtection="0"/>
    <xf numFmtId="0" fontId="86" fillId="10" borderId="0" applyNumberFormat="0" applyBorder="0" applyAlignment="0" applyProtection="0"/>
    <xf numFmtId="0" fontId="7" fillId="6" borderId="0" applyNumberFormat="0" applyBorder="0" applyAlignment="0" applyProtection="0"/>
    <xf numFmtId="0" fontId="86" fillId="8" borderId="0" applyNumberFormat="0" applyBorder="0" applyAlignment="0" applyProtection="0"/>
    <xf numFmtId="0" fontId="7" fillId="10" borderId="0" applyNumberFormat="0" applyBorder="0" applyAlignment="0" applyProtection="0"/>
    <xf numFmtId="0" fontId="86" fillId="2" borderId="0" applyNumberFormat="0" applyBorder="0" applyAlignment="0" applyProtection="0"/>
    <xf numFmtId="0" fontId="7" fillId="4" borderId="0" applyNumberFormat="0" applyBorder="0" applyAlignment="0" applyProtection="0"/>
    <xf numFmtId="0" fontId="86" fillId="4" borderId="0" applyNumberFormat="0" applyBorder="0" applyAlignment="0" applyProtection="0"/>
    <xf numFmtId="0" fontId="7" fillId="11" borderId="0" applyNumberFormat="0" applyBorder="0" applyAlignment="0" applyProtection="0"/>
    <xf numFmtId="0" fontId="86" fillId="12" borderId="0" applyNumberFormat="0" applyBorder="0" applyAlignment="0" applyProtection="0"/>
    <xf numFmtId="0" fontId="7" fillId="5" borderId="0" applyNumberFormat="0" applyBorder="0" applyAlignment="0" applyProtection="0"/>
    <xf numFmtId="0" fontId="86" fillId="9" borderId="0" applyNumberFormat="0" applyBorder="0" applyAlignment="0" applyProtection="0"/>
    <xf numFmtId="0" fontId="7" fillId="10" borderId="0" applyNumberFormat="0" applyBorder="0" applyAlignment="0" applyProtection="0"/>
    <xf numFmtId="0" fontId="86" fillId="2" borderId="0" applyNumberFormat="0" applyBorder="0" applyAlignment="0" applyProtection="0"/>
    <xf numFmtId="0" fontId="7" fillId="6" borderId="0" applyNumberFormat="0" applyBorder="0" applyAlignment="0" applyProtection="0"/>
    <xf numFmtId="0" fontId="86" fillId="13" borderId="0" applyNumberFormat="0" applyBorder="0" applyAlignment="0" applyProtection="0"/>
    <xf numFmtId="0" fontId="35" fillId="10" borderId="0" applyNumberFormat="0" applyBorder="0" applyAlignment="0" applyProtection="0"/>
    <xf numFmtId="0" fontId="87" fillId="14" borderId="0" applyNumberFormat="0" applyBorder="0" applyAlignment="0" applyProtection="0"/>
    <xf numFmtId="0" fontId="35" fillId="15" borderId="0" applyNumberFormat="0" applyBorder="0" applyAlignment="0" applyProtection="0"/>
    <xf numFmtId="0" fontId="87" fillId="4" borderId="0" applyNumberFormat="0" applyBorder="0" applyAlignment="0" applyProtection="0"/>
    <xf numFmtId="0" fontId="35" fillId="13" borderId="0" applyNumberFormat="0" applyBorder="0" applyAlignment="0" applyProtection="0"/>
    <xf numFmtId="0" fontId="87" fillId="12" borderId="0" applyNumberFormat="0" applyBorder="0" applyAlignment="0" applyProtection="0"/>
    <xf numFmtId="0" fontId="35" fillId="5" borderId="0" applyNumberFormat="0" applyBorder="0" applyAlignment="0" applyProtection="0"/>
    <xf numFmtId="0" fontId="87" fillId="16" borderId="0" applyNumberFormat="0" applyBorder="0" applyAlignment="0" applyProtection="0"/>
    <xf numFmtId="0" fontId="35" fillId="10" borderId="0" applyNumberFormat="0" applyBorder="0" applyAlignment="0" applyProtection="0"/>
    <xf numFmtId="0" fontId="87" fillId="17" borderId="0" applyNumberFormat="0" applyBorder="0" applyAlignment="0" applyProtection="0"/>
    <xf numFmtId="0" fontId="35" fillId="4" borderId="0" applyNumberFormat="0" applyBorder="0" applyAlignment="0" applyProtection="0"/>
    <xf numFmtId="0" fontId="87" fillId="18" borderId="0" applyNumberFormat="0" applyBorder="0" applyAlignment="0" applyProtection="0"/>
    <xf numFmtId="0" fontId="3" fillId="0" borderId="0"/>
    <xf numFmtId="0" fontId="35" fillId="19" borderId="0" applyNumberFormat="0" applyBorder="0" applyAlignment="0" applyProtection="0"/>
    <xf numFmtId="0" fontId="87" fillId="20" borderId="0" applyNumberFormat="0" applyBorder="0" applyAlignment="0" applyProtection="0"/>
    <xf numFmtId="0" fontId="35" fillId="15" borderId="0" applyNumberFormat="0" applyBorder="0" applyAlignment="0" applyProtection="0"/>
    <xf numFmtId="0" fontId="87" fillId="21" borderId="0" applyNumberFormat="0" applyBorder="0" applyAlignment="0" applyProtection="0"/>
    <xf numFmtId="0" fontId="35" fillId="13" borderId="0" applyNumberFormat="0" applyBorder="0" applyAlignment="0" applyProtection="0"/>
    <xf numFmtId="0" fontId="87" fillId="22" borderId="0" applyNumberFormat="0" applyBorder="0" applyAlignment="0" applyProtection="0"/>
    <xf numFmtId="0" fontId="35" fillId="23" borderId="0" applyNumberFormat="0" applyBorder="0" applyAlignment="0" applyProtection="0"/>
    <xf numFmtId="0" fontId="87" fillId="16" borderId="0" applyNumberFormat="0" applyBorder="0" applyAlignment="0" applyProtection="0"/>
    <xf numFmtId="0" fontId="35" fillId="17" borderId="0" applyNumberFormat="0" applyBorder="0" applyAlignment="0" applyProtection="0"/>
    <xf numFmtId="0" fontId="87" fillId="17" borderId="0" applyNumberFormat="0" applyBorder="0" applyAlignment="0" applyProtection="0"/>
    <xf numFmtId="0" fontId="35" fillId="21" borderId="0" applyNumberFormat="0" applyBorder="0" applyAlignment="0" applyProtection="0"/>
    <xf numFmtId="0" fontId="87" fillId="15" borderId="0" applyNumberFormat="0" applyBorder="0" applyAlignment="0" applyProtection="0"/>
    <xf numFmtId="0" fontId="36" fillId="9" borderId="0" applyNumberFormat="0" applyBorder="0" applyAlignment="0" applyProtection="0"/>
    <xf numFmtId="0" fontId="88" fillId="5" borderId="0" applyNumberFormat="0" applyBorder="0" applyAlignment="0" applyProtection="0"/>
    <xf numFmtId="0" fontId="17" fillId="0" borderId="0"/>
    <xf numFmtId="0" fontId="3" fillId="15" borderId="0" applyNumberFormat="0" applyFill="0" applyBorder="0" applyProtection="0"/>
    <xf numFmtId="0" fontId="52" fillId="0" borderId="0" applyNumberFormat="0" applyFill="0" applyBorder="0" applyAlignment="0" applyProtection="0"/>
    <xf numFmtId="0" fontId="3" fillId="0" borderId="1" applyNumberFormat="0" applyFont="0" applyFill="0" applyAlignment="0" applyProtection="0"/>
    <xf numFmtId="180" fontId="50" fillId="0" borderId="0" applyFont="0" applyFill="0" applyBorder="0" applyAlignment="0" applyProtection="0"/>
    <xf numFmtId="181" fontId="56" fillId="0" borderId="0" applyFont="0" applyFill="0" applyBorder="0" applyProtection="0">
      <alignment horizontal="left"/>
    </xf>
    <xf numFmtId="182" fontId="56" fillId="0" borderId="0" applyFont="0" applyFill="0" applyBorder="0" applyProtection="0">
      <alignment horizontal="left"/>
    </xf>
    <xf numFmtId="183" fontId="56" fillId="0" borderId="0" applyFont="0" applyFill="0" applyBorder="0" applyProtection="0">
      <alignment horizontal="left"/>
    </xf>
    <xf numFmtId="37" fontId="57" fillId="0" borderId="0" applyFont="0" applyFill="0" applyBorder="0">
      <protection locked="0"/>
    </xf>
    <xf numFmtId="184" fontId="58" fillId="0" borderId="0" applyFont="0" applyFill="0" applyBorder="0" applyAlignment="0" applyProtection="0"/>
    <xf numFmtId="0" fontId="59" fillId="0" borderId="0"/>
    <xf numFmtId="0" fontId="59" fillId="0" borderId="0"/>
    <xf numFmtId="167" fontId="5" fillId="0" borderId="0" applyFill="0"/>
    <xf numFmtId="167" fontId="5" fillId="0" borderId="0">
      <alignment horizontal="center"/>
    </xf>
    <xf numFmtId="0" fontId="5" fillId="0" borderId="0" applyFill="0">
      <alignment horizontal="center"/>
    </xf>
    <xf numFmtId="167" fontId="9" fillId="0" borderId="2" applyFill="0"/>
    <xf numFmtId="0" fontId="3" fillId="0" borderId="0" applyFont="0" applyAlignment="0"/>
    <xf numFmtId="0" fontId="10" fillId="0" borderId="0" applyFill="0">
      <alignment vertical="top"/>
    </xf>
    <xf numFmtId="0" fontId="9" fillId="0" borderId="0" applyFill="0">
      <alignment horizontal="left" vertical="top"/>
    </xf>
    <xf numFmtId="167" fontId="11" fillId="0" borderId="3" applyFill="0"/>
    <xf numFmtId="167" fontId="11" fillId="0" borderId="3" applyFill="0"/>
    <xf numFmtId="0" fontId="3" fillId="0" borderId="0" applyNumberFormat="0" applyFont="0" applyAlignment="0"/>
    <xf numFmtId="0" fontId="10" fillId="0" borderId="0" applyFill="0">
      <alignment wrapText="1"/>
    </xf>
    <xf numFmtId="0" fontId="9" fillId="0" borderId="0" applyFill="0">
      <alignment horizontal="left" vertical="top" wrapText="1"/>
    </xf>
    <xf numFmtId="167" fontId="12" fillId="0" borderId="0" applyFill="0"/>
    <xf numFmtId="0" fontId="13" fillId="0" borderId="0" applyNumberFormat="0" applyFont="0"/>
    <xf numFmtId="0" fontId="14" fillId="0" borderId="0" applyFill="0">
      <alignment vertical="top" wrapText="1"/>
    </xf>
    <xf numFmtId="0" fontId="11" fillId="0" borderId="0" applyFill="0">
      <alignment horizontal="left" vertical="top" wrapText="1"/>
    </xf>
    <xf numFmtId="167" fontId="3" fillId="0" borderId="0" applyFill="0"/>
    <xf numFmtId="0" fontId="13" fillId="0" borderId="0" applyNumberFormat="0" applyFont="0"/>
    <xf numFmtId="0" fontId="15" fillId="0" borderId="0" applyFill="0">
      <alignment vertical="center" wrapText="1"/>
    </xf>
    <xf numFmtId="0" fontId="16" fillId="0" borderId="0">
      <alignment horizontal="left" vertical="center" wrapText="1"/>
    </xf>
    <xf numFmtId="167" fontId="17" fillId="0" borderId="0" applyFill="0"/>
    <xf numFmtId="0" fontId="13" fillId="0" borderId="0" applyNumberFormat="0" applyFont="0"/>
    <xf numFmtId="0" fontId="18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167" fontId="19" fillId="0" borderId="0" applyFill="0"/>
    <xf numFmtId="0" fontId="13" fillId="0" borderId="0" applyNumberFormat="0" applyFont="0"/>
    <xf numFmtId="0" fontId="20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167" fontId="22" fillId="0" borderId="0" applyFill="0"/>
    <xf numFmtId="0" fontId="13" fillId="0" borderId="0" applyNumberFormat="0" applyFont="0"/>
    <xf numFmtId="0" fontId="23" fillId="0" borderId="0">
      <alignment horizontal="center" wrapText="1"/>
    </xf>
    <xf numFmtId="0" fontId="19" fillId="0" borderId="0" applyFill="0">
      <alignment horizontal="center" wrapText="1"/>
    </xf>
    <xf numFmtId="169" fontId="60" fillId="0" borderId="0" applyFont="0" applyFill="0" applyBorder="0" applyAlignment="0">
      <protection locked="0"/>
    </xf>
    <xf numFmtId="185" fontId="60" fillId="0" borderId="0" applyFont="0" applyFill="0" applyBorder="0" applyAlignment="0">
      <protection locked="0"/>
    </xf>
    <xf numFmtId="39" fontId="3" fillId="0" borderId="0" applyFont="0" applyFill="0" applyBorder="0" applyAlignment="0" applyProtection="0"/>
    <xf numFmtId="186" fontId="61" fillId="0" borderId="0" applyFont="0" applyFill="0" applyBorder="0" applyAlignment="0" applyProtection="0"/>
    <xf numFmtId="172" fontId="58" fillId="0" borderId="0" applyFont="0" applyFill="0" applyBorder="0" applyAlignment="0" applyProtection="0"/>
    <xf numFmtId="0" fontId="37" fillId="24" borderId="4" applyNumberFormat="0" applyAlignment="0" applyProtection="0"/>
    <xf numFmtId="0" fontId="89" fillId="25" borderId="4" applyNumberFormat="0" applyAlignment="0" applyProtection="0"/>
    <xf numFmtId="0" fontId="3" fillId="0" borderId="1" applyNumberFormat="0" applyFont="0" applyFill="0" applyBorder="0" applyProtection="0">
      <alignment horizontal="centerContinuous" vertical="center"/>
    </xf>
    <xf numFmtId="0" fontId="30" fillId="0" borderId="0" applyFill="0" applyBorder="0">
      <alignment horizontal="center"/>
      <protection locked="0"/>
    </xf>
    <xf numFmtId="0" fontId="38" fillId="26" borderId="5" applyNumberFormat="0" applyAlignment="0" applyProtection="0"/>
    <xf numFmtId="0" fontId="90" fillId="26" borderId="5" applyNumberFormat="0" applyAlignment="0" applyProtection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3" fontId="12" fillId="0" borderId="0" applyFont="0" applyFill="0" applyBorder="0" applyAlignment="0">
      <protection locked="0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4" fillId="0" borderId="0" applyFill="0" applyBorder="0" applyAlignment="0" applyProtection="0"/>
    <xf numFmtId="3" fontId="3" fillId="0" borderId="0" applyFont="0" applyFill="0" applyBorder="0" applyAlignment="0" applyProtection="0"/>
    <xf numFmtId="0" fontId="9" fillId="0" borderId="0" applyFill="0" applyBorder="0" applyAlignment="0">
      <protection locked="0"/>
    </xf>
    <xf numFmtId="0" fontId="3" fillId="0" borderId="6"/>
    <xf numFmtId="194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56" fillId="0" borderId="0" applyFont="0" applyFill="0" applyBorder="0" applyAlignment="0" applyProtection="0"/>
    <xf numFmtId="197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12" fillId="0" borderId="0" applyFont="0" applyFill="0" applyBorder="0" applyAlignment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4" fillId="0" borderId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01" fontId="58" fillId="0" borderId="0" applyFont="0" applyFill="0" applyBorder="0" applyAlignment="0" applyProtection="0"/>
    <xf numFmtId="171" fontId="3" fillId="0" borderId="0" applyFont="0" applyFill="0" applyBorder="0" applyAlignment="0" applyProtection="0"/>
    <xf numFmtId="202" fontId="60" fillId="0" borderId="0" applyFont="0" applyFill="0" applyBorder="0" applyAlignment="0">
      <protection locked="0"/>
    </xf>
    <xf numFmtId="7" fontId="5" fillId="0" borderId="0" applyFont="0" applyFill="0" applyBorder="0" applyAlignment="0" applyProtection="0"/>
    <xf numFmtId="203" fontId="61" fillId="0" borderId="0" applyFont="0" applyFill="0" applyBorder="0" applyAlignment="0" applyProtection="0"/>
    <xf numFmtId="170" fontId="65" fillId="0" borderId="0" applyFont="0" applyFill="0" applyBorder="0" applyAlignment="0" applyProtection="0"/>
    <xf numFmtId="0" fontId="66" fillId="27" borderId="7" applyNumberFormat="0" applyFont="0" applyFill="0" applyProtection="0"/>
    <xf numFmtId="14" fontId="3" fillId="0" borderId="0" applyFont="0" applyFill="0" applyBorder="0" applyAlignment="0" applyProtection="0"/>
    <xf numFmtId="204" fontId="56" fillId="0" borderId="0" applyFont="0" applyFill="0" applyBorder="0" applyProtection="0"/>
    <xf numFmtId="205" fontId="56" fillId="0" borderId="0" applyFont="0" applyFill="0" applyBorder="0" applyProtection="0"/>
    <xf numFmtId="206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9" fontId="67" fillId="0" borderId="0" applyFont="0" applyFill="0" applyBorder="0" applyAlignment="0" applyProtection="0"/>
    <xf numFmtId="5" fontId="68" fillId="0" borderId="0" applyBorder="0"/>
    <xf numFmtId="171" fontId="68" fillId="0" borderId="0" applyBorder="0"/>
    <xf numFmtId="7" fontId="68" fillId="0" borderId="0" applyBorder="0"/>
    <xf numFmtId="37" fontId="68" fillId="0" borderId="0" applyBorder="0"/>
    <xf numFmtId="169" fontId="68" fillId="0" borderId="0" applyBorder="0"/>
    <xf numFmtId="210" fontId="68" fillId="0" borderId="0" applyBorder="0"/>
    <xf numFmtId="39" fontId="68" fillId="0" borderId="0" applyBorder="0"/>
    <xf numFmtId="211" fontId="68" fillId="0" borderId="0" applyBorder="0"/>
    <xf numFmtId="7" fontId="3" fillId="0" borderId="0" applyFont="0" applyFill="0" applyBorder="0" applyAlignment="0" applyProtection="0"/>
    <xf numFmtId="212" fontId="58" fillId="0" borderId="0" applyFont="0" applyFill="0" applyBorder="0" applyAlignment="0" applyProtection="0"/>
    <xf numFmtId="213" fontId="58" fillId="0" borderId="0" applyFont="0" applyFill="0" applyAlignment="0" applyProtection="0"/>
    <xf numFmtId="212" fontId="58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9" fillId="0" borderId="0"/>
    <xf numFmtId="0" fontId="70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6" fillId="0" borderId="0" applyFont="0" applyFill="0" applyBorder="0" applyProtection="0">
      <alignment horizontal="center" wrapText="1"/>
    </xf>
    <xf numFmtId="215" fontId="56" fillId="0" borderId="0" applyFont="0" applyFill="0" applyBorder="0" applyProtection="0">
      <alignment horizontal="right"/>
    </xf>
    <xf numFmtId="0" fontId="40" fillId="10" borderId="0" applyNumberFormat="0" applyBorder="0" applyAlignment="0" applyProtection="0"/>
    <xf numFmtId="0" fontId="92" fillId="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9" borderId="0" applyNumberFormat="0" applyFill="0" applyBorder="0" applyAlignment="0" applyProtection="0"/>
    <xf numFmtId="0" fontId="11" fillId="0" borderId="8" applyNumberFormat="0" applyProtection="0"/>
    <xf numFmtId="0" fontId="11" fillId="0" borderId="9">
      <alignment horizontal="left" vertical="center"/>
    </xf>
    <xf numFmtId="14" fontId="6" fillId="10" borderId="10">
      <alignment horizontal="center" vertical="center" wrapText="1"/>
    </xf>
    <xf numFmtId="0" fontId="2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1" fillId="0" borderId="11" applyNumberFormat="0" applyFill="0" applyAlignment="0" applyProtection="0"/>
    <xf numFmtId="0" fontId="93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0" fillId="0" borderId="0" applyFill="0" applyAlignment="0">
      <protection locked="0"/>
    </xf>
    <xf numFmtId="0" fontId="30" fillId="0" borderId="1" applyFill="0" applyAlignment="0">
      <protection locked="0"/>
    </xf>
    <xf numFmtId="0" fontId="25" fillId="0" borderId="10"/>
    <xf numFmtId="0" fontId="26" fillId="0" borderId="0"/>
    <xf numFmtId="0" fontId="72" fillId="0" borderId="1" applyNumberFormat="0" applyFill="0" applyAlignment="0" applyProtection="0"/>
    <xf numFmtId="0" fontId="67" fillId="28" borderId="0" applyNumberFormat="0" applyFont="0" applyBorder="0" applyAlignment="0" applyProtection="0"/>
    <xf numFmtId="0" fontId="48" fillId="0" borderId="0" applyNumberFormat="0" applyFill="0" applyBorder="0">
      <protection locked="0"/>
    </xf>
    <xf numFmtId="0" fontId="53" fillId="29" borderId="13" applyNumberFormat="0" applyAlignment="0" applyProtection="0"/>
    <xf numFmtId="216" fontId="56" fillId="0" borderId="0" applyFont="0" applyFill="0" applyBorder="0" applyProtection="0">
      <alignment horizontal="left"/>
    </xf>
    <xf numFmtId="217" fontId="56" fillId="0" borderId="0" applyFont="0" applyFill="0" applyBorder="0" applyProtection="0">
      <alignment horizontal="left"/>
    </xf>
    <xf numFmtId="218" fontId="56" fillId="0" borderId="0" applyFont="0" applyFill="0" applyBorder="0" applyProtection="0">
      <alignment horizontal="left"/>
    </xf>
    <xf numFmtId="219" fontId="56" fillId="0" borderId="0" applyFont="0" applyFill="0" applyBorder="0" applyProtection="0">
      <alignment horizontal="left"/>
    </xf>
    <xf numFmtId="0" fontId="5" fillId="6" borderId="13" applyNumberFormat="0" applyBorder="0" applyAlignment="0" applyProtection="0"/>
    <xf numFmtId="0" fontId="42" fillId="11" borderId="4" applyNumberFormat="0" applyAlignment="0" applyProtection="0"/>
    <xf numFmtId="0" fontId="94" fillId="8" borderId="4" applyNumberFormat="0" applyAlignment="0" applyProtection="0"/>
    <xf numFmtId="0" fontId="94" fillId="8" borderId="4" applyNumberFormat="0" applyAlignment="0" applyProtection="0"/>
    <xf numFmtId="0" fontId="94" fillId="8" borderId="4" applyNumberFormat="0" applyAlignment="0" applyProtection="0"/>
    <xf numFmtId="0" fontId="42" fillId="11" borderId="4" applyNumberFormat="0" applyAlignment="0" applyProtection="0"/>
    <xf numFmtId="5" fontId="73" fillId="0" borderId="0" applyBorder="0"/>
    <xf numFmtId="171" fontId="73" fillId="0" borderId="0" applyBorder="0"/>
    <xf numFmtId="7" fontId="73" fillId="0" borderId="0" applyBorder="0"/>
    <xf numFmtId="37" fontId="73" fillId="0" borderId="0" applyBorder="0"/>
    <xf numFmtId="169" fontId="73" fillId="0" borderId="0" applyBorder="0"/>
    <xf numFmtId="210" fontId="73" fillId="0" borderId="0" applyBorder="0"/>
    <xf numFmtId="39" fontId="73" fillId="0" borderId="0" applyBorder="0"/>
    <xf numFmtId="211" fontId="73" fillId="0" borderId="0" applyBorder="0"/>
    <xf numFmtId="0" fontId="67" fillId="0" borderId="14" applyNumberFormat="0" applyFont="0" applyFill="0" applyAlignment="0" applyProtection="0"/>
    <xf numFmtId="0" fontId="74" fillId="0" borderId="0"/>
    <xf numFmtId="0" fontId="5" fillId="25" borderId="0"/>
    <xf numFmtId="0" fontId="43" fillId="0" borderId="15" applyNumberFormat="0" applyFill="0" applyAlignment="0" applyProtection="0"/>
    <xf numFmtId="0" fontId="95" fillId="0" borderId="16" applyNumberFormat="0" applyFill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3" fillId="0" borderId="0" applyFont="0" applyFill="0" applyBorder="0" applyProtection="0"/>
    <xf numFmtId="224" fontId="3" fillId="0" borderId="0" applyFont="0" applyFill="0" applyBorder="0" applyAlignment="0" applyProtection="0"/>
    <xf numFmtId="0" fontId="44" fillId="11" borderId="0" applyNumberFormat="0" applyBorder="0" applyAlignment="0" applyProtection="0"/>
    <xf numFmtId="0" fontId="96" fillId="11" borderId="0" applyNumberFormat="0" applyBorder="0" applyAlignment="0" applyProtection="0"/>
    <xf numFmtId="37" fontId="7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7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8" fillId="0" borderId="0" applyProtection="0"/>
    <xf numFmtId="0" fontId="3" fillId="0" borderId="0"/>
    <xf numFmtId="167" fontId="8" fillId="0" borderId="0" applyProtection="0"/>
    <xf numFmtId="0" fontId="3" fillId="0" borderId="0"/>
    <xf numFmtId="167" fontId="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8" fillId="0" borderId="0" applyProtection="0"/>
    <xf numFmtId="0" fontId="3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vertical="top"/>
    </xf>
    <xf numFmtId="0" fontId="3" fillId="0" borderId="0"/>
    <xf numFmtId="0" fontId="47" fillId="0" borderId="0">
      <alignment vertical="top"/>
    </xf>
    <xf numFmtId="0" fontId="3" fillId="0" borderId="0"/>
    <xf numFmtId="0" fontId="152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8" fillId="0" borderId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7" fillId="0" borderId="0"/>
    <xf numFmtId="167" fontId="8" fillId="0" borderId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Protection="0"/>
    <xf numFmtId="167" fontId="8" fillId="0" borderId="0" applyProtection="0"/>
    <xf numFmtId="167" fontId="8" fillId="0" borderId="0" applyProtection="0"/>
    <xf numFmtId="0" fontId="1" fillId="0" borderId="0"/>
    <xf numFmtId="0" fontId="1" fillId="0" borderId="0"/>
    <xf numFmtId="0" fontId="152" fillId="0" borderId="0"/>
    <xf numFmtId="0" fontId="3" fillId="0" borderId="0"/>
    <xf numFmtId="167" fontId="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99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00" fillId="0" borderId="0"/>
    <xf numFmtId="167" fontId="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6" borderId="17" applyNumberFormat="0" applyFont="0" applyAlignment="0" applyProtection="0"/>
    <xf numFmtId="0" fontId="45" fillId="24" borderId="18" applyNumberFormat="0" applyAlignment="0" applyProtection="0"/>
    <xf numFmtId="0" fontId="97" fillId="25" borderId="18" applyNumberFormat="0" applyAlignment="0" applyProtection="0"/>
    <xf numFmtId="0" fontId="50" fillId="30" borderId="0" applyNumberFormat="0" applyFont="0" applyBorder="0" applyAlignment="0"/>
    <xf numFmtId="225" fontId="3" fillId="0" borderId="0" applyFont="0" applyFill="0" applyBorder="0" applyAlignment="0" applyProtection="0"/>
    <xf numFmtId="226" fontId="76" fillId="0" borderId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3" fillId="0" borderId="0"/>
    <xf numFmtId="228" fontId="58" fillId="0" borderId="0"/>
    <xf numFmtId="228" fontId="58" fillId="0" borderId="0"/>
    <xf numFmtId="226" fontId="76" fillId="0" borderId="0"/>
    <xf numFmtId="0" fontId="58" fillId="0" borderId="0"/>
    <xf numFmtId="226" fontId="64" fillId="0" borderId="0"/>
    <xf numFmtId="227" fontId="3" fillId="0" borderId="0"/>
    <xf numFmtId="228" fontId="58" fillId="0" borderId="0"/>
    <xf numFmtId="228" fontId="58" fillId="0" borderId="0"/>
    <xf numFmtId="0" fontId="58" fillId="0" borderId="0"/>
    <xf numFmtId="0" fontId="58" fillId="0" borderId="0"/>
    <xf numFmtId="229" fontId="58" fillId="0" borderId="0"/>
    <xf numFmtId="166" fontId="58" fillId="0" borderId="0"/>
    <xf numFmtId="230" fontId="58" fillId="0" borderId="0"/>
    <xf numFmtId="229" fontId="58" fillId="0" borderId="0"/>
    <xf numFmtId="166" fontId="58" fillId="0" borderId="0"/>
    <xf numFmtId="231" fontId="58" fillId="0" borderId="0"/>
    <xf numFmtId="231" fontId="58" fillId="0" borderId="0"/>
    <xf numFmtId="168" fontId="58" fillId="0" borderId="0"/>
    <xf numFmtId="230" fontId="58" fillId="0" borderId="0"/>
    <xf numFmtId="164" fontId="58" fillId="0" borderId="0"/>
    <xf numFmtId="168" fontId="58" fillId="0" borderId="0"/>
    <xf numFmtId="168" fontId="58" fillId="0" borderId="0"/>
    <xf numFmtId="0" fontId="58" fillId="0" borderId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6" fontId="76" fillId="0" borderId="0"/>
    <xf numFmtId="226" fontId="76" fillId="0" borderId="0"/>
    <xf numFmtId="225" fontId="3" fillId="0" borderId="0" applyFont="0" applyFill="0" applyBorder="0" applyAlignment="0" applyProtection="0"/>
    <xf numFmtId="226" fontId="76" fillId="0" borderId="0"/>
    <xf numFmtId="226" fontId="76" fillId="0" borderId="0"/>
    <xf numFmtId="229" fontId="58" fillId="0" borderId="0"/>
    <xf numFmtId="166" fontId="58" fillId="0" borderId="0"/>
    <xf numFmtId="230" fontId="58" fillId="0" borderId="0"/>
    <xf numFmtId="229" fontId="58" fillId="0" borderId="0"/>
    <xf numFmtId="166" fontId="58" fillId="0" borderId="0"/>
    <xf numFmtId="231" fontId="58" fillId="0" borderId="0"/>
    <xf numFmtId="231" fontId="58" fillId="0" borderId="0"/>
    <xf numFmtId="168" fontId="58" fillId="0" borderId="0"/>
    <xf numFmtId="230" fontId="58" fillId="0" borderId="0"/>
    <xf numFmtId="164" fontId="58" fillId="0" borderId="0"/>
    <xf numFmtId="168" fontId="58" fillId="0" borderId="0"/>
    <xf numFmtId="168" fontId="58" fillId="0" borderId="0"/>
    <xf numFmtId="232" fontId="17" fillId="24" borderId="0" applyFont="0" applyFill="0" applyBorder="0" applyAlignment="0" applyProtection="0"/>
    <xf numFmtId="233" fontId="17" fillId="24" borderId="0" applyFont="0" applyFill="0" applyBorder="0" applyAlignment="0" applyProtection="0"/>
    <xf numFmtId="234" fontId="3" fillId="0" borderId="0" applyFont="0" applyFill="0" applyBorder="0" applyAlignment="0" applyProtection="0"/>
    <xf numFmtId="235" fontId="63" fillId="0" borderId="0" applyFont="0" applyFill="0" applyBorder="0" applyAlignment="0" applyProtection="0"/>
    <xf numFmtId="236" fontId="54" fillId="0" borderId="0" applyFont="0" applyFill="0" applyBorder="0" applyAlignment="0" applyProtection="0"/>
    <xf numFmtId="237" fontId="3" fillId="0" borderId="0" applyFont="0" applyFill="0" applyBorder="0" applyAlignment="0" applyProtection="0"/>
    <xf numFmtId="238" fontId="56" fillId="0" borderId="0" applyFont="0" applyFill="0" applyBorder="0" applyAlignment="0" applyProtection="0"/>
    <xf numFmtId="239" fontId="56" fillId="0" borderId="0" applyFont="0" applyFill="0" applyBorder="0" applyAlignment="0" applyProtection="0"/>
    <xf numFmtId="240" fontId="56" fillId="0" borderId="0" applyFont="0" applyFill="0" applyBorder="0" applyAlignment="0" applyProtection="0"/>
    <xf numFmtId="241" fontId="56" fillId="0" borderId="0" applyFont="0" applyFill="0" applyBorder="0" applyAlignment="0" applyProtection="0"/>
    <xf numFmtId="242" fontId="63" fillId="0" borderId="0" applyFont="0" applyFill="0" applyBorder="0" applyAlignment="0" applyProtection="0"/>
    <xf numFmtId="243" fontId="54" fillId="0" borderId="0" applyFont="0" applyFill="0" applyBorder="0" applyAlignment="0" applyProtection="0"/>
    <xf numFmtId="244" fontId="63" fillId="0" borderId="0" applyFont="0" applyFill="0" applyBorder="0" applyAlignment="0" applyProtection="0"/>
    <xf numFmtId="245" fontId="54" fillId="0" borderId="0" applyFont="0" applyFill="0" applyBorder="0" applyAlignment="0" applyProtection="0"/>
    <xf numFmtId="246" fontId="63" fillId="0" borderId="0" applyFont="0" applyFill="0" applyBorder="0" applyAlignment="0" applyProtection="0"/>
    <xf numFmtId="247" fontId="54" fillId="0" borderId="0" applyFont="0" applyFill="0" applyBorder="0" applyAlignment="0" applyProtection="0"/>
    <xf numFmtId="248" fontId="12" fillId="0" borderId="0" applyFont="0" applyFill="0" applyBorder="0" applyAlignment="0">
      <protection locked="0"/>
    </xf>
    <xf numFmtId="24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4" fillId="0" borderId="0" applyFill="0" applyBorder="0" applyAlignment="0" applyProtection="0"/>
    <xf numFmtId="9" fontId="68" fillId="0" borderId="0" applyBorder="0"/>
    <xf numFmtId="165" fontId="68" fillId="0" borderId="0" applyBorder="0"/>
    <xf numFmtId="10" fontId="68" fillId="0" borderId="0" applyBorder="0"/>
    <xf numFmtId="0" fontId="27" fillId="0" borderId="0" applyNumberFormat="0" applyFont="0" applyFill="0" applyBorder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3" fontId="3" fillId="0" borderId="0">
      <alignment horizontal="left" vertical="top"/>
    </xf>
    <xf numFmtId="0" fontId="28" fillId="0" borderId="10">
      <alignment horizontal="center"/>
    </xf>
    <xf numFmtId="3" fontId="27" fillId="0" borderId="0" applyFont="0" applyFill="0" applyBorder="0" applyAlignment="0" applyProtection="0"/>
    <xf numFmtId="0" fontId="27" fillId="31" borderId="0" applyNumberFormat="0" applyFont="0" applyBorder="0" applyAlignment="0" applyProtection="0"/>
    <xf numFmtId="3" fontId="3" fillId="0" borderId="0">
      <alignment horizontal="right" vertical="top"/>
    </xf>
    <xf numFmtId="41" fontId="16" fillId="25" borderId="19" applyFill="0"/>
    <xf numFmtId="0" fontId="29" fillId="0" borderId="0">
      <alignment horizontal="left" indent="7"/>
    </xf>
    <xf numFmtId="41" fontId="16" fillId="0" borderId="19" applyFill="0">
      <alignment horizontal="left" indent="2"/>
    </xf>
    <xf numFmtId="167" fontId="30" fillId="0" borderId="1" applyFill="0">
      <alignment horizontal="right"/>
    </xf>
    <xf numFmtId="0" fontId="6" fillId="0" borderId="13" applyNumberFormat="0" applyFont="0" applyBorder="0">
      <alignment horizontal="right"/>
    </xf>
    <xf numFmtId="0" fontId="31" fillId="0" borderId="0" applyFill="0"/>
    <xf numFmtId="0" fontId="11" fillId="0" borderId="0" applyFill="0"/>
    <xf numFmtId="4" fontId="30" fillId="0" borderId="1" applyFill="0"/>
    <xf numFmtId="0" fontId="3" fillId="0" borderId="0" applyNumberFormat="0" applyFont="0" applyBorder="0" applyAlignment="0"/>
    <xf numFmtId="0" fontId="14" fillId="0" borderId="0" applyFill="0">
      <alignment horizontal="left" indent="1"/>
    </xf>
    <xf numFmtId="0" fontId="32" fillId="0" borderId="0" applyFill="0">
      <alignment horizontal="left" indent="1"/>
    </xf>
    <xf numFmtId="4" fontId="17" fillId="0" borderId="0" applyFill="0"/>
    <xf numFmtId="0" fontId="3" fillId="0" borderId="0" applyNumberFormat="0" applyFont="0" applyFill="0" applyBorder="0" applyAlignment="0"/>
    <xf numFmtId="0" fontId="14" fillId="0" borderId="0" applyFill="0">
      <alignment horizontal="left" indent="2"/>
    </xf>
    <xf numFmtId="0" fontId="11" fillId="0" borderId="0" applyFill="0">
      <alignment horizontal="left" indent="2"/>
    </xf>
    <xf numFmtId="4" fontId="17" fillId="0" borderId="0" applyFill="0"/>
    <xf numFmtId="0" fontId="3" fillId="0" borderId="0" applyNumberFormat="0" applyFont="0" applyBorder="0" applyAlignment="0"/>
    <xf numFmtId="0" fontId="33" fillId="0" borderId="0">
      <alignment horizontal="left" indent="3"/>
    </xf>
    <xf numFmtId="0" fontId="34" fillId="0" borderId="0" applyFill="0">
      <alignment horizontal="left" indent="3"/>
    </xf>
    <xf numFmtId="4" fontId="17" fillId="0" borderId="0" applyFill="0"/>
    <xf numFmtId="0" fontId="3" fillId="0" borderId="0" applyNumberFormat="0" applyFont="0" applyBorder="0" applyAlignment="0"/>
    <xf numFmtId="0" fontId="18" fillId="0" borderId="0">
      <alignment horizontal="left" indent="4"/>
    </xf>
    <xf numFmtId="0" fontId="3" fillId="0" borderId="0" applyFill="0">
      <alignment horizontal="left" indent="4"/>
    </xf>
    <xf numFmtId="0" fontId="3" fillId="0" borderId="0" applyFill="0">
      <alignment horizontal="left" indent="4"/>
    </xf>
    <xf numFmtId="4" fontId="19" fillId="0" borderId="0" applyFill="0"/>
    <xf numFmtId="0" fontId="3" fillId="0" borderId="0" applyNumberFormat="0" applyFont="0" applyBorder="0" applyAlignment="0"/>
    <xf numFmtId="0" fontId="20" fillId="0" borderId="0">
      <alignment horizontal="left" indent="5"/>
    </xf>
    <xf numFmtId="0" fontId="21" fillId="0" borderId="0" applyFill="0">
      <alignment horizontal="left" indent="5"/>
    </xf>
    <xf numFmtId="4" fontId="22" fillId="0" borderId="0" applyFill="0"/>
    <xf numFmtId="0" fontId="3" fillId="0" borderId="0" applyNumberFormat="0" applyFont="0" applyFill="0" applyBorder="0" applyAlignment="0"/>
    <xf numFmtId="0" fontId="23" fillId="0" borderId="0" applyFill="0">
      <alignment horizontal="left" indent="6"/>
    </xf>
    <xf numFmtId="0" fontId="19" fillId="0" borderId="0" applyFill="0">
      <alignment horizontal="left" indent="6"/>
    </xf>
    <xf numFmtId="0" fontId="67" fillId="0" borderId="20" applyNumberFormat="0" applyFont="0" applyFill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55" fillId="0" borderId="10">
      <alignment horizontal="right"/>
    </xf>
    <xf numFmtId="0" fontId="9" fillId="6" borderId="0"/>
    <xf numFmtId="250" fontId="65" fillId="0" borderId="0">
      <alignment horizontal="center"/>
    </xf>
    <xf numFmtId="251" fontId="79" fillId="0" borderId="0">
      <alignment horizontal="center"/>
    </xf>
    <xf numFmtId="0" fontId="80" fillId="0" borderId="0" applyNumberFormat="0" applyFill="0" applyBorder="0" applyAlignment="0" applyProtection="0"/>
    <xf numFmtId="0" fontId="2" fillId="0" borderId="0" applyNumberFormat="0" applyBorder="0" applyAlignment="0"/>
    <xf numFmtId="0" fontId="49" fillId="0" borderId="0" applyNumberFormat="0" applyBorder="0" applyAlignment="0"/>
    <xf numFmtId="0" fontId="3" fillId="25" borderId="6" applyNumberFormat="0" applyFont="0" applyAlignment="0"/>
    <xf numFmtId="0" fontId="67" fillId="27" borderId="0" applyNumberFormat="0" applyFont="0" applyBorder="0" applyAlignment="0" applyProtection="0"/>
    <xf numFmtId="0" fontId="81" fillId="0" borderId="9" applyNumberFormat="0" applyFont="0" applyFill="0" applyAlignment="0" applyProtection="0"/>
    <xf numFmtId="0" fontId="51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2" fillId="0" borderId="0"/>
    <xf numFmtId="0" fontId="3" fillId="0" borderId="3" applyNumberFormat="0" applyFont="0" applyFill="0" applyAlignment="0" applyProtection="0"/>
    <xf numFmtId="0" fontId="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52" fontId="54" fillId="0" borderId="0" applyFont="0" applyFill="0" applyBorder="0" applyAlignment="0" applyProtection="0"/>
    <xf numFmtId="253" fontId="54" fillId="0" borderId="0" applyFont="0" applyFill="0" applyBorder="0" applyAlignment="0" applyProtection="0"/>
    <xf numFmtId="254" fontId="54" fillId="0" borderId="0" applyFont="0" applyFill="0" applyBorder="0" applyAlignment="0" applyProtection="0"/>
    <xf numFmtId="255" fontId="54" fillId="0" borderId="0" applyFont="0" applyFill="0" applyBorder="0" applyAlignment="0" applyProtection="0"/>
    <xf numFmtId="256" fontId="54" fillId="0" borderId="0" applyFont="0" applyFill="0" applyBorder="0" applyAlignment="0" applyProtection="0"/>
    <xf numFmtId="257" fontId="54" fillId="0" borderId="0" applyFont="0" applyFill="0" applyBorder="0" applyAlignment="0" applyProtection="0"/>
    <xf numFmtId="258" fontId="54" fillId="0" borderId="0" applyFont="0" applyFill="0" applyBorder="0" applyAlignment="0" applyProtection="0"/>
    <xf numFmtId="259" fontId="54" fillId="0" borderId="0" applyFont="0" applyFill="0" applyBorder="0" applyAlignment="0" applyProtection="0"/>
    <xf numFmtId="260" fontId="4" fillId="27" borderId="21" applyFont="0" applyFill="0" applyBorder="0" applyAlignment="0" applyProtection="0"/>
    <xf numFmtId="260" fontId="58" fillId="0" borderId="0" applyFont="0" applyFill="0" applyBorder="0" applyAlignment="0" applyProtection="0"/>
    <xf numFmtId="261" fontId="61" fillId="0" borderId="0" applyFont="0" applyFill="0" applyBorder="0" applyAlignment="0" applyProtection="0"/>
    <xf numFmtId="262" fontId="65" fillId="0" borderId="9" applyFont="0" applyFill="0" applyBorder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214" fontId="10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2" fillId="0" borderId="0"/>
    <xf numFmtId="9" fontId="1" fillId="0" borderId="0" applyFont="0" applyFill="0" applyBorder="0" applyAlignment="0" applyProtection="0"/>
    <xf numFmtId="0" fontId="104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04" fillId="0" borderId="0"/>
    <xf numFmtId="44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04" fillId="0" borderId="0"/>
    <xf numFmtId="0" fontId="152" fillId="0" borderId="0"/>
    <xf numFmtId="43" fontId="15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2" borderId="0"/>
    <xf numFmtId="0" fontId="35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35" fillId="5" borderId="0" applyNumberFormat="0" applyBorder="0" applyAlignment="0" applyProtection="0"/>
    <xf numFmtId="0" fontId="35" fillId="22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2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23" borderId="0" applyNumberFormat="0" applyBorder="0" applyAlignment="0" applyProtection="0"/>
    <xf numFmtId="0" fontId="35" fillId="35" borderId="0" applyNumberFormat="0" applyBorder="0" applyAlignment="0" applyProtection="0"/>
    <xf numFmtId="0" fontId="35" fillId="15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35" fillId="13" borderId="0" applyNumberFormat="0" applyBorder="0" applyAlignment="0" applyProtection="0"/>
    <xf numFmtId="0" fontId="127" fillId="6" borderId="0" applyNumberFormat="0" applyBorder="0" applyAlignment="0" applyProtection="0"/>
    <xf numFmtId="0" fontId="128" fillId="41" borderId="22" applyNumberFormat="0" applyAlignment="0" applyProtection="0"/>
    <xf numFmtId="0" fontId="38" fillId="39" borderId="5" applyNumberFormat="0" applyAlignment="0" applyProtection="0"/>
    <xf numFmtId="0" fontId="129" fillId="42" borderId="0" applyNumberFormat="0" applyBorder="0" applyAlignment="0" applyProtection="0"/>
    <xf numFmtId="0" fontId="129" fillId="43" borderId="0" applyNumberFormat="0" applyBorder="0" applyAlignment="0" applyProtection="0"/>
    <xf numFmtId="0" fontId="129" fillId="44" borderId="0" applyNumberFormat="0" applyBorder="0" applyAlignment="0" applyProtection="0"/>
    <xf numFmtId="0" fontId="7" fillId="12" borderId="0" applyNumberFormat="0" applyBorder="0" applyAlignment="0" applyProtection="0"/>
    <xf numFmtId="0" fontId="130" fillId="0" borderId="23" applyNumberFormat="0" applyFill="0" applyAlignment="0" applyProtection="0"/>
    <xf numFmtId="0" fontId="131" fillId="0" borderId="24" applyNumberFormat="0" applyFill="0" applyAlignment="0" applyProtection="0"/>
    <xf numFmtId="0" fontId="41" fillId="0" borderId="25" applyNumberFormat="0" applyFill="0" applyAlignment="0" applyProtection="0"/>
    <xf numFmtId="0" fontId="132" fillId="8" borderId="22" applyNumberFormat="0" applyAlignment="0" applyProtection="0"/>
    <xf numFmtId="0" fontId="40" fillId="0" borderId="26" applyNumberFormat="0" applyFill="0" applyAlignment="0" applyProtection="0"/>
    <xf numFmtId="0" fontId="40" fillId="8" borderId="0" applyNumberFormat="0" applyBorder="0" applyAlignment="0" applyProtection="0"/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4" borderId="29" applyNumberFormat="0">
      <protection locked="0"/>
    </xf>
    <xf numFmtId="0" fontId="4" fillId="23" borderId="30" applyBorder="0"/>
    <xf numFmtId="0" fontId="123" fillId="6" borderId="27" applyNumberFormat="0" applyProtection="0">
      <alignment vertical="center"/>
    </xf>
    <xf numFmtId="0" fontId="134" fillId="6" borderId="13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9" borderId="13"/>
    <xf numFmtId="0" fontId="126" fillId="24" borderId="22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3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22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2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134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52" fillId="0" borderId="0"/>
    <xf numFmtId="0" fontId="1" fillId="0" borderId="0"/>
    <xf numFmtId="43" fontId="1" fillId="0" borderId="0" applyFont="0" applyFill="0" applyBorder="0" applyAlignment="0" applyProtection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2" fillId="0" borderId="0"/>
    <xf numFmtId="0" fontId="1" fillId="0" borderId="0"/>
    <xf numFmtId="9" fontId="1" fillId="0" borderId="0" applyFont="0" applyFill="0" applyBorder="0" applyAlignment="0" applyProtection="0"/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9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6" fillId="0" borderId="0"/>
    <xf numFmtId="37" fontId="16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50" borderId="3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32" borderId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5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45" borderId="22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2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4" fillId="23" borderId="30" applyBorder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vertical="center"/>
    </xf>
    <xf numFmtId="0" fontId="134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40" borderId="2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17" borderId="2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5" fillId="22" borderId="22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4" fillId="23" borderId="30" applyBorder="0"/>
    <xf numFmtId="0" fontId="125" fillId="48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37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8" borderId="22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6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3" fillId="6" borderId="2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2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0" borderId="28" applyNumberFormat="0" applyProtection="0">
      <alignment horizontal="left" vertical="center" indent="1"/>
    </xf>
    <xf numFmtId="0" fontId="1" fillId="0" borderId="0"/>
    <xf numFmtId="0" fontId="1" fillId="0" borderId="0"/>
    <xf numFmtId="0" fontId="129" fillId="0" borderId="3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3" borderId="22" applyNumberFormat="0" applyProtection="0">
      <alignment horizontal="right" vertical="center"/>
    </xf>
    <xf numFmtId="0" fontId="1" fillId="0" borderId="0"/>
    <xf numFmtId="0" fontId="5" fillId="17" borderId="2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48" borderId="28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6" borderId="27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6" borderId="27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0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4" fillId="23" borderId="30" applyBorder="0"/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32" fillId="8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2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2" fillId="8" borderId="22" applyNumberFormat="0" applyAlignment="0" applyProtection="0"/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0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3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6" borderId="22" applyNumberFormat="0" applyFont="0" applyAlignment="0" applyProtection="0"/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3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6" borderId="22" applyNumberFormat="0" applyFont="0" applyAlignment="0" applyProtection="0"/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21" borderId="28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6" borderId="22" applyNumberFormat="0" applyFont="0" applyAlignment="0" applyProtection="0"/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4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4" fillId="23" borderId="30" applyBorder="0"/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4" fillId="23" borderId="30" applyBorder="0"/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13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2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28" fillId="41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4" fillId="23" borderId="30" applyBorder="0"/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0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9" fillId="0" borderId="31" applyNumberFormat="0" applyFill="0" applyAlignment="0" applyProtection="0"/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4" fillId="23" borderId="30" applyBorder="0"/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4" fillId="23" borderId="30" applyBorder="0"/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3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45" fillId="41" borderId="18" applyNumberFormat="0" applyAlignment="0" applyProtection="0"/>
    <xf numFmtId="0" fontId="45" fillId="41" borderId="18" applyNumberFormat="0" applyAlignment="0" applyProtection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4" fillId="23" borderId="30" applyBorder="0"/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4" fillId="23" borderId="30" applyBorder="0"/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4" fillId="23" borderId="30" applyBorder="0"/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4" fillId="23" borderId="30" applyBorder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9" fillId="0" borderId="31" applyNumberFormat="0" applyFill="0" applyAlignment="0" applyProtection="0"/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4" fillId="23" borderId="30" applyBorder="0"/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2" fillId="8" borderId="22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5" fillId="37" borderId="2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11" borderId="2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5" fillId="47" borderId="2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3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7" borderId="27" applyNumberFormat="0" applyProtection="0">
      <alignment horizontal="left" vertical="top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13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0" borderId="2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5" borderId="22" applyNumberFormat="0" applyProtection="0">
      <alignment horizontal="right" vertical="center"/>
    </xf>
    <xf numFmtId="0" fontId="1" fillId="0" borderId="0"/>
    <xf numFmtId="0" fontId="1" fillId="0" borderId="0"/>
    <xf numFmtId="0" fontId="4" fillId="23" borderId="3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2" borderId="22" applyNumberFormat="0" applyProtection="0">
      <alignment horizontal="right" vertical="center"/>
    </xf>
    <xf numFmtId="0" fontId="1" fillId="0" borderId="0"/>
    <xf numFmtId="0" fontId="123" fillId="25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24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27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4" fillId="11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4" fillId="23" borderId="30" applyBorder="0"/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45" fillId="41" borderId="18" applyNumberFormat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4" fillId="23" borderId="30" applyBorder="0"/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32" fillId="8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32" fillId="8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6" borderId="27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45" fillId="41" borderId="18" applyNumberForma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6" borderId="22" applyNumberFormat="0" applyFont="0" applyAlignment="0" applyProtection="0"/>
    <xf numFmtId="0" fontId="5" fillId="2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4" fillId="23" borderId="30" applyBorder="0"/>
    <xf numFmtId="0" fontId="5" fillId="1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4" fillId="23" borderId="30" applyBorder="0"/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132" fillId="8" borderId="22" applyNumberFormat="0" applyAlignment="0" applyProtection="0"/>
    <xf numFmtId="0" fontId="132" fillId="8" borderId="22" applyNumberFormat="0" applyAlignment="0" applyProtection="0"/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4" fillId="23" borderId="30" applyBorder="0"/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4" fillId="23" borderId="30" applyBorder="0"/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4" fillId="23" borderId="30" applyBorder="0"/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4" fillId="23" borderId="30" applyBorder="0"/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9" fillId="0" borderId="31" applyNumberFormat="0" applyFill="0" applyAlignment="0" applyProtection="0"/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4" fillId="23" borderId="30" applyBorder="0"/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2" fillId="8" borderId="22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5" fillId="37" borderId="2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11" borderId="2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5" fillId="47" borderId="2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3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7" borderId="27" applyNumberFormat="0" applyProtection="0">
      <alignment horizontal="left" vertical="top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13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0" borderId="2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5" borderId="22" applyNumberFormat="0" applyProtection="0">
      <alignment horizontal="right" vertical="center"/>
    </xf>
    <xf numFmtId="0" fontId="1" fillId="0" borderId="0"/>
    <xf numFmtId="0" fontId="1" fillId="0" borderId="0"/>
    <xf numFmtId="0" fontId="4" fillId="23" borderId="3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2" borderId="22" applyNumberFormat="0" applyProtection="0">
      <alignment horizontal="right" vertical="center"/>
    </xf>
    <xf numFmtId="0" fontId="1" fillId="0" borderId="0"/>
    <xf numFmtId="0" fontId="123" fillId="25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24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27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4" fillId="11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4" fillId="23" borderId="30" applyBorder="0"/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45" fillId="41" borderId="18" applyNumberFormat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4" fillId="23" borderId="30" applyBorder="0"/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132" fillId="8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32" fillId="8" borderId="22" applyNumberFormat="0" applyAlignment="0" applyProtection="0"/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6" borderId="27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4" fillId="23" borderId="30" applyBorder="0"/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45" fillId="41" borderId="18" applyNumberForma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6" borderId="22" applyNumberFormat="0" applyFont="0" applyAlignment="0" applyProtection="0"/>
    <xf numFmtId="0" fontId="5" fillId="2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4" fillId="23" borderId="30" applyBorder="0"/>
    <xf numFmtId="0" fontId="5" fillId="1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4" fillId="23" borderId="30" applyBorder="0"/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5" fillId="1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24" fillId="11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132" fillId="8" borderId="22" applyNumberFormat="0" applyAlignment="0" applyProtection="0"/>
    <xf numFmtId="0" fontId="132" fillId="8" borderId="22" applyNumberFormat="0" applyAlignment="0" applyProtection="0"/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5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" fillId="23" borderId="30" applyBorder="0"/>
    <xf numFmtId="0" fontId="5" fillId="2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4" fillId="23" borderId="30" applyBorder="0"/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4" fillId="23" borderId="30" applyBorder="0"/>
    <xf numFmtId="0" fontId="123" fillId="6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4" fillId="23" borderId="30" applyBorder="0"/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4" fillId="23" borderId="30" applyBorder="0"/>
    <xf numFmtId="0" fontId="4" fillId="23" borderId="30" applyBorder="0"/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25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12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8" fillId="41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5" fillId="1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0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0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6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5" fillId="48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8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3" borderId="22" applyNumberFormat="0" applyProtection="0">
      <alignment horizontal="right" vertical="center"/>
    </xf>
    <xf numFmtId="0" fontId="4" fillId="23" borderId="30" applyBorder="0"/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5" fillId="11" borderId="22" applyNumberFormat="0" applyProtection="0">
      <alignment vertical="center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4" fillId="23" borderId="30" applyBorder="0"/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4" fillId="23" borderId="30" applyBorder="0"/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2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9" fillId="0" borderId="31" applyNumberFormat="0" applyFill="0" applyAlignment="0" applyProtection="0"/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6" borderId="27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32" fillId="8" borderId="22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4" fillId="23" borderId="30" applyBorder="0"/>
    <xf numFmtId="0" fontId="5" fillId="5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4" fillId="23" borderId="30" applyBorder="0"/>
    <xf numFmtId="0" fontId="132" fillId="8" borderId="22" applyNumberFormat="0" applyAlignment="0" applyProtection="0"/>
    <xf numFmtId="0" fontId="5" fillId="37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45" fillId="41" borderId="18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132" fillId="8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45" fillId="41" borderId="18" applyNumberFormat="0" applyAlignment="0" applyProtection="0"/>
    <xf numFmtId="0" fontId="123" fillId="6" borderId="27" applyNumberFormat="0" applyProtection="0">
      <alignment vertical="center"/>
    </xf>
    <xf numFmtId="0" fontId="5" fillId="37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3" fillId="23" borderId="28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4" fillId="23" borderId="30" applyBorder="0"/>
    <xf numFmtId="0" fontId="5" fillId="23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0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40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37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18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46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3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37" borderId="27" applyNumberFormat="0" applyProtection="0">
      <alignment horizontal="left" vertical="top" indent="1"/>
    </xf>
    <xf numFmtId="0" fontId="124" fillId="11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6" borderId="22" applyNumberFormat="0" applyFont="0" applyAlignment="0" applyProtection="0"/>
    <xf numFmtId="0" fontId="5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5" fillId="2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8" fillId="41" borderId="22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23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2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4" fillId="23" borderId="30" applyBorder="0"/>
    <xf numFmtId="0" fontId="134" fillId="24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40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5" fillId="37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" borderId="22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5" fillId="22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5" fillId="21" borderId="28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128" fillId="41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23" fillId="6" borderId="27" applyNumberFormat="0" applyProtection="0">
      <alignment horizontal="left" vertical="top" indent="1"/>
    </xf>
    <xf numFmtId="0" fontId="5" fillId="5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11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40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5" fillId="41" borderId="18" applyNumberFormat="0" applyAlignment="0" applyProtection="0"/>
    <xf numFmtId="0" fontId="5" fillId="38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37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12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4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134" fillId="24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5" fillId="37" borderId="27" applyNumberFormat="0" applyProtection="0">
      <alignment horizontal="left" vertical="top" indent="1"/>
    </xf>
    <xf numFmtId="0" fontId="5" fillId="13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132" fillId="8" borderId="22" applyNumberFormat="0" applyAlignment="0" applyProtection="0"/>
    <xf numFmtId="0" fontId="129" fillId="0" borderId="31" applyNumberFormat="0" applyFill="0" applyAlignment="0" applyProtection="0"/>
    <xf numFmtId="0" fontId="134" fillId="11" borderId="22" applyNumberFormat="0" applyProtection="0">
      <alignment vertical="center"/>
    </xf>
    <xf numFmtId="0" fontId="132" fillId="8" borderId="22" applyNumberFormat="0" applyAlignment="0" applyProtection="0"/>
    <xf numFmtId="0" fontId="126" fillId="24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21" borderId="28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37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23" fillId="6" borderId="27" applyNumberFormat="0" applyProtection="0">
      <alignment vertical="center"/>
    </xf>
    <xf numFmtId="0" fontId="3" fillId="23" borderId="28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6" borderId="22" applyNumberFormat="0" applyFont="0" applyAlignment="0" applyProtection="0"/>
    <xf numFmtId="0" fontId="5" fillId="2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4" fillId="23" borderId="30" applyBorder="0"/>
    <xf numFmtId="0" fontId="134" fillId="11" borderId="22" applyNumberFormat="0" applyProtection="0">
      <alignment vertical="center"/>
    </xf>
    <xf numFmtId="0" fontId="5" fillId="46" borderId="28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4" fillId="23" borderId="30" applyBorder="0"/>
    <xf numFmtId="0" fontId="132" fillId="8" borderId="22" applyNumberFormat="0" applyAlignment="0" applyProtection="0"/>
    <xf numFmtId="0" fontId="5" fillId="21" borderId="28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5" fillId="0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1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4" fillId="23" borderId="30" applyBorder="0"/>
    <xf numFmtId="0" fontId="134" fillId="11" borderId="22" applyNumberFormat="0" applyProtection="0">
      <alignment vertical="center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34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5" fillId="40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125" fillId="48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12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23" fillId="6" borderId="27" applyNumberFormat="0" applyProtection="0">
      <alignment vertical="center"/>
    </xf>
    <xf numFmtId="0" fontId="132" fillId="8" borderId="22" applyNumberFormat="0" applyAlignment="0" applyProtection="0"/>
    <xf numFmtId="0" fontId="5" fillId="23" borderId="27" applyNumberFormat="0" applyProtection="0">
      <alignment horizontal="left" vertical="top" indent="1"/>
    </xf>
    <xf numFmtId="0" fontId="5" fillId="37" borderId="27" applyNumberFormat="0" applyProtection="0">
      <alignment horizontal="left" vertical="top" indent="1"/>
    </xf>
    <xf numFmtId="0" fontId="5" fillId="40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4" fillId="23" borderId="30" applyBorder="0"/>
    <xf numFmtId="0" fontId="125" fillId="48" borderId="28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23" fillId="25" borderId="27" applyNumberFormat="0" applyProtection="0">
      <alignment horizontal="left" vertical="center" indent="1"/>
    </xf>
    <xf numFmtId="0" fontId="45" fillId="41" borderId="18" applyNumberFormat="0" applyAlignment="0" applyProtection="0"/>
    <xf numFmtId="0" fontId="45" fillId="41" borderId="18" applyNumberFormat="0" applyAlignment="0" applyProtection="0"/>
    <xf numFmtId="0" fontId="123" fillId="25" borderId="27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3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132" fillId="8" borderId="22" applyNumberFormat="0" applyAlignment="0" applyProtection="0"/>
    <xf numFmtId="0" fontId="134" fillId="11" borderId="22" applyNumberFormat="0" applyProtection="0">
      <alignment vertical="center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128" fillId="41" borderId="22" applyNumberFormat="0" applyAlignment="0" applyProtection="0"/>
    <xf numFmtId="0" fontId="5" fillId="46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5" fillId="15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6" borderId="22" applyNumberFormat="0" applyFont="0" applyAlignment="0" applyProtection="0"/>
    <xf numFmtId="0" fontId="134" fillId="24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4" fillId="23" borderId="30" applyBorder="0"/>
    <xf numFmtId="0" fontId="3" fillId="23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123" fillId="37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0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0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5" fillId="11" borderId="22" applyNumberFormat="0" applyProtection="0">
      <alignment vertical="center"/>
    </xf>
    <xf numFmtId="0" fontId="129" fillId="0" borderId="31" applyNumberFormat="0" applyFill="0" applyAlignment="0" applyProtection="0"/>
    <xf numFmtId="0" fontId="5" fillId="45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8" fillId="41" borderId="22" applyNumberFormat="0" applyAlignment="0" applyProtection="0"/>
    <xf numFmtId="0" fontId="125" fillId="48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123" fillId="37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6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2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47" borderId="22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5" fillId="46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123" fillId="6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134" fillId="11" borderId="22" applyNumberFormat="0" applyProtection="0">
      <alignment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123" fillId="37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132" fillId="8" borderId="22" applyNumberFormat="0" applyAlignment="0" applyProtection="0"/>
    <xf numFmtId="0" fontId="5" fillId="40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4" fillId="23" borderId="30" applyBorder="0"/>
    <xf numFmtId="0" fontId="5" fillId="0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45" fillId="41" borderId="18" applyNumberFormat="0" applyAlignment="0" applyProtection="0"/>
    <xf numFmtId="0" fontId="134" fillId="11" borderId="22" applyNumberFormat="0" applyProtection="0">
      <alignment vertical="center"/>
    </xf>
    <xf numFmtId="0" fontId="5" fillId="12" borderId="2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5" fillId="37" borderId="2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5" fillId="13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40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5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5" fillId="6" borderId="22" applyNumberFormat="0" applyFont="0" applyAlignment="0" applyProtection="0"/>
    <xf numFmtId="0" fontId="128" fillId="41" borderId="22" applyNumberFormat="0" applyAlignment="0" applyProtection="0"/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5" fillId="12" borderId="22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132" fillId="8" borderId="22" applyNumberFormat="0" applyAlignment="0" applyProtection="0"/>
    <xf numFmtId="0" fontId="45" fillId="41" borderId="18" applyNumberFormat="0" applyAlignment="0" applyProtection="0"/>
    <xf numFmtId="0" fontId="5" fillId="11" borderId="22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3" fillId="23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134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5" fillId="45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4" fillId="23" borderId="30" applyBorder="0"/>
    <xf numFmtId="0" fontId="5" fillId="40" borderId="22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11" borderId="2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5" fillId="47" borderId="2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28" fillId="41" borderId="22" applyNumberFormat="0" applyAlignment="0" applyProtection="0"/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45" fillId="41" borderId="18" applyNumberFormat="0" applyAlignment="0" applyProtection="0"/>
    <xf numFmtId="0" fontId="5" fillId="22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15" borderId="22" applyNumberFormat="0" applyProtection="0">
      <alignment horizontal="right" vertical="center"/>
    </xf>
    <xf numFmtId="0" fontId="5" fillId="21" borderId="28" applyNumberFormat="0" applyProtection="0">
      <alignment horizontal="right" vertical="center"/>
    </xf>
    <xf numFmtId="0" fontId="5" fillId="37" borderId="28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2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123" fillId="25" borderId="27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" fillId="23" borderId="30" applyBorder="0"/>
    <xf numFmtId="0" fontId="5" fillId="25" borderId="22" applyNumberFormat="0" applyProtection="0">
      <alignment horizontal="left" vertical="center" indent="1"/>
    </xf>
    <xf numFmtId="0" fontId="5" fillId="18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5" borderId="22" applyNumberFormat="0" applyProtection="0">
      <alignment horizontal="left" vertical="center" indent="1"/>
    </xf>
    <xf numFmtId="0" fontId="4" fillId="23" borderId="30" applyBorder="0"/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5" fillId="23" borderId="27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37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4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8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9" fillId="0" borderId="31" applyNumberFormat="0" applyFill="0" applyAlignment="0" applyProtection="0"/>
    <xf numFmtId="0" fontId="5" fillId="13" borderId="22" applyNumberFormat="0" applyProtection="0">
      <alignment horizontal="right" vertical="center"/>
    </xf>
    <xf numFmtId="0" fontId="3" fillId="23" borderId="28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0" borderId="22" applyNumberFormat="0" applyProtection="0">
      <alignment horizontal="right" vertical="center"/>
    </xf>
    <xf numFmtId="0" fontId="5" fillId="40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4" fillId="11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8" fillId="41" borderId="22" applyNumberFormat="0" applyAlignment="0" applyProtection="0"/>
    <xf numFmtId="0" fontId="134" fillId="24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5" fillId="11" borderId="22" applyNumberFormat="0" applyProtection="0">
      <alignment vertical="center"/>
    </xf>
    <xf numFmtId="0" fontId="5" fillId="6" borderId="22" applyNumberFormat="0" applyFont="0" applyAlignment="0" applyProtection="0"/>
    <xf numFmtId="0" fontId="123" fillId="25" borderId="27" applyNumberFormat="0" applyProtection="0">
      <alignment horizontal="left" vertical="center" indent="1"/>
    </xf>
    <xf numFmtId="0" fontId="5" fillId="2" borderId="27" applyNumberFormat="0" applyProtection="0">
      <alignment horizontal="left" vertical="top" indent="1"/>
    </xf>
    <xf numFmtId="0" fontId="123" fillId="37" borderId="27" applyNumberFormat="0" applyProtection="0">
      <alignment horizontal="left" vertical="top" indent="1"/>
    </xf>
    <xf numFmtId="0" fontId="5" fillId="6" borderId="22" applyNumberFormat="0" applyFont="0" applyAlignment="0" applyProtection="0"/>
    <xf numFmtId="0" fontId="5" fillId="40" borderId="28" applyNumberFormat="0" applyProtection="0">
      <alignment horizontal="left" vertical="center" indent="1"/>
    </xf>
    <xf numFmtId="0" fontId="5" fillId="40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37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11" borderId="22" applyNumberFormat="0" applyProtection="0">
      <alignment horizontal="left" vertical="center" indent="1"/>
    </xf>
    <xf numFmtId="0" fontId="5" fillId="46" borderId="28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3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0" borderId="2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7" borderId="27" applyNumberFormat="0" applyProtection="0">
      <alignment horizontal="left" vertical="top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13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0" borderId="2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3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2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24" borderId="2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27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27" applyNumberFormat="0" applyProtection="0">
      <alignment horizontal="left" vertical="top" indent="1"/>
    </xf>
    <xf numFmtId="0" fontId="134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22" applyNumberFormat="0" applyProtection="0">
      <alignment horizontal="left" vertical="center" indent="1"/>
    </xf>
    <xf numFmtId="0" fontId="128" fillId="41" borderId="22" applyNumberFormat="0" applyAlignment="0" applyProtection="0"/>
    <xf numFmtId="0" fontId="5" fillId="11" borderId="22" applyNumberFormat="0" applyProtection="0">
      <alignment vertical="center"/>
    </xf>
    <xf numFmtId="0" fontId="123" fillId="6" borderId="27" applyNumberFormat="0" applyProtection="0">
      <alignment horizontal="left" vertical="top" indent="1"/>
    </xf>
    <xf numFmtId="0" fontId="5" fillId="15" borderId="22" applyNumberFormat="0" applyProtection="0">
      <alignment horizontal="right" vertical="center"/>
    </xf>
    <xf numFmtId="0" fontId="4" fillId="23" borderId="30" applyBorder="0"/>
    <xf numFmtId="0" fontId="5" fillId="38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4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126" fillId="24" borderId="22" applyNumberFormat="0" applyProtection="0">
      <alignment horizontal="right" vertical="center"/>
    </xf>
    <xf numFmtId="0" fontId="5" fillId="38" borderId="22" applyNumberFormat="0" applyProtection="0">
      <alignment horizontal="right" vertical="center"/>
    </xf>
    <xf numFmtId="0" fontId="126" fillId="24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25" borderId="22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11" borderId="22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17" borderId="22" applyNumberFormat="0" applyProtection="0">
      <alignment horizontal="left" vertical="center" indent="1"/>
    </xf>
    <xf numFmtId="0" fontId="132" fillId="8" borderId="22" applyNumberFormat="0" applyAlignment="0" applyProtection="0"/>
    <xf numFmtId="0" fontId="3" fillId="23" borderId="28" applyNumberFormat="0" applyProtection="0">
      <alignment horizontal="left" vertical="center" indent="1"/>
    </xf>
    <xf numFmtId="0" fontId="125" fillId="48" borderId="28" applyNumberFormat="0" applyProtection="0">
      <alignment horizontal="left" vertical="center" indent="1"/>
    </xf>
    <xf numFmtId="0" fontId="132" fillId="8" borderId="22" applyNumberFormat="0" applyAlignment="0" applyProtection="0"/>
    <xf numFmtId="0" fontId="5" fillId="40" borderId="28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45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129" fillId="0" borderId="31" applyNumberFormat="0" applyFill="0" applyAlignment="0" applyProtection="0"/>
    <xf numFmtId="0" fontId="5" fillId="40" borderId="28" applyNumberFormat="0" applyProtection="0">
      <alignment horizontal="left" vertical="center" indent="1"/>
    </xf>
    <xf numFmtId="0" fontId="123" fillId="37" borderId="27" applyNumberFormat="0" applyProtection="0">
      <alignment horizontal="left" vertical="top" indent="1"/>
    </xf>
    <xf numFmtId="0" fontId="5" fillId="46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38" borderId="22" applyNumberFormat="0" applyProtection="0">
      <alignment horizontal="right" vertical="center"/>
    </xf>
    <xf numFmtId="0" fontId="5" fillId="40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5" fillId="37" borderId="28" applyNumberFormat="0" applyProtection="0">
      <alignment horizontal="left" vertical="center" indent="1"/>
    </xf>
    <xf numFmtId="0" fontId="123" fillId="25" borderId="27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123" fillId="6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45" fillId="41" borderId="18" applyNumberFormat="0" applyAlignment="0" applyProtection="0"/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123" fillId="6" borderId="27" applyNumberFormat="0" applyProtection="0">
      <alignment vertical="center"/>
    </xf>
    <xf numFmtId="0" fontId="5" fillId="23" borderId="27" applyNumberFormat="0" applyProtection="0">
      <alignment horizontal="left" vertical="top" indent="1"/>
    </xf>
    <xf numFmtId="0" fontId="45" fillId="41" borderId="18" applyNumberFormat="0" applyAlignment="0" applyProtection="0"/>
    <xf numFmtId="0" fontId="5" fillId="21" borderId="28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5" fillId="15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23" fillId="25" borderId="27" applyNumberFormat="0" applyProtection="0">
      <alignment horizontal="left" vertical="center" indent="1"/>
    </xf>
    <xf numFmtId="0" fontId="5" fillId="37" borderId="22" applyNumberFormat="0" applyProtection="0">
      <alignment horizontal="right" vertical="center"/>
    </xf>
    <xf numFmtId="0" fontId="5" fillId="13" borderId="22" applyNumberFormat="0" applyProtection="0">
      <alignment horizontal="right" vertical="center"/>
    </xf>
    <xf numFmtId="0" fontId="132" fillId="8" borderId="22" applyNumberFormat="0" applyAlignment="0" applyProtection="0"/>
    <xf numFmtId="0" fontId="5" fillId="13" borderId="22" applyNumberFormat="0" applyProtection="0">
      <alignment horizontal="right" vertical="center"/>
    </xf>
    <xf numFmtId="0" fontId="134" fillId="24" borderId="22" applyNumberFormat="0" applyProtection="0">
      <alignment horizontal="right" vertical="center"/>
    </xf>
    <xf numFmtId="0" fontId="124" fillId="11" borderId="27" applyNumberFormat="0" applyProtection="0">
      <alignment horizontal="left" vertical="top" indent="1"/>
    </xf>
    <xf numFmtId="0" fontId="5" fillId="2" borderId="27" applyNumberFormat="0" applyProtection="0">
      <alignment horizontal="left" vertical="top" indent="1"/>
    </xf>
    <xf numFmtId="0" fontId="128" fillId="41" borderId="22" applyNumberFormat="0" applyAlignment="0" applyProtection="0"/>
    <xf numFmtId="0" fontId="5" fillId="38" borderId="22" applyNumberFormat="0" applyProtection="0">
      <alignment horizontal="right" vertical="center"/>
    </xf>
    <xf numFmtId="0" fontId="123" fillId="6" borderId="27" applyNumberFormat="0" applyProtection="0">
      <alignment horizontal="left" vertical="top" indent="1"/>
    </xf>
    <xf numFmtId="0" fontId="126" fillId="24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11" borderId="22" applyNumberFormat="0" applyProtection="0">
      <alignment vertical="center"/>
    </xf>
    <xf numFmtId="0" fontId="5" fillId="25" borderId="22" applyNumberFormat="0" applyProtection="0">
      <alignment horizontal="left" vertical="center" indent="1"/>
    </xf>
    <xf numFmtId="0" fontId="5" fillId="17" borderId="22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7" applyNumberFormat="0" applyProtection="0">
      <alignment horizontal="left" vertical="top" indent="1"/>
    </xf>
    <xf numFmtId="0" fontId="5" fillId="40" borderId="22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5" fillId="6" borderId="22" applyNumberFormat="0" applyFont="0" applyAlignment="0" applyProtection="0"/>
    <xf numFmtId="0" fontId="5" fillId="12" borderId="22" applyNumberFormat="0" applyProtection="0">
      <alignment horizontal="right" vertical="center"/>
    </xf>
    <xf numFmtId="0" fontId="5" fillId="2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center" indent="1"/>
    </xf>
    <xf numFmtId="0" fontId="5" fillId="22" borderId="22" applyNumberFormat="0" applyProtection="0">
      <alignment horizontal="right" vertical="center"/>
    </xf>
    <xf numFmtId="0" fontId="5" fillId="22" borderId="22" applyNumberFormat="0" applyProtection="0">
      <alignment horizontal="right" vertical="center"/>
    </xf>
    <xf numFmtId="0" fontId="5" fillId="17" borderId="22" applyNumberFormat="0" applyProtection="0">
      <alignment horizontal="left" vertical="center" indent="1"/>
    </xf>
    <xf numFmtId="0" fontId="5" fillId="5" borderId="22" applyNumberFormat="0" applyProtection="0">
      <alignment horizontal="right" vertical="center"/>
    </xf>
    <xf numFmtId="0" fontId="128" fillId="41" borderId="22" applyNumberFormat="0" applyAlignment="0" applyProtection="0"/>
    <xf numFmtId="0" fontId="5" fillId="0" borderId="22" applyNumberFormat="0" applyProtection="0">
      <alignment horizontal="right" vertical="center"/>
    </xf>
    <xf numFmtId="0" fontId="5" fillId="6" borderId="22" applyNumberFormat="0" applyFont="0" applyAlignment="0" applyProtection="0"/>
    <xf numFmtId="0" fontId="45" fillId="41" borderId="18" applyNumberFormat="0" applyAlignment="0" applyProtection="0"/>
    <xf numFmtId="0" fontId="5" fillId="0" borderId="22" applyNumberFormat="0" applyProtection="0">
      <alignment horizontal="right" vertical="center"/>
    </xf>
    <xf numFmtId="0" fontId="5" fillId="37" borderId="22" applyNumberFormat="0" applyProtection="0">
      <alignment horizontal="right" vertical="center"/>
    </xf>
    <xf numFmtId="0" fontId="5" fillId="23" borderId="27" applyNumberFormat="0" applyProtection="0">
      <alignment horizontal="left" vertical="top" indent="1"/>
    </xf>
    <xf numFmtId="0" fontId="5" fillId="38" borderId="22" applyNumberFormat="0" applyProtection="0">
      <alignment horizontal="right" vertical="center"/>
    </xf>
    <xf numFmtId="0" fontId="5" fillId="18" borderId="22" applyNumberFormat="0" applyProtection="0">
      <alignment horizontal="right" vertical="center"/>
    </xf>
    <xf numFmtId="0" fontId="5" fillId="37" borderId="27" applyNumberFormat="0" applyProtection="0">
      <alignment horizontal="left" vertical="top" indent="1"/>
    </xf>
    <xf numFmtId="0" fontId="123" fillId="6" borderId="27" applyNumberFormat="0" applyProtection="0">
      <alignment vertical="center"/>
    </xf>
    <xf numFmtId="0" fontId="128" fillId="41" borderId="22" applyNumberFormat="0" applyAlignment="0" applyProtection="0"/>
    <xf numFmtId="0" fontId="5" fillId="13" borderId="22" applyNumberFormat="0" applyProtection="0">
      <alignment horizontal="right" vertical="center"/>
    </xf>
    <xf numFmtId="0" fontId="5" fillId="47" borderId="22" applyNumberFormat="0" applyProtection="0">
      <alignment horizontal="left" vertical="center" indent="1"/>
    </xf>
    <xf numFmtId="0" fontId="129" fillId="0" borderId="31" applyNumberFormat="0" applyFill="0" applyAlignment="0" applyProtection="0"/>
    <xf numFmtId="0" fontId="5" fillId="17" borderId="22" applyNumberFormat="0" applyProtection="0">
      <alignment horizontal="left" vertical="center" indent="1"/>
    </xf>
    <xf numFmtId="0" fontId="123" fillId="6" borderId="27" applyNumberFormat="0" applyProtection="0">
      <alignment vertical="center"/>
    </xf>
    <xf numFmtId="0" fontId="5" fillId="37" borderId="27" applyNumberFormat="0" applyProtection="0">
      <alignment horizontal="left" vertical="top" indent="1"/>
    </xf>
    <xf numFmtId="0" fontId="5" fillId="37" borderId="28" applyNumberFormat="0" applyProtection="0">
      <alignment horizontal="left" vertical="center" indent="1"/>
    </xf>
    <xf numFmtId="0" fontId="5" fillId="11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13" borderId="22" applyNumberFormat="0" applyProtection="0">
      <alignment horizontal="right" vertical="center"/>
    </xf>
    <xf numFmtId="0" fontId="5" fillId="45" borderId="22" applyNumberFormat="0" applyProtection="0">
      <alignment horizontal="right" vertical="center"/>
    </xf>
    <xf numFmtId="0" fontId="45" fillId="41" borderId="18" applyNumberFormat="0" applyAlignment="0" applyProtection="0"/>
    <xf numFmtId="0" fontId="5" fillId="2" borderId="22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5" fillId="21" borderId="28" applyNumberFormat="0" applyProtection="0">
      <alignment horizontal="right" vertical="center"/>
    </xf>
    <xf numFmtId="0" fontId="4" fillId="23" borderId="30" applyBorder="0"/>
    <xf numFmtId="0" fontId="5" fillId="47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0" fillId="0" borderId="0"/>
    <xf numFmtId="0" fontId="1" fillId="0" borderId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67" fontId="8" fillId="0" borderId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Protection="0"/>
    <xf numFmtId="9" fontId="3" fillId="0" borderId="0" applyFont="0" applyFill="0" applyBorder="0" applyAlignment="0" applyProtection="0"/>
    <xf numFmtId="167" fontId="8" fillId="0" borderId="0" applyProtection="0"/>
    <xf numFmtId="167" fontId="8" fillId="0" borderId="0" applyProtection="0"/>
    <xf numFmtId="167" fontId="8" fillId="0" borderId="0" applyProtection="0"/>
    <xf numFmtId="167" fontId="8" fillId="0" borderId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8" fillId="0" borderId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8" fillId="0" borderId="0" applyProtection="0"/>
    <xf numFmtId="167" fontId="8" fillId="0" borderId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7" fillId="0" borderId="0" applyNumberFormat="0" applyFont="0" applyFill="0" applyBorder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Protection="0"/>
    <xf numFmtId="167" fontId="8" fillId="0" borderId="0" applyProtection="0"/>
    <xf numFmtId="167" fontId="8" fillId="0" borderId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4" borderId="0" applyNumberFormat="0" applyBorder="0" applyAlignment="0" applyProtection="0"/>
    <xf numFmtId="0" fontId="7" fillId="3" borderId="0" applyNumberFormat="0" applyBorder="0" applyAlignment="0" applyProtection="0"/>
    <xf numFmtId="0" fontId="1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5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1" fillId="5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1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5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0" applyNumberFormat="0" applyBorder="0" applyAlignment="0" applyProtection="0"/>
    <xf numFmtId="0" fontId="1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5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40" borderId="0" applyNumberFormat="0" applyBorder="0" applyAlignment="0" applyProtection="0"/>
    <xf numFmtId="0" fontId="7" fillId="10" borderId="0" applyNumberFormat="0" applyBorder="0" applyAlignment="0" applyProtection="0"/>
    <xf numFmtId="0" fontId="1" fillId="5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7" fillId="8" borderId="0" applyNumberFormat="0" applyBorder="0" applyAlignment="0" applyProtection="0"/>
    <xf numFmtId="0" fontId="7" fillId="25" borderId="0" applyNumberFormat="0" applyBorder="0" applyAlignment="0" applyProtection="0"/>
    <xf numFmtId="0" fontId="7" fillId="2" borderId="0" applyNumberFormat="0" applyBorder="0" applyAlignment="0" applyProtection="0"/>
    <xf numFmtId="0" fontId="1" fillId="5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57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1" fillId="5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5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5" borderId="0" applyNumberFormat="0" applyBorder="0" applyAlignment="0" applyProtection="0"/>
    <xf numFmtId="0" fontId="7" fillId="9" borderId="0" applyNumberFormat="0" applyBorder="0" applyAlignment="0" applyProtection="0"/>
    <xf numFmtId="0" fontId="1" fillId="6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6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1" fillId="6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6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4" borderId="0" applyNumberFormat="0" applyBorder="0" applyAlignment="0" applyProtection="0"/>
    <xf numFmtId="0" fontId="121" fillId="63" borderId="0" applyNumberFormat="0" applyBorder="0" applyAlignment="0" applyProtection="0"/>
    <xf numFmtId="0" fontId="35" fillId="17" borderId="0" applyNumberFormat="0" applyBorder="0" applyAlignment="0" applyProtection="0"/>
    <xf numFmtId="0" fontId="35" fillId="4" borderId="0" applyNumberFormat="0" applyBorder="0" applyAlignment="0" applyProtection="0"/>
    <xf numFmtId="0" fontId="121" fillId="64" borderId="0" applyNumberFormat="0" applyBorder="0" applyAlignment="0" applyProtection="0"/>
    <xf numFmtId="0" fontId="35" fillId="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121" fillId="65" borderId="0" applyNumberFormat="0" applyBorder="0" applyAlignment="0" applyProtection="0"/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16" borderId="0" applyNumberFormat="0" applyBorder="0" applyAlignment="0" applyProtection="0"/>
    <xf numFmtId="0" fontId="121" fillId="66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121" fillId="6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8" borderId="0" applyNumberFormat="0" applyBorder="0" applyAlignment="0" applyProtection="0"/>
    <xf numFmtId="0" fontId="121" fillId="68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121" fillId="69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121" fillId="7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21" fillId="71" borderId="0" applyNumberFormat="0" applyBorder="0" applyAlignment="0" applyProtection="0"/>
    <xf numFmtId="0" fontId="35" fillId="22" borderId="0" applyNumberFormat="0" applyBorder="0" applyAlignment="0" applyProtection="0"/>
    <xf numFmtId="0" fontId="35" fillId="16" borderId="0" applyNumberFormat="0" applyBorder="0" applyAlignment="0" applyProtection="0"/>
    <xf numFmtId="0" fontId="121" fillId="72" borderId="0" applyNumberFormat="0" applyBorder="0" applyAlignment="0" applyProtection="0"/>
    <xf numFmtId="0" fontId="35" fillId="23" borderId="0" applyNumberFormat="0" applyBorder="0" applyAlignment="0" applyProtection="0"/>
    <xf numFmtId="0" fontId="121" fillId="73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121" fillId="74" borderId="0" applyNumberFormat="0" applyBorder="0" applyAlignment="0" applyProtection="0"/>
    <xf numFmtId="0" fontId="35" fillId="15" borderId="0" applyNumberFormat="0" applyBorder="0" applyAlignment="0" applyProtection="0"/>
    <xf numFmtId="0" fontId="36" fillId="5" borderId="0" applyNumberFormat="0" applyBorder="0" applyAlignment="0" applyProtection="0"/>
    <xf numFmtId="0" fontId="111" fillId="75" borderId="0" applyNumberFormat="0" applyBorder="0" applyAlignment="0" applyProtection="0"/>
    <xf numFmtId="0" fontId="36" fillId="5" borderId="0" applyNumberFormat="0" applyBorder="0" applyAlignment="0" applyProtection="0"/>
    <xf numFmtId="0" fontId="135" fillId="24" borderId="4" applyNumberFormat="0" applyAlignment="0" applyProtection="0"/>
    <xf numFmtId="0" fontId="135" fillId="25" borderId="4" applyNumberFormat="0" applyAlignment="0" applyProtection="0"/>
    <xf numFmtId="0" fontId="115" fillId="76" borderId="33" applyNumberFormat="0" applyAlignment="0" applyProtection="0"/>
    <xf numFmtId="0" fontId="135" fillId="24" borderId="4" applyNumberFormat="0" applyAlignment="0" applyProtection="0"/>
    <xf numFmtId="0" fontId="117" fillId="77" borderId="34" applyNumberFormat="0" applyAlignment="0" applyProtection="0"/>
    <xf numFmtId="0" fontId="38" fillId="26" borderId="5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3" fillId="0" borderId="0" applyFill="0" applyBorder="0" applyAlignment="0" applyProtection="0"/>
    <xf numFmtId="263" fontId="3" fillId="0" borderId="0" applyFill="0" applyBorder="0" applyAlignment="0" applyProtection="0"/>
    <xf numFmtId="264" fontId="17" fillId="0" borderId="13">
      <alignment horizontal="center" vertical="center" wrapText="1"/>
    </xf>
    <xf numFmtId="0" fontId="1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3" fillId="0" borderId="0" applyFill="0" applyBorder="0" applyAlignment="0" applyProtection="0"/>
    <xf numFmtId="0" fontId="40" fillId="7" borderId="0" applyNumberFormat="0" applyBorder="0" applyAlignment="0" applyProtection="0"/>
    <xf numFmtId="0" fontId="110" fillId="78" borderId="0" applyNumberFormat="0" applyBorder="0" applyAlignment="0" applyProtection="0"/>
    <xf numFmtId="0" fontId="40" fillId="7" borderId="0" applyNumberFormat="0" applyBorder="0" applyAlignment="0" applyProtection="0"/>
    <xf numFmtId="0" fontId="30" fillId="25" borderId="13">
      <alignment horizontal="center" vertical="top" wrapText="1"/>
    </xf>
    <xf numFmtId="0" fontId="130" fillId="0" borderId="35" applyNumberFormat="0" applyFill="0" applyAlignment="0" applyProtection="0"/>
    <xf numFmtId="0" fontId="137" fillId="0" borderId="36" applyNumberFormat="0" applyFill="0" applyAlignment="0" applyProtection="0"/>
    <xf numFmtId="0" fontId="131" fillId="0" borderId="37" applyNumberFormat="0" applyFill="0" applyAlignment="0" applyProtection="0"/>
    <xf numFmtId="0" fontId="138" fillId="0" borderId="37" applyNumberFormat="0" applyFill="0" applyAlignment="0" applyProtection="0"/>
    <xf numFmtId="0" fontId="108" fillId="0" borderId="38" applyNumberFormat="0" applyFill="0" applyAlignment="0" applyProtection="0"/>
    <xf numFmtId="0" fontId="131" fillId="0" borderId="37" applyNumberFormat="0" applyFill="0" applyAlignment="0" applyProtection="0"/>
    <xf numFmtId="0" fontId="41" fillId="0" borderId="39" applyNumberFormat="0" applyFill="0" applyAlignment="0" applyProtection="0"/>
    <xf numFmtId="0" fontId="139" fillId="0" borderId="12" applyNumberFormat="0" applyFill="0" applyAlignment="0" applyProtection="0"/>
    <xf numFmtId="0" fontId="109" fillId="0" borderId="40" applyNumberFormat="0" applyFill="0" applyAlignment="0" applyProtection="0"/>
    <xf numFmtId="0" fontId="41" fillId="0" borderId="39" applyNumberFormat="0" applyFill="0" applyAlignment="0" applyProtection="0"/>
    <xf numFmtId="0" fontId="139" fillId="0" borderId="0" applyNumberFormat="0" applyFill="0" applyBorder="0" applyAlignment="0" applyProtection="0"/>
    <xf numFmtId="0" fontId="42" fillId="8" borderId="4" applyNumberFormat="0" applyAlignment="0" applyProtection="0"/>
    <xf numFmtId="0" fontId="113" fillId="79" borderId="33" applyNumberFormat="0" applyAlignment="0" applyProtection="0"/>
    <xf numFmtId="0" fontId="42" fillId="8" borderId="4" applyNumberFormat="0" applyAlignment="0" applyProtection="0"/>
    <xf numFmtId="0" fontId="140" fillId="0" borderId="16" applyNumberFormat="0" applyFill="0" applyAlignment="0" applyProtection="0"/>
    <xf numFmtId="0" fontId="3" fillId="0" borderId="0" applyFont="0" applyFill="0" applyBorder="0" applyAlignment="0" applyProtection="0"/>
    <xf numFmtId="0" fontId="141" fillId="11" borderId="0" applyNumberFormat="0" applyBorder="0" applyAlignment="0" applyProtection="0"/>
    <xf numFmtId="265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5" fontId="17" fillId="0" borderId="13">
      <alignment horizontal="right" vertical="center"/>
    </xf>
    <xf numFmtId="0" fontId="17" fillId="0" borderId="13">
      <alignment horizontal="left" vertical="center" wrapText="1"/>
    </xf>
    <xf numFmtId="1" fontId="30" fillId="25" borderId="13">
      <alignment horizontal="center" vertical="center" wrapText="1"/>
    </xf>
    <xf numFmtId="0" fontId="3" fillId="6" borderId="17" applyNumberFormat="0" applyFont="0" applyAlignment="0" applyProtection="0"/>
    <xf numFmtId="0" fontId="1" fillId="50" borderId="32" applyNumberFormat="0" applyFont="0" applyAlignment="0" applyProtection="0"/>
    <xf numFmtId="0" fontId="1" fillId="50" borderId="32" applyNumberFormat="0" applyFont="0" applyAlignment="0" applyProtection="0"/>
    <xf numFmtId="0" fontId="1" fillId="50" borderId="32" applyNumberFormat="0" applyFont="0" applyAlignment="0" applyProtection="0"/>
    <xf numFmtId="0" fontId="7" fillId="50" borderId="32" applyNumberFormat="0" applyFont="0" applyAlignment="0" applyProtection="0"/>
    <xf numFmtId="0" fontId="1" fillId="50" borderId="32" applyNumberFormat="0" applyFont="0" applyAlignment="0" applyProtection="0"/>
    <xf numFmtId="0" fontId="3" fillId="6" borderId="17" applyNumberFormat="0" applyFont="0" applyAlignment="0" applyProtection="0"/>
    <xf numFmtId="0" fontId="3" fillId="6" borderId="17" applyNumberFormat="0" applyFont="0" applyAlignment="0" applyProtection="0"/>
    <xf numFmtId="0" fontId="3" fillId="6" borderId="17" applyNumberFormat="0" applyFont="0" applyAlignment="0" applyProtection="0"/>
    <xf numFmtId="0" fontId="45" fillId="25" borderId="18" applyNumberFormat="0" applyAlignment="0" applyProtection="0"/>
    <xf numFmtId="0" fontId="114" fillId="76" borderId="41" applyNumberFormat="0" applyAlignment="0" applyProtection="0"/>
    <xf numFmtId="0" fontId="45" fillId="24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3" fillId="0" borderId="0">
      <alignment wrapText="1"/>
    </xf>
    <xf numFmtId="0" fontId="49" fillId="11" borderId="27" applyNumberFormat="0" applyProtection="0">
      <alignment vertical="center"/>
    </xf>
    <xf numFmtId="0" fontId="2" fillId="11" borderId="18" applyNumberFormat="0" applyProtection="0">
      <alignment horizontal="left" vertical="center" indent="1"/>
    </xf>
    <xf numFmtId="0" fontId="2" fillId="11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25" borderId="18" applyNumberFormat="0" applyProtection="0">
      <alignment horizontal="left" vertical="center" indent="1"/>
    </xf>
    <xf numFmtId="0" fontId="3" fillId="25" borderId="18" applyNumberFormat="0" applyProtection="0">
      <alignment horizontal="left" vertical="center" indent="1"/>
    </xf>
    <xf numFmtId="0" fontId="144" fillId="40" borderId="27" applyNumberFormat="0" applyProtection="0">
      <alignment horizontal="right" vertical="center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3" fillId="3" borderId="18" applyNumberFormat="0" applyProtection="0">
      <alignment horizontal="left" vertical="center" indent="1"/>
    </xf>
    <xf numFmtId="0" fontId="145" fillId="0" borderId="0" applyNumberFormat="0" applyFill="0" applyBorder="0" applyAlignment="0" applyProtection="0"/>
    <xf numFmtId="0" fontId="146" fillId="0" borderId="28">
      <alignment horizontal="center" vertical="center" wrapText="1"/>
    </xf>
    <xf numFmtId="0" fontId="129" fillId="0" borderId="42" applyNumberFormat="0" applyFill="0" applyAlignment="0" applyProtection="0"/>
    <xf numFmtId="0" fontId="129" fillId="0" borderId="43" applyNumberFormat="0" applyFill="0" applyAlignment="0" applyProtection="0"/>
    <xf numFmtId="0" fontId="120" fillId="0" borderId="44" applyNumberFormat="0" applyFill="0" applyAlignment="0" applyProtection="0"/>
    <xf numFmtId="0" fontId="129" fillId="0" borderId="42" applyNumberFormat="0" applyFill="0" applyAlignment="0" applyProtection="0"/>
    <xf numFmtId="0" fontId="1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32" applyNumberFormat="0" applyFont="0" applyAlignment="0" applyProtection="0"/>
    <xf numFmtId="0" fontId="1" fillId="50" borderId="32" applyNumberFormat="0" applyFont="0" applyAlignment="0" applyProtection="0"/>
    <xf numFmtId="0" fontId="1" fillId="50" borderId="32" applyNumberFormat="0" applyFont="0" applyAlignment="0" applyProtection="0"/>
    <xf numFmtId="0" fontId="1" fillId="50" borderId="32" applyNumberFormat="0" applyFont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" fillId="0" borderId="0" applyProtection="0"/>
    <xf numFmtId="0" fontId="16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167" fontId="8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Protection="0"/>
    <xf numFmtId="43" fontId="8" fillId="0" borderId="0" applyFont="0" applyFill="0" applyBorder="0" applyAlignment="0" applyProtection="0"/>
    <xf numFmtId="167" fontId="8" fillId="0" borderId="0" applyProtection="0"/>
    <xf numFmtId="167" fontId="8" fillId="0" borderId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14" fontId="5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8" fillId="0" borderId="0"/>
    <xf numFmtId="0" fontId="1" fillId="0" borderId="0"/>
    <xf numFmtId="7" fontId="8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8" fillId="0" borderId="0" applyProtection="0"/>
    <xf numFmtId="0" fontId="80" fillId="0" borderId="0" applyNumberForma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2" fillId="0" borderId="0"/>
    <xf numFmtId="0" fontId="152" fillId="0" borderId="0"/>
    <xf numFmtId="0" fontId="3" fillId="0" borderId="0"/>
    <xf numFmtId="0" fontId="152" fillId="0" borderId="0"/>
    <xf numFmtId="0" fontId="152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86" fillId="7" borderId="0" applyNumberFormat="0" applyBorder="0" applyAlignment="0" applyProtection="0"/>
    <xf numFmtId="0" fontId="86" fillId="9" borderId="0" applyNumberFormat="0" applyBorder="0" applyAlignment="0" applyProtection="0"/>
    <xf numFmtId="0" fontId="86" fillId="10" borderId="0" applyNumberFormat="0" applyBorder="0" applyAlignment="0" applyProtection="0"/>
    <xf numFmtId="0" fontId="86" fillId="8" borderId="0" applyNumberFormat="0" applyBorder="0" applyAlignment="0" applyProtection="0"/>
    <xf numFmtId="0" fontId="86" fillId="2" borderId="0" applyNumberFormat="0" applyBorder="0" applyAlignment="0" applyProtection="0"/>
    <xf numFmtId="0" fontId="86" fillId="4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2" borderId="0" applyNumberFormat="0" applyBorder="0" applyAlignment="0" applyProtection="0"/>
    <xf numFmtId="0" fontId="86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4" borderId="0" applyNumberFormat="0" applyBorder="0" applyAlignment="0" applyProtection="0"/>
    <xf numFmtId="0" fontId="87" fillId="12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2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5" borderId="0" applyNumberFormat="0" applyBorder="0" applyAlignment="0" applyProtection="0"/>
    <xf numFmtId="0" fontId="88" fillId="5" borderId="0" applyNumberFormat="0" applyBorder="0" applyAlignment="0" applyProtection="0"/>
    <xf numFmtId="0" fontId="89" fillId="25" borderId="4" applyNumberFormat="0" applyAlignment="0" applyProtection="0"/>
    <xf numFmtId="0" fontId="90" fillId="26" borderId="5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7" borderId="0" applyNumberFormat="0" applyBorder="0" applyAlignment="0" applyProtection="0"/>
    <xf numFmtId="43" fontId="27" fillId="0" borderId="0" applyFont="0" applyFill="0" applyBorder="0" applyAlignment="0" applyProtection="0"/>
    <xf numFmtId="0" fontId="93" fillId="0" borderId="12" applyNumberFormat="0" applyFill="0" applyAlignment="0" applyProtection="0"/>
    <xf numFmtId="0" fontId="93" fillId="0" borderId="0" applyNumberFormat="0" applyFill="0" applyBorder="0" applyAlignment="0" applyProtection="0"/>
    <xf numFmtId="0" fontId="94" fillId="8" borderId="4" applyNumberFormat="0" applyAlignment="0" applyProtection="0"/>
    <xf numFmtId="0" fontId="95" fillId="0" borderId="16" applyNumberFormat="0" applyFill="0" applyAlignment="0" applyProtection="0"/>
    <xf numFmtId="0" fontId="96" fillId="11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8" fillId="6" borderId="17" applyNumberFormat="0" applyFont="0" applyAlignment="0" applyProtection="0"/>
    <xf numFmtId="0" fontId="97" fillId="25" borderId="18" applyNumberFormat="0" applyAlignment="0" applyProtection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7" fillId="0" borderId="0">
      <alignment vertical="top"/>
    </xf>
    <xf numFmtId="0" fontId="1" fillId="0" borderId="0"/>
    <xf numFmtId="167" fontId="8" fillId="0" borderId="0" applyProtection="0"/>
    <xf numFmtId="167" fontId="8" fillId="0" borderId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86" fillId="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7" fillId="5" borderId="0" applyNumberFormat="0" applyBorder="0" applyAlignment="0" applyProtection="0"/>
    <xf numFmtId="0" fontId="86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7" fillId="7" borderId="0" applyNumberFormat="0" applyBorder="0" applyAlignment="0" applyProtection="0"/>
    <xf numFmtId="0" fontId="86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" fillId="9" borderId="0" applyNumberFormat="0" applyBorder="0" applyAlignment="0" applyProtection="0"/>
    <xf numFmtId="0" fontId="86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" fillId="10" borderId="0" applyNumberFormat="0" applyBorder="0" applyAlignment="0" applyProtection="0"/>
    <xf numFmtId="0" fontId="86" fillId="1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6" fillId="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7" fillId="2" borderId="0" applyNumberFormat="0" applyBorder="0" applyAlignment="0" applyProtection="0"/>
    <xf numFmtId="0" fontId="86" fillId="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6" fillId="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7" fillId="12" borderId="0" applyNumberFormat="0" applyBorder="0" applyAlignment="0" applyProtection="0"/>
    <xf numFmtId="0" fontId="86" fillId="1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" fillId="9" borderId="0" applyNumberFormat="0" applyBorder="0" applyAlignment="0" applyProtection="0"/>
    <xf numFmtId="0" fontId="86" fillId="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6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7" fillId="13" borderId="0" applyNumberFormat="0" applyBorder="0" applyAlignment="0" applyProtection="0"/>
    <xf numFmtId="0" fontId="86" fillId="1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35" fillId="14" borderId="0" applyNumberFormat="0" applyBorder="0" applyAlignment="0" applyProtection="0"/>
    <xf numFmtId="0" fontId="87" fillId="14" borderId="0" applyNumberFormat="0" applyBorder="0" applyAlignment="0" applyProtection="0"/>
    <xf numFmtId="0" fontId="121" fillId="63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7" fillId="4" borderId="0" applyNumberFormat="0" applyBorder="0" applyAlignment="0" applyProtection="0"/>
    <xf numFmtId="0" fontId="121" fillId="6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35" fillId="12" borderId="0" applyNumberFormat="0" applyBorder="0" applyAlignment="0" applyProtection="0"/>
    <xf numFmtId="0" fontId="87" fillId="12" borderId="0" applyNumberFormat="0" applyBorder="0" applyAlignment="0" applyProtection="0"/>
    <xf numFmtId="0" fontId="121" fillId="65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35" fillId="16" borderId="0" applyNumberFormat="0" applyBorder="0" applyAlignment="0" applyProtection="0"/>
    <xf numFmtId="0" fontId="87" fillId="16" borderId="0" applyNumberFormat="0" applyBorder="0" applyAlignment="0" applyProtection="0"/>
    <xf numFmtId="0" fontId="121" fillId="6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7" fillId="17" borderId="0" applyNumberFormat="0" applyBorder="0" applyAlignment="0" applyProtection="0"/>
    <xf numFmtId="0" fontId="121" fillId="6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35" fillId="18" borderId="0" applyNumberFormat="0" applyBorder="0" applyAlignment="0" applyProtection="0"/>
    <xf numFmtId="0" fontId="87" fillId="18" borderId="0" applyNumberFormat="0" applyBorder="0" applyAlignment="0" applyProtection="0"/>
    <xf numFmtId="0" fontId="121" fillId="6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35" fillId="20" borderId="0" applyNumberFormat="0" applyBorder="0" applyAlignment="0" applyProtection="0"/>
    <xf numFmtId="0" fontId="87" fillId="20" borderId="0" applyNumberFormat="0" applyBorder="0" applyAlignment="0" applyProtection="0"/>
    <xf numFmtId="0" fontId="121" fillId="69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87" fillId="21" borderId="0" applyNumberFormat="0" applyBorder="0" applyAlignment="0" applyProtection="0"/>
    <xf numFmtId="0" fontId="121" fillId="7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87" fillId="22" borderId="0" applyNumberFormat="0" applyBorder="0" applyAlignment="0" applyProtection="0"/>
    <xf numFmtId="0" fontId="121" fillId="71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35" fillId="16" borderId="0" applyNumberFormat="0" applyBorder="0" applyAlignment="0" applyProtection="0"/>
    <xf numFmtId="0" fontId="87" fillId="16" borderId="0" applyNumberFormat="0" applyBorder="0" applyAlignment="0" applyProtection="0"/>
    <xf numFmtId="0" fontId="121" fillId="72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7" fillId="17" borderId="0" applyNumberFormat="0" applyBorder="0" applyAlignment="0" applyProtection="0"/>
    <xf numFmtId="0" fontId="121" fillId="73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87" fillId="15" borderId="0" applyNumberFormat="0" applyBorder="0" applyAlignment="0" applyProtection="0"/>
    <xf numFmtId="0" fontId="121" fillId="74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8" fillId="5" borderId="0" applyNumberFormat="0" applyBorder="0" applyAlignment="0" applyProtection="0"/>
    <xf numFmtId="0" fontId="111" fillId="7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135" fillId="25" borderId="4" applyNumberFormat="0" applyAlignment="0" applyProtection="0"/>
    <xf numFmtId="0" fontId="89" fillId="25" borderId="4" applyNumberFormat="0" applyAlignment="0" applyProtection="0"/>
    <xf numFmtId="0" fontId="115" fillId="76" borderId="33" applyNumberFormat="0" applyAlignment="0" applyProtection="0"/>
    <xf numFmtId="0" fontId="89" fillId="25" borderId="4" applyNumberFormat="0" applyAlignment="0" applyProtection="0"/>
    <xf numFmtId="0" fontId="89" fillId="25" borderId="4" applyNumberFormat="0" applyAlignment="0" applyProtection="0"/>
    <xf numFmtId="0" fontId="89" fillId="25" borderId="4" applyNumberFormat="0" applyAlignment="0" applyProtection="0"/>
    <xf numFmtId="0" fontId="89" fillId="25" borderId="4" applyNumberFormat="0" applyAlignment="0" applyProtection="0"/>
    <xf numFmtId="0" fontId="38" fillId="26" borderId="5" applyNumberFormat="0" applyAlignment="0" applyProtection="0"/>
    <xf numFmtId="0" fontId="38" fillId="26" borderId="5" applyNumberFormat="0" applyAlignment="0" applyProtection="0"/>
    <xf numFmtId="0" fontId="90" fillId="26" borderId="5" applyNumberFormat="0" applyAlignment="0" applyProtection="0"/>
    <xf numFmtId="0" fontId="117" fillId="77" borderId="34" applyNumberFormat="0" applyAlignment="0" applyProtection="0"/>
    <xf numFmtId="0" fontId="90" fillId="26" borderId="5" applyNumberFormat="0" applyAlignment="0" applyProtection="0"/>
    <xf numFmtId="0" fontId="90" fillId="26" borderId="5" applyNumberFormat="0" applyAlignment="0" applyProtection="0"/>
    <xf numFmtId="0" fontId="90" fillId="26" borderId="5" applyNumberFormat="0" applyAlignment="0" applyProtection="0"/>
    <xf numFmtId="0" fontId="90" fillId="26" borderId="5" applyNumberFormat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5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3" fontId="14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67" fontId="147" fillId="0" borderId="0" applyFont="0" applyFill="0" applyBorder="0" applyAlignment="0" applyProtection="0"/>
    <xf numFmtId="0" fontId="14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" fontId="147" fillId="0" borderId="0" applyFont="0" applyFill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92" fillId="7" borderId="0" applyNumberFormat="0" applyBorder="0" applyAlignment="0" applyProtection="0"/>
    <xf numFmtId="0" fontId="110" fillId="78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107" fillId="0" borderId="45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08" fillId="0" borderId="38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9" fillId="0" borderId="12" applyNumberFormat="0" applyFill="0" applyAlignment="0" applyProtection="0"/>
    <xf numFmtId="0" fontId="93" fillId="0" borderId="12" applyNumberFormat="0" applyFill="0" applyAlignment="0" applyProtection="0"/>
    <xf numFmtId="0" fontId="109" fillId="0" borderId="40" applyNumberFormat="0" applyFill="0" applyAlignment="0" applyProtection="0"/>
    <xf numFmtId="0" fontId="93" fillId="0" borderId="12" applyNumberFormat="0" applyFill="0" applyAlignment="0" applyProtection="0"/>
    <xf numFmtId="0" fontId="93" fillId="0" borderId="12" applyNumberFormat="0" applyFill="0" applyAlignment="0" applyProtection="0"/>
    <xf numFmtId="0" fontId="93" fillId="0" borderId="12" applyNumberFormat="0" applyFill="0" applyAlignment="0" applyProtection="0"/>
    <xf numFmtId="0" fontId="93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2" fillId="8" borderId="4" applyNumberFormat="0" applyAlignment="0" applyProtection="0"/>
    <xf numFmtId="0" fontId="113" fillId="79" borderId="33" applyNumberFormat="0" applyAlignment="0" applyProtection="0"/>
    <xf numFmtId="0" fontId="94" fillId="8" borderId="4" applyNumberFormat="0" applyAlignment="0" applyProtection="0"/>
    <xf numFmtId="0" fontId="94" fillId="8" borderId="4" applyNumberFormat="0" applyAlignment="0" applyProtection="0"/>
    <xf numFmtId="0" fontId="94" fillId="8" borderId="4" applyNumberFormat="0" applyAlignment="0" applyProtection="0"/>
    <xf numFmtId="0" fontId="94" fillId="8" borderId="4" applyNumberFormat="0" applyAlignment="0" applyProtection="0"/>
    <xf numFmtId="0" fontId="140" fillId="0" borderId="16" applyNumberFormat="0" applyFill="0" applyAlignment="0" applyProtection="0"/>
    <xf numFmtId="0" fontId="140" fillId="0" borderId="16" applyNumberFormat="0" applyFill="0" applyAlignment="0" applyProtection="0"/>
    <xf numFmtId="0" fontId="95" fillId="0" borderId="16" applyNumberFormat="0" applyFill="0" applyAlignment="0" applyProtection="0"/>
    <xf numFmtId="0" fontId="116" fillId="0" borderId="4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96" fillId="11" borderId="0" applyNumberFormat="0" applyBorder="0" applyAlignment="0" applyProtection="0"/>
    <xf numFmtId="0" fontId="112" fillId="8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167" fontId="8" fillId="0" borderId="0" applyProtection="0"/>
    <xf numFmtId="0" fontId="27" fillId="0" borderId="0"/>
    <xf numFmtId="0" fontId="27" fillId="0" borderId="0"/>
    <xf numFmtId="167" fontId="8" fillId="0" borderId="0" applyProtection="0"/>
    <xf numFmtId="167" fontId="8" fillId="0" borderId="0" applyProtection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140">
    <xf numFmtId="0" fontId="0" fillId="0" borderId="0" xfId="0"/>
    <xf numFmtId="0" fontId="4" fillId="0" borderId="0" xfId="720" applyFont="1" applyFill="1" applyAlignment="1">
      <alignment horizontal="center"/>
    </xf>
    <xf numFmtId="0" fontId="5" fillId="0" borderId="0" xfId="720" applyFont="1" applyFill="1" applyAlignment="1">
      <alignment horizontal="center"/>
    </xf>
    <xf numFmtId="44" fontId="5" fillId="0" borderId="0" xfId="720" applyNumberFormat="1" applyFont="1" applyFill="1" applyBorder="1" applyAlignment="1">
      <alignment horizontal="center"/>
    </xf>
    <xf numFmtId="44" fontId="5" fillId="0" borderId="0" xfId="720" applyNumberFormat="1" applyFont="1" applyFill="1" applyAlignment="1">
      <alignment horizontal="center"/>
    </xf>
    <xf numFmtId="44" fontId="5" fillId="0" borderId="0" xfId="399" applyFont="1" applyFill="1" applyBorder="1" applyAlignment="1">
      <alignment horizontal="center"/>
    </xf>
    <xf numFmtId="3" fontId="5" fillId="0" borderId="0" xfId="720" applyNumberFormat="1" applyFont="1" applyFill="1" applyAlignment="1">
      <alignment horizontal="center"/>
    </xf>
    <xf numFmtId="44" fontId="5" fillId="0" borderId="0" xfId="784" applyNumberFormat="1" applyFont="1" applyFill="1" applyAlignment="1">
      <alignment horizontal="center"/>
    </xf>
    <xf numFmtId="0" fontId="5" fillId="0" borderId="0" xfId="784" applyFont="1" applyFill="1" applyAlignment="1">
      <alignment horizontal="center"/>
    </xf>
    <xf numFmtId="0" fontId="4" fillId="0" borderId="0" xfId="720" applyFont="1" applyFill="1" applyAlignment="1">
      <alignment horizontal="left"/>
    </xf>
    <xf numFmtId="0" fontId="3" fillId="0" borderId="0" xfId="0" applyFont="1" applyFill="1"/>
    <xf numFmtId="0" fontId="3" fillId="0" borderId="0" xfId="799" applyFont="1" applyFill="1" applyAlignment="1">
      <alignment horizontal="left"/>
    </xf>
    <xf numFmtId="0" fontId="3" fillId="0" borderId="0" xfId="799" applyFont="1" applyFill="1"/>
    <xf numFmtId="44" fontId="6" fillId="0" borderId="0" xfId="799" applyNumberFormat="1" applyFont="1" applyFill="1" applyAlignment="1">
      <alignment horizontal="left"/>
    </xf>
    <xf numFmtId="44" fontId="5" fillId="0" borderId="0" xfId="2" applyFont="1" applyFill="1"/>
    <xf numFmtId="44" fontId="3" fillId="0" borderId="0" xfId="799" applyNumberFormat="1" applyFont="1" applyFill="1"/>
    <xf numFmtId="44" fontId="5" fillId="0" borderId="0" xfId="2" applyFont="1" applyFill="1" applyBorder="1" applyAlignment="1">
      <alignment horizontal="center"/>
    </xf>
    <xf numFmtId="44" fontId="5" fillId="0" borderId="3" xfId="720" applyNumberFormat="1" applyFont="1" applyFill="1" applyBorder="1" applyAlignment="1">
      <alignment horizontal="center"/>
    </xf>
    <xf numFmtId="0" fontId="6" fillId="0" borderId="0" xfId="799" applyFont="1" applyFill="1" applyAlignment="1">
      <alignment horizontal="left"/>
    </xf>
    <xf numFmtId="0" fontId="101" fillId="0" borderId="0" xfId="0" applyFont="1" applyFill="1" applyBorder="1"/>
    <xf numFmtId="43" fontId="5" fillId="0" borderId="0" xfId="3" applyFont="1" applyFill="1" applyAlignment="1">
      <alignment horizontal="center"/>
    </xf>
    <xf numFmtId="10" fontId="3" fillId="0" borderId="0" xfId="799" applyNumberFormat="1" applyFont="1" applyFill="1"/>
    <xf numFmtId="44" fontId="5" fillId="0" borderId="0" xfId="721" applyNumberFormat="1" applyFont="1" applyFill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4" fillId="0" borderId="3" xfId="720" applyFont="1" applyFill="1" applyBorder="1" applyAlignment="1">
      <alignment horizontal="left"/>
    </xf>
    <xf numFmtId="44" fontId="5" fillId="0" borderId="3" xfId="2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4" fillId="0" borderId="0" xfId="720" applyFont="1" applyFill="1" applyBorder="1" applyAlignment="1">
      <alignment horizontal="left"/>
    </xf>
    <xf numFmtId="44" fontId="3" fillId="0" borderId="0" xfId="0" applyNumberFormat="1" applyFont="1" applyFill="1" applyBorder="1"/>
    <xf numFmtId="44" fontId="5" fillId="0" borderId="0" xfId="2" applyFont="1" applyFill="1" applyBorder="1"/>
    <xf numFmtId="10" fontId="3" fillId="0" borderId="0" xfId="0" applyNumberFormat="1" applyFont="1" applyFill="1" applyBorder="1"/>
    <xf numFmtId="6" fontId="5" fillId="0" borderId="0" xfId="2" applyNumberFormat="1" applyFont="1" applyFill="1" applyBorder="1" applyAlignment="1">
      <alignment horizontal="center"/>
    </xf>
    <xf numFmtId="0" fontId="4" fillId="81" borderId="0" xfId="720" applyFont="1" applyFill="1" applyAlignment="1">
      <alignment horizontal="left"/>
    </xf>
    <xf numFmtId="0" fontId="3" fillId="81" borderId="0" xfId="799" applyFont="1" applyFill="1"/>
    <xf numFmtId="0" fontId="4" fillId="81" borderId="0" xfId="72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06" fillId="0" borderId="0" xfId="0" applyFont="1" applyFill="1" applyBorder="1"/>
    <xf numFmtId="0" fontId="105" fillId="0" borderId="0" xfId="0" applyFont="1" applyAlignment="1">
      <alignment horizontal="left"/>
    </xf>
    <xf numFmtId="0" fontId="4" fillId="82" borderId="47" xfId="720" applyFont="1" applyFill="1" applyBorder="1" applyAlignment="1">
      <alignment horizontal="left"/>
    </xf>
    <xf numFmtId="0" fontId="4" fillId="82" borderId="3" xfId="720" applyFont="1" applyFill="1" applyBorder="1" applyAlignment="1">
      <alignment horizontal="center"/>
    </xf>
    <xf numFmtId="0" fontId="4" fillId="82" borderId="14" xfId="720" applyFont="1" applyFill="1" applyBorder="1" applyAlignment="1">
      <alignment horizontal="left"/>
    </xf>
    <xf numFmtId="0" fontId="4" fillId="82" borderId="0" xfId="720" applyFont="1" applyFill="1" applyBorder="1" applyAlignment="1">
      <alignment horizontal="center"/>
    </xf>
    <xf numFmtId="0" fontId="5" fillId="82" borderId="14" xfId="720" applyFont="1" applyFill="1" applyBorder="1" applyAlignment="1">
      <alignment horizontal="center"/>
    </xf>
    <xf numFmtId="0" fontId="5" fillId="82" borderId="0" xfId="720" applyFont="1" applyFill="1" applyBorder="1" applyAlignment="1">
      <alignment horizontal="center"/>
    </xf>
    <xf numFmtId="0" fontId="3" fillId="82" borderId="0" xfId="0" applyFont="1" applyFill="1"/>
    <xf numFmtId="0" fontId="4" fillId="82" borderId="14" xfId="720" applyFont="1" applyFill="1" applyBorder="1" applyAlignment="1">
      <alignment horizontal="center"/>
    </xf>
    <xf numFmtId="0" fontId="5" fillId="82" borderId="49" xfId="720" applyFont="1" applyFill="1" applyBorder="1" applyAlignment="1">
      <alignment horizontal="center"/>
    </xf>
    <xf numFmtId="0" fontId="5" fillId="82" borderId="1" xfId="720" applyFont="1" applyFill="1" applyBorder="1" applyAlignment="1">
      <alignment horizontal="center"/>
    </xf>
    <xf numFmtId="0" fontId="3" fillId="82" borderId="8" xfId="799" applyFont="1" applyFill="1" applyBorder="1"/>
    <xf numFmtId="0" fontId="3" fillId="82" borderId="0" xfId="0" applyFont="1" applyFill="1" applyBorder="1"/>
    <xf numFmtId="0" fontId="4" fillId="82" borderId="0" xfId="0" applyFont="1" applyFill="1" applyBorder="1" applyAlignment="1">
      <alignment horizontal="center"/>
    </xf>
    <xf numFmtId="44" fontId="5" fillId="0" borderId="3" xfId="2" applyNumberFormat="1" applyFont="1" applyFill="1" applyBorder="1" applyAlignment="1">
      <alignment horizontal="center"/>
    </xf>
    <xf numFmtId="0" fontId="3" fillId="81" borderId="0" xfId="799" applyFont="1" applyFill="1"/>
    <xf numFmtId="0" fontId="4" fillId="0" borderId="0" xfId="720" applyFont="1" applyFill="1" applyAlignment="1">
      <alignment horizontal="center"/>
    </xf>
    <xf numFmtId="44" fontId="4" fillId="0" borderId="0" xfId="2" applyFont="1" applyFill="1" applyAlignment="1">
      <alignment horizontal="center"/>
    </xf>
    <xf numFmtId="44" fontId="3" fillId="81" borderId="0" xfId="2" applyFont="1" applyFill="1"/>
    <xf numFmtId="44" fontId="4" fillId="82" borderId="47" xfId="2" applyFont="1" applyFill="1" applyBorder="1" applyAlignment="1">
      <alignment horizontal="center"/>
    </xf>
    <xf numFmtId="44" fontId="4" fillId="82" borderId="19" xfId="2" applyFont="1" applyFill="1" applyBorder="1" applyAlignment="1">
      <alignment horizontal="center"/>
    </xf>
    <xf numFmtId="44" fontId="5" fillId="0" borderId="0" xfId="2" applyFont="1" applyFill="1" applyAlignment="1">
      <alignment horizontal="center"/>
    </xf>
    <xf numFmtId="44" fontId="3" fillId="0" borderId="0" xfId="2" applyFont="1" applyFill="1"/>
    <xf numFmtId="44" fontId="3" fillId="0" borderId="0" xfId="2" applyFont="1" applyFill="1" applyBorder="1"/>
    <xf numFmtId="44" fontId="3" fillId="0" borderId="0" xfId="2" applyFont="1"/>
    <xf numFmtId="44" fontId="102" fillId="0" borderId="0" xfId="2" applyFont="1" applyFill="1" applyBorder="1" applyAlignment="1">
      <alignment horizontal="center"/>
    </xf>
    <xf numFmtId="44" fontId="151" fillId="0" borderId="0" xfId="720" applyNumberFormat="1" applyFont="1" applyFill="1" applyBorder="1" applyAlignment="1">
      <alignment horizontal="center"/>
    </xf>
    <xf numFmtId="44" fontId="151" fillId="0" borderId="0" xfId="2" applyFont="1" applyFill="1" applyBorder="1" applyAlignment="1">
      <alignment horizontal="center"/>
    </xf>
    <xf numFmtId="0" fontId="150" fillId="0" borderId="0" xfId="720" applyFont="1" applyFill="1" applyBorder="1" applyAlignment="1">
      <alignment horizontal="left"/>
    </xf>
    <xf numFmtId="0" fontId="4" fillId="83" borderId="0" xfId="721" applyFont="1" applyFill="1" applyAlignment="1">
      <alignment horizontal="left"/>
    </xf>
    <xf numFmtId="0" fontId="3" fillId="83" borderId="0" xfId="799" applyFont="1" applyFill="1"/>
    <xf numFmtId="44" fontId="3" fillId="83" borderId="0" xfId="2" applyFont="1" applyFill="1"/>
    <xf numFmtId="0" fontId="5" fillId="0" borderId="47" xfId="720" applyFont="1" applyFill="1" applyBorder="1" applyAlignment="1">
      <alignment horizontal="left"/>
    </xf>
    <xf numFmtId="44" fontId="5" fillId="0" borderId="13" xfId="399" applyFont="1" applyFill="1" applyBorder="1" applyAlignment="1">
      <alignment horizontal="center"/>
    </xf>
    <xf numFmtId="44" fontId="5" fillId="0" borderId="51" xfId="2" applyFont="1" applyFill="1" applyBorder="1" applyAlignment="1">
      <alignment horizont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3" xfId="1624" applyNumberFormat="1" applyFont="1" applyFill="1" applyBorder="1" applyAlignment="1">
      <alignment horizontal="center"/>
    </xf>
    <xf numFmtId="0" fontId="5" fillId="0" borderId="49" xfId="720" applyFont="1" applyFill="1" applyBorder="1" applyAlignment="1">
      <alignment horizontal="left"/>
    </xf>
    <xf numFmtId="44" fontId="5" fillId="0" borderId="1" xfId="399" applyFont="1" applyFill="1" applyBorder="1" applyAlignment="1">
      <alignment horizontal="center"/>
    </xf>
    <xf numFmtId="44" fontId="5" fillId="0" borderId="1" xfId="720" applyNumberFormat="1" applyFont="1" applyFill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0" fontId="5" fillId="0" borderId="14" xfId="720" applyFont="1" applyFill="1" applyBorder="1" applyAlignment="1">
      <alignment horizontal="left"/>
    </xf>
    <xf numFmtId="0" fontId="5" fillId="0" borderId="52" xfId="720" applyFont="1" applyFill="1" applyBorder="1" applyAlignment="1">
      <alignment horizontal="center"/>
    </xf>
    <xf numFmtId="44" fontId="5" fillId="0" borderId="14" xfId="720" applyNumberFormat="1" applyFont="1" applyFill="1" applyBorder="1" applyAlignment="1">
      <alignment horizontal="center"/>
    </xf>
    <xf numFmtId="0" fontId="5" fillId="0" borderId="20" xfId="720" applyFont="1" applyFill="1" applyBorder="1" applyAlignment="1">
      <alignment horizontal="center"/>
    </xf>
    <xf numFmtId="44" fontId="5" fillId="0" borderId="19" xfId="2" applyFont="1" applyFill="1" applyBorder="1" applyAlignment="1">
      <alignment horizontal="center"/>
    </xf>
    <xf numFmtId="0" fontId="5" fillId="0" borderId="0" xfId="720" applyFont="1" applyFill="1" applyBorder="1" applyAlignment="1">
      <alignment horizontal="center"/>
    </xf>
    <xf numFmtId="0" fontId="5" fillId="0" borderId="48" xfId="720" applyFont="1" applyFill="1" applyBorder="1" applyAlignment="1">
      <alignment horizontal="center"/>
    </xf>
    <xf numFmtId="44" fontId="5" fillId="0" borderId="53" xfId="2" applyFont="1" applyFill="1" applyBorder="1" applyAlignment="1">
      <alignment horizontal="center"/>
    </xf>
    <xf numFmtId="0" fontId="5" fillId="0" borderId="1" xfId="720" applyFont="1" applyFill="1" applyBorder="1" applyAlignment="1">
      <alignment horizontal="center"/>
    </xf>
    <xf numFmtId="44" fontId="5" fillId="0" borderId="13" xfId="2" applyFont="1" applyFill="1" applyBorder="1" applyAlignment="1">
      <alignment horizontal="center"/>
    </xf>
    <xf numFmtId="10" fontId="3" fillId="0" borderId="1" xfId="0" applyNumberFormat="1" applyFont="1" applyFill="1" applyBorder="1"/>
    <xf numFmtId="44" fontId="3" fillId="0" borderId="1" xfId="0" applyNumberFormat="1" applyFont="1" applyFill="1" applyBorder="1"/>
    <xf numFmtId="0" fontId="3" fillId="0" borderId="1" xfId="0" applyFont="1" applyFill="1" applyBorder="1"/>
    <xf numFmtId="44" fontId="5" fillId="0" borderId="13" xfId="2" applyFont="1" applyFill="1" applyBorder="1"/>
    <xf numFmtId="44" fontId="5" fillId="0" borderId="13" xfId="2" applyNumberFormat="1" applyFont="1" applyFill="1" applyBorder="1" applyAlignment="1">
      <alignment horizontal="center"/>
    </xf>
    <xf numFmtId="44" fontId="5" fillId="0" borderId="19" xfId="2" applyNumberFormat="1" applyFont="1" applyFill="1" applyBorder="1" applyAlignment="1">
      <alignment horizontal="center"/>
    </xf>
    <xf numFmtId="44" fontId="5" fillId="0" borderId="51" xfId="2" applyNumberFormat="1" applyFont="1" applyFill="1" applyBorder="1" applyAlignment="1">
      <alignment horizontal="center"/>
    </xf>
    <xf numFmtId="44" fontId="5" fillId="0" borderId="53" xfId="2" applyNumberFormat="1" applyFont="1" applyFill="1" applyBorder="1" applyAlignment="1">
      <alignment horizontal="center"/>
    </xf>
    <xf numFmtId="0" fontId="5" fillId="0" borderId="47" xfId="721" applyFont="1" applyFill="1" applyBorder="1" applyAlignment="1">
      <alignment horizontal="left"/>
    </xf>
    <xf numFmtId="0" fontId="5" fillId="0" borderId="49" xfId="721" applyFont="1" applyFill="1" applyBorder="1" applyAlignment="1">
      <alignment horizontal="left"/>
    </xf>
    <xf numFmtId="44" fontId="5" fillId="0" borderId="20" xfId="2" applyFont="1" applyFill="1" applyBorder="1" applyAlignment="1">
      <alignment horizontal="center"/>
    </xf>
    <xf numFmtId="44" fontId="5" fillId="0" borderId="1" xfId="721" applyNumberFormat="1" applyFont="1" applyFill="1" applyBorder="1" applyAlignment="1">
      <alignment horizontal="center"/>
    </xf>
    <xf numFmtId="10" fontId="5" fillId="0" borderId="3" xfId="1625" applyNumberFormat="1" applyFont="1" applyFill="1" applyBorder="1" applyAlignment="1">
      <alignment horizontal="center"/>
    </xf>
    <xf numFmtId="44" fontId="5" fillId="0" borderId="48" xfId="2" applyFont="1" applyFill="1" applyBorder="1" applyAlignment="1">
      <alignment horizontal="center"/>
    </xf>
    <xf numFmtId="0" fontId="5" fillId="0" borderId="0" xfId="720" applyFont="1" applyFill="1" applyAlignment="1">
      <alignment horizontal="left"/>
    </xf>
    <xf numFmtId="0" fontId="5" fillId="0" borderId="3" xfId="720" applyFont="1" applyFill="1" applyBorder="1" applyAlignment="1">
      <alignment horizontal="left"/>
    </xf>
    <xf numFmtId="0" fontId="5" fillId="0" borderId="0" xfId="720" applyFont="1" applyFill="1" applyBorder="1" applyAlignment="1">
      <alignment horizontal="left"/>
    </xf>
    <xf numFmtId="0" fontId="5" fillId="0" borderId="1" xfId="720" applyFont="1" applyFill="1" applyBorder="1" applyAlignment="1">
      <alignment horizontal="left"/>
    </xf>
    <xf numFmtId="44" fontId="5" fillId="0" borderId="1" xfId="2" applyFont="1" applyFill="1" applyBorder="1" applyAlignment="1">
      <alignment horizontal="center"/>
    </xf>
    <xf numFmtId="44" fontId="5" fillId="0" borderId="13" xfId="2" applyNumberFormat="1" applyFont="1" applyFill="1" applyBorder="1"/>
    <xf numFmtId="44" fontId="5" fillId="0" borderId="0" xfId="2" applyNumberFormat="1" applyFont="1" applyFill="1" applyBorder="1" applyAlignment="1">
      <alignment horizontal="center"/>
    </xf>
    <xf numFmtId="44" fontId="5" fillId="0" borderId="1" xfId="399" applyNumberFormat="1" applyFont="1" applyFill="1" applyBorder="1" applyAlignment="1">
      <alignment horizontal="center"/>
    </xf>
    <xf numFmtId="0" fontId="5" fillId="0" borderId="0" xfId="0" applyFont="1" applyFill="1"/>
    <xf numFmtId="44" fontId="5" fillId="0" borderId="50" xfId="2" applyFont="1" applyFill="1" applyBorder="1" applyAlignment="1">
      <alignment horizontal="center"/>
    </xf>
    <xf numFmtId="0" fontId="5" fillId="0" borderId="47" xfId="2108" applyFont="1" applyFill="1" applyBorder="1" applyAlignment="1">
      <alignment horizontal="left"/>
    </xf>
    <xf numFmtId="44" fontId="5" fillId="0" borderId="13" xfId="400" applyFont="1" applyFill="1" applyBorder="1" applyAlignment="1">
      <alignment horizontal="center"/>
    </xf>
    <xf numFmtId="10" fontId="5" fillId="0" borderId="3" xfId="1799" applyNumberFormat="1" applyFont="1" applyFill="1" applyBorder="1" applyAlignment="1">
      <alignment horizontal="center" vertical="center"/>
    </xf>
    <xf numFmtId="10" fontId="5" fillId="0" borderId="3" xfId="2831" applyNumberFormat="1" applyFont="1" applyFill="1" applyBorder="1" applyAlignment="1">
      <alignment horizontal="center"/>
    </xf>
    <xf numFmtId="0" fontId="5" fillId="0" borderId="14" xfId="2108" applyFont="1" applyFill="1" applyBorder="1" applyAlignment="1">
      <alignment horizontal="left"/>
    </xf>
    <xf numFmtId="10" fontId="102" fillId="0" borderId="0" xfId="1" applyNumberFormat="1" applyFont="1" applyFill="1" applyBorder="1" applyAlignment="1">
      <alignment horizontal="center"/>
    </xf>
    <xf numFmtId="10" fontId="102" fillId="0" borderId="3" xfId="1624" applyNumberFormat="1" applyFont="1" applyFill="1" applyBorder="1" applyAlignment="1">
      <alignment horizontal="center"/>
    </xf>
    <xf numFmtId="10" fontId="102" fillId="0" borderId="0" xfId="720" applyNumberFormat="1" applyFont="1" applyFill="1" applyBorder="1" applyAlignment="1">
      <alignment horizontal="center"/>
    </xf>
    <xf numFmtId="10" fontId="102" fillId="0" borderId="3" xfId="1799" applyNumberFormat="1" applyFont="1" applyFill="1" applyBorder="1" applyAlignment="1">
      <alignment horizontal="center" vertical="center"/>
    </xf>
    <xf numFmtId="10" fontId="102" fillId="0" borderId="3" xfId="0" applyNumberFormat="1" applyFont="1" applyFill="1" applyBorder="1" applyAlignment="1">
      <alignment horizontal="center" vertical="center"/>
    </xf>
    <xf numFmtId="0" fontId="102" fillId="0" borderId="14" xfId="720" applyFont="1" applyFill="1" applyBorder="1" applyAlignment="1">
      <alignment horizontal="left"/>
    </xf>
    <xf numFmtId="0" fontId="102" fillId="0" borderId="47" xfId="720" applyFont="1" applyFill="1" applyBorder="1" applyAlignment="1">
      <alignment horizontal="left"/>
    </xf>
    <xf numFmtId="0" fontId="102" fillId="0" borderId="3" xfId="720" applyFont="1" applyFill="1" applyBorder="1" applyAlignment="1">
      <alignment horizontal="left"/>
    </xf>
    <xf numFmtId="44" fontId="153" fillId="0" borderId="0" xfId="720" applyNumberFormat="1" applyFont="1" applyFill="1" applyBorder="1" applyAlignment="1">
      <alignment horizontal="center"/>
    </xf>
    <xf numFmtId="44" fontId="153" fillId="0" borderId="0" xfId="2" applyFont="1" applyFill="1" applyBorder="1" applyAlignment="1">
      <alignment horizontal="center"/>
    </xf>
    <xf numFmtId="0" fontId="102" fillId="0" borderId="47" xfId="2108" applyFont="1" applyFill="1" applyBorder="1" applyAlignment="1">
      <alignment horizontal="left"/>
    </xf>
    <xf numFmtId="0" fontId="102" fillId="0" borderId="51" xfId="2108" applyFont="1" applyFill="1" applyBorder="1" applyAlignment="1">
      <alignment horizontal="left"/>
    </xf>
    <xf numFmtId="0" fontId="102" fillId="0" borderId="47" xfId="721" applyFont="1" applyFill="1" applyBorder="1" applyAlignment="1">
      <alignment horizontal="left"/>
    </xf>
    <xf numFmtId="44" fontId="4" fillId="0" borderId="19" xfId="2" applyFont="1" applyFill="1" applyBorder="1" applyAlignment="1">
      <alignment horizontal="center"/>
    </xf>
    <xf numFmtId="0" fontId="17" fillId="0" borderId="0" xfId="0" applyFont="1" applyFill="1" applyBorder="1" applyAlignment="1"/>
    <xf numFmtId="44" fontId="17" fillId="0" borderId="0" xfId="2" applyFont="1" applyBorder="1"/>
    <xf numFmtId="0" fontId="17" fillId="0" borderId="0" xfId="0" applyFont="1" applyBorder="1"/>
    <xf numFmtId="0" fontId="154" fillId="0" borderId="0" xfId="0" applyFont="1" applyFill="1" applyBorder="1" applyAlignment="1">
      <alignment horizontal="left" wrapText="1"/>
    </xf>
    <xf numFmtId="0" fontId="4" fillId="82" borderId="54" xfId="720" applyFont="1" applyFill="1" applyBorder="1" applyAlignment="1">
      <alignment horizontal="center"/>
    </xf>
    <xf numFmtId="0" fontId="4" fillId="82" borderId="8" xfId="720" applyFont="1" applyFill="1" applyBorder="1" applyAlignment="1">
      <alignment horizontal="center"/>
    </xf>
    <xf numFmtId="0" fontId="30" fillId="0" borderId="0" xfId="720" applyFont="1" applyFill="1" applyAlignment="1">
      <alignment horizontal="center"/>
    </xf>
  </cellXfs>
  <cellStyles count="32487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8" xfId="442"/>
    <cellStyle name="Currency 8 2" xfId="26180"/>
    <cellStyle name="Currency 8 3" xfId="25839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5 2" xfId="26101"/>
    <cellStyle name="Normal 12" xfId="659"/>
    <cellStyle name="Normal 12 10" xfId="25870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Date" xfId="1663"/>
    <cellStyle name="PSDec" xfId="1664"/>
    <cellStyle name="PSdesc" xfId="1665"/>
    <cellStyle name="PSHeading" xfId="1666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8"/>
  <sheetViews>
    <sheetView tabSelected="1" zoomScale="95" zoomScaleNormal="95" workbookViewId="0">
      <selection sqref="A1:Y1"/>
    </sheetView>
  </sheetViews>
  <sheetFormatPr defaultColWidth="9.109375" defaultRowHeight="13.2"/>
  <cols>
    <col min="1" max="1" width="17" style="39" customWidth="1"/>
    <col min="2" max="2" width="18" style="23" customWidth="1"/>
    <col min="3" max="3" width="18.44140625" style="63" customWidth="1"/>
    <col min="4" max="4" width="13.5546875" style="23" customWidth="1"/>
    <col min="5" max="7" width="15.109375" style="23" bestFit="1" customWidth="1"/>
    <col min="8" max="9" width="14" style="23" bestFit="1" customWidth="1"/>
    <col min="10" max="10" width="12.5546875" style="23" customWidth="1"/>
    <col min="11" max="11" width="15.5546875" style="23" customWidth="1"/>
    <col min="12" max="12" width="13.5546875" style="23" customWidth="1"/>
    <col min="13" max="13" width="14.44140625" style="23" customWidth="1"/>
    <col min="14" max="14" width="13.44140625" style="23" customWidth="1"/>
    <col min="15" max="15" width="10.5546875" style="23" customWidth="1"/>
    <col min="16" max="17" width="12" style="23" bestFit="1" customWidth="1"/>
    <col min="18" max="18" width="10.88671875" style="23" customWidth="1"/>
    <col min="19" max="19" width="12" style="23" customWidth="1"/>
    <col min="20" max="20" width="15.44140625" style="23" customWidth="1"/>
    <col min="21" max="21" width="14.109375" style="23" bestFit="1" customWidth="1"/>
    <col min="22" max="22" width="13.44140625" style="23" customWidth="1"/>
    <col min="23" max="23" width="12" style="23" bestFit="1" customWidth="1"/>
    <col min="24" max="24" width="15.44140625" style="23" customWidth="1"/>
    <col min="25" max="25" width="11.5546875" style="23" customWidth="1"/>
    <col min="26" max="26" width="12" style="23" bestFit="1" customWidth="1"/>
    <col min="27" max="28" width="15.5546875" style="27" bestFit="1" customWidth="1"/>
    <col min="29" max="29" width="15.44140625" style="19" bestFit="1" customWidth="1"/>
    <col min="30" max="30" width="12.44140625" style="19" bestFit="1" customWidth="1"/>
    <col min="31" max="16384" width="9.109375" style="19"/>
  </cols>
  <sheetData>
    <row r="1" spans="1:30" s="27" customFormat="1" ht="13.5" customHeight="1">
      <c r="A1" s="139" t="s">
        <v>138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1"/>
    </row>
    <row r="2" spans="1:30" s="27" customFormat="1" ht="25.95" customHeight="1">
      <c r="A2" s="9"/>
      <c r="B2" s="1"/>
      <c r="C2" s="56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30" s="27" customFormat="1" ht="13.8" thickBot="1">
      <c r="A3" s="34" t="s">
        <v>0</v>
      </c>
      <c r="B3" s="35"/>
      <c r="C3" s="57"/>
      <c r="D3" s="35"/>
      <c r="E3" s="35"/>
      <c r="F3" s="3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30" s="27" customFormat="1" ht="13.8" thickBot="1">
      <c r="A4" s="40" t="s">
        <v>1</v>
      </c>
      <c r="B4" s="41" t="s">
        <v>2</v>
      </c>
      <c r="C4" s="58" t="s">
        <v>3</v>
      </c>
      <c r="D4" s="137" t="s">
        <v>4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50"/>
      <c r="AA4" s="50"/>
      <c r="AB4" s="50"/>
    </row>
    <row r="5" spans="1:30" s="27" customFormat="1">
      <c r="A5" s="42" t="s">
        <v>5</v>
      </c>
      <c r="B5" s="43" t="s">
        <v>6</v>
      </c>
      <c r="C5" s="59" t="s">
        <v>6</v>
      </c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  <c r="Z5" s="43" t="s">
        <v>7</v>
      </c>
      <c r="AA5" s="51"/>
      <c r="AB5" s="51"/>
    </row>
    <row r="6" spans="1:30" s="27" customFormat="1">
      <c r="A6" s="42" t="s">
        <v>8</v>
      </c>
      <c r="B6" s="43" t="s">
        <v>9</v>
      </c>
      <c r="C6" s="59" t="s">
        <v>9</v>
      </c>
      <c r="D6" s="47" t="s">
        <v>10</v>
      </c>
      <c r="E6" s="43" t="s">
        <v>11</v>
      </c>
      <c r="F6" s="43" t="s">
        <v>12</v>
      </c>
      <c r="G6" s="43" t="s">
        <v>13</v>
      </c>
      <c r="H6" s="43" t="s">
        <v>14</v>
      </c>
      <c r="I6" s="43" t="s">
        <v>15</v>
      </c>
      <c r="J6" s="43" t="s">
        <v>16</v>
      </c>
      <c r="K6" s="43" t="s">
        <v>17</v>
      </c>
      <c r="L6" s="43" t="s">
        <v>18</v>
      </c>
      <c r="M6" s="43" t="s">
        <v>19</v>
      </c>
      <c r="N6" s="43" t="s">
        <v>20</v>
      </c>
      <c r="O6" s="43" t="s">
        <v>57</v>
      </c>
      <c r="P6" s="43" t="s">
        <v>21</v>
      </c>
      <c r="Q6" s="43" t="s">
        <v>22</v>
      </c>
      <c r="R6" s="43" t="s">
        <v>23</v>
      </c>
      <c r="S6" s="43" t="s">
        <v>24</v>
      </c>
      <c r="T6" s="43" t="s">
        <v>25</v>
      </c>
      <c r="U6" s="43" t="s">
        <v>26</v>
      </c>
      <c r="V6" s="43" t="s">
        <v>27</v>
      </c>
      <c r="W6" s="43" t="s">
        <v>28</v>
      </c>
      <c r="X6" s="43" t="s">
        <v>29</v>
      </c>
      <c r="Y6" s="43" t="s">
        <v>30</v>
      </c>
      <c r="Z6" s="43" t="s">
        <v>31</v>
      </c>
      <c r="AA6" s="52" t="s">
        <v>115</v>
      </c>
      <c r="AB6" s="52" t="s">
        <v>113</v>
      </c>
    </row>
    <row r="7" spans="1:30" s="27" customFormat="1">
      <c r="A7" s="42"/>
      <c r="B7" s="43"/>
      <c r="C7" s="132" t="s">
        <v>133</v>
      </c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51"/>
      <c r="AB7" s="51"/>
    </row>
    <row r="8" spans="1:30" s="27" customFormat="1">
      <c r="A8" s="71" t="s">
        <v>32</v>
      </c>
      <c r="B8" s="72">
        <f>4966450.44/2</f>
        <v>2483225.2200000002</v>
      </c>
      <c r="C8" s="73">
        <f>B8/12</f>
        <v>206935.43500000003</v>
      </c>
      <c r="D8" s="74">
        <v>1.67E-2</v>
      </c>
      <c r="E8" s="74">
        <v>0.1394</v>
      </c>
      <c r="F8" s="74">
        <v>5.6399999999999999E-2</v>
      </c>
      <c r="G8" s="74">
        <v>8.0199999999999994E-2</v>
      </c>
      <c r="H8" s="74">
        <v>4.1200000000000001E-2</v>
      </c>
      <c r="I8" s="74">
        <v>0.1346</v>
      </c>
      <c r="J8" s="74">
        <v>2.12E-2</v>
      </c>
      <c r="K8" s="74">
        <v>3.3700000000000001E-2</v>
      </c>
      <c r="L8" s="74">
        <v>1.7600000000000001E-2</v>
      </c>
      <c r="M8" s="74">
        <v>2.5499999999999998E-2</v>
      </c>
      <c r="N8" s="74">
        <v>0.12970000000000001</v>
      </c>
      <c r="O8" s="74">
        <v>1.8100000000000002E-2</v>
      </c>
      <c r="P8" s="74">
        <v>0</v>
      </c>
      <c r="Q8" s="74">
        <v>3.9199999999999999E-2</v>
      </c>
      <c r="R8" s="74">
        <v>1.95E-2</v>
      </c>
      <c r="S8" s="74">
        <v>2.3999999999999998E-3</v>
      </c>
      <c r="T8" s="74">
        <v>5.3900000000000003E-2</v>
      </c>
      <c r="U8" s="74">
        <v>1.84E-2</v>
      </c>
      <c r="V8" s="74">
        <v>3.7100000000000001E-2</v>
      </c>
      <c r="W8" s="74">
        <v>4.7800000000000002E-2</v>
      </c>
      <c r="X8" s="74">
        <v>6.4000000000000001E-2</v>
      </c>
      <c r="Y8" s="74">
        <v>2.7000000000000001E-3</v>
      </c>
      <c r="Z8" s="75">
        <v>0</v>
      </c>
      <c r="AA8" s="75">
        <v>6.9999999999999999E-4</v>
      </c>
      <c r="AB8" s="75">
        <v>0</v>
      </c>
      <c r="AC8" s="32"/>
      <c r="AD8" s="30"/>
    </row>
    <row r="9" spans="1:30" s="27" customFormat="1">
      <c r="A9" s="76"/>
      <c r="B9" s="77"/>
      <c r="C9" s="73"/>
      <c r="D9" s="78">
        <f>$C8*D8</f>
        <v>3455.8217645000004</v>
      </c>
      <c r="E9" s="78">
        <f>$C8*E8</f>
        <v>28846.799639000004</v>
      </c>
      <c r="F9" s="78">
        <f>$C8*F8</f>
        <v>11671.158534000002</v>
      </c>
      <c r="G9" s="78">
        <f t="shared" ref="G9" si="0">$C8*G8</f>
        <v>16596.221887</v>
      </c>
      <c r="H9" s="78">
        <f t="shared" ref="H9" si="1">$C8*H8</f>
        <v>8525.7399220000007</v>
      </c>
      <c r="I9" s="78">
        <f t="shared" ref="I9:AB9" si="2">$C8*I8</f>
        <v>27853.509551000003</v>
      </c>
      <c r="J9" s="78">
        <f t="shared" si="2"/>
        <v>4387.0312220000005</v>
      </c>
      <c r="K9" s="78">
        <f t="shared" si="2"/>
        <v>6973.7241595000014</v>
      </c>
      <c r="L9" s="78">
        <f t="shared" si="2"/>
        <v>3642.0636560000007</v>
      </c>
      <c r="M9" s="78">
        <f t="shared" si="2"/>
        <v>5276.8535925000006</v>
      </c>
      <c r="N9" s="78">
        <f t="shared" si="2"/>
        <v>26839.525919500007</v>
      </c>
      <c r="O9" s="78">
        <f t="shared" si="2"/>
        <v>3745.5313735000009</v>
      </c>
      <c r="P9" s="78">
        <f t="shared" si="2"/>
        <v>0</v>
      </c>
      <c r="Q9" s="78">
        <f t="shared" si="2"/>
        <v>8111.8690520000009</v>
      </c>
      <c r="R9" s="78">
        <f t="shared" si="2"/>
        <v>4035.2409825000004</v>
      </c>
      <c r="S9" s="78">
        <f t="shared" si="2"/>
        <v>496.64504400000004</v>
      </c>
      <c r="T9" s="78">
        <f t="shared" si="2"/>
        <v>11153.819946500002</v>
      </c>
      <c r="U9" s="78">
        <f t="shared" si="2"/>
        <v>3807.6120040000005</v>
      </c>
      <c r="V9" s="78">
        <f t="shared" si="2"/>
        <v>7677.3046385000016</v>
      </c>
      <c r="W9" s="78">
        <f t="shared" si="2"/>
        <v>9891.5137930000019</v>
      </c>
      <c r="X9" s="78">
        <f t="shared" si="2"/>
        <v>13243.867840000003</v>
      </c>
      <c r="Y9" s="78">
        <f t="shared" si="2"/>
        <v>558.72567450000008</v>
      </c>
      <c r="Z9" s="78">
        <f t="shared" si="2"/>
        <v>0</v>
      </c>
      <c r="AA9" s="78">
        <f t="shared" si="2"/>
        <v>144.85480450000003</v>
      </c>
      <c r="AB9" s="78">
        <f t="shared" si="2"/>
        <v>0</v>
      </c>
      <c r="AC9" s="32"/>
      <c r="AD9" s="30"/>
    </row>
    <row r="10" spans="1:30" s="27" customFormat="1">
      <c r="A10" s="124" t="s">
        <v>80</v>
      </c>
      <c r="B10" s="72">
        <f>4966450.44/2</f>
        <v>2483225.2200000002</v>
      </c>
      <c r="C10" s="73">
        <f>B10/12</f>
        <v>206935.43500000003</v>
      </c>
      <c r="D10" s="79"/>
      <c r="E10" s="79"/>
      <c r="F10" s="119">
        <v>0.39860000000000001</v>
      </c>
      <c r="G10" s="79"/>
      <c r="H10" s="119">
        <v>0.11890000000000001</v>
      </c>
      <c r="I10" s="79"/>
      <c r="J10" s="79"/>
      <c r="K10" s="79"/>
      <c r="L10" s="79"/>
      <c r="M10" s="79"/>
      <c r="N10" s="119">
        <v>0.32019999999999998</v>
      </c>
      <c r="O10" s="79"/>
      <c r="P10" s="79"/>
      <c r="Q10" s="79"/>
      <c r="R10" s="79"/>
      <c r="S10" s="79"/>
      <c r="T10" s="79"/>
      <c r="U10" s="79"/>
      <c r="V10" s="119">
        <v>0.1623</v>
      </c>
      <c r="X10" s="79"/>
      <c r="Y10" s="79"/>
      <c r="Z10" s="79"/>
      <c r="AA10" s="79"/>
      <c r="AB10" s="79"/>
      <c r="AC10" s="32"/>
      <c r="AD10" s="30"/>
    </row>
    <row r="11" spans="1:30" s="27" customFormat="1">
      <c r="A11" s="80"/>
      <c r="B11" s="77"/>
      <c r="C11" s="73"/>
      <c r="D11" s="3">
        <f t="shared" ref="D11" si="3">$C10*D10</f>
        <v>0</v>
      </c>
      <c r="E11" s="3">
        <f t="shared" ref="E11" si="4">$C10*E10</f>
        <v>0</v>
      </c>
      <c r="F11" s="3">
        <f t="shared" ref="F11:V11" si="5">$C10*F10</f>
        <v>82484.464391000016</v>
      </c>
      <c r="G11" s="3">
        <f t="shared" si="5"/>
        <v>0</v>
      </c>
      <c r="H11" s="3">
        <f t="shared" si="5"/>
        <v>24604.623221500005</v>
      </c>
      <c r="I11" s="3">
        <f t="shared" si="5"/>
        <v>0</v>
      </c>
      <c r="J11" s="3">
        <f t="shared" si="5"/>
        <v>0</v>
      </c>
      <c r="K11" s="3">
        <f t="shared" si="5"/>
        <v>0</v>
      </c>
      <c r="L11" s="3">
        <f t="shared" si="5"/>
        <v>0</v>
      </c>
      <c r="M11" s="3">
        <f t="shared" si="5"/>
        <v>0</v>
      </c>
      <c r="N11" s="3">
        <f t="shared" si="5"/>
        <v>66260.726287000012</v>
      </c>
      <c r="O11" s="3">
        <f t="shared" si="5"/>
        <v>0</v>
      </c>
      <c r="P11" s="3">
        <f t="shared" si="5"/>
        <v>0</v>
      </c>
      <c r="Q11" s="3">
        <f t="shared" si="5"/>
        <v>0</v>
      </c>
      <c r="R11" s="3">
        <f t="shared" si="5"/>
        <v>0</v>
      </c>
      <c r="S11" s="3">
        <f t="shared" si="5"/>
        <v>0</v>
      </c>
      <c r="T11" s="3">
        <f t="shared" si="5"/>
        <v>0</v>
      </c>
      <c r="U11" s="3">
        <f t="shared" si="5"/>
        <v>0</v>
      </c>
      <c r="V11" s="3">
        <f t="shared" si="5"/>
        <v>33585.621100500008</v>
      </c>
      <c r="W11" s="3">
        <f>$C10*O10</f>
        <v>0</v>
      </c>
      <c r="X11" s="3">
        <f>$C10*X10</f>
        <v>0</v>
      </c>
      <c r="Y11" s="3">
        <f>$C10*Y10</f>
        <v>0</v>
      </c>
      <c r="Z11" s="3">
        <f>$C10*Z10</f>
        <v>0</v>
      </c>
      <c r="AA11" s="3">
        <f>$C10*AA10</f>
        <v>0</v>
      </c>
      <c r="AB11" s="3">
        <f>$C10*AB10</f>
        <v>0</v>
      </c>
      <c r="AC11" s="32"/>
      <c r="AD11" s="30"/>
    </row>
    <row r="12" spans="1:30" s="27" customFormat="1">
      <c r="A12" s="71" t="s">
        <v>33</v>
      </c>
      <c r="B12" s="72">
        <f>119518097.27/2</f>
        <v>59759048.634999998</v>
      </c>
      <c r="C12" s="73">
        <f>B12/12</f>
        <v>4979920.7195833335</v>
      </c>
      <c r="D12" s="74">
        <v>1.67E-2</v>
      </c>
      <c r="E12" s="74">
        <v>0.1394</v>
      </c>
      <c r="F12" s="74">
        <v>5.6399999999999999E-2</v>
      </c>
      <c r="G12" s="74">
        <v>8.0199999999999994E-2</v>
      </c>
      <c r="H12" s="74">
        <v>4.1200000000000001E-2</v>
      </c>
      <c r="I12" s="74">
        <v>0.1346</v>
      </c>
      <c r="J12" s="74">
        <v>2.12E-2</v>
      </c>
      <c r="K12" s="74">
        <v>3.3700000000000001E-2</v>
      </c>
      <c r="L12" s="74">
        <v>1.7600000000000001E-2</v>
      </c>
      <c r="M12" s="74">
        <v>2.5499999999999998E-2</v>
      </c>
      <c r="N12" s="74">
        <v>0.12970000000000001</v>
      </c>
      <c r="O12" s="74">
        <v>1.8100000000000002E-2</v>
      </c>
      <c r="P12" s="74">
        <v>0</v>
      </c>
      <c r="Q12" s="74">
        <v>3.9199999999999999E-2</v>
      </c>
      <c r="R12" s="74">
        <v>1.95E-2</v>
      </c>
      <c r="S12" s="74">
        <v>2.3999999999999998E-3</v>
      </c>
      <c r="T12" s="74">
        <v>5.3900000000000003E-2</v>
      </c>
      <c r="U12" s="74">
        <v>1.84E-2</v>
      </c>
      <c r="V12" s="74">
        <v>3.7100000000000001E-2</v>
      </c>
      <c r="W12" s="74">
        <v>4.7800000000000002E-2</v>
      </c>
      <c r="X12" s="74">
        <v>6.4000000000000001E-2</v>
      </c>
      <c r="Y12" s="74">
        <v>2.7000000000000001E-3</v>
      </c>
      <c r="Z12" s="75">
        <v>0</v>
      </c>
      <c r="AA12" s="75">
        <v>6.9999999999999999E-4</v>
      </c>
      <c r="AB12" s="75">
        <v>0</v>
      </c>
      <c r="AC12" s="32"/>
      <c r="AD12" s="30"/>
    </row>
    <row r="13" spans="1:30" s="27" customFormat="1">
      <c r="A13" s="80" t="s">
        <v>34</v>
      </c>
      <c r="B13" s="81"/>
      <c r="C13" s="73"/>
      <c r="D13" s="82">
        <f>$C12*D12</f>
        <v>83164.676017041667</v>
      </c>
      <c r="E13" s="3">
        <f>$C12*E12</f>
        <v>694200.94830991665</v>
      </c>
      <c r="F13" s="3">
        <f t="shared" ref="F13" si="6">$C12*F12</f>
        <v>280867.52858450002</v>
      </c>
      <c r="G13" s="3">
        <f t="shared" ref="G13" si="7">$C12*G12</f>
        <v>399389.6417105833</v>
      </c>
      <c r="H13" s="3">
        <f t="shared" ref="H13:O13" si="8">$C12*H12</f>
        <v>205172.73364683334</v>
      </c>
      <c r="I13" s="3">
        <f t="shared" si="8"/>
        <v>670297.32885591662</v>
      </c>
      <c r="J13" s="3">
        <f t="shared" si="8"/>
        <v>105574.31925516667</v>
      </c>
      <c r="K13" s="3">
        <f t="shared" si="8"/>
        <v>167823.32824995834</v>
      </c>
      <c r="L13" s="3">
        <f t="shared" si="8"/>
        <v>87646.60466466668</v>
      </c>
      <c r="M13" s="3">
        <f t="shared" si="8"/>
        <v>126987.978349375</v>
      </c>
      <c r="N13" s="3">
        <f t="shared" si="8"/>
        <v>645895.71732995845</v>
      </c>
      <c r="O13" s="3">
        <f t="shared" si="8"/>
        <v>90136.565024458338</v>
      </c>
      <c r="P13" s="3">
        <f t="shared" ref="P13" si="9">$C12*P12</f>
        <v>0</v>
      </c>
      <c r="Q13" s="3">
        <f t="shared" ref="Q13" si="10">$C12*Q12</f>
        <v>195212.89220766668</v>
      </c>
      <c r="R13" s="3">
        <f t="shared" ref="R13:AB13" si="11">$C12*R12</f>
        <v>97108.454031875008</v>
      </c>
      <c r="S13" s="3">
        <f t="shared" si="11"/>
        <v>11951.809727</v>
      </c>
      <c r="T13" s="3">
        <f t="shared" si="11"/>
        <v>268417.72678554169</v>
      </c>
      <c r="U13" s="3">
        <f t="shared" si="11"/>
        <v>91630.541240333332</v>
      </c>
      <c r="V13" s="3">
        <f t="shared" si="11"/>
        <v>184755.05869654167</v>
      </c>
      <c r="W13" s="3">
        <f t="shared" si="11"/>
        <v>238040.21039608336</v>
      </c>
      <c r="X13" s="3">
        <f t="shared" si="11"/>
        <v>318714.92605333333</v>
      </c>
      <c r="Y13" s="3">
        <f t="shared" si="11"/>
        <v>13445.785942875002</v>
      </c>
      <c r="Z13" s="3">
        <f t="shared" si="11"/>
        <v>0</v>
      </c>
      <c r="AA13" s="3">
        <f t="shared" si="11"/>
        <v>3485.9445037083333</v>
      </c>
      <c r="AB13" s="3">
        <f t="shared" si="11"/>
        <v>0</v>
      </c>
      <c r="AC13" s="32"/>
      <c r="AD13" s="30"/>
    </row>
    <row r="14" spans="1:30" s="27" customFormat="1">
      <c r="A14" s="80" t="s">
        <v>35</v>
      </c>
      <c r="B14" s="83"/>
      <c r="C14" s="8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2"/>
      <c r="AD14" s="30"/>
    </row>
    <row r="15" spans="1:30" s="27" customFormat="1">
      <c r="A15" s="80" t="s">
        <v>36</v>
      </c>
      <c r="B15" s="83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32"/>
      <c r="AD15" s="30"/>
    </row>
    <row r="16" spans="1:30" s="27" customFormat="1">
      <c r="A16" s="80" t="s">
        <v>37</v>
      </c>
      <c r="B16" s="83"/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32"/>
      <c r="AD16" s="30"/>
    </row>
    <row r="17" spans="1:30" s="27" customFormat="1">
      <c r="A17" s="76" t="s">
        <v>38</v>
      </c>
      <c r="B17" s="86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32"/>
      <c r="AD17" s="30"/>
    </row>
    <row r="18" spans="1:30" s="27" customFormat="1">
      <c r="A18" s="124" t="s">
        <v>81</v>
      </c>
      <c r="B18" s="72">
        <f>B12*0</f>
        <v>0</v>
      </c>
      <c r="C18" s="84">
        <f>B18/12</f>
        <v>0</v>
      </c>
      <c r="D18" s="79"/>
      <c r="E18" s="79"/>
      <c r="F18" s="79"/>
      <c r="G18" s="79"/>
      <c r="H18" s="119">
        <v>7.4399999999999994E-2</v>
      </c>
      <c r="I18" s="79"/>
      <c r="J18" s="79"/>
      <c r="K18" s="79"/>
      <c r="L18" s="79"/>
      <c r="M18" s="79"/>
      <c r="N18" s="119">
        <v>0.80659999999999998</v>
      </c>
      <c r="O18" s="79"/>
      <c r="P18" s="79"/>
      <c r="Q18" s="79"/>
      <c r="R18" s="79"/>
      <c r="S18" s="79"/>
      <c r="T18" s="79"/>
      <c r="U18" s="79"/>
      <c r="V18" s="119">
        <v>0.11899999999999999</v>
      </c>
      <c r="W18" s="79"/>
      <c r="X18" s="79"/>
      <c r="Y18" s="79"/>
      <c r="Z18" s="79"/>
      <c r="AA18" s="79"/>
      <c r="AB18" s="79"/>
      <c r="AC18" s="32"/>
      <c r="AD18" s="30"/>
    </row>
    <row r="19" spans="1:30" s="27" customFormat="1">
      <c r="A19" s="80"/>
      <c r="B19" s="77"/>
      <c r="C19" s="73"/>
      <c r="D19" s="3">
        <f t="shared" ref="D19" si="12">$C18*D18</f>
        <v>0</v>
      </c>
      <c r="E19" s="3">
        <f t="shared" ref="E19" si="13">$C18*E18</f>
        <v>0</v>
      </c>
      <c r="F19" s="3">
        <f t="shared" ref="F19:AB19" si="14">$C18*F18</f>
        <v>0</v>
      </c>
      <c r="G19" s="3">
        <f t="shared" si="14"/>
        <v>0</v>
      </c>
      <c r="H19" s="3">
        <f t="shared" si="14"/>
        <v>0</v>
      </c>
      <c r="I19" s="3">
        <f t="shared" si="14"/>
        <v>0</v>
      </c>
      <c r="J19" s="3">
        <f t="shared" si="14"/>
        <v>0</v>
      </c>
      <c r="K19" s="3">
        <f t="shared" si="14"/>
        <v>0</v>
      </c>
      <c r="L19" s="3">
        <f t="shared" si="14"/>
        <v>0</v>
      </c>
      <c r="M19" s="3">
        <f t="shared" si="14"/>
        <v>0</v>
      </c>
      <c r="N19" s="3">
        <f t="shared" si="14"/>
        <v>0</v>
      </c>
      <c r="O19" s="3">
        <f t="shared" si="14"/>
        <v>0</v>
      </c>
      <c r="P19" s="3">
        <f t="shared" si="14"/>
        <v>0</v>
      </c>
      <c r="Q19" s="3">
        <f t="shared" si="14"/>
        <v>0</v>
      </c>
      <c r="R19" s="3">
        <f t="shared" si="14"/>
        <v>0</v>
      </c>
      <c r="S19" s="3">
        <f t="shared" si="14"/>
        <v>0</v>
      </c>
      <c r="T19" s="3">
        <f t="shared" si="14"/>
        <v>0</v>
      </c>
      <c r="U19" s="3">
        <f t="shared" si="14"/>
        <v>0</v>
      </c>
      <c r="V19" s="3">
        <f t="shared" si="14"/>
        <v>0</v>
      </c>
      <c r="W19" s="3">
        <f t="shared" si="14"/>
        <v>0</v>
      </c>
      <c r="X19" s="3">
        <f t="shared" si="14"/>
        <v>0</v>
      </c>
      <c r="Y19" s="3">
        <f t="shared" si="14"/>
        <v>0</v>
      </c>
      <c r="Z19" s="3">
        <f t="shared" si="14"/>
        <v>0</v>
      </c>
      <c r="AA19" s="3">
        <f t="shared" si="14"/>
        <v>0</v>
      </c>
      <c r="AB19" s="3">
        <f t="shared" si="14"/>
        <v>0</v>
      </c>
      <c r="AC19" s="32"/>
      <c r="AD19" s="30"/>
    </row>
    <row r="20" spans="1:30" s="27" customFormat="1">
      <c r="A20" s="124" t="s">
        <v>82</v>
      </c>
      <c r="B20" s="72">
        <f>B12*0.0502</f>
        <v>2999904.2414770001</v>
      </c>
      <c r="C20" s="73">
        <f>B20/12</f>
        <v>249992.02012308335</v>
      </c>
      <c r="D20" s="79"/>
      <c r="E20" s="79"/>
      <c r="F20" s="79"/>
      <c r="G20" s="79"/>
      <c r="H20" s="119">
        <v>7.4399999999999994E-2</v>
      </c>
      <c r="I20" s="79"/>
      <c r="J20" s="79"/>
      <c r="K20" s="79"/>
      <c r="L20" s="79"/>
      <c r="M20" s="79"/>
      <c r="N20" s="121">
        <v>0.80659999999999998</v>
      </c>
      <c r="O20" s="3"/>
      <c r="P20" s="3"/>
      <c r="Q20" s="3"/>
      <c r="R20" s="3"/>
      <c r="S20" s="3"/>
      <c r="T20" s="3"/>
      <c r="U20" s="3"/>
      <c r="V20" s="121">
        <v>0.11899999999999999</v>
      </c>
      <c r="W20" s="79"/>
      <c r="X20" s="79"/>
      <c r="Y20" s="79"/>
      <c r="Z20" s="79"/>
      <c r="AA20" s="79"/>
      <c r="AB20" s="79"/>
      <c r="AC20" s="32"/>
      <c r="AD20" s="30"/>
    </row>
    <row r="21" spans="1:30" s="27" customFormat="1">
      <c r="A21" s="80"/>
      <c r="B21" s="77"/>
      <c r="C21" s="73"/>
      <c r="D21" s="3">
        <f t="shared" ref="D21" si="15">$C20*D20</f>
        <v>0</v>
      </c>
      <c r="E21" s="3">
        <f t="shared" ref="E21:AB21" si="16">$C20*E20</f>
        <v>0</v>
      </c>
      <c r="F21" s="3">
        <f t="shared" si="16"/>
        <v>0</v>
      </c>
      <c r="G21" s="3">
        <f t="shared" si="16"/>
        <v>0</v>
      </c>
      <c r="H21" s="3">
        <f t="shared" si="16"/>
        <v>18599.406297157399</v>
      </c>
      <c r="I21" s="3">
        <f t="shared" si="16"/>
        <v>0</v>
      </c>
      <c r="J21" s="3">
        <f t="shared" si="16"/>
        <v>0</v>
      </c>
      <c r="K21" s="3">
        <f t="shared" si="16"/>
        <v>0</v>
      </c>
      <c r="L21" s="3">
        <f t="shared" si="16"/>
        <v>0</v>
      </c>
      <c r="M21" s="3">
        <f t="shared" si="16"/>
        <v>0</v>
      </c>
      <c r="N21" s="3">
        <f t="shared" si="16"/>
        <v>201643.56343127904</v>
      </c>
      <c r="O21" s="3">
        <f t="shared" si="16"/>
        <v>0</v>
      </c>
      <c r="P21" s="3">
        <f t="shared" si="16"/>
        <v>0</v>
      </c>
      <c r="Q21" s="3">
        <f t="shared" si="16"/>
        <v>0</v>
      </c>
      <c r="R21" s="3">
        <f t="shared" si="16"/>
        <v>0</v>
      </c>
      <c r="S21" s="3">
        <f t="shared" si="16"/>
        <v>0</v>
      </c>
      <c r="T21" s="3">
        <f t="shared" si="16"/>
        <v>0</v>
      </c>
      <c r="U21" s="3">
        <f t="shared" si="16"/>
        <v>0</v>
      </c>
      <c r="V21" s="3">
        <f t="shared" si="16"/>
        <v>29749.050394646918</v>
      </c>
      <c r="W21" s="3">
        <f t="shared" si="16"/>
        <v>0</v>
      </c>
      <c r="X21" s="3">
        <f t="shared" si="16"/>
        <v>0</v>
      </c>
      <c r="Y21" s="3">
        <f t="shared" si="16"/>
        <v>0</v>
      </c>
      <c r="Z21" s="3">
        <f t="shared" si="16"/>
        <v>0</v>
      </c>
      <c r="AA21" s="3">
        <f t="shared" si="16"/>
        <v>0</v>
      </c>
      <c r="AB21" s="3">
        <f t="shared" si="16"/>
        <v>0</v>
      </c>
      <c r="AC21" s="32"/>
      <c r="AD21" s="30"/>
    </row>
    <row r="22" spans="1:30" s="27" customFormat="1">
      <c r="A22" s="124" t="s">
        <v>83</v>
      </c>
      <c r="B22" s="72">
        <f>B12*0.2325</f>
        <v>13893978.8076375</v>
      </c>
      <c r="C22" s="73">
        <f>B22/12</f>
        <v>1157831.567303125</v>
      </c>
      <c r="D22" s="79"/>
      <c r="E22" s="79"/>
      <c r="F22" s="119">
        <v>0.49030000000000001</v>
      </c>
      <c r="G22" s="79"/>
      <c r="H22" s="119">
        <v>0.1787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119">
        <v>0.33100000000000002</v>
      </c>
      <c r="W22" s="79"/>
      <c r="X22" s="79"/>
      <c r="Y22" s="79"/>
      <c r="Z22" s="79"/>
      <c r="AA22" s="79"/>
      <c r="AB22" s="79"/>
      <c r="AC22" s="32"/>
      <c r="AD22" s="30"/>
    </row>
    <row r="23" spans="1:30" s="27" customFormat="1">
      <c r="A23" s="80"/>
      <c r="B23" s="77"/>
      <c r="C23" s="73"/>
      <c r="D23" s="3">
        <f t="shared" ref="D23" si="17">$C22*D22</f>
        <v>0</v>
      </c>
      <c r="E23" s="3">
        <f t="shared" ref="E23:AB23" si="18">$C22*E22</f>
        <v>0</v>
      </c>
      <c r="F23" s="3">
        <f t="shared" si="18"/>
        <v>567684.8174487222</v>
      </c>
      <c r="G23" s="3">
        <f t="shared" si="18"/>
        <v>0</v>
      </c>
      <c r="H23" s="3">
        <f t="shared" si="18"/>
        <v>206904.50107706845</v>
      </c>
      <c r="I23" s="3">
        <f t="shared" si="18"/>
        <v>0</v>
      </c>
      <c r="J23" s="3">
        <f t="shared" si="18"/>
        <v>0</v>
      </c>
      <c r="K23" s="3">
        <f t="shared" si="18"/>
        <v>0</v>
      </c>
      <c r="L23" s="3">
        <f t="shared" si="18"/>
        <v>0</v>
      </c>
      <c r="M23" s="3">
        <f t="shared" si="18"/>
        <v>0</v>
      </c>
      <c r="N23" s="3">
        <f t="shared" si="18"/>
        <v>0</v>
      </c>
      <c r="O23" s="3">
        <f t="shared" si="18"/>
        <v>0</v>
      </c>
      <c r="P23" s="3">
        <f t="shared" si="18"/>
        <v>0</v>
      </c>
      <c r="Q23" s="3">
        <f t="shared" si="18"/>
        <v>0</v>
      </c>
      <c r="R23" s="3">
        <f t="shared" si="18"/>
        <v>0</v>
      </c>
      <c r="S23" s="3">
        <f t="shared" si="18"/>
        <v>0</v>
      </c>
      <c r="T23" s="3">
        <f t="shared" si="18"/>
        <v>0</v>
      </c>
      <c r="U23" s="3">
        <f t="shared" si="18"/>
        <v>0</v>
      </c>
      <c r="V23" s="3">
        <f t="shared" si="18"/>
        <v>383242.2487773344</v>
      </c>
      <c r="W23" s="3">
        <f t="shared" si="18"/>
        <v>0</v>
      </c>
      <c r="X23" s="3">
        <f t="shared" si="18"/>
        <v>0</v>
      </c>
      <c r="Y23" s="3">
        <f t="shared" si="18"/>
        <v>0</v>
      </c>
      <c r="Z23" s="3">
        <f t="shared" si="18"/>
        <v>0</v>
      </c>
      <c r="AA23" s="3">
        <f t="shared" si="18"/>
        <v>0</v>
      </c>
      <c r="AB23" s="3">
        <f t="shared" si="18"/>
        <v>0</v>
      </c>
      <c r="AC23" s="32"/>
      <c r="AD23" s="30"/>
    </row>
    <row r="24" spans="1:30" s="27" customFormat="1">
      <c r="A24" s="124" t="s">
        <v>84</v>
      </c>
      <c r="B24" s="72">
        <f>B12*0.63</f>
        <v>37648200.640050001</v>
      </c>
      <c r="C24" s="73">
        <f>B24/12</f>
        <v>3137350.0533375</v>
      </c>
      <c r="D24" s="79"/>
      <c r="E24" s="79"/>
      <c r="F24" s="119">
        <v>0.33169999999999999</v>
      </c>
      <c r="G24" s="79"/>
      <c r="H24" s="119">
        <v>0</v>
      </c>
      <c r="I24" s="79"/>
      <c r="J24" s="79"/>
      <c r="K24" s="79"/>
      <c r="L24" s="79"/>
      <c r="M24" s="79"/>
      <c r="N24" s="119">
        <v>0.5131</v>
      </c>
      <c r="O24" s="79"/>
      <c r="P24" s="79"/>
      <c r="Q24" s="79"/>
      <c r="R24" s="79"/>
      <c r="S24" s="79"/>
      <c r="T24" s="79"/>
      <c r="U24" s="79"/>
      <c r="V24" s="119">
        <v>0.1552</v>
      </c>
      <c r="W24" s="79"/>
      <c r="X24" s="79"/>
      <c r="Y24" s="79"/>
      <c r="Z24" s="79"/>
      <c r="AA24" s="79"/>
      <c r="AB24" s="79"/>
      <c r="AC24" s="32"/>
      <c r="AD24" s="30"/>
    </row>
    <row r="25" spans="1:30" s="27" customFormat="1">
      <c r="A25" s="80"/>
      <c r="B25" s="77"/>
      <c r="C25" s="73"/>
      <c r="D25" s="3">
        <f t="shared" ref="D25" si="19">$C24*D24</f>
        <v>0</v>
      </c>
      <c r="E25" s="3">
        <f t="shared" ref="E25:AB25" si="20">$C24*E24</f>
        <v>0</v>
      </c>
      <c r="F25" s="3">
        <f t="shared" si="20"/>
        <v>1040659.0126920487</v>
      </c>
      <c r="G25" s="3">
        <f t="shared" si="20"/>
        <v>0</v>
      </c>
      <c r="H25" s="3">
        <f t="shared" si="20"/>
        <v>0</v>
      </c>
      <c r="I25" s="3">
        <f t="shared" si="20"/>
        <v>0</v>
      </c>
      <c r="J25" s="3">
        <f t="shared" si="20"/>
        <v>0</v>
      </c>
      <c r="K25" s="3">
        <f t="shared" si="20"/>
        <v>0</v>
      </c>
      <c r="L25" s="3">
        <f t="shared" si="20"/>
        <v>0</v>
      </c>
      <c r="M25" s="3">
        <f t="shared" si="20"/>
        <v>0</v>
      </c>
      <c r="N25" s="3">
        <f t="shared" si="20"/>
        <v>1609774.3123674712</v>
      </c>
      <c r="O25" s="3">
        <f t="shared" si="20"/>
        <v>0</v>
      </c>
      <c r="P25" s="3">
        <f t="shared" si="20"/>
        <v>0</v>
      </c>
      <c r="Q25" s="3">
        <f t="shared" si="20"/>
        <v>0</v>
      </c>
      <c r="R25" s="3">
        <f t="shared" si="20"/>
        <v>0</v>
      </c>
      <c r="S25" s="3">
        <f t="shared" si="20"/>
        <v>0</v>
      </c>
      <c r="T25" s="3">
        <f t="shared" si="20"/>
        <v>0</v>
      </c>
      <c r="U25" s="3">
        <f t="shared" si="20"/>
        <v>0</v>
      </c>
      <c r="V25" s="3">
        <f t="shared" si="20"/>
        <v>486916.72827798</v>
      </c>
      <c r="W25" s="3">
        <f t="shared" si="20"/>
        <v>0</v>
      </c>
      <c r="X25" s="3">
        <f t="shared" si="20"/>
        <v>0</v>
      </c>
      <c r="Y25" s="3">
        <f t="shared" si="20"/>
        <v>0</v>
      </c>
      <c r="Z25" s="3">
        <f t="shared" si="20"/>
        <v>0</v>
      </c>
      <c r="AA25" s="3">
        <f t="shared" si="20"/>
        <v>0</v>
      </c>
      <c r="AB25" s="3">
        <f t="shared" si="20"/>
        <v>0</v>
      </c>
      <c r="AC25" s="32"/>
      <c r="AD25" s="30"/>
    </row>
    <row r="26" spans="1:30" s="27" customFormat="1">
      <c r="A26" s="124" t="s">
        <v>85</v>
      </c>
      <c r="B26" s="72">
        <f>B12*0.064</f>
        <v>3824579.1126399999</v>
      </c>
      <c r="C26" s="73">
        <f>B26/12</f>
        <v>318714.92605333333</v>
      </c>
      <c r="D26" s="79"/>
      <c r="E26" s="79"/>
      <c r="F26" s="119">
        <v>0.49030000000000001</v>
      </c>
      <c r="G26" s="79"/>
      <c r="H26" s="119">
        <v>0.1787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119">
        <v>0.33100000000000002</v>
      </c>
      <c r="W26" s="79"/>
      <c r="X26" s="79"/>
      <c r="Y26" s="79"/>
      <c r="Z26" s="79"/>
      <c r="AA26" s="79"/>
      <c r="AB26" s="79"/>
      <c r="AC26" s="32"/>
      <c r="AD26" s="30"/>
    </row>
    <row r="27" spans="1:30" s="27" customFormat="1">
      <c r="A27" s="80"/>
      <c r="B27" s="77"/>
      <c r="C27" s="73"/>
      <c r="D27" s="3">
        <f t="shared" ref="D27" si="21">$C26*D26</f>
        <v>0</v>
      </c>
      <c r="E27" s="3">
        <f t="shared" ref="E27:AB27" si="22">$C26*E26</f>
        <v>0</v>
      </c>
      <c r="F27" s="3">
        <f t="shared" si="22"/>
        <v>156265.92824394934</v>
      </c>
      <c r="G27" s="3">
        <f t="shared" si="22"/>
        <v>0</v>
      </c>
      <c r="H27" s="3">
        <f t="shared" si="22"/>
        <v>56954.357285730664</v>
      </c>
      <c r="I27" s="3">
        <f t="shared" si="22"/>
        <v>0</v>
      </c>
      <c r="J27" s="3">
        <f t="shared" si="22"/>
        <v>0</v>
      </c>
      <c r="K27" s="3">
        <f t="shared" si="22"/>
        <v>0</v>
      </c>
      <c r="L27" s="3">
        <f t="shared" si="22"/>
        <v>0</v>
      </c>
      <c r="M27" s="3">
        <f t="shared" si="22"/>
        <v>0</v>
      </c>
      <c r="N27" s="3">
        <f t="shared" si="22"/>
        <v>0</v>
      </c>
      <c r="O27" s="3">
        <f t="shared" si="22"/>
        <v>0</v>
      </c>
      <c r="P27" s="3">
        <f t="shared" si="22"/>
        <v>0</v>
      </c>
      <c r="Q27" s="3">
        <f t="shared" si="22"/>
        <v>0</v>
      </c>
      <c r="R27" s="3">
        <f t="shared" si="22"/>
        <v>0</v>
      </c>
      <c r="S27" s="3">
        <f t="shared" si="22"/>
        <v>0</v>
      </c>
      <c r="T27" s="3">
        <f t="shared" si="22"/>
        <v>0</v>
      </c>
      <c r="U27" s="3">
        <f t="shared" si="22"/>
        <v>0</v>
      </c>
      <c r="V27" s="3">
        <f t="shared" si="22"/>
        <v>105494.64052365333</v>
      </c>
      <c r="W27" s="3">
        <f t="shared" si="22"/>
        <v>0</v>
      </c>
      <c r="X27" s="3">
        <f t="shared" si="22"/>
        <v>0</v>
      </c>
      <c r="Y27" s="3">
        <f t="shared" si="22"/>
        <v>0</v>
      </c>
      <c r="Z27" s="3">
        <f t="shared" si="22"/>
        <v>0</v>
      </c>
      <c r="AA27" s="3">
        <f t="shared" si="22"/>
        <v>0</v>
      </c>
      <c r="AB27" s="3">
        <f t="shared" si="22"/>
        <v>0</v>
      </c>
      <c r="AC27" s="32"/>
      <c r="AD27" s="30"/>
    </row>
    <row r="28" spans="1:30" s="27" customFormat="1">
      <c r="A28" s="124" t="s">
        <v>86</v>
      </c>
      <c r="B28" s="72">
        <f>B12*0.0233</f>
        <v>1392385.8331955001</v>
      </c>
      <c r="C28" s="73">
        <f>B28/12</f>
        <v>116032.15276629168</v>
      </c>
      <c r="D28" s="79"/>
      <c r="E28" s="79"/>
      <c r="F28" s="119">
        <v>0.33169999999999999</v>
      </c>
      <c r="G28" s="79"/>
      <c r="H28" s="119">
        <v>0</v>
      </c>
      <c r="I28" s="79"/>
      <c r="J28" s="79"/>
      <c r="K28" s="79"/>
      <c r="L28" s="79"/>
      <c r="M28" s="79"/>
      <c r="N28" s="119">
        <v>0.5131</v>
      </c>
      <c r="O28" s="79"/>
      <c r="P28" s="79"/>
      <c r="Q28" s="79"/>
      <c r="R28" s="79"/>
      <c r="S28" s="79"/>
      <c r="T28" s="79"/>
      <c r="U28" s="79"/>
      <c r="V28" s="119">
        <v>0.1552</v>
      </c>
      <c r="W28" s="79"/>
      <c r="X28" s="79"/>
      <c r="Y28" s="79"/>
      <c r="Z28" s="79"/>
      <c r="AA28" s="79"/>
      <c r="AB28" s="79"/>
      <c r="AC28" s="32"/>
      <c r="AD28" s="30"/>
    </row>
    <row r="29" spans="1:30" s="27" customFormat="1">
      <c r="A29" s="80"/>
      <c r="B29" s="77"/>
      <c r="C29" s="73"/>
      <c r="D29" s="3">
        <f t="shared" ref="D29" si="23">$C28*D28</f>
        <v>0</v>
      </c>
      <c r="E29" s="3">
        <f t="shared" ref="E29:AB29" si="24">$C28*E28</f>
        <v>0</v>
      </c>
      <c r="F29" s="3">
        <f t="shared" si="24"/>
        <v>38487.865072578948</v>
      </c>
      <c r="G29" s="3">
        <f t="shared" si="24"/>
        <v>0</v>
      </c>
      <c r="H29" s="3">
        <f t="shared" si="24"/>
        <v>0</v>
      </c>
      <c r="I29" s="3">
        <f t="shared" si="24"/>
        <v>0</v>
      </c>
      <c r="J29" s="3">
        <f t="shared" si="24"/>
        <v>0</v>
      </c>
      <c r="K29" s="3">
        <f t="shared" si="24"/>
        <v>0</v>
      </c>
      <c r="L29" s="3">
        <f t="shared" si="24"/>
        <v>0</v>
      </c>
      <c r="M29" s="3">
        <f t="shared" si="24"/>
        <v>0</v>
      </c>
      <c r="N29" s="3">
        <f t="shared" si="24"/>
        <v>59536.097584384261</v>
      </c>
      <c r="O29" s="3">
        <f t="shared" si="24"/>
        <v>0</v>
      </c>
      <c r="P29" s="3">
        <f t="shared" si="24"/>
        <v>0</v>
      </c>
      <c r="Q29" s="3">
        <f t="shared" si="24"/>
        <v>0</v>
      </c>
      <c r="R29" s="3">
        <f t="shared" si="24"/>
        <v>0</v>
      </c>
      <c r="S29" s="3">
        <f t="shared" si="24"/>
        <v>0</v>
      </c>
      <c r="T29" s="3">
        <f t="shared" si="24"/>
        <v>0</v>
      </c>
      <c r="U29" s="3">
        <f t="shared" si="24"/>
        <v>0</v>
      </c>
      <c r="V29" s="3">
        <f t="shared" si="24"/>
        <v>18008.190109328469</v>
      </c>
      <c r="W29" s="3">
        <f t="shared" si="24"/>
        <v>0</v>
      </c>
      <c r="X29" s="3">
        <f t="shared" si="24"/>
        <v>0</v>
      </c>
      <c r="Y29" s="3">
        <f t="shared" si="24"/>
        <v>0</v>
      </c>
      <c r="Z29" s="3">
        <f t="shared" si="24"/>
        <v>0</v>
      </c>
      <c r="AA29" s="3">
        <f t="shared" si="24"/>
        <v>0</v>
      </c>
      <c r="AB29" s="3">
        <f t="shared" si="24"/>
        <v>0</v>
      </c>
      <c r="AC29" s="32"/>
      <c r="AD29" s="30"/>
    </row>
    <row r="30" spans="1:30" s="27" customFormat="1">
      <c r="A30" s="71" t="s">
        <v>39</v>
      </c>
      <c r="B30" s="72">
        <f>663607.11/2</f>
        <v>331803.55499999999</v>
      </c>
      <c r="C30" s="73">
        <f>B30/12</f>
        <v>27650.296249999999</v>
      </c>
      <c r="D30" s="74">
        <v>1.67E-2</v>
      </c>
      <c r="E30" s="74">
        <v>0.1394</v>
      </c>
      <c r="F30" s="74">
        <v>5.6399999999999999E-2</v>
      </c>
      <c r="G30" s="74">
        <v>8.0199999999999994E-2</v>
      </c>
      <c r="H30" s="74">
        <v>4.1200000000000001E-2</v>
      </c>
      <c r="I30" s="74">
        <v>0.1346</v>
      </c>
      <c r="J30" s="74">
        <v>2.12E-2</v>
      </c>
      <c r="K30" s="74">
        <v>3.3700000000000001E-2</v>
      </c>
      <c r="L30" s="74">
        <v>1.7600000000000001E-2</v>
      </c>
      <c r="M30" s="74">
        <v>2.5499999999999998E-2</v>
      </c>
      <c r="N30" s="74">
        <v>0.12970000000000001</v>
      </c>
      <c r="O30" s="74">
        <v>1.8100000000000002E-2</v>
      </c>
      <c r="P30" s="74">
        <v>0</v>
      </c>
      <c r="Q30" s="74">
        <v>3.9199999999999999E-2</v>
      </c>
      <c r="R30" s="74">
        <v>1.95E-2</v>
      </c>
      <c r="S30" s="74">
        <v>2.3999999999999998E-3</v>
      </c>
      <c r="T30" s="74">
        <v>5.3900000000000003E-2</v>
      </c>
      <c r="U30" s="74">
        <v>1.84E-2</v>
      </c>
      <c r="V30" s="74">
        <v>3.7100000000000001E-2</v>
      </c>
      <c r="W30" s="74">
        <v>4.7800000000000002E-2</v>
      </c>
      <c r="X30" s="74">
        <v>6.4000000000000001E-2</v>
      </c>
      <c r="Y30" s="74">
        <v>2.7000000000000001E-3</v>
      </c>
      <c r="Z30" s="75">
        <v>0</v>
      </c>
      <c r="AA30" s="75">
        <v>6.9999999999999999E-4</v>
      </c>
      <c r="AB30" s="75">
        <v>0</v>
      </c>
      <c r="AC30" s="32"/>
      <c r="AD30" s="30"/>
    </row>
    <row r="31" spans="1:30" s="27" customFormat="1">
      <c r="A31" s="76"/>
      <c r="B31" s="77"/>
      <c r="C31" s="73"/>
      <c r="D31" s="78">
        <f t="shared" ref="D31" si="25">$C30*D30</f>
        <v>461.75994737499997</v>
      </c>
      <c r="E31" s="78">
        <f t="shared" ref="E31" si="26">$C30*E30</f>
        <v>3854.4512972499997</v>
      </c>
      <c r="F31" s="78">
        <f t="shared" ref="F31:O31" si="27">$C30*F30</f>
        <v>1559.4767084999999</v>
      </c>
      <c r="G31" s="78">
        <f t="shared" si="27"/>
        <v>2217.55375925</v>
      </c>
      <c r="H31" s="78">
        <f t="shared" si="27"/>
        <v>1139.1922055</v>
      </c>
      <c r="I31" s="78">
        <f t="shared" si="27"/>
        <v>3721.7298752500001</v>
      </c>
      <c r="J31" s="78">
        <f t="shared" si="27"/>
        <v>586.18628049999995</v>
      </c>
      <c r="K31" s="78">
        <f t="shared" si="27"/>
        <v>931.81498362499997</v>
      </c>
      <c r="L31" s="78">
        <f t="shared" si="27"/>
        <v>486.64521400000001</v>
      </c>
      <c r="M31" s="78">
        <f t="shared" si="27"/>
        <v>705.08255437499997</v>
      </c>
      <c r="N31" s="78">
        <f t="shared" si="27"/>
        <v>3586.2434236250001</v>
      </c>
      <c r="O31" s="78">
        <f t="shared" si="27"/>
        <v>500.47036212500001</v>
      </c>
      <c r="P31" s="78">
        <f t="shared" ref="P31" si="28">$C30*P30</f>
        <v>0</v>
      </c>
      <c r="Q31" s="78">
        <f t="shared" ref="Q31" si="29">$C30*Q30</f>
        <v>1083.891613</v>
      </c>
      <c r="R31" s="78">
        <f t="shared" ref="R31:AB31" si="30">$C30*R30</f>
        <v>539.18077687499999</v>
      </c>
      <c r="S31" s="78">
        <f t="shared" si="30"/>
        <v>66.360710999999995</v>
      </c>
      <c r="T31" s="78">
        <f t="shared" si="30"/>
        <v>1490.3509678750002</v>
      </c>
      <c r="U31" s="78">
        <f t="shared" si="30"/>
        <v>508.76545099999998</v>
      </c>
      <c r="V31" s="78">
        <f t="shared" si="30"/>
        <v>1025.8259908750001</v>
      </c>
      <c r="W31" s="78">
        <f t="shared" si="30"/>
        <v>1321.68416075</v>
      </c>
      <c r="X31" s="78">
        <f t="shared" si="30"/>
        <v>1769.61896</v>
      </c>
      <c r="Y31" s="78">
        <f t="shared" si="30"/>
        <v>74.655799875</v>
      </c>
      <c r="Z31" s="78">
        <f t="shared" si="30"/>
        <v>0</v>
      </c>
      <c r="AA31" s="78">
        <f t="shared" si="30"/>
        <v>19.355207374999999</v>
      </c>
      <c r="AB31" s="78">
        <f t="shared" si="30"/>
        <v>0</v>
      </c>
      <c r="AC31" s="32"/>
      <c r="AD31" s="30"/>
    </row>
    <row r="32" spans="1:30" s="27" customFormat="1">
      <c r="A32" s="124" t="s">
        <v>87</v>
      </c>
      <c r="B32" s="72">
        <f>663607.11/2</f>
        <v>331803.55499999999</v>
      </c>
      <c r="C32" s="73">
        <f>B32/12</f>
        <v>27650.296249999999</v>
      </c>
      <c r="D32" s="79"/>
      <c r="E32" s="79"/>
      <c r="F32" s="119">
        <v>0.33169999999999999</v>
      </c>
      <c r="G32" s="79"/>
      <c r="H32" s="119">
        <v>0</v>
      </c>
      <c r="I32" s="79"/>
      <c r="J32" s="79"/>
      <c r="K32" s="79"/>
      <c r="L32" s="79"/>
      <c r="M32" s="79"/>
      <c r="N32" s="119">
        <v>0.5131</v>
      </c>
      <c r="O32" s="79"/>
      <c r="P32" s="79"/>
      <c r="Q32" s="79"/>
      <c r="R32" s="79"/>
      <c r="S32" s="79"/>
      <c r="T32" s="79"/>
      <c r="U32" s="79"/>
      <c r="V32" s="119">
        <v>0.1552</v>
      </c>
      <c r="W32" s="79"/>
      <c r="X32" s="79"/>
      <c r="Y32" s="79"/>
      <c r="Z32" s="79"/>
      <c r="AA32" s="79"/>
      <c r="AB32" s="79"/>
      <c r="AC32" s="32"/>
      <c r="AD32" s="30"/>
    </row>
    <row r="33" spans="1:30" s="27" customFormat="1">
      <c r="A33" s="80"/>
      <c r="B33" s="77"/>
      <c r="C33" s="73"/>
      <c r="D33" s="3">
        <f t="shared" ref="D33" si="31">$C32*D32</f>
        <v>0</v>
      </c>
      <c r="E33" s="3">
        <f t="shared" ref="E33" si="32">$C32*E32</f>
        <v>0</v>
      </c>
      <c r="F33" s="3">
        <f t="shared" ref="F33:AB33" si="33">$C32*F32</f>
        <v>9171.6032661249992</v>
      </c>
      <c r="G33" s="3">
        <f t="shared" si="33"/>
        <v>0</v>
      </c>
      <c r="H33" s="3">
        <f t="shared" si="33"/>
        <v>0</v>
      </c>
      <c r="I33" s="3">
        <f t="shared" si="33"/>
        <v>0</v>
      </c>
      <c r="J33" s="3">
        <f t="shared" si="33"/>
        <v>0</v>
      </c>
      <c r="K33" s="3">
        <f t="shared" si="33"/>
        <v>0</v>
      </c>
      <c r="L33" s="3">
        <f t="shared" si="33"/>
        <v>0</v>
      </c>
      <c r="M33" s="3">
        <f t="shared" si="33"/>
        <v>0</v>
      </c>
      <c r="N33" s="3">
        <f t="shared" si="33"/>
        <v>14187.367005874999</v>
      </c>
      <c r="O33" s="3">
        <f t="shared" si="33"/>
        <v>0</v>
      </c>
      <c r="P33" s="3">
        <f t="shared" si="33"/>
        <v>0</v>
      </c>
      <c r="Q33" s="3">
        <f t="shared" si="33"/>
        <v>0</v>
      </c>
      <c r="R33" s="3">
        <f t="shared" si="33"/>
        <v>0</v>
      </c>
      <c r="S33" s="3">
        <f t="shared" si="33"/>
        <v>0</v>
      </c>
      <c r="T33" s="3">
        <f t="shared" si="33"/>
        <v>0</v>
      </c>
      <c r="U33" s="3">
        <f t="shared" si="33"/>
        <v>0</v>
      </c>
      <c r="V33" s="3">
        <f t="shared" si="33"/>
        <v>4291.3259779999998</v>
      </c>
      <c r="W33" s="3">
        <f t="shared" si="33"/>
        <v>0</v>
      </c>
      <c r="X33" s="3">
        <f t="shared" si="33"/>
        <v>0</v>
      </c>
      <c r="Y33" s="3">
        <f t="shared" si="33"/>
        <v>0</v>
      </c>
      <c r="Z33" s="3">
        <f t="shared" si="33"/>
        <v>0</v>
      </c>
      <c r="AA33" s="3">
        <f t="shared" si="33"/>
        <v>0</v>
      </c>
      <c r="AB33" s="3">
        <f t="shared" si="33"/>
        <v>0</v>
      </c>
      <c r="AC33" s="32"/>
      <c r="AD33" s="30"/>
    </row>
    <row r="34" spans="1:30" s="27" customFormat="1">
      <c r="A34" s="80" t="s">
        <v>62</v>
      </c>
      <c r="B34" s="72">
        <f>563781.84/2</f>
        <v>281890.92</v>
      </c>
      <c r="C34" s="73">
        <f>B34/12</f>
        <v>23490.91</v>
      </c>
      <c r="D34" s="74">
        <v>1.67E-2</v>
      </c>
      <c r="E34" s="74">
        <v>0.1394</v>
      </c>
      <c r="F34" s="74">
        <v>5.6399999999999999E-2</v>
      </c>
      <c r="G34" s="74">
        <v>8.0199999999999994E-2</v>
      </c>
      <c r="H34" s="74">
        <v>4.1200000000000001E-2</v>
      </c>
      <c r="I34" s="74">
        <v>0.1346</v>
      </c>
      <c r="J34" s="74">
        <v>2.12E-2</v>
      </c>
      <c r="K34" s="74">
        <v>3.3700000000000001E-2</v>
      </c>
      <c r="L34" s="74">
        <v>1.7600000000000001E-2</v>
      </c>
      <c r="M34" s="74">
        <v>2.5499999999999998E-2</v>
      </c>
      <c r="N34" s="74">
        <v>0.12970000000000001</v>
      </c>
      <c r="O34" s="74">
        <v>1.8100000000000002E-2</v>
      </c>
      <c r="P34" s="74">
        <v>0</v>
      </c>
      <c r="Q34" s="74">
        <v>3.9199999999999999E-2</v>
      </c>
      <c r="R34" s="74">
        <v>1.95E-2</v>
      </c>
      <c r="S34" s="74">
        <v>2.3999999999999998E-3</v>
      </c>
      <c r="T34" s="74">
        <v>5.3900000000000003E-2</v>
      </c>
      <c r="U34" s="74">
        <v>1.84E-2</v>
      </c>
      <c r="V34" s="74">
        <v>3.7100000000000001E-2</v>
      </c>
      <c r="W34" s="74">
        <v>4.7800000000000002E-2</v>
      </c>
      <c r="X34" s="74">
        <v>6.4000000000000001E-2</v>
      </c>
      <c r="Y34" s="74">
        <v>2.7000000000000001E-3</v>
      </c>
      <c r="Z34" s="75">
        <v>0</v>
      </c>
      <c r="AA34" s="75">
        <v>6.9999999999999999E-4</v>
      </c>
      <c r="AB34" s="75">
        <v>0</v>
      </c>
      <c r="AC34" s="32"/>
      <c r="AD34" s="30"/>
    </row>
    <row r="35" spans="1:30" s="27" customFormat="1">
      <c r="A35" s="76"/>
      <c r="B35" s="77"/>
      <c r="C35" s="73"/>
      <c r="D35" s="78">
        <f t="shared" ref="D35" si="34">$C34*D34</f>
        <v>392.29819699999996</v>
      </c>
      <c r="E35" s="78">
        <f t="shared" ref="E35" si="35">$C34*E34</f>
        <v>3274.632854</v>
      </c>
      <c r="F35" s="78">
        <f t="shared" ref="F35:O35" si="36">$C34*F34</f>
        <v>1324.887324</v>
      </c>
      <c r="G35" s="78">
        <f t="shared" si="36"/>
        <v>1883.9709819999998</v>
      </c>
      <c r="H35" s="78">
        <f t="shared" si="36"/>
        <v>967.82549200000005</v>
      </c>
      <c r="I35" s="78">
        <f t="shared" si="36"/>
        <v>3161.8764860000001</v>
      </c>
      <c r="J35" s="78">
        <f t="shared" si="36"/>
        <v>498.00729200000001</v>
      </c>
      <c r="K35" s="78">
        <f t="shared" si="36"/>
        <v>791.64366700000005</v>
      </c>
      <c r="L35" s="78">
        <f t="shared" si="36"/>
        <v>413.44001600000001</v>
      </c>
      <c r="M35" s="78">
        <f t="shared" si="36"/>
        <v>599.01820499999997</v>
      </c>
      <c r="N35" s="78">
        <f t="shared" si="36"/>
        <v>3046.7710270000002</v>
      </c>
      <c r="O35" s="78">
        <f t="shared" si="36"/>
        <v>425.18547100000001</v>
      </c>
      <c r="P35" s="78">
        <f t="shared" ref="P35" si="37">$C34*P34</f>
        <v>0</v>
      </c>
      <c r="Q35" s="78">
        <f t="shared" ref="Q35" si="38">$C34*Q34</f>
        <v>920.84367199999997</v>
      </c>
      <c r="R35" s="78">
        <f t="shared" ref="R35:AB35" si="39">$C34*R34</f>
        <v>458.072745</v>
      </c>
      <c r="S35" s="78">
        <f t="shared" si="39"/>
        <v>56.378183999999997</v>
      </c>
      <c r="T35" s="78">
        <f t="shared" si="39"/>
        <v>1266.1600490000001</v>
      </c>
      <c r="U35" s="78">
        <f t="shared" si="39"/>
        <v>432.23274399999997</v>
      </c>
      <c r="V35" s="78">
        <f t="shared" si="39"/>
        <v>871.51276100000007</v>
      </c>
      <c r="W35" s="78">
        <f t="shared" si="39"/>
        <v>1122.8654980000001</v>
      </c>
      <c r="X35" s="78">
        <f t="shared" si="39"/>
        <v>1503.41824</v>
      </c>
      <c r="Y35" s="78">
        <f t="shared" si="39"/>
        <v>63.425457000000002</v>
      </c>
      <c r="Z35" s="78">
        <f t="shared" si="39"/>
        <v>0</v>
      </c>
      <c r="AA35" s="78">
        <f t="shared" si="39"/>
        <v>16.443636999999999</v>
      </c>
      <c r="AB35" s="78">
        <f t="shared" si="39"/>
        <v>0</v>
      </c>
      <c r="AC35" s="32"/>
      <c r="AD35" s="30"/>
    </row>
    <row r="36" spans="1:30" s="27" customFormat="1">
      <c r="A36" s="124" t="s">
        <v>88</v>
      </c>
      <c r="B36" s="72">
        <f>563781.84/2</f>
        <v>281890.92</v>
      </c>
      <c r="C36" s="73">
        <f>B36/12</f>
        <v>23490.91</v>
      </c>
      <c r="D36" s="79"/>
      <c r="E36" s="79"/>
      <c r="F36" s="119">
        <v>0.20369999999999999</v>
      </c>
      <c r="G36" s="79"/>
      <c r="H36" s="119">
        <v>0.12889999999999999</v>
      </c>
      <c r="I36" s="79"/>
      <c r="J36" s="79"/>
      <c r="K36" s="79"/>
      <c r="L36" s="79"/>
      <c r="M36" s="79"/>
      <c r="N36" s="119">
        <v>0.53520000000000001</v>
      </c>
      <c r="O36" s="79"/>
      <c r="P36" s="79"/>
      <c r="Q36" s="79"/>
      <c r="R36" s="79"/>
      <c r="S36" s="79"/>
      <c r="T36" s="79"/>
      <c r="U36" s="79"/>
      <c r="V36" s="119">
        <v>0.13220000000000001</v>
      </c>
      <c r="W36" s="79"/>
      <c r="X36" s="79"/>
      <c r="Y36" s="79"/>
      <c r="Z36" s="79"/>
      <c r="AA36" s="79"/>
      <c r="AB36" s="79"/>
      <c r="AC36" s="32"/>
      <c r="AD36" s="30"/>
    </row>
    <row r="37" spans="1:30" s="27" customFormat="1">
      <c r="A37" s="76"/>
      <c r="B37" s="77"/>
      <c r="C37" s="73"/>
      <c r="D37" s="3">
        <f t="shared" ref="D37" si="40">$C36*D36</f>
        <v>0</v>
      </c>
      <c r="E37" s="3">
        <f t="shared" ref="E37" si="41">$C36*E36</f>
        <v>0</v>
      </c>
      <c r="F37" s="3">
        <f t="shared" ref="F37:AB37" si="42">$C36*F36</f>
        <v>4785.0983669999996</v>
      </c>
      <c r="G37" s="3">
        <f t="shared" si="42"/>
        <v>0</v>
      </c>
      <c r="H37" s="3">
        <f t="shared" si="42"/>
        <v>3027.9782989999999</v>
      </c>
      <c r="I37" s="3">
        <f t="shared" si="42"/>
        <v>0</v>
      </c>
      <c r="J37" s="3">
        <f t="shared" si="42"/>
        <v>0</v>
      </c>
      <c r="K37" s="3">
        <f t="shared" si="42"/>
        <v>0</v>
      </c>
      <c r="L37" s="3">
        <f t="shared" si="42"/>
        <v>0</v>
      </c>
      <c r="M37" s="3">
        <f t="shared" si="42"/>
        <v>0</v>
      </c>
      <c r="N37" s="3">
        <f t="shared" si="42"/>
        <v>12572.335032000001</v>
      </c>
      <c r="O37" s="3">
        <f t="shared" si="42"/>
        <v>0</v>
      </c>
      <c r="P37" s="3">
        <f t="shared" si="42"/>
        <v>0</v>
      </c>
      <c r="Q37" s="3">
        <f t="shared" si="42"/>
        <v>0</v>
      </c>
      <c r="R37" s="3">
        <f t="shared" si="42"/>
        <v>0</v>
      </c>
      <c r="S37" s="3">
        <f t="shared" si="42"/>
        <v>0</v>
      </c>
      <c r="T37" s="3">
        <f t="shared" si="42"/>
        <v>0</v>
      </c>
      <c r="U37" s="3">
        <f t="shared" si="42"/>
        <v>0</v>
      </c>
      <c r="V37" s="3">
        <f t="shared" si="42"/>
        <v>3105.4983020000004</v>
      </c>
      <c r="W37" s="3">
        <f t="shared" si="42"/>
        <v>0</v>
      </c>
      <c r="X37" s="3">
        <f t="shared" si="42"/>
        <v>0</v>
      </c>
      <c r="Y37" s="3">
        <f t="shared" si="42"/>
        <v>0</v>
      </c>
      <c r="Z37" s="3">
        <f t="shared" si="42"/>
        <v>0</v>
      </c>
      <c r="AA37" s="3">
        <f t="shared" si="42"/>
        <v>0</v>
      </c>
      <c r="AB37" s="3">
        <f t="shared" si="42"/>
        <v>0</v>
      </c>
      <c r="AC37" s="32"/>
      <c r="AD37" s="30"/>
    </row>
    <row r="38" spans="1:30" s="27" customFormat="1">
      <c r="A38" s="80" t="s">
        <v>63</v>
      </c>
      <c r="B38" s="72">
        <f>4967167.60969398/2</f>
        <v>2483583.8048469899</v>
      </c>
      <c r="C38" s="73">
        <f>B38/12</f>
        <v>206965.3170705825</v>
      </c>
      <c r="D38" s="74">
        <v>1.67E-2</v>
      </c>
      <c r="E38" s="74">
        <v>0.1394</v>
      </c>
      <c r="F38" s="74">
        <v>5.6399999999999999E-2</v>
      </c>
      <c r="G38" s="74">
        <v>8.0199999999999994E-2</v>
      </c>
      <c r="H38" s="74">
        <v>4.1200000000000001E-2</v>
      </c>
      <c r="I38" s="74">
        <v>0.1346</v>
      </c>
      <c r="J38" s="74">
        <v>2.12E-2</v>
      </c>
      <c r="K38" s="74">
        <v>3.3700000000000001E-2</v>
      </c>
      <c r="L38" s="74">
        <v>1.7600000000000001E-2</v>
      </c>
      <c r="M38" s="74">
        <v>2.5499999999999998E-2</v>
      </c>
      <c r="N38" s="74">
        <v>0.12970000000000001</v>
      </c>
      <c r="O38" s="74">
        <v>1.8100000000000002E-2</v>
      </c>
      <c r="P38" s="74">
        <v>0</v>
      </c>
      <c r="Q38" s="74">
        <v>3.9199999999999999E-2</v>
      </c>
      <c r="R38" s="74">
        <v>1.95E-2</v>
      </c>
      <c r="S38" s="74">
        <v>2.3999999999999998E-3</v>
      </c>
      <c r="T38" s="74">
        <v>5.3900000000000003E-2</v>
      </c>
      <c r="U38" s="74">
        <v>1.84E-2</v>
      </c>
      <c r="V38" s="74">
        <v>3.7100000000000001E-2</v>
      </c>
      <c r="W38" s="74">
        <v>4.7800000000000002E-2</v>
      </c>
      <c r="X38" s="74">
        <v>6.4000000000000001E-2</v>
      </c>
      <c r="Y38" s="74">
        <v>2.7000000000000001E-3</v>
      </c>
      <c r="Z38" s="75">
        <v>0</v>
      </c>
      <c r="AA38" s="75">
        <v>6.9999999999999999E-4</v>
      </c>
      <c r="AB38" s="75">
        <v>0</v>
      </c>
      <c r="AC38" s="32"/>
      <c r="AD38" s="30"/>
    </row>
    <row r="39" spans="1:30" s="27" customFormat="1">
      <c r="A39" s="76"/>
      <c r="B39" s="77"/>
      <c r="C39" s="73"/>
      <c r="D39" s="78">
        <f t="shared" ref="D39" si="43">$C38*D38</f>
        <v>3456.3207950787278</v>
      </c>
      <c r="E39" s="78">
        <f t="shared" ref="E39" si="44">$C38*E38</f>
        <v>28850.965199639199</v>
      </c>
      <c r="F39" s="78">
        <f t="shared" ref="F39:O39" si="45">$C38*F38</f>
        <v>11672.843882780853</v>
      </c>
      <c r="G39" s="78">
        <f t="shared" si="45"/>
        <v>16598.618429060716</v>
      </c>
      <c r="H39" s="78">
        <f t="shared" si="45"/>
        <v>8526.9710633079994</v>
      </c>
      <c r="I39" s="78">
        <f t="shared" si="45"/>
        <v>27857.531677700405</v>
      </c>
      <c r="J39" s="78">
        <f t="shared" si="45"/>
        <v>4387.664721896349</v>
      </c>
      <c r="K39" s="78">
        <f t="shared" si="45"/>
        <v>6974.7311852786306</v>
      </c>
      <c r="L39" s="78">
        <f t="shared" si="45"/>
        <v>3642.5895804422521</v>
      </c>
      <c r="M39" s="78">
        <f t="shared" si="45"/>
        <v>5277.6155852998536</v>
      </c>
      <c r="N39" s="78">
        <f t="shared" si="45"/>
        <v>26843.401624054553</v>
      </c>
      <c r="O39" s="78">
        <f t="shared" si="45"/>
        <v>3746.0722389775437</v>
      </c>
      <c r="P39" s="78">
        <f t="shared" ref="P39" si="46">$C38*P38</f>
        <v>0</v>
      </c>
      <c r="Q39" s="78">
        <f t="shared" ref="Q39" si="47">$C38*Q38</f>
        <v>8113.0404291668337</v>
      </c>
      <c r="R39" s="78">
        <f t="shared" ref="R39:AB39" si="48">$C38*R38</f>
        <v>4035.8236828763588</v>
      </c>
      <c r="S39" s="78">
        <f t="shared" si="48"/>
        <v>496.71676096939797</v>
      </c>
      <c r="T39" s="78">
        <f t="shared" si="48"/>
        <v>11155.430590104397</v>
      </c>
      <c r="U39" s="78">
        <f t="shared" si="48"/>
        <v>3808.1618340987179</v>
      </c>
      <c r="V39" s="78">
        <f t="shared" si="48"/>
        <v>7678.4132633186109</v>
      </c>
      <c r="W39" s="78">
        <f t="shared" si="48"/>
        <v>9892.9421559738439</v>
      </c>
      <c r="X39" s="78">
        <f t="shared" si="48"/>
        <v>13245.78029251728</v>
      </c>
      <c r="Y39" s="78">
        <f t="shared" si="48"/>
        <v>558.80635609057276</v>
      </c>
      <c r="Z39" s="78">
        <f t="shared" si="48"/>
        <v>0</v>
      </c>
      <c r="AA39" s="78">
        <f t="shared" si="48"/>
        <v>144.87572194940776</v>
      </c>
      <c r="AB39" s="78">
        <f t="shared" si="48"/>
        <v>0</v>
      </c>
      <c r="AC39" s="32"/>
      <c r="AD39" s="30"/>
    </row>
    <row r="40" spans="1:30" s="27" customFormat="1">
      <c r="A40" s="124" t="s">
        <v>111</v>
      </c>
      <c r="B40" s="72">
        <f>4967167.60969398/2</f>
        <v>2483583.8048469899</v>
      </c>
      <c r="C40" s="73">
        <f>B40/12</f>
        <v>206965.3170705825</v>
      </c>
      <c r="D40" s="79"/>
      <c r="E40" s="79"/>
      <c r="F40" s="79"/>
      <c r="G40" s="79"/>
      <c r="H40" s="79"/>
      <c r="I40" s="79"/>
      <c r="J40" s="79"/>
      <c r="K40" s="79"/>
      <c r="L40" s="79"/>
      <c r="M40" s="119">
        <v>0.45029999999999998</v>
      </c>
      <c r="N40" s="79"/>
      <c r="O40" s="79"/>
      <c r="P40" s="79"/>
      <c r="Q40" s="79"/>
      <c r="R40" s="119">
        <v>0.54800000000000004</v>
      </c>
      <c r="S40" s="79"/>
      <c r="T40" s="119">
        <v>0</v>
      </c>
      <c r="U40" s="79"/>
      <c r="V40" s="79"/>
      <c r="W40" s="79"/>
      <c r="X40" s="119">
        <v>1.6000000000000001E-3</v>
      </c>
      <c r="Y40" s="119">
        <v>1E-4</v>
      </c>
      <c r="Z40" s="79"/>
      <c r="AA40" s="79"/>
      <c r="AB40" s="79"/>
      <c r="AC40" s="32"/>
      <c r="AD40" s="30"/>
    </row>
    <row r="41" spans="1:30" s="27" customFormat="1">
      <c r="A41" s="76"/>
      <c r="B41" s="77"/>
      <c r="C41" s="73"/>
      <c r="D41" s="3">
        <f t="shared" ref="D41" si="49">$C40*D40</f>
        <v>0</v>
      </c>
      <c r="E41" s="3">
        <f t="shared" ref="E41" si="50">$C40*E40</f>
        <v>0</v>
      </c>
      <c r="F41" s="3">
        <f t="shared" ref="F41:AB41" si="51">$C40*F40</f>
        <v>0</v>
      </c>
      <c r="G41" s="3">
        <f t="shared" si="51"/>
        <v>0</v>
      </c>
      <c r="H41" s="3">
        <f t="shared" si="51"/>
        <v>0</v>
      </c>
      <c r="I41" s="3">
        <f t="shared" si="51"/>
        <v>0</v>
      </c>
      <c r="J41" s="3">
        <f t="shared" si="51"/>
        <v>0</v>
      </c>
      <c r="K41" s="3">
        <f t="shared" si="51"/>
        <v>0</v>
      </c>
      <c r="L41" s="3">
        <f t="shared" si="51"/>
        <v>0</v>
      </c>
      <c r="M41" s="3">
        <f t="shared" si="51"/>
        <v>93196.482276883296</v>
      </c>
      <c r="N41" s="3">
        <f t="shared" si="51"/>
        <v>0</v>
      </c>
      <c r="O41" s="3">
        <f t="shared" si="51"/>
        <v>0</v>
      </c>
      <c r="P41" s="3">
        <f t="shared" si="51"/>
        <v>0</v>
      </c>
      <c r="Q41" s="3">
        <f t="shared" si="51"/>
        <v>0</v>
      </c>
      <c r="R41" s="3">
        <f t="shared" si="51"/>
        <v>113416.99375467922</v>
      </c>
      <c r="S41" s="3">
        <f t="shared" si="51"/>
        <v>0</v>
      </c>
      <c r="T41" s="3">
        <f t="shared" si="51"/>
        <v>0</v>
      </c>
      <c r="U41" s="3">
        <f t="shared" si="51"/>
        <v>0</v>
      </c>
      <c r="V41" s="3">
        <f t="shared" si="51"/>
        <v>0</v>
      </c>
      <c r="W41" s="3">
        <f t="shared" si="51"/>
        <v>0</v>
      </c>
      <c r="X41" s="3">
        <f t="shared" si="51"/>
        <v>331.14450731293203</v>
      </c>
      <c r="Y41" s="3">
        <f t="shared" si="51"/>
        <v>20.696531707058252</v>
      </c>
      <c r="Z41" s="3">
        <f t="shared" si="51"/>
        <v>0</v>
      </c>
      <c r="AA41" s="3">
        <f t="shared" si="51"/>
        <v>0</v>
      </c>
      <c r="AB41" s="3">
        <f t="shared" si="51"/>
        <v>0</v>
      </c>
      <c r="AC41" s="32"/>
      <c r="AD41" s="30"/>
    </row>
    <row r="42" spans="1:30" s="27" customFormat="1">
      <c r="A42" s="80" t="s">
        <v>71</v>
      </c>
      <c r="B42" s="72">
        <f>4357141.10124616/2</f>
        <v>2178570.5506230802</v>
      </c>
      <c r="C42" s="73">
        <f>B42/12</f>
        <v>181547.5458852567</v>
      </c>
      <c r="D42" s="74">
        <v>1.67E-2</v>
      </c>
      <c r="E42" s="74">
        <v>0.1394</v>
      </c>
      <c r="F42" s="74">
        <v>5.6399999999999999E-2</v>
      </c>
      <c r="G42" s="74">
        <v>8.0199999999999994E-2</v>
      </c>
      <c r="H42" s="74">
        <v>4.1200000000000001E-2</v>
      </c>
      <c r="I42" s="74">
        <v>0.1346</v>
      </c>
      <c r="J42" s="74">
        <v>2.12E-2</v>
      </c>
      <c r="K42" s="74">
        <v>3.3700000000000001E-2</v>
      </c>
      <c r="L42" s="74">
        <v>1.7600000000000001E-2</v>
      </c>
      <c r="M42" s="74">
        <v>2.5499999999999998E-2</v>
      </c>
      <c r="N42" s="74">
        <v>0.12970000000000001</v>
      </c>
      <c r="O42" s="74">
        <v>1.8100000000000002E-2</v>
      </c>
      <c r="P42" s="74">
        <v>0</v>
      </c>
      <c r="Q42" s="74">
        <v>3.9199999999999999E-2</v>
      </c>
      <c r="R42" s="74">
        <v>1.95E-2</v>
      </c>
      <c r="S42" s="74">
        <v>2.3999999999999998E-3</v>
      </c>
      <c r="T42" s="74">
        <v>5.3900000000000003E-2</v>
      </c>
      <c r="U42" s="74">
        <v>1.84E-2</v>
      </c>
      <c r="V42" s="74">
        <v>3.7100000000000001E-2</v>
      </c>
      <c r="W42" s="74">
        <v>4.7800000000000002E-2</v>
      </c>
      <c r="X42" s="74">
        <v>6.4000000000000001E-2</v>
      </c>
      <c r="Y42" s="74">
        <v>2.7000000000000001E-3</v>
      </c>
      <c r="Z42" s="75">
        <v>0</v>
      </c>
      <c r="AA42" s="75">
        <v>6.9999999999999999E-4</v>
      </c>
      <c r="AB42" s="75">
        <v>0</v>
      </c>
      <c r="AC42" s="32"/>
      <c r="AD42" s="30"/>
    </row>
    <row r="43" spans="1:30" s="27" customFormat="1">
      <c r="A43" s="76"/>
      <c r="B43" s="77"/>
      <c r="C43" s="73"/>
      <c r="D43" s="78">
        <f t="shared" ref="D43" si="52">$C42*D42</f>
        <v>3031.8440162837869</v>
      </c>
      <c r="E43" s="78">
        <f t="shared" ref="E43" si="53">$C42*E42</f>
        <v>25307.727896404784</v>
      </c>
      <c r="F43" s="78">
        <f t="shared" ref="F43:AB43" si="54">$C42*F42</f>
        <v>10239.281587928477</v>
      </c>
      <c r="G43" s="78">
        <f t="shared" si="54"/>
        <v>14560.113179997586</v>
      </c>
      <c r="H43" s="78">
        <f t="shared" si="54"/>
        <v>7479.7588904725762</v>
      </c>
      <c r="I43" s="78">
        <f t="shared" si="54"/>
        <v>24436.299676155551</v>
      </c>
      <c r="J43" s="78">
        <f t="shared" si="54"/>
        <v>3848.8079727674422</v>
      </c>
      <c r="K43" s="78">
        <f t="shared" si="54"/>
        <v>6118.1522963331508</v>
      </c>
      <c r="L43" s="78">
        <f t="shared" si="54"/>
        <v>3195.236807580518</v>
      </c>
      <c r="M43" s="78">
        <f t="shared" si="54"/>
        <v>4629.4624200740454</v>
      </c>
      <c r="N43" s="78">
        <f t="shared" si="54"/>
        <v>23546.716701317797</v>
      </c>
      <c r="O43" s="78">
        <f t="shared" si="54"/>
        <v>3286.0105805231465</v>
      </c>
      <c r="P43" s="78">
        <f t="shared" si="54"/>
        <v>0</v>
      </c>
      <c r="Q43" s="78">
        <f t="shared" si="54"/>
        <v>7116.6637987020622</v>
      </c>
      <c r="R43" s="78">
        <f t="shared" si="54"/>
        <v>3540.1771447625056</v>
      </c>
      <c r="S43" s="78">
        <f t="shared" si="54"/>
        <v>435.71411012461601</v>
      </c>
      <c r="T43" s="78">
        <f t="shared" si="54"/>
        <v>9785.4127232153369</v>
      </c>
      <c r="U43" s="78">
        <f t="shared" si="54"/>
        <v>3340.474844288723</v>
      </c>
      <c r="V43" s="78">
        <f t="shared" si="54"/>
        <v>6735.413952343024</v>
      </c>
      <c r="W43" s="78">
        <f t="shared" si="54"/>
        <v>8677.9726933152706</v>
      </c>
      <c r="X43" s="78">
        <f t="shared" si="54"/>
        <v>11619.042936656429</v>
      </c>
      <c r="Y43" s="78">
        <f t="shared" si="54"/>
        <v>490.17837389019309</v>
      </c>
      <c r="Z43" s="78">
        <f t="shared" si="54"/>
        <v>0</v>
      </c>
      <c r="AA43" s="78">
        <f t="shared" si="54"/>
        <v>127.08328211967968</v>
      </c>
      <c r="AB43" s="78">
        <f t="shared" si="54"/>
        <v>0</v>
      </c>
      <c r="AC43" s="32"/>
      <c r="AD43" s="30"/>
    </row>
    <row r="44" spans="1:30" s="27" customFormat="1">
      <c r="A44" s="124" t="s">
        <v>89</v>
      </c>
      <c r="B44" s="72">
        <f>4357141.10124616/2</f>
        <v>2178570.5506230802</v>
      </c>
      <c r="C44" s="73">
        <f>B44/12</f>
        <v>181547.5458852567</v>
      </c>
      <c r="D44" s="79"/>
      <c r="E44" s="79"/>
      <c r="F44" s="119">
        <v>0.33169999999999999</v>
      </c>
      <c r="G44" s="79"/>
      <c r="H44" s="119">
        <v>0</v>
      </c>
      <c r="I44" s="79"/>
      <c r="J44" s="79"/>
      <c r="K44" s="79"/>
      <c r="L44" s="79"/>
      <c r="M44" s="79"/>
      <c r="N44" s="119">
        <v>0.5131</v>
      </c>
      <c r="O44" s="79"/>
      <c r="P44" s="79"/>
      <c r="Q44" s="79"/>
      <c r="R44" s="79"/>
      <c r="S44" s="79"/>
      <c r="T44" s="79"/>
      <c r="U44" s="79"/>
      <c r="V44" s="119">
        <v>0.1552</v>
      </c>
      <c r="W44" s="79"/>
      <c r="X44" s="79"/>
      <c r="Y44" s="79"/>
      <c r="Z44" s="79"/>
      <c r="AA44" s="79"/>
      <c r="AB44" s="79"/>
      <c r="AC44" s="32"/>
      <c r="AD44" s="30"/>
    </row>
    <row r="45" spans="1:30" s="92" customFormat="1">
      <c r="A45" s="76"/>
      <c r="B45" s="77"/>
      <c r="C45" s="89"/>
      <c r="D45" s="78">
        <f t="shared" ref="D45" si="55">$C44*D44</f>
        <v>0</v>
      </c>
      <c r="E45" s="78">
        <f t="shared" ref="E45" si="56">$C44*E44</f>
        <v>0</v>
      </c>
      <c r="F45" s="78">
        <f t="shared" ref="F45:AB45" si="57">$C44*F44</f>
        <v>60219.320970139648</v>
      </c>
      <c r="G45" s="78">
        <f t="shared" si="57"/>
        <v>0</v>
      </c>
      <c r="H45" s="78">
        <f t="shared" si="57"/>
        <v>0</v>
      </c>
      <c r="I45" s="78">
        <f t="shared" si="57"/>
        <v>0</v>
      </c>
      <c r="J45" s="78">
        <f t="shared" si="57"/>
        <v>0</v>
      </c>
      <c r="K45" s="78">
        <f t="shared" si="57"/>
        <v>0</v>
      </c>
      <c r="L45" s="78">
        <f t="shared" si="57"/>
        <v>0</v>
      </c>
      <c r="M45" s="78">
        <f t="shared" si="57"/>
        <v>0</v>
      </c>
      <c r="N45" s="78">
        <f t="shared" si="57"/>
        <v>93152.045793725207</v>
      </c>
      <c r="O45" s="78">
        <f t="shared" si="57"/>
        <v>0</v>
      </c>
      <c r="P45" s="78">
        <f t="shared" si="57"/>
        <v>0</v>
      </c>
      <c r="Q45" s="78">
        <f t="shared" si="57"/>
        <v>0</v>
      </c>
      <c r="R45" s="78">
        <f t="shared" si="57"/>
        <v>0</v>
      </c>
      <c r="S45" s="78">
        <f t="shared" si="57"/>
        <v>0</v>
      </c>
      <c r="T45" s="78">
        <f t="shared" si="57"/>
        <v>0</v>
      </c>
      <c r="U45" s="78">
        <f t="shared" si="57"/>
        <v>0</v>
      </c>
      <c r="V45" s="78">
        <f t="shared" si="57"/>
        <v>28176.17912139184</v>
      </c>
      <c r="W45" s="78">
        <f t="shared" si="57"/>
        <v>0</v>
      </c>
      <c r="X45" s="78">
        <f t="shared" si="57"/>
        <v>0</v>
      </c>
      <c r="Y45" s="78">
        <f t="shared" si="57"/>
        <v>0</v>
      </c>
      <c r="Z45" s="78">
        <f t="shared" si="57"/>
        <v>0</v>
      </c>
      <c r="AA45" s="78">
        <f t="shared" si="57"/>
        <v>0</v>
      </c>
      <c r="AB45" s="78">
        <f t="shared" si="57"/>
        <v>0</v>
      </c>
      <c r="AC45" s="90"/>
      <c r="AD45" s="91"/>
    </row>
    <row r="46" spans="1:30" s="27" customFormat="1">
      <c r="A46" s="9" t="s">
        <v>40</v>
      </c>
      <c r="B46" s="4">
        <f>SUM(B8:B44)</f>
        <v>135036245.37094015</v>
      </c>
      <c r="C46" s="60">
        <f>SUM(C8:C44)</f>
        <v>11253020.447578348</v>
      </c>
      <c r="D46" s="4">
        <f>D9+D11+D13+D19+D21+D23+D25+D27+D29+D31+D33+D35+D37+D39+D41+D43+D45</f>
        <v>93962.720737279189</v>
      </c>
      <c r="E46" s="4">
        <f t="shared" ref="E46:AB46" si="58">E9+E11+E13+E19+E21+E23+E25+E27+E29+E31+E33+E35+E37+E39+E41+E43+E45</f>
        <v>784335.5251962106</v>
      </c>
      <c r="F46" s="4">
        <f t="shared" si="58"/>
        <v>2277093.2870732737</v>
      </c>
      <c r="G46" s="4">
        <f t="shared" si="58"/>
        <v>451246.11994789162</v>
      </c>
      <c r="H46" s="4">
        <f t="shared" si="58"/>
        <v>541903.08740057028</v>
      </c>
      <c r="I46" s="4">
        <f t="shared" si="58"/>
        <v>757328.27612202254</v>
      </c>
      <c r="J46" s="4">
        <f t="shared" si="58"/>
        <v>119282.01674433047</v>
      </c>
      <c r="K46" s="4">
        <f t="shared" si="58"/>
        <v>189613.3945416951</v>
      </c>
      <c r="L46" s="4">
        <f t="shared" si="58"/>
        <v>99026.579938689436</v>
      </c>
      <c r="M46" s="4">
        <f t="shared" si="58"/>
        <v>236672.49298350717</v>
      </c>
      <c r="N46" s="4">
        <f t="shared" si="58"/>
        <v>2786884.8235271908</v>
      </c>
      <c r="O46" s="4">
        <f t="shared" si="58"/>
        <v>101839.83505058402</v>
      </c>
      <c r="P46" s="4">
        <f t="shared" si="58"/>
        <v>0</v>
      </c>
      <c r="Q46" s="4">
        <f t="shared" si="58"/>
        <v>220559.20077253558</v>
      </c>
      <c r="R46" s="4">
        <f t="shared" si="58"/>
        <v>223133.9431185681</v>
      </c>
      <c r="S46" s="4">
        <f t="shared" si="58"/>
        <v>13503.624537094014</v>
      </c>
      <c r="T46" s="4">
        <f t="shared" si="58"/>
        <v>303268.9010622364</v>
      </c>
      <c r="U46" s="4">
        <f t="shared" si="58"/>
        <v>103527.78811772076</v>
      </c>
      <c r="V46" s="4">
        <f t="shared" si="58"/>
        <v>1301313.011887413</v>
      </c>
      <c r="W46" s="4">
        <f t="shared" si="58"/>
        <v>268947.1886971225</v>
      </c>
      <c r="X46" s="4">
        <f t="shared" si="58"/>
        <v>360427.79882982001</v>
      </c>
      <c r="Y46" s="4">
        <f t="shared" si="58"/>
        <v>15212.274135937823</v>
      </c>
      <c r="Z46" s="4">
        <f t="shared" si="58"/>
        <v>0</v>
      </c>
      <c r="AA46" s="4">
        <f t="shared" si="58"/>
        <v>3938.5571566524209</v>
      </c>
      <c r="AB46" s="4">
        <f t="shared" si="58"/>
        <v>0</v>
      </c>
      <c r="AC46" s="32"/>
      <c r="AD46" s="30"/>
    </row>
    <row r="47" spans="1:30" s="27" customFormat="1">
      <c r="A47" s="9"/>
      <c r="B47" s="4"/>
      <c r="C47" s="6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32"/>
      <c r="AD47" s="30"/>
    </row>
    <row r="48" spans="1:30" s="27" customFormat="1" ht="13.8" thickBot="1">
      <c r="A48" s="9"/>
      <c r="B48" s="4"/>
      <c r="C48" s="6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32"/>
      <c r="AD48" s="30"/>
    </row>
    <row r="49" spans="1:30" s="27" customFormat="1" ht="13.8" thickBot="1">
      <c r="A49" s="40" t="s">
        <v>1</v>
      </c>
      <c r="B49" s="41" t="s">
        <v>2</v>
      </c>
      <c r="C49" s="58" t="s">
        <v>3</v>
      </c>
      <c r="D49" s="137" t="s">
        <v>4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50"/>
      <c r="AA49" s="50"/>
      <c r="AB49" s="50"/>
    </row>
    <row r="50" spans="1:30" s="27" customFormat="1">
      <c r="A50" s="42" t="s">
        <v>5</v>
      </c>
      <c r="B50" s="43" t="s">
        <v>6</v>
      </c>
      <c r="C50" s="59" t="s">
        <v>6</v>
      </c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6"/>
      <c r="Z50" s="43" t="s">
        <v>7</v>
      </c>
      <c r="AA50" s="51"/>
      <c r="AB50" s="51"/>
    </row>
    <row r="51" spans="1:30" s="27" customFormat="1">
      <c r="A51" s="42" t="s">
        <v>8</v>
      </c>
      <c r="B51" s="43" t="s">
        <v>9</v>
      </c>
      <c r="C51" s="59" t="s">
        <v>9</v>
      </c>
      <c r="D51" s="47" t="s">
        <v>10</v>
      </c>
      <c r="E51" s="43" t="s">
        <v>11</v>
      </c>
      <c r="F51" s="43" t="s">
        <v>12</v>
      </c>
      <c r="G51" s="43" t="s">
        <v>13</v>
      </c>
      <c r="H51" s="43" t="s">
        <v>14</v>
      </c>
      <c r="I51" s="43" t="s">
        <v>15</v>
      </c>
      <c r="J51" s="43" t="s">
        <v>16</v>
      </c>
      <c r="K51" s="43" t="s">
        <v>17</v>
      </c>
      <c r="L51" s="43" t="s">
        <v>18</v>
      </c>
      <c r="M51" s="43" t="s">
        <v>19</v>
      </c>
      <c r="N51" s="43" t="s">
        <v>20</v>
      </c>
      <c r="O51" s="43" t="s">
        <v>57</v>
      </c>
      <c r="P51" s="43" t="s">
        <v>21</v>
      </c>
      <c r="Q51" s="43" t="s">
        <v>22</v>
      </c>
      <c r="R51" s="43" t="s">
        <v>23</v>
      </c>
      <c r="S51" s="43" t="s">
        <v>24</v>
      </c>
      <c r="T51" s="43" t="s">
        <v>25</v>
      </c>
      <c r="U51" s="43" t="s">
        <v>26</v>
      </c>
      <c r="V51" s="43" t="s">
        <v>27</v>
      </c>
      <c r="W51" s="43" t="s">
        <v>28</v>
      </c>
      <c r="X51" s="43" t="s">
        <v>29</v>
      </c>
      <c r="Y51" s="43" t="s">
        <v>30</v>
      </c>
      <c r="Z51" s="43" t="s">
        <v>31</v>
      </c>
      <c r="AA51" s="52" t="s">
        <v>115</v>
      </c>
      <c r="AB51" s="52" t="s">
        <v>113</v>
      </c>
    </row>
    <row r="52" spans="1:30" s="27" customFormat="1">
      <c r="A52" s="42"/>
      <c r="B52" s="43"/>
      <c r="C52" s="132" t="s">
        <v>132</v>
      </c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51"/>
      <c r="AB52" s="51"/>
    </row>
    <row r="53" spans="1:30" s="27" customFormat="1">
      <c r="A53" s="71" t="s">
        <v>32</v>
      </c>
      <c r="B53" s="72">
        <v>2317090.39</v>
      </c>
      <c r="C53" s="73">
        <f>B53/12</f>
        <v>193090.86583333334</v>
      </c>
      <c r="D53" s="74">
        <v>1.67E-2</v>
      </c>
      <c r="E53" s="74">
        <v>0.1394</v>
      </c>
      <c r="F53" s="74">
        <v>5.6399999999999999E-2</v>
      </c>
      <c r="G53" s="74">
        <v>8.0199999999999994E-2</v>
      </c>
      <c r="H53" s="74">
        <v>4.1200000000000001E-2</v>
      </c>
      <c r="I53" s="74">
        <v>0.1346</v>
      </c>
      <c r="J53" s="74">
        <v>2.12E-2</v>
      </c>
      <c r="K53" s="74">
        <v>3.3700000000000001E-2</v>
      </c>
      <c r="L53" s="74">
        <v>1.7600000000000001E-2</v>
      </c>
      <c r="M53" s="74">
        <v>2.5499999999999998E-2</v>
      </c>
      <c r="N53" s="74">
        <v>0.12970000000000001</v>
      </c>
      <c r="O53" s="74">
        <v>1.8100000000000002E-2</v>
      </c>
      <c r="P53" s="74">
        <v>0</v>
      </c>
      <c r="Q53" s="74">
        <v>3.9199999999999999E-2</v>
      </c>
      <c r="R53" s="74">
        <v>1.95E-2</v>
      </c>
      <c r="S53" s="74">
        <v>2.3999999999999998E-3</v>
      </c>
      <c r="T53" s="74">
        <v>5.3900000000000003E-2</v>
      </c>
      <c r="U53" s="74">
        <v>1.84E-2</v>
      </c>
      <c r="V53" s="74">
        <v>3.7100000000000001E-2</v>
      </c>
      <c r="W53" s="74">
        <v>4.7800000000000002E-2</v>
      </c>
      <c r="X53" s="74">
        <v>6.4000000000000001E-2</v>
      </c>
      <c r="Y53" s="74">
        <v>2.7000000000000001E-3</v>
      </c>
      <c r="Z53" s="75">
        <v>0</v>
      </c>
      <c r="AA53" s="75">
        <v>6.9999999999999999E-4</v>
      </c>
      <c r="AB53" s="75">
        <v>0</v>
      </c>
      <c r="AC53" s="32"/>
      <c r="AD53" s="30"/>
    </row>
    <row r="54" spans="1:30" s="27" customFormat="1">
      <c r="A54" s="76"/>
      <c r="B54" s="77"/>
      <c r="C54" s="73"/>
      <c r="D54" s="78">
        <f>$C53*D53</f>
        <v>3224.6174594166669</v>
      </c>
      <c r="E54" s="78">
        <f>$C53*E53</f>
        <v>26916.866697166668</v>
      </c>
      <c r="F54" s="78">
        <f>$C53*F53</f>
        <v>10890.324833000001</v>
      </c>
      <c r="G54" s="78">
        <f t="shared" ref="G54:AB54" si="59">$C53*G53</f>
        <v>15485.887439833334</v>
      </c>
      <c r="H54" s="78">
        <f t="shared" si="59"/>
        <v>7955.3436723333343</v>
      </c>
      <c r="I54" s="78">
        <f t="shared" si="59"/>
        <v>25990.030541166667</v>
      </c>
      <c r="J54" s="78">
        <f t="shared" si="59"/>
        <v>4093.5263556666669</v>
      </c>
      <c r="K54" s="78">
        <f t="shared" si="59"/>
        <v>6507.162178583334</v>
      </c>
      <c r="L54" s="78">
        <f t="shared" si="59"/>
        <v>3398.3992386666669</v>
      </c>
      <c r="M54" s="78">
        <f t="shared" si="59"/>
        <v>4923.8170787500003</v>
      </c>
      <c r="N54" s="78">
        <f t="shared" si="59"/>
        <v>25043.885298583336</v>
      </c>
      <c r="O54" s="78">
        <f t="shared" si="59"/>
        <v>3494.9446715833337</v>
      </c>
      <c r="P54" s="78">
        <f t="shared" si="59"/>
        <v>0</v>
      </c>
      <c r="Q54" s="78">
        <f t="shared" si="59"/>
        <v>7569.1619406666669</v>
      </c>
      <c r="R54" s="78">
        <f t="shared" si="59"/>
        <v>3765.2718837500001</v>
      </c>
      <c r="S54" s="78">
        <f t="shared" si="59"/>
        <v>463.41807799999998</v>
      </c>
      <c r="T54" s="78">
        <f t="shared" si="59"/>
        <v>10407.597668416667</v>
      </c>
      <c r="U54" s="78">
        <f t="shared" si="59"/>
        <v>3552.8719313333336</v>
      </c>
      <c r="V54" s="78">
        <f t="shared" si="59"/>
        <v>7163.6711224166675</v>
      </c>
      <c r="W54" s="78">
        <f t="shared" si="59"/>
        <v>9229.7433868333337</v>
      </c>
      <c r="X54" s="78">
        <f t="shared" si="59"/>
        <v>12357.815413333334</v>
      </c>
      <c r="Y54" s="78">
        <f t="shared" si="59"/>
        <v>521.34533775000011</v>
      </c>
      <c r="Z54" s="78">
        <f t="shared" si="59"/>
        <v>0</v>
      </c>
      <c r="AA54" s="78">
        <f t="shared" si="59"/>
        <v>135.16360608333335</v>
      </c>
      <c r="AB54" s="78">
        <f t="shared" si="59"/>
        <v>0</v>
      </c>
      <c r="AC54" s="32"/>
      <c r="AD54" s="30"/>
    </row>
    <row r="55" spans="1:30" s="27" customFormat="1">
      <c r="A55" s="124" t="s">
        <v>80</v>
      </c>
      <c r="B55" s="72">
        <v>2317090.39</v>
      </c>
      <c r="C55" s="73">
        <f>B55/12</f>
        <v>193090.86583333334</v>
      </c>
      <c r="D55" s="79"/>
      <c r="E55" s="79"/>
      <c r="F55" s="119">
        <v>0.39860000000000001</v>
      </c>
      <c r="G55" s="79"/>
      <c r="H55" s="119">
        <v>0.11890000000000001</v>
      </c>
      <c r="I55" s="79"/>
      <c r="J55" s="79"/>
      <c r="K55" s="79"/>
      <c r="L55" s="79"/>
      <c r="M55" s="79"/>
      <c r="N55" s="119">
        <v>0.32019999999999998</v>
      </c>
      <c r="O55" s="79"/>
      <c r="P55" s="79"/>
      <c r="Q55" s="79"/>
      <c r="R55" s="79"/>
      <c r="S55" s="79"/>
      <c r="T55" s="79"/>
      <c r="U55" s="79"/>
      <c r="V55" s="119">
        <v>0.1623</v>
      </c>
      <c r="X55" s="79"/>
      <c r="Y55" s="79"/>
      <c r="Z55" s="79"/>
      <c r="AA55" s="79"/>
      <c r="AB55" s="79"/>
      <c r="AC55" s="32"/>
      <c r="AD55" s="30"/>
    </row>
    <row r="56" spans="1:30" s="27" customFormat="1">
      <c r="A56" s="80"/>
      <c r="B56" s="77"/>
      <c r="C56" s="73"/>
      <c r="D56" s="3">
        <f t="shared" ref="D56:V56" si="60">$C55*D55</f>
        <v>0</v>
      </c>
      <c r="E56" s="3">
        <f t="shared" si="60"/>
        <v>0</v>
      </c>
      <c r="F56" s="3">
        <f t="shared" si="60"/>
        <v>76966.019121166668</v>
      </c>
      <c r="G56" s="3">
        <f t="shared" si="60"/>
        <v>0</v>
      </c>
      <c r="H56" s="3">
        <f t="shared" si="60"/>
        <v>22958.503947583336</v>
      </c>
      <c r="I56" s="3">
        <f t="shared" si="60"/>
        <v>0</v>
      </c>
      <c r="J56" s="3">
        <f t="shared" si="60"/>
        <v>0</v>
      </c>
      <c r="K56" s="3">
        <f t="shared" si="60"/>
        <v>0</v>
      </c>
      <c r="L56" s="3">
        <f t="shared" si="60"/>
        <v>0</v>
      </c>
      <c r="M56" s="3">
        <f t="shared" si="60"/>
        <v>0</v>
      </c>
      <c r="N56" s="3">
        <f t="shared" si="60"/>
        <v>61827.695239833331</v>
      </c>
      <c r="O56" s="3">
        <f t="shared" si="60"/>
        <v>0</v>
      </c>
      <c r="P56" s="3">
        <f t="shared" si="60"/>
        <v>0</v>
      </c>
      <c r="Q56" s="3">
        <f t="shared" si="60"/>
        <v>0</v>
      </c>
      <c r="R56" s="3">
        <f t="shared" si="60"/>
        <v>0</v>
      </c>
      <c r="S56" s="3">
        <f t="shared" si="60"/>
        <v>0</v>
      </c>
      <c r="T56" s="3">
        <f t="shared" si="60"/>
        <v>0</v>
      </c>
      <c r="U56" s="3">
        <f t="shared" si="60"/>
        <v>0</v>
      </c>
      <c r="V56" s="3">
        <f t="shared" si="60"/>
        <v>31338.647524750002</v>
      </c>
      <c r="W56" s="3">
        <f>$C55*O55</f>
        <v>0</v>
      </c>
      <c r="X56" s="3">
        <f>$C55*X55</f>
        <v>0</v>
      </c>
      <c r="Y56" s="3">
        <f>$C55*Y55</f>
        <v>0</v>
      </c>
      <c r="Z56" s="3">
        <f>$C55*Z55</f>
        <v>0</v>
      </c>
      <c r="AA56" s="3">
        <f>$C55*AA55</f>
        <v>0</v>
      </c>
      <c r="AB56" s="3">
        <f>$C55*AB55</f>
        <v>0</v>
      </c>
      <c r="AC56" s="32"/>
      <c r="AD56" s="30"/>
    </row>
    <row r="57" spans="1:30" s="27" customFormat="1">
      <c r="A57" s="71" t="s">
        <v>33</v>
      </c>
      <c r="B57" s="72">
        <v>54156794.170000002</v>
      </c>
      <c r="C57" s="73">
        <f>B57/12</f>
        <v>4513066.1808333332</v>
      </c>
      <c r="D57" s="74">
        <v>1.67E-2</v>
      </c>
      <c r="E57" s="74">
        <v>0.1394</v>
      </c>
      <c r="F57" s="74">
        <v>5.6399999999999999E-2</v>
      </c>
      <c r="G57" s="74">
        <v>8.0199999999999994E-2</v>
      </c>
      <c r="H57" s="74">
        <v>4.1200000000000001E-2</v>
      </c>
      <c r="I57" s="74">
        <v>0.1346</v>
      </c>
      <c r="J57" s="74">
        <v>2.12E-2</v>
      </c>
      <c r="K57" s="74">
        <v>3.3700000000000001E-2</v>
      </c>
      <c r="L57" s="74">
        <v>1.7600000000000001E-2</v>
      </c>
      <c r="M57" s="74">
        <v>2.5499999999999998E-2</v>
      </c>
      <c r="N57" s="74">
        <v>0.12970000000000001</v>
      </c>
      <c r="O57" s="74">
        <v>1.8100000000000002E-2</v>
      </c>
      <c r="P57" s="74">
        <v>0</v>
      </c>
      <c r="Q57" s="74">
        <v>3.9199999999999999E-2</v>
      </c>
      <c r="R57" s="74">
        <v>1.95E-2</v>
      </c>
      <c r="S57" s="74">
        <v>2.3999999999999998E-3</v>
      </c>
      <c r="T57" s="74">
        <v>5.3900000000000003E-2</v>
      </c>
      <c r="U57" s="74">
        <v>1.84E-2</v>
      </c>
      <c r="V57" s="74">
        <v>3.7100000000000001E-2</v>
      </c>
      <c r="W57" s="74">
        <v>4.7800000000000002E-2</v>
      </c>
      <c r="X57" s="74">
        <v>6.4000000000000001E-2</v>
      </c>
      <c r="Y57" s="74">
        <v>2.7000000000000001E-3</v>
      </c>
      <c r="Z57" s="75">
        <v>0</v>
      </c>
      <c r="AA57" s="75">
        <v>6.9999999999999999E-4</v>
      </c>
      <c r="AB57" s="75">
        <v>0</v>
      </c>
      <c r="AC57" s="32"/>
      <c r="AD57" s="30"/>
    </row>
    <row r="58" spans="1:30" s="27" customFormat="1">
      <c r="A58" s="80" t="s">
        <v>34</v>
      </c>
      <c r="B58" s="81"/>
      <c r="C58" s="73"/>
      <c r="D58" s="82">
        <f>$C57*D57</f>
        <v>75368.205219916665</v>
      </c>
      <c r="E58" s="3">
        <f>$C57*E57</f>
        <v>629121.42560816661</v>
      </c>
      <c r="F58" s="3">
        <f t="shared" ref="F58:AB58" si="61">$C57*F57</f>
        <v>254536.93259899999</v>
      </c>
      <c r="G58" s="3">
        <f t="shared" si="61"/>
        <v>361947.9077028333</v>
      </c>
      <c r="H58" s="3">
        <f t="shared" si="61"/>
        <v>185938.32665033333</v>
      </c>
      <c r="I58" s="3">
        <f t="shared" si="61"/>
        <v>607458.70794016658</v>
      </c>
      <c r="J58" s="3">
        <f t="shared" si="61"/>
        <v>95677.003033666668</v>
      </c>
      <c r="K58" s="3">
        <f t="shared" si="61"/>
        <v>152090.33029408334</v>
      </c>
      <c r="L58" s="3">
        <f t="shared" si="61"/>
        <v>79429.964782666662</v>
      </c>
      <c r="M58" s="3">
        <f t="shared" si="61"/>
        <v>115083.18761124999</v>
      </c>
      <c r="N58" s="3">
        <f t="shared" si="61"/>
        <v>585344.6836540834</v>
      </c>
      <c r="O58" s="3">
        <f t="shared" si="61"/>
        <v>81686.497873083339</v>
      </c>
      <c r="P58" s="3">
        <f t="shared" si="61"/>
        <v>0</v>
      </c>
      <c r="Q58" s="3">
        <f t="shared" si="61"/>
        <v>176912.19428866665</v>
      </c>
      <c r="R58" s="3">
        <f t="shared" si="61"/>
        <v>88004.790526249999</v>
      </c>
      <c r="S58" s="3">
        <f t="shared" si="61"/>
        <v>10831.358833999999</v>
      </c>
      <c r="T58" s="3">
        <f t="shared" si="61"/>
        <v>243254.26714691668</v>
      </c>
      <c r="U58" s="3">
        <f t="shared" si="61"/>
        <v>83040.417727333333</v>
      </c>
      <c r="V58" s="3">
        <f t="shared" si="61"/>
        <v>167434.75530891668</v>
      </c>
      <c r="W58" s="3">
        <f t="shared" si="61"/>
        <v>215724.56344383332</v>
      </c>
      <c r="X58" s="3">
        <f t="shared" si="61"/>
        <v>288836.23557333334</v>
      </c>
      <c r="Y58" s="3">
        <f t="shared" si="61"/>
        <v>12185.27868825</v>
      </c>
      <c r="Z58" s="3">
        <f t="shared" si="61"/>
        <v>0</v>
      </c>
      <c r="AA58" s="3">
        <f t="shared" si="61"/>
        <v>3159.1463265833331</v>
      </c>
      <c r="AB58" s="3">
        <f t="shared" si="61"/>
        <v>0</v>
      </c>
      <c r="AC58" s="32"/>
      <c r="AD58" s="30"/>
    </row>
    <row r="59" spans="1:30" s="27" customFormat="1">
      <c r="A59" s="80" t="s">
        <v>35</v>
      </c>
      <c r="B59" s="83"/>
      <c r="C59" s="8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2"/>
      <c r="AD59" s="30"/>
    </row>
    <row r="60" spans="1:30" s="27" customFormat="1">
      <c r="A60" s="80" t="s">
        <v>36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32"/>
      <c r="AD60" s="30"/>
    </row>
    <row r="61" spans="1:30" s="27" customFormat="1">
      <c r="A61" s="80" t="s">
        <v>37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32"/>
      <c r="AD61" s="30"/>
    </row>
    <row r="62" spans="1:30" s="27" customFormat="1">
      <c r="A62" s="76" t="s">
        <v>38</v>
      </c>
      <c r="B62" s="86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32"/>
      <c r="AD62" s="30"/>
    </row>
    <row r="63" spans="1:30" s="27" customFormat="1">
      <c r="A63" s="124" t="s">
        <v>81</v>
      </c>
      <c r="B63" s="72">
        <f>B57*0</f>
        <v>0</v>
      </c>
      <c r="C63" s="84">
        <f>B63/12</f>
        <v>0</v>
      </c>
      <c r="D63" s="79"/>
      <c r="E63" s="79"/>
      <c r="F63" s="79"/>
      <c r="G63" s="79"/>
      <c r="H63" s="119">
        <v>7.4399999999999994E-2</v>
      </c>
      <c r="I63" s="79"/>
      <c r="J63" s="79"/>
      <c r="K63" s="79"/>
      <c r="L63" s="79"/>
      <c r="M63" s="79"/>
      <c r="N63" s="119">
        <v>0.80659999999999998</v>
      </c>
      <c r="O63" s="79"/>
      <c r="P63" s="79"/>
      <c r="Q63" s="79"/>
      <c r="R63" s="79"/>
      <c r="S63" s="79"/>
      <c r="T63" s="79"/>
      <c r="U63" s="79"/>
      <c r="V63" s="119">
        <v>0.11899999999999999</v>
      </c>
      <c r="W63" s="79"/>
      <c r="X63" s="79"/>
      <c r="Y63" s="79"/>
      <c r="Z63" s="79"/>
      <c r="AA63" s="79"/>
      <c r="AB63" s="79"/>
      <c r="AC63" s="32"/>
      <c r="AD63" s="30"/>
    </row>
    <row r="64" spans="1:30" s="27" customFormat="1">
      <c r="A64" s="80"/>
      <c r="B64" s="77"/>
      <c r="C64" s="73"/>
      <c r="D64" s="3">
        <f t="shared" ref="D64:AB64" si="62">$C63*D63</f>
        <v>0</v>
      </c>
      <c r="E64" s="3">
        <f t="shared" si="62"/>
        <v>0</v>
      </c>
      <c r="F64" s="3">
        <f t="shared" si="62"/>
        <v>0</v>
      </c>
      <c r="G64" s="3">
        <f t="shared" si="62"/>
        <v>0</v>
      </c>
      <c r="H64" s="3">
        <f t="shared" si="62"/>
        <v>0</v>
      </c>
      <c r="I64" s="3">
        <f t="shared" si="62"/>
        <v>0</v>
      </c>
      <c r="J64" s="3">
        <f t="shared" si="62"/>
        <v>0</v>
      </c>
      <c r="K64" s="3">
        <f t="shared" si="62"/>
        <v>0</v>
      </c>
      <c r="L64" s="3">
        <f t="shared" si="62"/>
        <v>0</v>
      </c>
      <c r="M64" s="3">
        <f t="shared" si="62"/>
        <v>0</v>
      </c>
      <c r="N64" s="3">
        <f t="shared" si="62"/>
        <v>0</v>
      </c>
      <c r="O64" s="3">
        <f t="shared" si="62"/>
        <v>0</v>
      </c>
      <c r="P64" s="3">
        <f t="shared" si="62"/>
        <v>0</v>
      </c>
      <c r="Q64" s="3">
        <f t="shared" si="62"/>
        <v>0</v>
      </c>
      <c r="R64" s="3">
        <f t="shared" si="62"/>
        <v>0</v>
      </c>
      <c r="S64" s="3">
        <f t="shared" si="62"/>
        <v>0</v>
      </c>
      <c r="T64" s="3">
        <f t="shared" si="62"/>
        <v>0</v>
      </c>
      <c r="U64" s="3">
        <f t="shared" si="62"/>
        <v>0</v>
      </c>
      <c r="V64" s="3">
        <f t="shared" si="62"/>
        <v>0</v>
      </c>
      <c r="W64" s="3">
        <f t="shared" si="62"/>
        <v>0</v>
      </c>
      <c r="X64" s="3">
        <f t="shared" si="62"/>
        <v>0</v>
      </c>
      <c r="Y64" s="3">
        <f t="shared" si="62"/>
        <v>0</v>
      </c>
      <c r="Z64" s="3">
        <f t="shared" si="62"/>
        <v>0</v>
      </c>
      <c r="AA64" s="3">
        <f t="shared" si="62"/>
        <v>0</v>
      </c>
      <c r="AB64" s="3">
        <f t="shared" si="62"/>
        <v>0</v>
      </c>
      <c r="AC64" s="32"/>
      <c r="AD64" s="30"/>
    </row>
    <row r="65" spans="1:30" s="27" customFormat="1">
      <c r="A65" s="124" t="s">
        <v>82</v>
      </c>
      <c r="B65" s="72">
        <f>B57*0.0479</f>
        <v>2594110.4407429998</v>
      </c>
      <c r="C65" s="73">
        <f>B65/12</f>
        <v>216175.87006191665</v>
      </c>
      <c r="D65" s="79"/>
      <c r="E65" s="79"/>
      <c r="F65" s="79"/>
      <c r="G65" s="79"/>
      <c r="H65" s="119">
        <v>7.4399999999999994E-2</v>
      </c>
      <c r="I65" s="79"/>
      <c r="J65" s="79"/>
      <c r="K65" s="79"/>
      <c r="L65" s="79"/>
      <c r="M65" s="79"/>
      <c r="N65" s="121">
        <v>0.80659999999999998</v>
      </c>
      <c r="O65" s="3"/>
      <c r="P65" s="3"/>
      <c r="Q65" s="3"/>
      <c r="R65" s="3"/>
      <c r="S65" s="3"/>
      <c r="T65" s="3"/>
      <c r="U65" s="3"/>
      <c r="V65" s="121">
        <v>0.11899999999999999</v>
      </c>
      <c r="W65" s="79"/>
      <c r="X65" s="79"/>
      <c r="Y65" s="79"/>
      <c r="Z65" s="79"/>
      <c r="AA65" s="79"/>
      <c r="AB65" s="79"/>
      <c r="AC65" s="32"/>
      <c r="AD65" s="30"/>
    </row>
    <row r="66" spans="1:30" s="27" customFormat="1">
      <c r="A66" s="80"/>
      <c r="B66" s="77"/>
      <c r="C66" s="73"/>
      <c r="D66" s="3">
        <f t="shared" ref="D66:AB66" si="63">$C65*D65</f>
        <v>0</v>
      </c>
      <c r="E66" s="3">
        <f t="shared" si="63"/>
        <v>0</v>
      </c>
      <c r="F66" s="3">
        <f t="shared" si="63"/>
        <v>0</v>
      </c>
      <c r="G66" s="3">
        <f t="shared" si="63"/>
        <v>0</v>
      </c>
      <c r="H66" s="3">
        <f t="shared" si="63"/>
        <v>16083.484732606597</v>
      </c>
      <c r="I66" s="3">
        <f t="shared" si="63"/>
        <v>0</v>
      </c>
      <c r="J66" s="3">
        <f t="shared" si="63"/>
        <v>0</v>
      </c>
      <c r="K66" s="3">
        <f t="shared" si="63"/>
        <v>0</v>
      </c>
      <c r="L66" s="3">
        <f t="shared" si="63"/>
        <v>0</v>
      </c>
      <c r="M66" s="3">
        <f t="shared" si="63"/>
        <v>0</v>
      </c>
      <c r="N66" s="3">
        <f t="shared" si="63"/>
        <v>174367.45679194198</v>
      </c>
      <c r="O66" s="3">
        <f t="shared" si="63"/>
        <v>0</v>
      </c>
      <c r="P66" s="3">
        <f t="shared" si="63"/>
        <v>0</v>
      </c>
      <c r="Q66" s="3">
        <f t="shared" si="63"/>
        <v>0</v>
      </c>
      <c r="R66" s="3">
        <f t="shared" si="63"/>
        <v>0</v>
      </c>
      <c r="S66" s="3">
        <f t="shared" si="63"/>
        <v>0</v>
      </c>
      <c r="T66" s="3">
        <f t="shared" si="63"/>
        <v>0</v>
      </c>
      <c r="U66" s="3">
        <f t="shared" si="63"/>
        <v>0</v>
      </c>
      <c r="V66" s="3">
        <f t="shared" si="63"/>
        <v>25724.92853736808</v>
      </c>
      <c r="W66" s="3">
        <f t="shared" si="63"/>
        <v>0</v>
      </c>
      <c r="X66" s="3">
        <f t="shared" si="63"/>
        <v>0</v>
      </c>
      <c r="Y66" s="3">
        <f t="shared" si="63"/>
        <v>0</v>
      </c>
      <c r="Z66" s="3">
        <f t="shared" si="63"/>
        <v>0</v>
      </c>
      <c r="AA66" s="3">
        <f t="shared" si="63"/>
        <v>0</v>
      </c>
      <c r="AB66" s="3">
        <f t="shared" si="63"/>
        <v>0</v>
      </c>
      <c r="AC66" s="32"/>
      <c r="AD66" s="30"/>
    </row>
    <row r="67" spans="1:30" s="27" customFormat="1">
      <c r="A67" s="124" t="s">
        <v>83</v>
      </c>
      <c r="B67" s="72">
        <f>B57*0.2212</f>
        <v>11979482.870404001</v>
      </c>
      <c r="C67" s="73">
        <f>B67/12</f>
        <v>998290.23920033348</v>
      </c>
      <c r="D67" s="79"/>
      <c r="E67" s="79"/>
      <c r="F67" s="119">
        <v>0.49030000000000001</v>
      </c>
      <c r="G67" s="79"/>
      <c r="H67" s="119">
        <v>0.1787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119">
        <v>0.33100000000000002</v>
      </c>
      <c r="W67" s="79"/>
      <c r="X67" s="79"/>
      <c r="Y67" s="79"/>
      <c r="Z67" s="79"/>
      <c r="AA67" s="79"/>
      <c r="AB67" s="79"/>
      <c r="AC67" s="32"/>
      <c r="AD67" s="30"/>
    </row>
    <row r="68" spans="1:30" s="27" customFormat="1">
      <c r="A68" s="80"/>
      <c r="B68" s="77"/>
      <c r="C68" s="73"/>
      <c r="D68" s="3">
        <f t="shared" ref="D68:AB68" si="64">$C67*D67</f>
        <v>0</v>
      </c>
      <c r="E68" s="3">
        <f t="shared" si="64"/>
        <v>0</v>
      </c>
      <c r="F68" s="3">
        <f t="shared" si="64"/>
        <v>489461.70427992352</v>
      </c>
      <c r="G68" s="3">
        <f t="shared" si="64"/>
        <v>0</v>
      </c>
      <c r="H68" s="3">
        <f t="shared" si="64"/>
        <v>178394.46574509959</v>
      </c>
      <c r="I68" s="3">
        <f t="shared" si="64"/>
        <v>0</v>
      </c>
      <c r="J68" s="3">
        <f t="shared" si="64"/>
        <v>0</v>
      </c>
      <c r="K68" s="3">
        <f t="shared" si="64"/>
        <v>0</v>
      </c>
      <c r="L68" s="3">
        <f t="shared" si="64"/>
        <v>0</v>
      </c>
      <c r="M68" s="3">
        <f t="shared" si="64"/>
        <v>0</v>
      </c>
      <c r="N68" s="3">
        <f t="shared" si="64"/>
        <v>0</v>
      </c>
      <c r="O68" s="3">
        <f t="shared" si="64"/>
        <v>0</v>
      </c>
      <c r="P68" s="3">
        <f t="shared" si="64"/>
        <v>0</v>
      </c>
      <c r="Q68" s="3">
        <f t="shared" si="64"/>
        <v>0</v>
      </c>
      <c r="R68" s="3">
        <f t="shared" si="64"/>
        <v>0</v>
      </c>
      <c r="S68" s="3">
        <f t="shared" si="64"/>
        <v>0</v>
      </c>
      <c r="T68" s="3">
        <f t="shared" si="64"/>
        <v>0</v>
      </c>
      <c r="U68" s="3">
        <f t="shared" si="64"/>
        <v>0</v>
      </c>
      <c r="V68" s="3">
        <f t="shared" si="64"/>
        <v>330434.06917531037</v>
      </c>
      <c r="W68" s="3">
        <f t="shared" si="64"/>
        <v>0</v>
      </c>
      <c r="X68" s="3">
        <f t="shared" si="64"/>
        <v>0</v>
      </c>
      <c r="Y68" s="3">
        <f t="shared" si="64"/>
        <v>0</v>
      </c>
      <c r="Z68" s="3">
        <f t="shared" si="64"/>
        <v>0</v>
      </c>
      <c r="AA68" s="3">
        <f t="shared" si="64"/>
        <v>0</v>
      </c>
      <c r="AB68" s="3">
        <f t="shared" si="64"/>
        <v>0</v>
      </c>
      <c r="AC68" s="32"/>
      <c r="AD68" s="30"/>
    </row>
    <row r="69" spans="1:30" s="27" customFormat="1">
      <c r="A69" s="124" t="s">
        <v>84</v>
      </c>
      <c r="B69" s="72">
        <f>B57*0.6477</f>
        <v>35077355.583909005</v>
      </c>
      <c r="C69" s="73">
        <f>B69/12</f>
        <v>2923112.9653257504</v>
      </c>
      <c r="D69" s="79"/>
      <c r="E69" s="79"/>
      <c r="F69" s="119">
        <v>0.33169999999999999</v>
      </c>
      <c r="G69" s="79"/>
      <c r="H69" s="119">
        <v>0</v>
      </c>
      <c r="I69" s="79"/>
      <c r="J69" s="79"/>
      <c r="K69" s="79"/>
      <c r="L69" s="79"/>
      <c r="M69" s="79"/>
      <c r="N69" s="119">
        <v>0.5131</v>
      </c>
      <c r="O69" s="79"/>
      <c r="P69" s="79"/>
      <c r="Q69" s="79"/>
      <c r="R69" s="79"/>
      <c r="S69" s="79"/>
      <c r="T69" s="79"/>
      <c r="U69" s="79"/>
      <c r="V69" s="119">
        <v>0.1552</v>
      </c>
      <c r="W69" s="79"/>
      <c r="X69" s="79"/>
      <c r="Y69" s="79"/>
      <c r="Z69" s="79"/>
      <c r="AA69" s="79"/>
      <c r="AB69" s="79"/>
      <c r="AC69" s="32"/>
      <c r="AD69" s="30"/>
    </row>
    <row r="70" spans="1:30" s="27" customFormat="1">
      <c r="A70" s="80"/>
      <c r="B70" s="77"/>
      <c r="C70" s="73"/>
      <c r="D70" s="3">
        <f t="shared" ref="D70:AB70" si="65">$C69*D69</f>
        <v>0</v>
      </c>
      <c r="E70" s="3">
        <f t="shared" si="65"/>
        <v>0</v>
      </c>
      <c r="F70" s="3">
        <f t="shared" si="65"/>
        <v>969596.57059855142</v>
      </c>
      <c r="G70" s="3">
        <f t="shared" si="65"/>
        <v>0</v>
      </c>
      <c r="H70" s="3">
        <f t="shared" si="65"/>
        <v>0</v>
      </c>
      <c r="I70" s="3">
        <f t="shared" si="65"/>
        <v>0</v>
      </c>
      <c r="J70" s="3">
        <f t="shared" si="65"/>
        <v>0</v>
      </c>
      <c r="K70" s="3">
        <f t="shared" si="65"/>
        <v>0</v>
      </c>
      <c r="L70" s="3">
        <f t="shared" si="65"/>
        <v>0</v>
      </c>
      <c r="M70" s="3">
        <f t="shared" si="65"/>
        <v>0</v>
      </c>
      <c r="N70" s="3">
        <f t="shared" si="65"/>
        <v>1499849.2625086426</v>
      </c>
      <c r="O70" s="3">
        <f t="shared" si="65"/>
        <v>0</v>
      </c>
      <c r="P70" s="3">
        <f t="shared" si="65"/>
        <v>0</v>
      </c>
      <c r="Q70" s="3">
        <f t="shared" si="65"/>
        <v>0</v>
      </c>
      <c r="R70" s="3">
        <f t="shared" si="65"/>
        <v>0</v>
      </c>
      <c r="S70" s="3">
        <f t="shared" si="65"/>
        <v>0</v>
      </c>
      <c r="T70" s="3">
        <f t="shared" si="65"/>
        <v>0</v>
      </c>
      <c r="U70" s="3">
        <f t="shared" si="65"/>
        <v>0</v>
      </c>
      <c r="V70" s="3">
        <f t="shared" si="65"/>
        <v>453667.13221855648</v>
      </c>
      <c r="W70" s="3">
        <f t="shared" si="65"/>
        <v>0</v>
      </c>
      <c r="X70" s="3">
        <f t="shared" si="65"/>
        <v>0</v>
      </c>
      <c r="Y70" s="3">
        <f t="shared" si="65"/>
        <v>0</v>
      </c>
      <c r="Z70" s="3">
        <f t="shared" si="65"/>
        <v>0</v>
      </c>
      <c r="AA70" s="3">
        <f t="shared" si="65"/>
        <v>0</v>
      </c>
      <c r="AB70" s="3">
        <f t="shared" si="65"/>
        <v>0</v>
      </c>
      <c r="AC70" s="32"/>
      <c r="AD70" s="30"/>
    </row>
    <row r="71" spans="1:30" s="27" customFormat="1">
      <c r="A71" s="124" t="s">
        <v>85</v>
      </c>
      <c r="B71" s="72">
        <f>B57*0.061</f>
        <v>3303564.4443700002</v>
      </c>
      <c r="C71" s="73">
        <f>B71/12</f>
        <v>275297.03703083337</v>
      </c>
      <c r="D71" s="79"/>
      <c r="E71" s="79"/>
      <c r="F71" s="119">
        <v>0.49030000000000001</v>
      </c>
      <c r="G71" s="79"/>
      <c r="H71" s="119">
        <v>0.1787</v>
      </c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119">
        <v>0.33100000000000002</v>
      </c>
      <c r="W71" s="79"/>
      <c r="X71" s="79"/>
      <c r="Y71" s="79"/>
      <c r="Z71" s="79"/>
      <c r="AA71" s="79"/>
      <c r="AB71" s="79"/>
      <c r="AC71" s="32"/>
      <c r="AD71" s="30"/>
    </row>
    <row r="72" spans="1:30" s="27" customFormat="1">
      <c r="A72" s="80"/>
      <c r="B72" s="77"/>
      <c r="C72" s="73"/>
      <c r="D72" s="3">
        <f t="shared" ref="D72:AB72" si="66">$C71*D71</f>
        <v>0</v>
      </c>
      <c r="E72" s="3">
        <f t="shared" si="66"/>
        <v>0</v>
      </c>
      <c r="F72" s="3">
        <f t="shared" si="66"/>
        <v>134978.1372562176</v>
      </c>
      <c r="G72" s="3">
        <f t="shared" si="66"/>
        <v>0</v>
      </c>
      <c r="H72" s="3">
        <f t="shared" si="66"/>
        <v>49195.580517409922</v>
      </c>
      <c r="I72" s="3">
        <f t="shared" si="66"/>
        <v>0</v>
      </c>
      <c r="J72" s="3">
        <f t="shared" si="66"/>
        <v>0</v>
      </c>
      <c r="K72" s="3">
        <f t="shared" si="66"/>
        <v>0</v>
      </c>
      <c r="L72" s="3">
        <f t="shared" si="66"/>
        <v>0</v>
      </c>
      <c r="M72" s="3">
        <f t="shared" si="66"/>
        <v>0</v>
      </c>
      <c r="N72" s="3">
        <f t="shared" si="66"/>
        <v>0</v>
      </c>
      <c r="O72" s="3">
        <f t="shared" si="66"/>
        <v>0</v>
      </c>
      <c r="P72" s="3">
        <f t="shared" si="66"/>
        <v>0</v>
      </c>
      <c r="Q72" s="3">
        <f t="shared" si="66"/>
        <v>0</v>
      </c>
      <c r="R72" s="3">
        <f t="shared" si="66"/>
        <v>0</v>
      </c>
      <c r="S72" s="3">
        <f t="shared" si="66"/>
        <v>0</v>
      </c>
      <c r="T72" s="3">
        <f t="shared" si="66"/>
        <v>0</v>
      </c>
      <c r="U72" s="3">
        <f t="shared" si="66"/>
        <v>0</v>
      </c>
      <c r="V72" s="3">
        <f t="shared" si="66"/>
        <v>91123.319257205847</v>
      </c>
      <c r="W72" s="3">
        <f t="shared" si="66"/>
        <v>0</v>
      </c>
      <c r="X72" s="3">
        <f t="shared" si="66"/>
        <v>0</v>
      </c>
      <c r="Y72" s="3">
        <f t="shared" si="66"/>
        <v>0</v>
      </c>
      <c r="Z72" s="3">
        <f t="shared" si="66"/>
        <v>0</v>
      </c>
      <c r="AA72" s="3">
        <f t="shared" si="66"/>
        <v>0</v>
      </c>
      <c r="AB72" s="3">
        <f t="shared" si="66"/>
        <v>0</v>
      </c>
      <c r="AC72" s="32"/>
      <c r="AD72" s="30"/>
    </row>
    <row r="73" spans="1:30" s="27" customFormat="1">
      <c r="A73" s="124" t="s">
        <v>86</v>
      </c>
      <c r="B73" s="72">
        <f>B57*0.0222</f>
        <v>1202280.830574</v>
      </c>
      <c r="C73" s="73">
        <f>B73/12</f>
        <v>100190.06921450001</v>
      </c>
      <c r="D73" s="79"/>
      <c r="E73" s="79"/>
      <c r="F73" s="119">
        <v>0.33169999999999999</v>
      </c>
      <c r="G73" s="79"/>
      <c r="H73" s="119">
        <v>0</v>
      </c>
      <c r="I73" s="79"/>
      <c r="J73" s="79"/>
      <c r="K73" s="79"/>
      <c r="L73" s="79"/>
      <c r="M73" s="79"/>
      <c r="N73" s="119">
        <v>0.5131</v>
      </c>
      <c r="O73" s="79"/>
      <c r="P73" s="79"/>
      <c r="Q73" s="79"/>
      <c r="R73" s="79"/>
      <c r="S73" s="79"/>
      <c r="T73" s="79"/>
      <c r="U73" s="79"/>
      <c r="V73" s="119">
        <v>0.1552</v>
      </c>
      <c r="W73" s="79"/>
      <c r="X73" s="79"/>
      <c r="Y73" s="79"/>
      <c r="Z73" s="79"/>
      <c r="AA73" s="79"/>
      <c r="AB73" s="79"/>
      <c r="AC73" s="32"/>
      <c r="AD73" s="30"/>
    </row>
    <row r="74" spans="1:30" s="27" customFormat="1">
      <c r="A74" s="80"/>
      <c r="B74" s="77"/>
      <c r="C74" s="73"/>
      <c r="D74" s="3">
        <f t="shared" ref="D74:AB74" si="67">$C73*D73</f>
        <v>0</v>
      </c>
      <c r="E74" s="3">
        <f t="shared" si="67"/>
        <v>0</v>
      </c>
      <c r="F74" s="3">
        <f t="shared" si="67"/>
        <v>33233.045958449649</v>
      </c>
      <c r="G74" s="3">
        <f t="shared" si="67"/>
        <v>0</v>
      </c>
      <c r="H74" s="3">
        <f t="shared" si="67"/>
        <v>0</v>
      </c>
      <c r="I74" s="3">
        <f t="shared" si="67"/>
        <v>0</v>
      </c>
      <c r="J74" s="3">
        <f t="shared" si="67"/>
        <v>0</v>
      </c>
      <c r="K74" s="3">
        <f t="shared" si="67"/>
        <v>0</v>
      </c>
      <c r="L74" s="3">
        <f t="shared" si="67"/>
        <v>0</v>
      </c>
      <c r="M74" s="3">
        <f t="shared" si="67"/>
        <v>0</v>
      </c>
      <c r="N74" s="3">
        <f t="shared" si="67"/>
        <v>51407.52451395995</v>
      </c>
      <c r="O74" s="3">
        <f t="shared" si="67"/>
        <v>0</v>
      </c>
      <c r="P74" s="3">
        <f t="shared" si="67"/>
        <v>0</v>
      </c>
      <c r="Q74" s="3">
        <f t="shared" si="67"/>
        <v>0</v>
      </c>
      <c r="R74" s="3">
        <f t="shared" si="67"/>
        <v>0</v>
      </c>
      <c r="S74" s="3">
        <f t="shared" si="67"/>
        <v>0</v>
      </c>
      <c r="T74" s="3">
        <f t="shared" si="67"/>
        <v>0</v>
      </c>
      <c r="U74" s="3">
        <f t="shared" si="67"/>
        <v>0</v>
      </c>
      <c r="V74" s="3">
        <f t="shared" si="67"/>
        <v>15549.498742090402</v>
      </c>
      <c r="W74" s="3">
        <f t="shared" si="67"/>
        <v>0</v>
      </c>
      <c r="X74" s="3">
        <f t="shared" si="67"/>
        <v>0</v>
      </c>
      <c r="Y74" s="3">
        <f t="shared" si="67"/>
        <v>0</v>
      </c>
      <c r="Z74" s="3">
        <f t="shared" si="67"/>
        <v>0</v>
      </c>
      <c r="AA74" s="3">
        <f t="shared" si="67"/>
        <v>0</v>
      </c>
      <c r="AB74" s="3">
        <f t="shared" si="67"/>
        <v>0</v>
      </c>
      <c r="AC74" s="32"/>
      <c r="AD74" s="30"/>
    </row>
    <row r="75" spans="1:30" s="27" customFormat="1">
      <c r="A75" s="71" t="s">
        <v>39</v>
      </c>
      <c r="B75" s="72">
        <f>654428.48/2</f>
        <v>327214.24</v>
      </c>
      <c r="C75" s="73">
        <f>B75/12</f>
        <v>27267.853333333333</v>
      </c>
      <c r="D75" s="74">
        <v>1.67E-2</v>
      </c>
      <c r="E75" s="74">
        <v>0.1394</v>
      </c>
      <c r="F75" s="74">
        <v>5.6399999999999999E-2</v>
      </c>
      <c r="G75" s="74">
        <v>8.0199999999999994E-2</v>
      </c>
      <c r="H75" s="74">
        <v>4.1200000000000001E-2</v>
      </c>
      <c r="I75" s="74">
        <v>0.1346</v>
      </c>
      <c r="J75" s="74">
        <v>2.12E-2</v>
      </c>
      <c r="K75" s="74">
        <v>3.3700000000000001E-2</v>
      </c>
      <c r="L75" s="74">
        <v>1.7600000000000001E-2</v>
      </c>
      <c r="M75" s="74">
        <v>2.5499999999999998E-2</v>
      </c>
      <c r="N75" s="74">
        <v>0.12970000000000001</v>
      </c>
      <c r="O75" s="74">
        <v>1.8100000000000002E-2</v>
      </c>
      <c r="P75" s="74">
        <v>0</v>
      </c>
      <c r="Q75" s="74">
        <v>3.9199999999999999E-2</v>
      </c>
      <c r="R75" s="74">
        <v>1.95E-2</v>
      </c>
      <c r="S75" s="74">
        <v>2.3999999999999998E-3</v>
      </c>
      <c r="T75" s="74">
        <v>5.3900000000000003E-2</v>
      </c>
      <c r="U75" s="74">
        <v>1.84E-2</v>
      </c>
      <c r="V75" s="74">
        <v>3.7100000000000001E-2</v>
      </c>
      <c r="W75" s="74">
        <v>4.7800000000000002E-2</v>
      </c>
      <c r="X75" s="74">
        <v>6.4000000000000001E-2</v>
      </c>
      <c r="Y75" s="74">
        <v>2.7000000000000001E-3</v>
      </c>
      <c r="Z75" s="75">
        <v>0</v>
      </c>
      <c r="AA75" s="75">
        <v>6.9999999999999999E-4</v>
      </c>
      <c r="AB75" s="75">
        <v>0</v>
      </c>
      <c r="AC75" s="32"/>
      <c r="AD75" s="30"/>
    </row>
    <row r="76" spans="1:30" s="27" customFormat="1">
      <c r="A76" s="76"/>
      <c r="B76" s="77"/>
      <c r="C76" s="73"/>
      <c r="D76" s="78">
        <f t="shared" ref="D76:AB76" si="68">$C75*D75</f>
        <v>455.37315066666662</v>
      </c>
      <c r="E76" s="78">
        <f t="shared" si="68"/>
        <v>3801.1387546666665</v>
      </c>
      <c r="F76" s="78">
        <f t="shared" si="68"/>
        <v>1537.9069279999999</v>
      </c>
      <c r="G76" s="78">
        <f t="shared" si="68"/>
        <v>2186.8818373333329</v>
      </c>
      <c r="H76" s="78">
        <f t="shared" si="68"/>
        <v>1123.4355573333332</v>
      </c>
      <c r="I76" s="78">
        <f t="shared" si="68"/>
        <v>3670.2530586666667</v>
      </c>
      <c r="J76" s="78">
        <f t="shared" si="68"/>
        <v>578.07849066666665</v>
      </c>
      <c r="K76" s="78">
        <f t="shared" si="68"/>
        <v>918.92665733333331</v>
      </c>
      <c r="L76" s="78">
        <f t="shared" si="68"/>
        <v>479.91421866666667</v>
      </c>
      <c r="M76" s="78">
        <f t="shared" si="68"/>
        <v>695.33025999999995</v>
      </c>
      <c r="N76" s="78">
        <f t="shared" si="68"/>
        <v>3536.6405773333336</v>
      </c>
      <c r="O76" s="78">
        <f t="shared" si="68"/>
        <v>493.54814533333337</v>
      </c>
      <c r="P76" s="78">
        <f t="shared" si="68"/>
        <v>0</v>
      </c>
      <c r="Q76" s="78">
        <f t="shared" si="68"/>
        <v>1068.8998506666667</v>
      </c>
      <c r="R76" s="78">
        <f t="shared" si="68"/>
        <v>531.72313999999994</v>
      </c>
      <c r="S76" s="78">
        <f t="shared" si="68"/>
        <v>65.442847999999998</v>
      </c>
      <c r="T76" s="78">
        <f t="shared" si="68"/>
        <v>1469.7372946666667</v>
      </c>
      <c r="U76" s="78">
        <f t="shared" si="68"/>
        <v>501.72850133333333</v>
      </c>
      <c r="V76" s="78">
        <f t="shared" si="68"/>
        <v>1011.6373586666666</v>
      </c>
      <c r="W76" s="78">
        <f t="shared" si="68"/>
        <v>1303.4033893333333</v>
      </c>
      <c r="X76" s="78">
        <f t="shared" si="68"/>
        <v>1745.1426133333334</v>
      </c>
      <c r="Y76" s="78">
        <f t="shared" si="68"/>
        <v>73.623204000000001</v>
      </c>
      <c r="Z76" s="78">
        <f t="shared" si="68"/>
        <v>0</v>
      </c>
      <c r="AA76" s="78">
        <f t="shared" si="68"/>
        <v>19.087497333333332</v>
      </c>
      <c r="AB76" s="78">
        <f t="shared" si="68"/>
        <v>0</v>
      </c>
      <c r="AC76" s="32"/>
      <c r="AD76" s="30"/>
    </row>
    <row r="77" spans="1:30" s="27" customFormat="1">
      <c r="A77" s="124" t="s">
        <v>87</v>
      </c>
      <c r="B77" s="72">
        <f>654428.48/2</f>
        <v>327214.24</v>
      </c>
      <c r="C77" s="73">
        <f>B77/12</f>
        <v>27267.853333333333</v>
      </c>
      <c r="D77" s="79"/>
      <c r="E77" s="79"/>
      <c r="F77" s="119">
        <v>0.33169999999999999</v>
      </c>
      <c r="G77" s="79"/>
      <c r="H77" s="119">
        <v>0</v>
      </c>
      <c r="I77" s="79"/>
      <c r="J77" s="79"/>
      <c r="K77" s="79"/>
      <c r="L77" s="79"/>
      <c r="M77" s="79"/>
      <c r="N77" s="119">
        <v>0.5131</v>
      </c>
      <c r="O77" s="79"/>
      <c r="P77" s="79"/>
      <c r="Q77" s="79"/>
      <c r="R77" s="79"/>
      <c r="S77" s="79"/>
      <c r="T77" s="79"/>
      <c r="U77" s="79"/>
      <c r="V77" s="119">
        <v>0.1552</v>
      </c>
      <c r="W77" s="79"/>
      <c r="X77" s="79"/>
      <c r="Y77" s="79"/>
      <c r="Z77" s="79"/>
      <c r="AA77" s="79"/>
      <c r="AB77" s="79"/>
      <c r="AC77" s="32"/>
      <c r="AD77" s="30"/>
    </row>
    <row r="78" spans="1:30" s="27" customFormat="1">
      <c r="A78" s="80"/>
      <c r="B78" s="77"/>
      <c r="C78" s="73"/>
      <c r="D78" s="3">
        <f t="shared" ref="D78:AB78" si="69">$C77*D77</f>
        <v>0</v>
      </c>
      <c r="E78" s="3">
        <f t="shared" si="69"/>
        <v>0</v>
      </c>
      <c r="F78" s="3">
        <f t="shared" si="69"/>
        <v>9044.7469506666657</v>
      </c>
      <c r="G78" s="3">
        <f t="shared" si="69"/>
        <v>0</v>
      </c>
      <c r="H78" s="3">
        <f t="shared" si="69"/>
        <v>0</v>
      </c>
      <c r="I78" s="3">
        <f t="shared" si="69"/>
        <v>0</v>
      </c>
      <c r="J78" s="3">
        <f t="shared" si="69"/>
        <v>0</v>
      </c>
      <c r="K78" s="3">
        <f t="shared" si="69"/>
        <v>0</v>
      </c>
      <c r="L78" s="3">
        <f t="shared" si="69"/>
        <v>0</v>
      </c>
      <c r="M78" s="3">
        <f t="shared" si="69"/>
        <v>0</v>
      </c>
      <c r="N78" s="3">
        <f t="shared" si="69"/>
        <v>13991.135545333333</v>
      </c>
      <c r="O78" s="3">
        <f t="shared" si="69"/>
        <v>0</v>
      </c>
      <c r="P78" s="3">
        <f t="shared" si="69"/>
        <v>0</v>
      </c>
      <c r="Q78" s="3">
        <f t="shared" si="69"/>
        <v>0</v>
      </c>
      <c r="R78" s="3">
        <f t="shared" si="69"/>
        <v>0</v>
      </c>
      <c r="S78" s="3">
        <f t="shared" si="69"/>
        <v>0</v>
      </c>
      <c r="T78" s="3">
        <f t="shared" si="69"/>
        <v>0</v>
      </c>
      <c r="U78" s="3">
        <f t="shared" si="69"/>
        <v>0</v>
      </c>
      <c r="V78" s="3">
        <f t="shared" si="69"/>
        <v>4231.9708373333333</v>
      </c>
      <c r="W78" s="3">
        <f t="shared" si="69"/>
        <v>0</v>
      </c>
      <c r="X78" s="3">
        <f t="shared" si="69"/>
        <v>0</v>
      </c>
      <c r="Y78" s="3">
        <f t="shared" si="69"/>
        <v>0</v>
      </c>
      <c r="Z78" s="3">
        <f t="shared" si="69"/>
        <v>0</v>
      </c>
      <c r="AA78" s="3">
        <f t="shared" si="69"/>
        <v>0</v>
      </c>
      <c r="AB78" s="3">
        <f t="shared" si="69"/>
        <v>0</v>
      </c>
      <c r="AC78" s="32"/>
      <c r="AD78" s="30"/>
    </row>
    <row r="79" spans="1:30" s="27" customFormat="1">
      <c r="A79" s="80" t="s">
        <v>62</v>
      </c>
      <c r="B79" s="72">
        <f>510000.2/2</f>
        <v>255000.1</v>
      </c>
      <c r="C79" s="73">
        <f>B79/12</f>
        <v>21250.008333333335</v>
      </c>
      <c r="D79" s="74">
        <v>1.67E-2</v>
      </c>
      <c r="E79" s="74">
        <v>0.1394</v>
      </c>
      <c r="F79" s="74">
        <v>5.6399999999999999E-2</v>
      </c>
      <c r="G79" s="74">
        <v>8.0199999999999994E-2</v>
      </c>
      <c r="H79" s="74">
        <v>4.1200000000000001E-2</v>
      </c>
      <c r="I79" s="74">
        <v>0.1346</v>
      </c>
      <c r="J79" s="74">
        <v>2.12E-2</v>
      </c>
      <c r="K79" s="74">
        <v>3.3700000000000001E-2</v>
      </c>
      <c r="L79" s="74">
        <v>1.7600000000000001E-2</v>
      </c>
      <c r="M79" s="74">
        <v>2.5499999999999998E-2</v>
      </c>
      <c r="N79" s="74">
        <v>0.12970000000000001</v>
      </c>
      <c r="O79" s="74">
        <v>1.8100000000000002E-2</v>
      </c>
      <c r="P79" s="74">
        <v>0</v>
      </c>
      <c r="Q79" s="74">
        <v>3.9199999999999999E-2</v>
      </c>
      <c r="R79" s="74">
        <v>1.95E-2</v>
      </c>
      <c r="S79" s="74">
        <v>2.3999999999999998E-3</v>
      </c>
      <c r="T79" s="74">
        <v>5.3900000000000003E-2</v>
      </c>
      <c r="U79" s="74">
        <v>1.84E-2</v>
      </c>
      <c r="V79" s="74">
        <v>3.7100000000000001E-2</v>
      </c>
      <c r="W79" s="74">
        <v>4.7800000000000002E-2</v>
      </c>
      <c r="X79" s="74">
        <v>6.4000000000000001E-2</v>
      </c>
      <c r="Y79" s="74">
        <v>2.7000000000000001E-3</v>
      </c>
      <c r="Z79" s="75">
        <v>0</v>
      </c>
      <c r="AA79" s="75">
        <v>6.9999999999999999E-4</v>
      </c>
      <c r="AB79" s="75">
        <v>0</v>
      </c>
      <c r="AC79" s="32"/>
      <c r="AD79" s="30"/>
    </row>
    <row r="80" spans="1:30" s="27" customFormat="1">
      <c r="A80" s="76"/>
      <c r="B80" s="77"/>
      <c r="C80" s="73"/>
      <c r="D80" s="78">
        <f t="shared" ref="D80:AB80" si="70">$C79*D79</f>
        <v>354.87513916666671</v>
      </c>
      <c r="E80" s="78">
        <f t="shared" si="70"/>
        <v>2962.251161666667</v>
      </c>
      <c r="F80" s="78">
        <f t="shared" si="70"/>
        <v>1198.5004700000002</v>
      </c>
      <c r="G80" s="78">
        <f t="shared" si="70"/>
        <v>1704.2506683333334</v>
      </c>
      <c r="H80" s="78">
        <f t="shared" si="70"/>
        <v>875.50034333333338</v>
      </c>
      <c r="I80" s="78">
        <f t="shared" si="70"/>
        <v>2860.2511216666667</v>
      </c>
      <c r="J80" s="78">
        <f t="shared" si="70"/>
        <v>450.50017666666673</v>
      </c>
      <c r="K80" s="78">
        <f t="shared" si="70"/>
        <v>716.12528083333336</v>
      </c>
      <c r="L80" s="78">
        <f t="shared" si="70"/>
        <v>374.00014666666669</v>
      </c>
      <c r="M80" s="78">
        <f t="shared" si="70"/>
        <v>541.87521249999998</v>
      </c>
      <c r="N80" s="78">
        <f t="shared" si="70"/>
        <v>2756.1260808333336</v>
      </c>
      <c r="O80" s="78">
        <f t="shared" si="70"/>
        <v>384.62515083333341</v>
      </c>
      <c r="P80" s="78">
        <f t="shared" si="70"/>
        <v>0</v>
      </c>
      <c r="Q80" s="78">
        <f t="shared" si="70"/>
        <v>833.00032666666675</v>
      </c>
      <c r="R80" s="78">
        <f t="shared" si="70"/>
        <v>414.37516250000004</v>
      </c>
      <c r="S80" s="78">
        <f t="shared" si="70"/>
        <v>51.000019999999999</v>
      </c>
      <c r="T80" s="78">
        <f t="shared" si="70"/>
        <v>1145.3754491666668</v>
      </c>
      <c r="U80" s="78">
        <f t="shared" si="70"/>
        <v>391.00015333333334</v>
      </c>
      <c r="V80" s="78">
        <f t="shared" si="70"/>
        <v>788.37530916666674</v>
      </c>
      <c r="W80" s="78">
        <f t="shared" si="70"/>
        <v>1015.7503983333335</v>
      </c>
      <c r="X80" s="78">
        <f t="shared" si="70"/>
        <v>1360.0005333333336</v>
      </c>
      <c r="Y80" s="78">
        <f t="shared" si="70"/>
        <v>57.375022500000007</v>
      </c>
      <c r="Z80" s="78">
        <f t="shared" si="70"/>
        <v>0</v>
      </c>
      <c r="AA80" s="78">
        <f t="shared" si="70"/>
        <v>14.875005833333335</v>
      </c>
      <c r="AB80" s="78">
        <f t="shared" si="70"/>
        <v>0</v>
      </c>
      <c r="AC80" s="32"/>
      <c r="AD80" s="30"/>
    </row>
    <row r="81" spans="1:30" s="27" customFormat="1">
      <c r="A81" s="124" t="s">
        <v>88</v>
      </c>
      <c r="B81" s="72">
        <f>510000.2/2</f>
        <v>255000.1</v>
      </c>
      <c r="C81" s="73">
        <f>B81/12</f>
        <v>21250.008333333335</v>
      </c>
      <c r="D81" s="79"/>
      <c r="E81" s="79"/>
      <c r="F81" s="119">
        <v>0.20369999999999999</v>
      </c>
      <c r="G81" s="79"/>
      <c r="H81" s="119">
        <v>0.12889999999999999</v>
      </c>
      <c r="I81" s="79"/>
      <c r="J81" s="79"/>
      <c r="K81" s="79"/>
      <c r="L81" s="79"/>
      <c r="M81" s="79"/>
      <c r="N81" s="119">
        <v>0.53520000000000001</v>
      </c>
      <c r="O81" s="79"/>
      <c r="P81" s="79"/>
      <c r="Q81" s="79"/>
      <c r="R81" s="79"/>
      <c r="S81" s="79"/>
      <c r="T81" s="79"/>
      <c r="U81" s="79"/>
      <c r="V81" s="119">
        <v>0.13220000000000001</v>
      </c>
      <c r="W81" s="79"/>
      <c r="X81" s="79"/>
      <c r="Y81" s="79"/>
      <c r="Z81" s="79"/>
      <c r="AA81" s="79"/>
      <c r="AB81" s="79"/>
      <c r="AC81" s="32"/>
      <c r="AD81" s="30"/>
    </row>
    <row r="82" spans="1:30" s="27" customFormat="1">
      <c r="A82" s="76"/>
      <c r="B82" s="77"/>
      <c r="C82" s="73"/>
      <c r="D82" s="3">
        <f t="shared" ref="D82:AB82" si="71">$C81*D81</f>
        <v>0</v>
      </c>
      <c r="E82" s="3">
        <f t="shared" si="71"/>
        <v>0</v>
      </c>
      <c r="F82" s="3">
        <f t="shared" si="71"/>
        <v>4328.6266974999999</v>
      </c>
      <c r="G82" s="3">
        <f t="shared" si="71"/>
        <v>0</v>
      </c>
      <c r="H82" s="3">
        <f t="shared" si="71"/>
        <v>2739.1260741666665</v>
      </c>
      <c r="I82" s="3">
        <f t="shared" si="71"/>
        <v>0</v>
      </c>
      <c r="J82" s="3">
        <f t="shared" si="71"/>
        <v>0</v>
      </c>
      <c r="K82" s="3">
        <f t="shared" si="71"/>
        <v>0</v>
      </c>
      <c r="L82" s="3">
        <f t="shared" si="71"/>
        <v>0</v>
      </c>
      <c r="M82" s="3">
        <f t="shared" si="71"/>
        <v>0</v>
      </c>
      <c r="N82" s="3">
        <f t="shared" si="71"/>
        <v>11373.004460000002</v>
      </c>
      <c r="O82" s="3">
        <f t="shared" si="71"/>
        <v>0</v>
      </c>
      <c r="P82" s="3">
        <f t="shared" si="71"/>
        <v>0</v>
      </c>
      <c r="Q82" s="3">
        <f t="shared" si="71"/>
        <v>0</v>
      </c>
      <c r="R82" s="3">
        <f t="shared" si="71"/>
        <v>0</v>
      </c>
      <c r="S82" s="3">
        <f t="shared" si="71"/>
        <v>0</v>
      </c>
      <c r="T82" s="3">
        <f t="shared" si="71"/>
        <v>0</v>
      </c>
      <c r="U82" s="3">
        <f t="shared" si="71"/>
        <v>0</v>
      </c>
      <c r="V82" s="3">
        <f t="shared" si="71"/>
        <v>2809.2511016666672</v>
      </c>
      <c r="W82" s="3">
        <f t="shared" si="71"/>
        <v>0</v>
      </c>
      <c r="X82" s="3">
        <f t="shared" si="71"/>
        <v>0</v>
      </c>
      <c r="Y82" s="3">
        <f t="shared" si="71"/>
        <v>0</v>
      </c>
      <c r="Z82" s="3">
        <f t="shared" si="71"/>
        <v>0</v>
      </c>
      <c r="AA82" s="3">
        <f t="shared" si="71"/>
        <v>0</v>
      </c>
      <c r="AB82" s="3">
        <f t="shared" si="71"/>
        <v>0</v>
      </c>
      <c r="AC82" s="32"/>
      <c r="AD82" s="30"/>
    </row>
    <row r="83" spans="1:30" s="27" customFormat="1">
      <c r="A83" s="80" t="s">
        <v>63</v>
      </c>
      <c r="B83" s="72">
        <f>4493734.5/2</f>
        <v>2246867.25</v>
      </c>
      <c r="C83" s="73">
        <f>B83/12</f>
        <v>187238.9375</v>
      </c>
      <c r="D83" s="74">
        <v>1.67E-2</v>
      </c>
      <c r="E83" s="74">
        <v>0.1394</v>
      </c>
      <c r="F83" s="74">
        <v>5.6399999999999999E-2</v>
      </c>
      <c r="G83" s="74">
        <v>8.0199999999999994E-2</v>
      </c>
      <c r="H83" s="74">
        <v>4.1200000000000001E-2</v>
      </c>
      <c r="I83" s="74">
        <v>0.1346</v>
      </c>
      <c r="J83" s="74">
        <v>2.12E-2</v>
      </c>
      <c r="K83" s="74">
        <v>3.3700000000000001E-2</v>
      </c>
      <c r="L83" s="74">
        <v>1.7600000000000001E-2</v>
      </c>
      <c r="M83" s="74">
        <v>2.5499999999999998E-2</v>
      </c>
      <c r="N83" s="74">
        <v>0.12970000000000001</v>
      </c>
      <c r="O83" s="74">
        <v>1.8100000000000002E-2</v>
      </c>
      <c r="P83" s="74">
        <v>0</v>
      </c>
      <c r="Q83" s="74">
        <v>3.9199999999999999E-2</v>
      </c>
      <c r="R83" s="74">
        <v>1.95E-2</v>
      </c>
      <c r="S83" s="74">
        <v>2.3999999999999998E-3</v>
      </c>
      <c r="T83" s="74">
        <v>5.3900000000000003E-2</v>
      </c>
      <c r="U83" s="74">
        <v>1.84E-2</v>
      </c>
      <c r="V83" s="74">
        <v>3.7100000000000001E-2</v>
      </c>
      <c r="W83" s="74">
        <v>4.7800000000000002E-2</v>
      </c>
      <c r="X83" s="74">
        <v>6.4000000000000001E-2</v>
      </c>
      <c r="Y83" s="74">
        <v>2.7000000000000001E-3</v>
      </c>
      <c r="Z83" s="75">
        <v>0</v>
      </c>
      <c r="AA83" s="75">
        <v>6.9999999999999999E-4</v>
      </c>
      <c r="AB83" s="75">
        <v>0</v>
      </c>
      <c r="AC83" s="32"/>
      <c r="AD83" s="30"/>
    </row>
    <row r="84" spans="1:30" s="27" customFormat="1">
      <c r="A84" s="76"/>
      <c r="B84" s="77"/>
      <c r="C84" s="73"/>
      <c r="D84" s="78">
        <f t="shared" ref="D84:AB84" si="72">$C83*D83</f>
        <v>3126.8902562499998</v>
      </c>
      <c r="E84" s="78">
        <f t="shared" si="72"/>
        <v>26101.107887499998</v>
      </c>
      <c r="F84" s="78">
        <f t="shared" si="72"/>
        <v>10560.276075</v>
      </c>
      <c r="G84" s="78">
        <f t="shared" si="72"/>
        <v>15016.562787499999</v>
      </c>
      <c r="H84" s="78">
        <f t="shared" si="72"/>
        <v>7714.2442250000004</v>
      </c>
      <c r="I84" s="78">
        <f t="shared" si="72"/>
        <v>25202.3609875</v>
      </c>
      <c r="J84" s="78">
        <f t="shared" si="72"/>
        <v>3969.465475</v>
      </c>
      <c r="K84" s="78">
        <f t="shared" si="72"/>
        <v>6309.9521937500003</v>
      </c>
      <c r="L84" s="78">
        <f t="shared" si="72"/>
        <v>3295.4053000000004</v>
      </c>
      <c r="M84" s="78">
        <f t="shared" si="72"/>
        <v>4774.5929062499999</v>
      </c>
      <c r="N84" s="78">
        <f t="shared" si="72"/>
        <v>24284.890193750001</v>
      </c>
      <c r="O84" s="78">
        <f t="shared" si="72"/>
        <v>3389.0247687500005</v>
      </c>
      <c r="P84" s="78">
        <f t="shared" si="72"/>
        <v>0</v>
      </c>
      <c r="Q84" s="78">
        <f t="shared" si="72"/>
        <v>7339.7663499999999</v>
      </c>
      <c r="R84" s="78">
        <f t="shared" si="72"/>
        <v>3651.1592812499998</v>
      </c>
      <c r="S84" s="78">
        <f t="shared" si="72"/>
        <v>449.37344999999993</v>
      </c>
      <c r="T84" s="78">
        <f t="shared" si="72"/>
        <v>10092.17873125</v>
      </c>
      <c r="U84" s="78">
        <f t="shared" si="72"/>
        <v>3445.1964499999999</v>
      </c>
      <c r="V84" s="78">
        <f t="shared" si="72"/>
        <v>6946.5645812500006</v>
      </c>
      <c r="W84" s="78">
        <f t="shared" si="72"/>
        <v>8950.0212124999998</v>
      </c>
      <c r="X84" s="78">
        <f t="shared" si="72"/>
        <v>11983.291999999999</v>
      </c>
      <c r="Y84" s="78">
        <f t="shared" si="72"/>
        <v>505.54513125000005</v>
      </c>
      <c r="Z84" s="78">
        <f t="shared" si="72"/>
        <v>0</v>
      </c>
      <c r="AA84" s="78">
        <f t="shared" si="72"/>
        <v>131.06725624999999</v>
      </c>
      <c r="AB84" s="78">
        <f t="shared" si="72"/>
        <v>0</v>
      </c>
      <c r="AC84" s="32"/>
      <c r="AD84" s="30"/>
    </row>
    <row r="85" spans="1:30" s="27" customFormat="1">
      <c r="A85" s="124" t="s">
        <v>111</v>
      </c>
      <c r="B85" s="72">
        <f>4493734.5/2</f>
        <v>2246867.25</v>
      </c>
      <c r="C85" s="73">
        <f>B85/12</f>
        <v>187238.9375</v>
      </c>
      <c r="D85" s="79"/>
      <c r="E85" s="79"/>
      <c r="F85" s="79"/>
      <c r="G85" s="79"/>
      <c r="H85" s="79"/>
      <c r="I85" s="79"/>
      <c r="J85" s="79"/>
      <c r="K85" s="79"/>
      <c r="L85" s="79"/>
      <c r="M85" s="119">
        <v>0.45029999999999998</v>
      </c>
      <c r="N85" s="79"/>
      <c r="O85" s="79"/>
      <c r="P85" s="79"/>
      <c r="Q85" s="79"/>
      <c r="R85" s="119">
        <v>0.54800000000000004</v>
      </c>
      <c r="S85" s="79"/>
      <c r="T85" s="119">
        <v>0</v>
      </c>
      <c r="U85" s="79"/>
      <c r="V85" s="79"/>
      <c r="W85" s="79"/>
      <c r="X85" s="119">
        <v>1.6000000000000001E-3</v>
      </c>
      <c r="Y85" s="119">
        <v>1E-4</v>
      </c>
      <c r="Z85" s="79"/>
      <c r="AA85" s="79"/>
      <c r="AB85" s="79"/>
      <c r="AC85" s="32"/>
      <c r="AD85" s="30"/>
    </row>
    <row r="86" spans="1:30" s="27" customFormat="1">
      <c r="A86" s="76"/>
      <c r="B86" s="77"/>
      <c r="C86" s="73"/>
      <c r="D86" s="3">
        <f t="shared" ref="D86:AB86" si="73">$C85*D85</f>
        <v>0</v>
      </c>
      <c r="E86" s="3">
        <f t="shared" si="73"/>
        <v>0</v>
      </c>
      <c r="F86" s="3">
        <f t="shared" si="73"/>
        <v>0</v>
      </c>
      <c r="G86" s="3">
        <f t="shared" si="73"/>
        <v>0</v>
      </c>
      <c r="H86" s="3">
        <f t="shared" si="73"/>
        <v>0</v>
      </c>
      <c r="I86" s="3">
        <f t="shared" si="73"/>
        <v>0</v>
      </c>
      <c r="J86" s="3">
        <f t="shared" si="73"/>
        <v>0</v>
      </c>
      <c r="K86" s="3">
        <f t="shared" si="73"/>
        <v>0</v>
      </c>
      <c r="L86" s="3">
        <f t="shared" si="73"/>
        <v>0</v>
      </c>
      <c r="M86" s="3">
        <f t="shared" si="73"/>
        <v>84313.69355625</v>
      </c>
      <c r="N86" s="3">
        <f t="shared" si="73"/>
        <v>0</v>
      </c>
      <c r="O86" s="3">
        <f t="shared" si="73"/>
        <v>0</v>
      </c>
      <c r="P86" s="3">
        <f t="shared" si="73"/>
        <v>0</v>
      </c>
      <c r="Q86" s="3">
        <f t="shared" si="73"/>
        <v>0</v>
      </c>
      <c r="R86" s="3">
        <f t="shared" si="73"/>
        <v>102606.93775000001</v>
      </c>
      <c r="S86" s="3">
        <f t="shared" si="73"/>
        <v>0</v>
      </c>
      <c r="T86" s="3">
        <f t="shared" si="73"/>
        <v>0</v>
      </c>
      <c r="U86" s="3">
        <f t="shared" si="73"/>
        <v>0</v>
      </c>
      <c r="V86" s="3">
        <f t="shared" si="73"/>
        <v>0</v>
      </c>
      <c r="W86" s="3">
        <f t="shared" si="73"/>
        <v>0</v>
      </c>
      <c r="X86" s="3">
        <f t="shared" si="73"/>
        <v>299.58230000000003</v>
      </c>
      <c r="Y86" s="3">
        <f t="shared" si="73"/>
        <v>18.723893750000002</v>
      </c>
      <c r="Z86" s="3">
        <f t="shared" si="73"/>
        <v>0</v>
      </c>
      <c r="AA86" s="3">
        <f t="shared" si="73"/>
        <v>0</v>
      </c>
      <c r="AB86" s="3">
        <f t="shared" si="73"/>
        <v>0</v>
      </c>
      <c r="AC86" s="32"/>
      <c r="AD86" s="30"/>
    </row>
    <row r="87" spans="1:30" s="27" customFormat="1">
      <c r="A87" s="80" t="s">
        <v>71</v>
      </c>
      <c r="B87" s="72">
        <f>7607762.7/2</f>
        <v>3803881.35</v>
      </c>
      <c r="C87" s="73">
        <f>B87/12</f>
        <v>316990.11249999999</v>
      </c>
      <c r="D87" s="74">
        <v>1.67E-2</v>
      </c>
      <c r="E87" s="74">
        <v>0.1394</v>
      </c>
      <c r="F87" s="74">
        <v>5.6399999999999999E-2</v>
      </c>
      <c r="G87" s="74">
        <v>8.0199999999999994E-2</v>
      </c>
      <c r="H87" s="74">
        <v>4.1200000000000001E-2</v>
      </c>
      <c r="I87" s="74">
        <v>0.1346</v>
      </c>
      <c r="J87" s="74">
        <v>2.12E-2</v>
      </c>
      <c r="K87" s="74">
        <v>3.3700000000000001E-2</v>
      </c>
      <c r="L87" s="74">
        <v>1.7600000000000001E-2</v>
      </c>
      <c r="M87" s="74">
        <v>2.5499999999999998E-2</v>
      </c>
      <c r="N87" s="74">
        <v>0.12970000000000001</v>
      </c>
      <c r="O87" s="74">
        <v>1.8100000000000002E-2</v>
      </c>
      <c r="P87" s="74">
        <v>0</v>
      </c>
      <c r="Q87" s="74">
        <v>3.9199999999999999E-2</v>
      </c>
      <c r="R87" s="74">
        <v>1.95E-2</v>
      </c>
      <c r="S87" s="74">
        <v>2.3999999999999998E-3</v>
      </c>
      <c r="T87" s="74">
        <v>5.3900000000000003E-2</v>
      </c>
      <c r="U87" s="74">
        <v>1.84E-2</v>
      </c>
      <c r="V87" s="74">
        <v>3.7100000000000001E-2</v>
      </c>
      <c r="W87" s="74">
        <v>4.7800000000000002E-2</v>
      </c>
      <c r="X87" s="74">
        <v>6.4000000000000001E-2</v>
      </c>
      <c r="Y87" s="74">
        <v>2.7000000000000001E-3</v>
      </c>
      <c r="Z87" s="75">
        <v>0</v>
      </c>
      <c r="AA87" s="75">
        <v>6.9999999999999999E-4</v>
      </c>
      <c r="AB87" s="75">
        <v>0</v>
      </c>
      <c r="AC87" s="32"/>
      <c r="AD87" s="30"/>
    </row>
    <row r="88" spans="1:30" s="27" customFormat="1">
      <c r="A88" s="76"/>
      <c r="B88" s="77"/>
      <c r="C88" s="73"/>
      <c r="D88" s="78">
        <f t="shared" ref="D88:AB88" si="74">$C87*D87</f>
        <v>5293.7348787499996</v>
      </c>
      <c r="E88" s="78">
        <f t="shared" si="74"/>
        <v>44188.421682499997</v>
      </c>
      <c r="F88" s="78">
        <f t="shared" si="74"/>
        <v>17878.242344999999</v>
      </c>
      <c r="G88" s="78">
        <f t="shared" si="74"/>
        <v>25422.607022499997</v>
      </c>
      <c r="H88" s="78">
        <f t="shared" si="74"/>
        <v>13059.992635000001</v>
      </c>
      <c r="I88" s="78">
        <f t="shared" si="74"/>
        <v>42666.8691425</v>
      </c>
      <c r="J88" s="78">
        <f t="shared" si="74"/>
        <v>6720.1903849999999</v>
      </c>
      <c r="K88" s="78">
        <f t="shared" si="74"/>
        <v>10682.566791249999</v>
      </c>
      <c r="L88" s="78">
        <f t="shared" si="74"/>
        <v>5579.0259800000003</v>
      </c>
      <c r="M88" s="78">
        <f t="shared" si="74"/>
        <v>8083.2478687499988</v>
      </c>
      <c r="N88" s="78">
        <f t="shared" si="74"/>
        <v>41113.617591250004</v>
      </c>
      <c r="O88" s="78">
        <f t="shared" si="74"/>
        <v>5737.5210362500002</v>
      </c>
      <c r="P88" s="78">
        <f t="shared" si="74"/>
        <v>0</v>
      </c>
      <c r="Q88" s="78">
        <f t="shared" si="74"/>
        <v>12426.012409999999</v>
      </c>
      <c r="R88" s="78">
        <f t="shared" si="74"/>
        <v>6181.3071937499999</v>
      </c>
      <c r="S88" s="78">
        <f t="shared" si="74"/>
        <v>760.77626999999995</v>
      </c>
      <c r="T88" s="78">
        <f t="shared" si="74"/>
        <v>17085.767063750001</v>
      </c>
      <c r="U88" s="78">
        <f t="shared" si="74"/>
        <v>5832.6180699999995</v>
      </c>
      <c r="V88" s="78">
        <f t="shared" si="74"/>
        <v>11760.333173749999</v>
      </c>
      <c r="W88" s="78">
        <f t="shared" si="74"/>
        <v>15152.127377500001</v>
      </c>
      <c r="X88" s="78">
        <f t="shared" si="74"/>
        <v>20287.367200000001</v>
      </c>
      <c r="Y88" s="78">
        <f t="shared" si="74"/>
        <v>855.87330374999999</v>
      </c>
      <c r="Z88" s="78">
        <f t="shared" si="74"/>
        <v>0</v>
      </c>
      <c r="AA88" s="78">
        <f t="shared" si="74"/>
        <v>221.89307875</v>
      </c>
      <c r="AB88" s="78">
        <f t="shared" si="74"/>
        <v>0</v>
      </c>
      <c r="AC88" s="32"/>
      <c r="AD88" s="30"/>
    </row>
    <row r="89" spans="1:30" s="27" customFormat="1">
      <c r="A89" s="124" t="s">
        <v>89</v>
      </c>
      <c r="B89" s="72">
        <f>7607762.7/2</f>
        <v>3803881.35</v>
      </c>
      <c r="C89" s="73">
        <f>B89/12</f>
        <v>316990.11249999999</v>
      </c>
      <c r="D89" s="79"/>
      <c r="E89" s="79"/>
      <c r="F89" s="119">
        <v>0.33169999999999999</v>
      </c>
      <c r="G89" s="79"/>
      <c r="H89" s="119">
        <v>0</v>
      </c>
      <c r="I89" s="79"/>
      <c r="J89" s="79"/>
      <c r="K89" s="79"/>
      <c r="L89" s="79"/>
      <c r="M89" s="79"/>
      <c r="N89" s="119">
        <v>0.5131</v>
      </c>
      <c r="O89" s="79"/>
      <c r="P89" s="79"/>
      <c r="Q89" s="79"/>
      <c r="R89" s="79"/>
      <c r="S89" s="79"/>
      <c r="T89" s="79"/>
      <c r="U89" s="79"/>
      <c r="V89" s="119">
        <v>0.1552</v>
      </c>
      <c r="W89" s="79"/>
      <c r="X89" s="79"/>
      <c r="Y89" s="79"/>
      <c r="Z89" s="79"/>
      <c r="AA89" s="79"/>
      <c r="AB89" s="79"/>
      <c r="AC89" s="32"/>
      <c r="AD89" s="30"/>
    </row>
    <row r="90" spans="1:30" s="92" customFormat="1">
      <c r="A90" s="76"/>
      <c r="B90" s="77"/>
      <c r="C90" s="89"/>
      <c r="D90" s="78">
        <f t="shared" ref="D90:AB90" si="75">$C89*D89</f>
        <v>0</v>
      </c>
      <c r="E90" s="78">
        <f t="shared" si="75"/>
        <v>0</v>
      </c>
      <c r="F90" s="78">
        <f t="shared" si="75"/>
        <v>105145.62031624999</v>
      </c>
      <c r="G90" s="78">
        <f t="shared" si="75"/>
        <v>0</v>
      </c>
      <c r="H90" s="78">
        <f t="shared" si="75"/>
        <v>0</v>
      </c>
      <c r="I90" s="78">
        <f t="shared" si="75"/>
        <v>0</v>
      </c>
      <c r="J90" s="78">
        <f t="shared" si="75"/>
        <v>0</v>
      </c>
      <c r="K90" s="78">
        <f t="shared" si="75"/>
        <v>0</v>
      </c>
      <c r="L90" s="78">
        <f t="shared" si="75"/>
        <v>0</v>
      </c>
      <c r="M90" s="78">
        <f t="shared" si="75"/>
        <v>0</v>
      </c>
      <c r="N90" s="78">
        <f t="shared" si="75"/>
        <v>162647.62672375</v>
      </c>
      <c r="O90" s="78">
        <f t="shared" si="75"/>
        <v>0</v>
      </c>
      <c r="P90" s="78">
        <f t="shared" si="75"/>
        <v>0</v>
      </c>
      <c r="Q90" s="78">
        <f t="shared" si="75"/>
        <v>0</v>
      </c>
      <c r="R90" s="78">
        <f t="shared" si="75"/>
        <v>0</v>
      </c>
      <c r="S90" s="78">
        <f t="shared" si="75"/>
        <v>0</v>
      </c>
      <c r="T90" s="78">
        <f t="shared" si="75"/>
        <v>0</v>
      </c>
      <c r="U90" s="78">
        <f t="shared" si="75"/>
        <v>0</v>
      </c>
      <c r="V90" s="78">
        <f t="shared" si="75"/>
        <v>49196.865460000001</v>
      </c>
      <c r="W90" s="78">
        <f t="shared" si="75"/>
        <v>0</v>
      </c>
      <c r="X90" s="78">
        <f t="shared" si="75"/>
        <v>0</v>
      </c>
      <c r="Y90" s="78">
        <f t="shared" si="75"/>
        <v>0</v>
      </c>
      <c r="Z90" s="78">
        <f t="shared" si="75"/>
        <v>0</v>
      </c>
      <c r="AA90" s="78">
        <f t="shared" si="75"/>
        <v>0</v>
      </c>
      <c r="AB90" s="78">
        <f t="shared" si="75"/>
        <v>0</v>
      </c>
      <c r="AC90" s="90"/>
      <c r="AD90" s="91"/>
    </row>
    <row r="91" spans="1:30" s="27" customFormat="1">
      <c r="A91" s="9" t="s">
        <v>40</v>
      </c>
      <c r="B91" s="4">
        <f>SUM(B53:B89)</f>
        <v>126213694.99999999</v>
      </c>
      <c r="C91" s="60">
        <f>SUM(C53:C89)</f>
        <v>10517807.916666666</v>
      </c>
      <c r="D91" s="4">
        <f>D54+D56+D58+D64+D66+D68+D70+D72+D74+D76+D78+D80+D82+D84+D86+D88+D90</f>
        <v>87823.696104166665</v>
      </c>
      <c r="E91" s="4">
        <f t="shared" ref="E91:AB91" si="76">E54+E56+E58+E64+E66+E68+E70+E72+E74+E76+E78+E80+E82+E84+E86+E88+E90</f>
        <v>733091.21179166669</v>
      </c>
      <c r="F91" s="4">
        <f t="shared" si="76"/>
        <v>2119356.6544287251</v>
      </c>
      <c r="G91" s="4">
        <f t="shared" si="76"/>
        <v>421764.09745833324</v>
      </c>
      <c r="H91" s="4">
        <f t="shared" si="76"/>
        <v>486038.00410019944</v>
      </c>
      <c r="I91" s="4">
        <f t="shared" si="76"/>
        <v>707848.47279166663</v>
      </c>
      <c r="J91" s="4">
        <f t="shared" si="76"/>
        <v>111488.76391666666</v>
      </c>
      <c r="K91" s="4">
        <f t="shared" si="76"/>
        <v>177225.06339583333</v>
      </c>
      <c r="L91" s="4">
        <f t="shared" si="76"/>
        <v>92556.709666666677</v>
      </c>
      <c r="M91" s="4">
        <f t="shared" si="76"/>
        <v>218415.74449374998</v>
      </c>
      <c r="N91" s="4">
        <f t="shared" si="76"/>
        <v>2657543.5491792951</v>
      </c>
      <c r="O91" s="4">
        <f t="shared" si="76"/>
        <v>95186.161645833345</v>
      </c>
      <c r="P91" s="4">
        <f t="shared" si="76"/>
        <v>0</v>
      </c>
      <c r="Q91" s="4">
        <f t="shared" si="76"/>
        <v>206149.03516666664</v>
      </c>
      <c r="R91" s="4">
        <f t="shared" si="76"/>
        <v>205155.56493749999</v>
      </c>
      <c r="S91" s="4">
        <f t="shared" si="76"/>
        <v>12621.369499999999</v>
      </c>
      <c r="T91" s="4">
        <f t="shared" si="76"/>
        <v>283454.92335416668</v>
      </c>
      <c r="U91" s="4">
        <f t="shared" si="76"/>
        <v>96763.832833333319</v>
      </c>
      <c r="V91" s="4">
        <f t="shared" si="76"/>
        <v>1199181.0197084476</v>
      </c>
      <c r="W91" s="4">
        <f t="shared" si="76"/>
        <v>251375.60920833334</v>
      </c>
      <c r="X91" s="4">
        <f t="shared" si="76"/>
        <v>336869.4356333334</v>
      </c>
      <c r="Y91" s="4">
        <f t="shared" si="76"/>
        <v>14217.764581250003</v>
      </c>
      <c r="Z91" s="4">
        <f t="shared" si="76"/>
        <v>0</v>
      </c>
      <c r="AA91" s="4">
        <f t="shared" si="76"/>
        <v>3681.2327708333332</v>
      </c>
      <c r="AB91" s="4">
        <f t="shared" si="76"/>
        <v>0</v>
      </c>
      <c r="AC91" s="32"/>
      <c r="AD91" s="30"/>
    </row>
    <row r="92" spans="1:30" s="27" customFormat="1">
      <c r="A92" s="9"/>
      <c r="B92" s="4"/>
      <c r="C92" s="6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12"/>
      <c r="AA92" s="12"/>
      <c r="AB92" s="12"/>
      <c r="AC92" s="32"/>
      <c r="AD92" s="30"/>
    </row>
    <row r="93" spans="1:30" s="27" customFormat="1">
      <c r="A93" s="9"/>
      <c r="B93" s="4"/>
      <c r="C93" s="6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12"/>
      <c r="AA93" s="12"/>
      <c r="AB93" s="12"/>
      <c r="AC93" s="32"/>
      <c r="AD93" s="30"/>
    </row>
    <row r="94" spans="1:30" s="27" customFormat="1">
      <c r="A94" s="37"/>
      <c r="B94" s="10"/>
      <c r="C94" s="6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32"/>
      <c r="AD94" s="30"/>
    </row>
    <row r="95" spans="1:30" s="27" customFormat="1" ht="13.8" thickBot="1">
      <c r="A95" s="34" t="s">
        <v>41</v>
      </c>
      <c r="B95" s="35"/>
      <c r="C95" s="57"/>
      <c r="D95" s="35"/>
      <c r="E95" s="35"/>
      <c r="F95" s="35"/>
      <c r="G95" s="12"/>
      <c r="H95" s="15"/>
      <c r="I95" s="15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32"/>
      <c r="AD95" s="30"/>
    </row>
    <row r="96" spans="1:30" s="27" customFormat="1" ht="13.8" thickBot="1">
      <c r="A96" s="40" t="s">
        <v>1</v>
      </c>
      <c r="B96" s="41" t="s">
        <v>2</v>
      </c>
      <c r="C96" s="58" t="s">
        <v>3</v>
      </c>
      <c r="D96" s="137" t="s">
        <v>4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50"/>
      <c r="AA96" s="50"/>
      <c r="AB96" s="50"/>
      <c r="AC96" s="32"/>
      <c r="AD96" s="30"/>
    </row>
    <row r="97" spans="1:30" s="27" customFormat="1">
      <c r="A97" s="42" t="s">
        <v>5</v>
      </c>
      <c r="B97" s="43" t="s">
        <v>6</v>
      </c>
      <c r="C97" s="59" t="s">
        <v>6</v>
      </c>
      <c r="D97" s="44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6"/>
      <c r="Z97" s="43" t="s">
        <v>7</v>
      </c>
      <c r="AA97" s="43"/>
      <c r="AB97" s="43"/>
      <c r="AC97" s="32"/>
      <c r="AD97" s="30"/>
    </row>
    <row r="98" spans="1:30" s="27" customFormat="1">
      <c r="A98" s="42" t="s">
        <v>8</v>
      </c>
      <c r="B98" s="43" t="s">
        <v>9</v>
      </c>
      <c r="C98" s="59" t="s">
        <v>9</v>
      </c>
      <c r="D98" s="47" t="s">
        <v>10</v>
      </c>
      <c r="E98" s="43" t="s">
        <v>11</v>
      </c>
      <c r="F98" s="43" t="s">
        <v>12</v>
      </c>
      <c r="G98" s="43" t="s">
        <v>13</v>
      </c>
      <c r="H98" s="43" t="s">
        <v>14</v>
      </c>
      <c r="I98" s="43" t="s">
        <v>15</v>
      </c>
      <c r="J98" s="43" t="s">
        <v>16</v>
      </c>
      <c r="K98" s="43" t="s">
        <v>17</v>
      </c>
      <c r="L98" s="43" t="s">
        <v>18</v>
      </c>
      <c r="M98" s="43" t="s">
        <v>19</v>
      </c>
      <c r="N98" s="43" t="s">
        <v>20</v>
      </c>
      <c r="O98" s="43" t="s">
        <v>57</v>
      </c>
      <c r="P98" s="43" t="s">
        <v>21</v>
      </c>
      <c r="Q98" s="43" t="s">
        <v>22</v>
      </c>
      <c r="R98" s="43" t="s">
        <v>23</v>
      </c>
      <c r="S98" s="43" t="s">
        <v>24</v>
      </c>
      <c r="T98" s="43" t="s">
        <v>25</v>
      </c>
      <c r="U98" s="43" t="s">
        <v>26</v>
      </c>
      <c r="V98" s="43" t="s">
        <v>27</v>
      </c>
      <c r="W98" s="43" t="s">
        <v>28</v>
      </c>
      <c r="X98" s="43" t="s">
        <v>29</v>
      </c>
      <c r="Y98" s="43" t="s">
        <v>30</v>
      </c>
      <c r="Z98" s="43" t="s">
        <v>31</v>
      </c>
      <c r="AA98" s="43" t="s">
        <v>115</v>
      </c>
      <c r="AB98" s="43" t="s">
        <v>113</v>
      </c>
      <c r="AC98" s="32"/>
      <c r="AD98" s="30"/>
    </row>
    <row r="99" spans="1:30" s="27" customFormat="1">
      <c r="A99" s="42"/>
      <c r="B99" s="43"/>
      <c r="C99" s="132" t="s">
        <v>133</v>
      </c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32"/>
      <c r="AD99" s="30"/>
    </row>
    <row r="100" spans="1:30" s="27" customFormat="1">
      <c r="A100" s="71" t="s">
        <v>128</v>
      </c>
      <c r="B100" s="72">
        <f>2264803/2</f>
        <v>1132401.5</v>
      </c>
      <c r="C100" s="89">
        <f>B100/12</f>
        <v>94366.791666666672</v>
      </c>
      <c r="D100" s="74">
        <v>1.67E-2</v>
      </c>
      <c r="E100" s="74">
        <v>0.1394</v>
      </c>
      <c r="F100" s="74">
        <v>5.6399999999999999E-2</v>
      </c>
      <c r="G100" s="74">
        <v>8.0199999999999994E-2</v>
      </c>
      <c r="H100" s="74">
        <v>4.1200000000000001E-2</v>
      </c>
      <c r="I100" s="74">
        <v>0.1346</v>
      </c>
      <c r="J100" s="74">
        <v>2.12E-2</v>
      </c>
      <c r="K100" s="74">
        <v>3.3700000000000001E-2</v>
      </c>
      <c r="L100" s="74">
        <v>1.7600000000000001E-2</v>
      </c>
      <c r="M100" s="74">
        <v>2.5499999999999998E-2</v>
      </c>
      <c r="N100" s="74">
        <v>0.12970000000000001</v>
      </c>
      <c r="O100" s="74">
        <v>1.8100000000000002E-2</v>
      </c>
      <c r="P100" s="74">
        <v>0</v>
      </c>
      <c r="Q100" s="74">
        <v>3.9199999999999999E-2</v>
      </c>
      <c r="R100" s="74">
        <v>1.95E-2</v>
      </c>
      <c r="S100" s="74">
        <v>2.3999999999999998E-3</v>
      </c>
      <c r="T100" s="74">
        <v>5.3900000000000003E-2</v>
      </c>
      <c r="U100" s="74">
        <v>1.84E-2</v>
      </c>
      <c r="V100" s="74">
        <v>3.7100000000000001E-2</v>
      </c>
      <c r="W100" s="74">
        <v>4.7800000000000002E-2</v>
      </c>
      <c r="X100" s="74">
        <v>6.4000000000000001E-2</v>
      </c>
      <c r="Y100" s="74">
        <v>2.7000000000000001E-3</v>
      </c>
      <c r="Z100" s="75">
        <v>0</v>
      </c>
      <c r="AA100" s="75">
        <v>6.9999999999999999E-4</v>
      </c>
      <c r="AB100" s="75">
        <v>0</v>
      </c>
      <c r="AC100" s="32"/>
      <c r="AD100" s="30"/>
    </row>
    <row r="101" spans="1:30" s="27" customFormat="1">
      <c r="A101" s="76"/>
      <c r="B101" s="77"/>
      <c r="C101" s="87"/>
      <c r="D101" s="78">
        <f t="shared" ref="D101" si="77">$C100*D100</f>
        <v>1575.9254208333334</v>
      </c>
      <c r="E101" s="78">
        <f t="shared" ref="E101" si="78">$C100*E100</f>
        <v>13154.730758333333</v>
      </c>
      <c r="F101" s="78">
        <f t="shared" ref="F101:O101" si="79">$C100*F100</f>
        <v>5322.2870499999999</v>
      </c>
      <c r="G101" s="78">
        <f t="shared" si="79"/>
        <v>7568.2166916666665</v>
      </c>
      <c r="H101" s="78">
        <f t="shared" si="79"/>
        <v>3887.9118166666667</v>
      </c>
      <c r="I101" s="78">
        <f t="shared" si="79"/>
        <v>12701.770158333335</v>
      </c>
      <c r="J101" s="78">
        <f t="shared" si="79"/>
        <v>2000.5759833333334</v>
      </c>
      <c r="K101" s="78">
        <f t="shared" si="79"/>
        <v>3180.1608791666667</v>
      </c>
      <c r="L101" s="78">
        <f t="shared" si="79"/>
        <v>1660.8555333333336</v>
      </c>
      <c r="M101" s="78">
        <f t="shared" si="79"/>
        <v>2406.3531874999999</v>
      </c>
      <c r="N101" s="78">
        <f t="shared" si="79"/>
        <v>12239.372879166669</v>
      </c>
      <c r="O101" s="78">
        <f t="shared" si="79"/>
        <v>1708.038929166667</v>
      </c>
      <c r="P101" s="78">
        <f t="shared" ref="P101" si="80">$C100*P100</f>
        <v>0</v>
      </c>
      <c r="Q101" s="78">
        <f t="shared" ref="Q101" si="81">$C100*Q100</f>
        <v>3699.1782333333335</v>
      </c>
      <c r="R101" s="78">
        <f t="shared" ref="R101:AB101" si="82">$C100*R100</f>
        <v>1840.1524375000001</v>
      </c>
      <c r="S101" s="78">
        <f t="shared" si="82"/>
        <v>226.4803</v>
      </c>
      <c r="T101" s="78">
        <f t="shared" si="82"/>
        <v>5086.3700708333336</v>
      </c>
      <c r="U101" s="78">
        <f t="shared" si="82"/>
        <v>1736.3489666666667</v>
      </c>
      <c r="V101" s="78">
        <f t="shared" si="82"/>
        <v>3501.0079708333337</v>
      </c>
      <c r="W101" s="78">
        <f t="shared" si="82"/>
        <v>4510.7326416666674</v>
      </c>
      <c r="X101" s="78">
        <f t="shared" si="82"/>
        <v>6039.474666666667</v>
      </c>
      <c r="Y101" s="78">
        <f t="shared" si="82"/>
        <v>254.79033750000002</v>
      </c>
      <c r="Z101" s="78">
        <f t="shared" si="82"/>
        <v>0</v>
      </c>
      <c r="AA101" s="78">
        <f t="shared" si="82"/>
        <v>66.056754166666664</v>
      </c>
      <c r="AB101" s="78">
        <f t="shared" si="82"/>
        <v>0</v>
      </c>
      <c r="AC101" s="32"/>
      <c r="AD101" s="30"/>
    </row>
    <row r="102" spans="1:30" s="27" customFormat="1">
      <c r="A102" s="125" t="s">
        <v>129</v>
      </c>
      <c r="B102" s="72">
        <f>2264803/2</f>
        <v>1132401.5</v>
      </c>
      <c r="C102" s="89">
        <f>B102/12</f>
        <v>94366.791666666672</v>
      </c>
      <c r="D102" s="120">
        <v>5.1999999999999998E-3</v>
      </c>
      <c r="E102" s="75"/>
      <c r="F102" s="120">
        <v>8.3799999999999999E-2</v>
      </c>
      <c r="G102" s="120">
        <v>2.5399999999999999E-2</v>
      </c>
      <c r="H102" s="120">
        <v>0.17960000000000001</v>
      </c>
      <c r="I102" s="75"/>
      <c r="J102" s="75"/>
      <c r="K102" s="75"/>
      <c r="L102" s="75"/>
      <c r="M102" s="120">
        <v>2.7199999999999998E-2</v>
      </c>
      <c r="N102" s="75"/>
      <c r="O102" s="75"/>
      <c r="P102" s="75"/>
      <c r="Q102" s="120">
        <v>0.1273</v>
      </c>
      <c r="R102" s="75"/>
      <c r="S102" s="120">
        <v>1.3899999999999999E-2</v>
      </c>
      <c r="T102" s="120">
        <v>0</v>
      </c>
      <c r="U102" s="75">
        <v>0</v>
      </c>
      <c r="V102" s="120">
        <v>0.26390000000000002</v>
      </c>
      <c r="W102" s="75"/>
      <c r="X102" s="120">
        <v>0.26350000000000001</v>
      </c>
      <c r="Y102" s="120">
        <v>1.0200000000000001E-2</v>
      </c>
      <c r="Z102" s="75"/>
      <c r="AA102" s="75"/>
      <c r="AB102" s="75"/>
      <c r="AC102" s="32"/>
      <c r="AD102" s="30"/>
    </row>
    <row r="103" spans="1:30" s="27" customFormat="1">
      <c r="A103" s="76"/>
      <c r="B103" s="77"/>
      <c r="C103" s="87"/>
      <c r="D103" s="78">
        <f t="shared" ref="D103" si="83">$C102*D102</f>
        <v>490.70731666666666</v>
      </c>
      <c r="E103" s="78">
        <f t="shared" ref="E103" si="84">$C102*E102</f>
        <v>0</v>
      </c>
      <c r="F103" s="78">
        <f t="shared" ref="F103:O103" si="85">$C102*F102</f>
        <v>7907.9371416666672</v>
      </c>
      <c r="G103" s="78">
        <f t="shared" si="85"/>
        <v>2396.9165083333332</v>
      </c>
      <c r="H103" s="78">
        <f t="shared" si="85"/>
        <v>16948.275783333334</v>
      </c>
      <c r="I103" s="78">
        <f t="shared" si="85"/>
        <v>0</v>
      </c>
      <c r="J103" s="78">
        <f t="shared" si="85"/>
        <v>0</v>
      </c>
      <c r="K103" s="78">
        <f t="shared" si="85"/>
        <v>0</v>
      </c>
      <c r="L103" s="78">
        <f t="shared" si="85"/>
        <v>0</v>
      </c>
      <c r="M103" s="78">
        <f t="shared" si="85"/>
        <v>2566.7767333333331</v>
      </c>
      <c r="N103" s="78">
        <f t="shared" si="85"/>
        <v>0</v>
      </c>
      <c r="O103" s="78">
        <f t="shared" si="85"/>
        <v>0</v>
      </c>
      <c r="P103" s="78">
        <f t="shared" ref="P103" si="86">$C102*P102</f>
        <v>0</v>
      </c>
      <c r="Q103" s="78">
        <f t="shared" ref="Q103" si="87">$C102*Q102</f>
        <v>12012.892579166666</v>
      </c>
      <c r="R103" s="78">
        <f t="shared" ref="R103:AB103" si="88">$C102*R102</f>
        <v>0</v>
      </c>
      <c r="S103" s="78">
        <f t="shared" si="88"/>
        <v>1311.6984041666667</v>
      </c>
      <c r="T103" s="78">
        <f t="shared" si="88"/>
        <v>0</v>
      </c>
      <c r="U103" s="78">
        <f t="shared" si="88"/>
        <v>0</v>
      </c>
      <c r="V103" s="78">
        <f t="shared" si="88"/>
        <v>24903.396320833337</v>
      </c>
      <c r="W103" s="78">
        <f t="shared" si="88"/>
        <v>0</v>
      </c>
      <c r="X103" s="78">
        <f t="shared" si="88"/>
        <v>24865.649604166669</v>
      </c>
      <c r="Y103" s="78">
        <f t="shared" si="88"/>
        <v>962.54127500000016</v>
      </c>
      <c r="Z103" s="78">
        <f t="shared" si="88"/>
        <v>0</v>
      </c>
      <c r="AA103" s="78">
        <f t="shared" si="88"/>
        <v>0</v>
      </c>
      <c r="AB103" s="78">
        <f t="shared" si="88"/>
        <v>0</v>
      </c>
      <c r="AC103" s="32"/>
      <c r="AD103" s="30"/>
    </row>
    <row r="104" spans="1:30" s="27" customFormat="1">
      <c r="A104" s="9" t="s">
        <v>40</v>
      </c>
      <c r="B104" s="4">
        <f>SUM(B100:B103)</f>
        <v>2264803</v>
      </c>
      <c r="C104" s="60">
        <f>SUM(C100:C103)</f>
        <v>188733.58333333334</v>
      </c>
      <c r="D104" s="4">
        <f>D101+D103</f>
        <v>2066.6327375000001</v>
      </c>
      <c r="E104" s="4">
        <f t="shared" ref="E104:AB104" si="89">E101+E103</f>
        <v>13154.730758333333</v>
      </c>
      <c r="F104" s="4">
        <f t="shared" si="89"/>
        <v>13230.224191666668</v>
      </c>
      <c r="G104" s="4">
        <f t="shared" si="89"/>
        <v>9965.1332000000002</v>
      </c>
      <c r="H104" s="4">
        <f t="shared" si="89"/>
        <v>20836.187600000001</v>
      </c>
      <c r="I104" s="4">
        <f t="shared" si="89"/>
        <v>12701.770158333335</v>
      </c>
      <c r="J104" s="4">
        <f t="shared" si="89"/>
        <v>2000.5759833333334</v>
      </c>
      <c r="K104" s="4">
        <f t="shared" si="89"/>
        <v>3180.1608791666667</v>
      </c>
      <c r="L104" s="4">
        <f t="shared" si="89"/>
        <v>1660.8555333333336</v>
      </c>
      <c r="M104" s="4">
        <f t="shared" si="89"/>
        <v>4973.129920833333</v>
      </c>
      <c r="N104" s="4">
        <f t="shared" si="89"/>
        <v>12239.372879166669</v>
      </c>
      <c r="O104" s="4">
        <f t="shared" si="89"/>
        <v>1708.038929166667</v>
      </c>
      <c r="P104" s="4">
        <f t="shared" si="89"/>
        <v>0</v>
      </c>
      <c r="Q104" s="4">
        <f t="shared" si="89"/>
        <v>15712.0708125</v>
      </c>
      <c r="R104" s="4">
        <f t="shared" si="89"/>
        <v>1840.1524375000001</v>
      </c>
      <c r="S104" s="4">
        <f t="shared" si="89"/>
        <v>1538.1787041666666</v>
      </c>
      <c r="T104" s="4">
        <f t="shared" si="89"/>
        <v>5086.3700708333336</v>
      </c>
      <c r="U104" s="4">
        <f t="shared" si="89"/>
        <v>1736.3489666666667</v>
      </c>
      <c r="V104" s="4">
        <f t="shared" si="89"/>
        <v>28404.404291666669</v>
      </c>
      <c r="W104" s="4">
        <f t="shared" si="89"/>
        <v>4510.7326416666674</v>
      </c>
      <c r="X104" s="4">
        <f t="shared" si="89"/>
        <v>30905.124270833338</v>
      </c>
      <c r="Y104" s="4">
        <f t="shared" si="89"/>
        <v>1217.3316125000001</v>
      </c>
      <c r="Z104" s="4">
        <f t="shared" si="89"/>
        <v>0</v>
      </c>
      <c r="AA104" s="4">
        <f t="shared" si="89"/>
        <v>66.056754166666664</v>
      </c>
      <c r="AB104" s="4">
        <f t="shared" si="89"/>
        <v>0</v>
      </c>
      <c r="AC104" s="32"/>
      <c r="AD104" s="30"/>
    </row>
    <row r="105" spans="1:30" s="27" customFormat="1">
      <c r="A105" s="9"/>
      <c r="B105" s="4"/>
      <c r="C105" s="6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32"/>
      <c r="AD105" s="30"/>
    </row>
    <row r="106" spans="1:30" s="27" customFormat="1" ht="13.8" thickBot="1">
      <c r="A106" s="9"/>
      <c r="B106" s="4"/>
      <c r="C106" s="6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32"/>
      <c r="AD106" s="30"/>
    </row>
    <row r="107" spans="1:30" s="27" customFormat="1" ht="13.8" thickBot="1">
      <c r="A107" s="40" t="s">
        <v>1</v>
      </c>
      <c r="B107" s="41" t="s">
        <v>2</v>
      </c>
      <c r="C107" s="58" t="s">
        <v>3</v>
      </c>
      <c r="D107" s="137" t="s">
        <v>4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50"/>
      <c r="AA107" s="50"/>
      <c r="AB107" s="50"/>
      <c r="AC107" s="32"/>
      <c r="AD107" s="30"/>
    </row>
    <row r="108" spans="1:30" s="27" customFormat="1">
      <c r="A108" s="42" t="s">
        <v>5</v>
      </c>
      <c r="B108" s="43" t="s">
        <v>6</v>
      </c>
      <c r="C108" s="59" t="s">
        <v>6</v>
      </c>
      <c r="D108" s="44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6"/>
      <c r="Z108" s="43" t="s">
        <v>7</v>
      </c>
      <c r="AA108" s="43"/>
      <c r="AB108" s="43"/>
      <c r="AC108" s="32"/>
      <c r="AD108" s="30"/>
    </row>
    <row r="109" spans="1:30" s="27" customFormat="1">
      <c r="A109" s="42" t="s">
        <v>8</v>
      </c>
      <c r="B109" s="43" t="s">
        <v>9</v>
      </c>
      <c r="C109" s="59" t="s">
        <v>9</v>
      </c>
      <c r="D109" s="47" t="s">
        <v>10</v>
      </c>
      <c r="E109" s="43" t="s">
        <v>11</v>
      </c>
      <c r="F109" s="43" t="s">
        <v>12</v>
      </c>
      <c r="G109" s="43" t="s">
        <v>13</v>
      </c>
      <c r="H109" s="43" t="s">
        <v>14</v>
      </c>
      <c r="I109" s="43" t="s">
        <v>15</v>
      </c>
      <c r="J109" s="43" t="s">
        <v>16</v>
      </c>
      <c r="K109" s="43" t="s">
        <v>17</v>
      </c>
      <c r="L109" s="43" t="s">
        <v>18</v>
      </c>
      <c r="M109" s="43" t="s">
        <v>19</v>
      </c>
      <c r="N109" s="43" t="s">
        <v>20</v>
      </c>
      <c r="O109" s="43" t="s">
        <v>57</v>
      </c>
      <c r="P109" s="43" t="s">
        <v>21</v>
      </c>
      <c r="Q109" s="43" t="s">
        <v>22</v>
      </c>
      <c r="R109" s="43" t="s">
        <v>23</v>
      </c>
      <c r="S109" s="43" t="s">
        <v>24</v>
      </c>
      <c r="T109" s="43" t="s">
        <v>25</v>
      </c>
      <c r="U109" s="43" t="s">
        <v>26</v>
      </c>
      <c r="V109" s="43" t="s">
        <v>27</v>
      </c>
      <c r="W109" s="43" t="s">
        <v>28</v>
      </c>
      <c r="X109" s="43" t="s">
        <v>29</v>
      </c>
      <c r="Y109" s="43" t="s">
        <v>30</v>
      </c>
      <c r="Z109" s="43" t="s">
        <v>31</v>
      </c>
      <c r="AA109" s="43" t="s">
        <v>115</v>
      </c>
      <c r="AB109" s="43" t="s">
        <v>113</v>
      </c>
      <c r="AC109" s="32"/>
      <c r="AD109" s="30"/>
    </row>
    <row r="110" spans="1:30" s="27" customFormat="1">
      <c r="A110" s="42"/>
      <c r="B110" s="43"/>
      <c r="C110" s="132" t="s">
        <v>132</v>
      </c>
      <c r="D110" s="48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32"/>
      <c r="AD110" s="30"/>
    </row>
    <row r="111" spans="1:30" s="27" customFormat="1">
      <c r="A111" s="71" t="s">
        <v>128</v>
      </c>
      <c r="B111" s="72">
        <f>1107677/2</f>
        <v>553838.5</v>
      </c>
      <c r="C111" s="89">
        <f>B111/12</f>
        <v>46153.208333333336</v>
      </c>
      <c r="D111" s="74">
        <v>1.67E-2</v>
      </c>
      <c r="E111" s="74">
        <v>0.1394</v>
      </c>
      <c r="F111" s="74">
        <v>5.6399999999999999E-2</v>
      </c>
      <c r="G111" s="74">
        <v>8.0199999999999994E-2</v>
      </c>
      <c r="H111" s="74">
        <v>4.1200000000000001E-2</v>
      </c>
      <c r="I111" s="74">
        <v>0.1346</v>
      </c>
      <c r="J111" s="74">
        <v>2.12E-2</v>
      </c>
      <c r="K111" s="74">
        <v>3.3700000000000001E-2</v>
      </c>
      <c r="L111" s="74">
        <v>1.7600000000000001E-2</v>
      </c>
      <c r="M111" s="74">
        <v>2.5499999999999998E-2</v>
      </c>
      <c r="N111" s="74">
        <v>0.12970000000000001</v>
      </c>
      <c r="O111" s="74">
        <v>1.8100000000000002E-2</v>
      </c>
      <c r="P111" s="74">
        <v>0</v>
      </c>
      <c r="Q111" s="74">
        <v>3.9199999999999999E-2</v>
      </c>
      <c r="R111" s="74">
        <v>1.95E-2</v>
      </c>
      <c r="S111" s="74">
        <v>2.3999999999999998E-3</v>
      </c>
      <c r="T111" s="74">
        <v>5.3900000000000003E-2</v>
      </c>
      <c r="U111" s="74">
        <v>1.84E-2</v>
      </c>
      <c r="V111" s="74">
        <v>3.7100000000000001E-2</v>
      </c>
      <c r="W111" s="74">
        <v>4.7800000000000002E-2</v>
      </c>
      <c r="X111" s="74">
        <v>6.4000000000000001E-2</v>
      </c>
      <c r="Y111" s="74">
        <v>2.7000000000000001E-3</v>
      </c>
      <c r="Z111" s="75">
        <v>0</v>
      </c>
      <c r="AA111" s="75">
        <v>6.9999999999999999E-4</v>
      </c>
      <c r="AB111" s="75">
        <v>0</v>
      </c>
      <c r="AC111" s="32"/>
      <c r="AD111" s="30"/>
    </row>
    <row r="112" spans="1:30" s="27" customFormat="1">
      <c r="A112" s="76"/>
      <c r="B112" s="77"/>
      <c r="C112" s="87"/>
      <c r="D112" s="78">
        <f t="shared" ref="D112:AB112" si="90">$C111*D111</f>
        <v>770.75857916666666</v>
      </c>
      <c r="E112" s="78">
        <f t="shared" si="90"/>
        <v>6433.7572416666671</v>
      </c>
      <c r="F112" s="78">
        <f t="shared" si="90"/>
        <v>2603.0409500000001</v>
      </c>
      <c r="G112" s="78">
        <f t="shared" si="90"/>
        <v>3701.4873083333332</v>
      </c>
      <c r="H112" s="78">
        <f t="shared" si="90"/>
        <v>1901.5121833333335</v>
      </c>
      <c r="I112" s="78">
        <f t="shared" si="90"/>
        <v>6212.2218416666665</v>
      </c>
      <c r="J112" s="78">
        <f t="shared" si="90"/>
        <v>978.44801666666672</v>
      </c>
      <c r="K112" s="78">
        <f t="shared" si="90"/>
        <v>1555.3631208333334</v>
      </c>
      <c r="L112" s="78">
        <f t="shared" si="90"/>
        <v>812.29646666666679</v>
      </c>
      <c r="M112" s="78">
        <f t="shared" si="90"/>
        <v>1176.9068124999999</v>
      </c>
      <c r="N112" s="78">
        <f t="shared" si="90"/>
        <v>5986.0711208333341</v>
      </c>
      <c r="O112" s="78">
        <f t="shared" si="90"/>
        <v>835.37307083333349</v>
      </c>
      <c r="P112" s="78">
        <f t="shared" si="90"/>
        <v>0</v>
      </c>
      <c r="Q112" s="78">
        <f t="shared" si="90"/>
        <v>1809.2057666666667</v>
      </c>
      <c r="R112" s="78">
        <f t="shared" si="90"/>
        <v>899.98756250000008</v>
      </c>
      <c r="S112" s="78">
        <f t="shared" si="90"/>
        <v>110.76769999999999</v>
      </c>
      <c r="T112" s="78">
        <f t="shared" si="90"/>
        <v>2487.6579291666671</v>
      </c>
      <c r="U112" s="78">
        <f t="shared" si="90"/>
        <v>849.21903333333341</v>
      </c>
      <c r="V112" s="78">
        <f t="shared" si="90"/>
        <v>1712.2840291666669</v>
      </c>
      <c r="W112" s="78">
        <f t="shared" si="90"/>
        <v>2206.1233583333337</v>
      </c>
      <c r="X112" s="78">
        <f t="shared" si="90"/>
        <v>2953.8053333333337</v>
      </c>
      <c r="Y112" s="78">
        <f t="shared" si="90"/>
        <v>124.61366250000002</v>
      </c>
      <c r="Z112" s="78">
        <f t="shared" si="90"/>
        <v>0</v>
      </c>
      <c r="AA112" s="78">
        <f t="shared" si="90"/>
        <v>32.307245833333333</v>
      </c>
      <c r="AB112" s="78">
        <f t="shared" si="90"/>
        <v>0</v>
      </c>
      <c r="AC112" s="32"/>
      <c r="AD112" s="30"/>
    </row>
    <row r="113" spans="1:30" s="27" customFormat="1">
      <c r="A113" s="125" t="s">
        <v>129</v>
      </c>
      <c r="B113" s="72">
        <v>553838.5</v>
      </c>
      <c r="C113" s="89">
        <f>B113/12</f>
        <v>46153.208333333336</v>
      </c>
      <c r="D113" s="120">
        <v>5.1999999999999998E-3</v>
      </c>
      <c r="E113" s="75"/>
      <c r="F113" s="120">
        <v>8.3799999999999999E-2</v>
      </c>
      <c r="G113" s="120">
        <v>2.5399999999999999E-2</v>
      </c>
      <c r="H113" s="120">
        <v>0.17960000000000001</v>
      </c>
      <c r="I113" s="75"/>
      <c r="J113" s="75"/>
      <c r="K113" s="75"/>
      <c r="L113" s="75"/>
      <c r="M113" s="120">
        <v>2.7199999999999998E-2</v>
      </c>
      <c r="N113" s="75"/>
      <c r="O113" s="75"/>
      <c r="P113" s="75"/>
      <c r="Q113" s="120">
        <v>0.1273</v>
      </c>
      <c r="R113" s="75"/>
      <c r="S113" s="120">
        <v>1.3899999999999999E-2</v>
      </c>
      <c r="T113" s="120">
        <v>0</v>
      </c>
      <c r="U113" s="75">
        <v>0</v>
      </c>
      <c r="V113" s="120">
        <v>0.26390000000000002</v>
      </c>
      <c r="W113" s="75"/>
      <c r="X113" s="120">
        <v>0.26350000000000001</v>
      </c>
      <c r="Y113" s="120">
        <v>1.0200000000000001E-2</v>
      </c>
      <c r="Z113" s="75"/>
      <c r="AA113" s="75"/>
      <c r="AB113" s="75"/>
      <c r="AC113" s="32"/>
      <c r="AD113" s="30"/>
    </row>
    <row r="114" spans="1:30" s="27" customFormat="1">
      <c r="A114" s="76"/>
      <c r="B114" s="77"/>
      <c r="C114" s="87"/>
      <c r="D114" s="78">
        <f t="shared" ref="D114:AB114" si="91">$C113*D113</f>
        <v>239.99668333333332</v>
      </c>
      <c r="E114" s="78">
        <f t="shared" si="91"/>
        <v>0</v>
      </c>
      <c r="F114" s="78">
        <f t="shared" si="91"/>
        <v>3867.6388583333337</v>
      </c>
      <c r="G114" s="78">
        <f t="shared" si="91"/>
        <v>1172.2914916666666</v>
      </c>
      <c r="H114" s="78">
        <f t="shared" si="91"/>
        <v>8289.1162166666672</v>
      </c>
      <c r="I114" s="78">
        <f t="shared" si="91"/>
        <v>0</v>
      </c>
      <c r="J114" s="78">
        <f t="shared" si="91"/>
        <v>0</v>
      </c>
      <c r="K114" s="78">
        <f t="shared" si="91"/>
        <v>0</v>
      </c>
      <c r="L114" s="78">
        <f t="shared" si="91"/>
        <v>0</v>
      </c>
      <c r="M114" s="78">
        <f t="shared" si="91"/>
        <v>1255.3672666666666</v>
      </c>
      <c r="N114" s="78">
        <f t="shared" si="91"/>
        <v>0</v>
      </c>
      <c r="O114" s="78">
        <f t="shared" si="91"/>
        <v>0</v>
      </c>
      <c r="P114" s="78">
        <f t="shared" si="91"/>
        <v>0</v>
      </c>
      <c r="Q114" s="78">
        <f t="shared" si="91"/>
        <v>5875.3034208333338</v>
      </c>
      <c r="R114" s="78">
        <f t="shared" si="91"/>
        <v>0</v>
      </c>
      <c r="S114" s="78">
        <f t="shared" si="91"/>
        <v>641.52959583333336</v>
      </c>
      <c r="T114" s="78">
        <f t="shared" si="91"/>
        <v>0</v>
      </c>
      <c r="U114" s="78">
        <f t="shared" si="91"/>
        <v>0</v>
      </c>
      <c r="V114" s="78">
        <f t="shared" si="91"/>
        <v>12179.831679166668</v>
      </c>
      <c r="W114" s="78">
        <f t="shared" si="91"/>
        <v>0</v>
      </c>
      <c r="X114" s="78">
        <f t="shared" si="91"/>
        <v>12161.370395833335</v>
      </c>
      <c r="Y114" s="78">
        <f t="shared" si="91"/>
        <v>470.76272500000005</v>
      </c>
      <c r="Z114" s="78">
        <f t="shared" si="91"/>
        <v>0</v>
      </c>
      <c r="AA114" s="78">
        <f t="shared" si="91"/>
        <v>0</v>
      </c>
      <c r="AB114" s="78">
        <f t="shared" si="91"/>
        <v>0</v>
      </c>
      <c r="AC114" s="32"/>
      <c r="AD114" s="30"/>
    </row>
    <row r="115" spans="1:30" s="27" customFormat="1">
      <c r="A115" s="9" t="s">
        <v>40</v>
      </c>
      <c r="B115" s="4">
        <f>SUM(B111:B114)</f>
        <v>1107677</v>
      </c>
      <c r="C115" s="60">
        <f>SUM(C111:C114)</f>
        <v>92306.416666666672</v>
      </c>
      <c r="D115" s="4">
        <f>D112+D114</f>
        <v>1010.7552625</v>
      </c>
      <c r="E115" s="4">
        <f t="shared" ref="E115:AB115" si="92">E112+E114</f>
        <v>6433.7572416666671</v>
      </c>
      <c r="F115" s="4">
        <f t="shared" si="92"/>
        <v>6470.6798083333342</v>
      </c>
      <c r="G115" s="4">
        <f t="shared" si="92"/>
        <v>4873.7788</v>
      </c>
      <c r="H115" s="4">
        <f t="shared" si="92"/>
        <v>10190.628400000001</v>
      </c>
      <c r="I115" s="4">
        <f t="shared" si="92"/>
        <v>6212.2218416666665</v>
      </c>
      <c r="J115" s="4">
        <f t="shared" si="92"/>
        <v>978.44801666666672</v>
      </c>
      <c r="K115" s="4">
        <f t="shared" si="92"/>
        <v>1555.3631208333334</v>
      </c>
      <c r="L115" s="4">
        <f t="shared" si="92"/>
        <v>812.29646666666679</v>
      </c>
      <c r="M115" s="4">
        <f t="shared" si="92"/>
        <v>2432.2740791666665</v>
      </c>
      <c r="N115" s="4">
        <f t="shared" si="92"/>
        <v>5986.0711208333341</v>
      </c>
      <c r="O115" s="4">
        <f t="shared" si="92"/>
        <v>835.37307083333349</v>
      </c>
      <c r="P115" s="4">
        <f t="shared" si="92"/>
        <v>0</v>
      </c>
      <c r="Q115" s="4">
        <f t="shared" si="92"/>
        <v>7684.5091875000007</v>
      </c>
      <c r="R115" s="4">
        <f t="shared" si="92"/>
        <v>899.98756250000008</v>
      </c>
      <c r="S115" s="4">
        <f t="shared" si="92"/>
        <v>752.29729583333335</v>
      </c>
      <c r="T115" s="4">
        <f t="shared" si="92"/>
        <v>2487.6579291666671</v>
      </c>
      <c r="U115" s="4">
        <f t="shared" si="92"/>
        <v>849.21903333333341</v>
      </c>
      <c r="V115" s="4">
        <f t="shared" si="92"/>
        <v>13892.115708333335</v>
      </c>
      <c r="W115" s="4">
        <f t="shared" si="92"/>
        <v>2206.1233583333337</v>
      </c>
      <c r="X115" s="4">
        <f t="shared" si="92"/>
        <v>15115.175729166669</v>
      </c>
      <c r="Y115" s="4">
        <f t="shared" si="92"/>
        <v>595.37638750000008</v>
      </c>
      <c r="Z115" s="4">
        <f t="shared" si="92"/>
        <v>0</v>
      </c>
      <c r="AA115" s="4">
        <f t="shared" si="92"/>
        <v>32.307245833333333</v>
      </c>
      <c r="AB115" s="4">
        <f t="shared" si="92"/>
        <v>0</v>
      </c>
      <c r="AC115" s="32"/>
      <c r="AD115" s="30"/>
    </row>
    <row r="116" spans="1:30" s="27" customFormat="1">
      <c r="A116" s="18"/>
      <c r="B116" s="12"/>
      <c r="C116" s="60"/>
      <c r="D116" s="4"/>
      <c r="E116" s="20"/>
      <c r="F116" s="20"/>
      <c r="G116" s="20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4"/>
      <c r="X116" s="12"/>
      <c r="Y116" s="12"/>
      <c r="Z116" s="12"/>
      <c r="AA116" s="12"/>
      <c r="AB116" s="12"/>
      <c r="AC116" s="32"/>
      <c r="AD116" s="30"/>
    </row>
    <row r="117" spans="1:30" s="27" customFormat="1">
      <c r="A117" s="18"/>
      <c r="B117" s="12"/>
      <c r="C117" s="60"/>
      <c r="D117" s="4"/>
      <c r="E117" s="20"/>
      <c r="F117" s="20"/>
      <c r="G117" s="20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4"/>
      <c r="X117" s="12"/>
      <c r="Y117" s="12"/>
      <c r="Z117" s="12"/>
      <c r="AA117" s="12"/>
      <c r="AB117" s="12"/>
      <c r="AC117" s="32"/>
      <c r="AD117" s="30"/>
    </row>
    <row r="118" spans="1:30" s="27" customFormat="1">
      <c r="A118" s="18"/>
      <c r="B118" s="12"/>
      <c r="C118" s="61"/>
      <c r="D118" s="4"/>
      <c r="E118" s="20"/>
      <c r="F118" s="12"/>
      <c r="G118" s="12"/>
      <c r="H118" s="21"/>
      <c r="I118" s="15"/>
      <c r="J118" s="12"/>
      <c r="K118" s="12"/>
      <c r="L118" s="12"/>
      <c r="M118" s="6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32"/>
      <c r="AD118" s="30"/>
    </row>
    <row r="119" spans="1:30" s="27" customFormat="1" ht="13.8" thickBot="1">
      <c r="A119" s="34" t="s">
        <v>127</v>
      </c>
      <c r="B119" s="54"/>
      <c r="C119" s="57"/>
      <c r="D119" s="54"/>
      <c r="E119" s="54"/>
      <c r="F119" s="54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32"/>
      <c r="AD119" s="30"/>
    </row>
    <row r="120" spans="1:30" s="27" customFormat="1" ht="13.8" thickBot="1">
      <c r="A120" s="40" t="s">
        <v>1</v>
      </c>
      <c r="B120" s="41" t="s">
        <v>2</v>
      </c>
      <c r="C120" s="58" t="s">
        <v>3</v>
      </c>
      <c r="D120" s="137" t="s">
        <v>4</v>
      </c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50"/>
      <c r="AA120" s="50"/>
      <c r="AB120" s="50"/>
      <c r="AC120" s="32"/>
      <c r="AD120" s="30"/>
    </row>
    <row r="121" spans="1:30" s="27" customFormat="1">
      <c r="A121" s="42" t="s">
        <v>5</v>
      </c>
      <c r="B121" s="43" t="s">
        <v>6</v>
      </c>
      <c r="C121" s="59" t="s">
        <v>6</v>
      </c>
      <c r="D121" s="44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6"/>
      <c r="Z121" s="43" t="s">
        <v>7</v>
      </c>
      <c r="AA121" s="43"/>
      <c r="AB121" s="43"/>
      <c r="AC121" s="32"/>
      <c r="AD121" s="30"/>
    </row>
    <row r="122" spans="1:30" s="27" customFormat="1">
      <c r="A122" s="42" t="s">
        <v>8</v>
      </c>
      <c r="B122" s="43" t="s">
        <v>9</v>
      </c>
      <c r="C122" s="59" t="s">
        <v>9</v>
      </c>
      <c r="D122" s="47" t="s">
        <v>10</v>
      </c>
      <c r="E122" s="43" t="s">
        <v>11</v>
      </c>
      <c r="F122" s="43" t="s">
        <v>12</v>
      </c>
      <c r="G122" s="43" t="s">
        <v>13</v>
      </c>
      <c r="H122" s="43" t="s">
        <v>14</v>
      </c>
      <c r="I122" s="43" t="s">
        <v>15</v>
      </c>
      <c r="J122" s="43" t="s">
        <v>16</v>
      </c>
      <c r="K122" s="43" t="s">
        <v>17</v>
      </c>
      <c r="L122" s="43" t="s">
        <v>18</v>
      </c>
      <c r="M122" s="43" t="s">
        <v>19</v>
      </c>
      <c r="N122" s="43" t="s">
        <v>20</v>
      </c>
      <c r="O122" s="43" t="s">
        <v>57</v>
      </c>
      <c r="P122" s="43" t="s">
        <v>21</v>
      </c>
      <c r="Q122" s="43" t="s">
        <v>22</v>
      </c>
      <c r="R122" s="43" t="s">
        <v>23</v>
      </c>
      <c r="S122" s="43" t="s">
        <v>24</v>
      </c>
      <c r="T122" s="43" t="s">
        <v>25</v>
      </c>
      <c r="U122" s="43" t="s">
        <v>26</v>
      </c>
      <c r="V122" s="43" t="s">
        <v>27</v>
      </c>
      <c r="W122" s="43" t="s">
        <v>28</v>
      </c>
      <c r="X122" s="43" t="s">
        <v>29</v>
      </c>
      <c r="Y122" s="43" t="s">
        <v>30</v>
      </c>
      <c r="Z122" s="43" t="s">
        <v>31</v>
      </c>
      <c r="AA122" s="43" t="s">
        <v>115</v>
      </c>
      <c r="AB122" s="43" t="s">
        <v>113</v>
      </c>
      <c r="AC122" s="32"/>
      <c r="AD122" s="30"/>
    </row>
    <row r="123" spans="1:30" s="27" customFormat="1">
      <c r="A123" s="42"/>
      <c r="B123" s="43"/>
      <c r="C123" s="132" t="s">
        <v>134</v>
      </c>
      <c r="D123" s="48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32"/>
      <c r="AD123" s="30"/>
    </row>
    <row r="124" spans="1:30" s="27" customFormat="1">
      <c r="A124" s="71" t="s">
        <v>42</v>
      </c>
      <c r="B124" s="93">
        <v>109683.47500000001</v>
      </c>
      <c r="C124" s="94">
        <f>B124/12</f>
        <v>9140.2895833333332</v>
      </c>
      <c r="D124" s="74">
        <v>1.67E-2</v>
      </c>
      <c r="E124" s="74">
        <v>0.1394</v>
      </c>
      <c r="F124" s="74">
        <v>5.6399999999999999E-2</v>
      </c>
      <c r="G124" s="74">
        <v>8.0199999999999994E-2</v>
      </c>
      <c r="H124" s="74">
        <v>4.1200000000000001E-2</v>
      </c>
      <c r="I124" s="74">
        <v>0.1346</v>
      </c>
      <c r="J124" s="74">
        <v>2.12E-2</v>
      </c>
      <c r="K124" s="74">
        <v>3.3700000000000001E-2</v>
      </c>
      <c r="L124" s="74">
        <v>1.7600000000000001E-2</v>
      </c>
      <c r="M124" s="74">
        <v>2.5499999999999998E-2</v>
      </c>
      <c r="N124" s="74">
        <v>0.12970000000000001</v>
      </c>
      <c r="O124" s="74">
        <v>1.8100000000000002E-2</v>
      </c>
      <c r="P124" s="74">
        <v>0</v>
      </c>
      <c r="Q124" s="74">
        <v>3.9199999999999999E-2</v>
      </c>
      <c r="R124" s="74">
        <v>1.95E-2</v>
      </c>
      <c r="S124" s="74">
        <v>2.3999999999999998E-3</v>
      </c>
      <c r="T124" s="74">
        <v>5.3900000000000003E-2</v>
      </c>
      <c r="U124" s="74">
        <v>1.84E-2</v>
      </c>
      <c r="V124" s="74">
        <v>3.7100000000000001E-2</v>
      </c>
      <c r="W124" s="74">
        <v>4.7800000000000002E-2</v>
      </c>
      <c r="X124" s="74">
        <v>6.4000000000000001E-2</v>
      </c>
      <c r="Y124" s="74">
        <v>2.7000000000000001E-3</v>
      </c>
      <c r="Z124" s="75">
        <v>0</v>
      </c>
      <c r="AA124" s="75">
        <v>6.9999999999999999E-4</v>
      </c>
      <c r="AB124" s="75">
        <v>0</v>
      </c>
      <c r="AC124" s="32"/>
      <c r="AD124" s="30"/>
    </row>
    <row r="125" spans="1:30" s="27" customFormat="1">
      <c r="A125" s="76"/>
      <c r="B125" s="16"/>
      <c r="C125" s="95"/>
      <c r="D125" s="78">
        <f t="shared" ref="D125:AB125" si="93">$C124*D124</f>
        <v>152.64283604166667</v>
      </c>
      <c r="E125" s="78">
        <f t="shared" si="93"/>
        <v>1274.1563679166666</v>
      </c>
      <c r="F125" s="78">
        <f t="shared" si="93"/>
        <v>515.51233249999996</v>
      </c>
      <c r="G125" s="78">
        <f t="shared" si="93"/>
        <v>733.05122458333324</v>
      </c>
      <c r="H125" s="78">
        <f t="shared" si="93"/>
        <v>376.57993083333332</v>
      </c>
      <c r="I125" s="78">
        <f t="shared" si="93"/>
        <v>1230.2829779166666</v>
      </c>
      <c r="J125" s="78">
        <f t="shared" si="93"/>
        <v>193.77413916666666</v>
      </c>
      <c r="K125" s="78">
        <f t="shared" si="93"/>
        <v>308.02775895833332</v>
      </c>
      <c r="L125" s="78">
        <f t="shared" si="93"/>
        <v>160.86909666666668</v>
      </c>
      <c r="M125" s="78">
        <f t="shared" si="93"/>
        <v>233.07738437499998</v>
      </c>
      <c r="N125" s="78">
        <f t="shared" si="93"/>
        <v>1185.4955589583335</v>
      </c>
      <c r="O125" s="78">
        <f t="shared" si="93"/>
        <v>165.43924145833336</v>
      </c>
      <c r="P125" s="78">
        <f t="shared" si="93"/>
        <v>0</v>
      </c>
      <c r="Q125" s="78">
        <f t="shared" si="93"/>
        <v>358.29935166666667</v>
      </c>
      <c r="R125" s="78">
        <f t="shared" si="93"/>
        <v>178.23564687499999</v>
      </c>
      <c r="S125" s="78">
        <f t="shared" si="93"/>
        <v>21.936694999999997</v>
      </c>
      <c r="T125" s="78">
        <f t="shared" si="93"/>
        <v>492.66160854166668</v>
      </c>
      <c r="U125" s="78">
        <f t="shared" si="93"/>
        <v>168.18132833333334</v>
      </c>
      <c r="V125" s="78">
        <f t="shared" si="93"/>
        <v>339.10474354166666</v>
      </c>
      <c r="W125" s="78">
        <f t="shared" si="93"/>
        <v>436.90584208333337</v>
      </c>
      <c r="X125" s="78">
        <f t="shared" si="93"/>
        <v>584.9785333333333</v>
      </c>
      <c r="Y125" s="78">
        <f t="shared" si="93"/>
        <v>24.678781875000002</v>
      </c>
      <c r="Z125" s="78">
        <f t="shared" si="93"/>
        <v>0</v>
      </c>
      <c r="AA125" s="78">
        <f t="shared" si="93"/>
        <v>6.3982027083333328</v>
      </c>
      <c r="AB125" s="78">
        <f t="shared" si="93"/>
        <v>0</v>
      </c>
      <c r="AC125" s="32"/>
      <c r="AD125" s="30"/>
    </row>
    <row r="126" spans="1:30" s="27" customFormat="1">
      <c r="A126" s="124" t="s">
        <v>91</v>
      </c>
      <c r="B126" s="93">
        <v>109683.47500000001</v>
      </c>
      <c r="C126" s="96">
        <f>B126/12</f>
        <v>9140.2895833333332</v>
      </c>
      <c r="D126" s="79"/>
      <c r="E126" s="79"/>
      <c r="F126" s="119">
        <v>0.20369999999999999</v>
      </c>
      <c r="G126" s="79"/>
      <c r="H126" s="119">
        <v>0.12889999999999999</v>
      </c>
      <c r="I126" s="79"/>
      <c r="J126" s="79"/>
      <c r="K126" s="79"/>
      <c r="L126" s="79"/>
      <c r="M126" s="79"/>
      <c r="N126" s="119">
        <v>0.53520000000000001</v>
      </c>
      <c r="O126" s="79"/>
      <c r="P126" s="79"/>
      <c r="Q126" s="79"/>
      <c r="R126" s="79"/>
      <c r="S126" s="79"/>
      <c r="T126" s="79"/>
      <c r="U126" s="79"/>
      <c r="V126" s="119">
        <v>0.13220000000000001</v>
      </c>
      <c r="W126" s="79"/>
      <c r="X126" s="79"/>
      <c r="Y126" s="79"/>
      <c r="Z126" s="79"/>
      <c r="AA126" s="79"/>
      <c r="AB126" s="79"/>
      <c r="AC126" s="32"/>
      <c r="AD126" s="30"/>
    </row>
    <row r="127" spans="1:30" s="27" customFormat="1">
      <c r="A127" s="80"/>
      <c r="B127" s="77"/>
      <c r="C127" s="96"/>
      <c r="D127" s="78">
        <f t="shared" ref="D127:AB127" si="94">$C126*D126</f>
        <v>0</v>
      </c>
      <c r="E127" s="78">
        <f t="shared" si="94"/>
        <v>0</v>
      </c>
      <c r="F127" s="78">
        <f t="shared" si="94"/>
        <v>1861.8769881249998</v>
      </c>
      <c r="G127" s="78">
        <f t="shared" si="94"/>
        <v>0</v>
      </c>
      <c r="H127" s="78">
        <f t="shared" si="94"/>
        <v>1178.1833272916665</v>
      </c>
      <c r="I127" s="78">
        <f t="shared" si="94"/>
        <v>0</v>
      </c>
      <c r="J127" s="78">
        <f t="shared" si="94"/>
        <v>0</v>
      </c>
      <c r="K127" s="78">
        <f t="shared" si="94"/>
        <v>0</v>
      </c>
      <c r="L127" s="78">
        <f t="shared" si="94"/>
        <v>0</v>
      </c>
      <c r="M127" s="78">
        <f t="shared" si="94"/>
        <v>0</v>
      </c>
      <c r="N127" s="78">
        <f t="shared" si="94"/>
        <v>4891.8829850000002</v>
      </c>
      <c r="O127" s="78">
        <f t="shared" si="94"/>
        <v>0</v>
      </c>
      <c r="P127" s="78">
        <f t="shared" si="94"/>
        <v>0</v>
      </c>
      <c r="Q127" s="78">
        <f t="shared" si="94"/>
        <v>0</v>
      </c>
      <c r="R127" s="78">
        <f t="shared" si="94"/>
        <v>0</v>
      </c>
      <c r="S127" s="78">
        <f t="shared" si="94"/>
        <v>0</v>
      </c>
      <c r="T127" s="78">
        <f t="shared" si="94"/>
        <v>0</v>
      </c>
      <c r="U127" s="78">
        <f t="shared" si="94"/>
        <v>0</v>
      </c>
      <c r="V127" s="78">
        <f t="shared" si="94"/>
        <v>1208.3462829166667</v>
      </c>
      <c r="W127" s="78">
        <f t="shared" si="94"/>
        <v>0</v>
      </c>
      <c r="X127" s="78">
        <f t="shared" si="94"/>
        <v>0</v>
      </c>
      <c r="Y127" s="78">
        <f t="shared" si="94"/>
        <v>0</v>
      </c>
      <c r="Z127" s="78">
        <f t="shared" si="94"/>
        <v>0</v>
      </c>
      <c r="AA127" s="78">
        <f t="shared" si="94"/>
        <v>0</v>
      </c>
      <c r="AB127" s="78">
        <f t="shared" si="94"/>
        <v>0</v>
      </c>
      <c r="AC127" s="32"/>
      <c r="AD127" s="30"/>
    </row>
    <row r="128" spans="1:30" s="27" customFormat="1">
      <c r="A128" s="71" t="s">
        <v>43</v>
      </c>
      <c r="B128" s="93">
        <v>89834.835000000006</v>
      </c>
      <c r="C128" s="94">
        <f>B128/12</f>
        <v>7486.2362500000008</v>
      </c>
      <c r="D128" s="74">
        <v>1.67E-2</v>
      </c>
      <c r="E128" s="74">
        <v>0.1394</v>
      </c>
      <c r="F128" s="74">
        <v>5.6399999999999999E-2</v>
      </c>
      <c r="G128" s="74">
        <v>8.0199999999999994E-2</v>
      </c>
      <c r="H128" s="74">
        <v>4.1200000000000001E-2</v>
      </c>
      <c r="I128" s="74">
        <v>0.1346</v>
      </c>
      <c r="J128" s="74">
        <v>2.12E-2</v>
      </c>
      <c r="K128" s="74">
        <v>3.3700000000000001E-2</v>
      </c>
      <c r="L128" s="74">
        <v>1.7600000000000001E-2</v>
      </c>
      <c r="M128" s="74">
        <v>2.5499999999999998E-2</v>
      </c>
      <c r="N128" s="74">
        <v>0.12970000000000001</v>
      </c>
      <c r="O128" s="74">
        <v>1.8100000000000002E-2</v>
      </c>
      <c r="P128" s="74">
        <v>0</v>
      </c>
      <c r="Q128" s="74">
        <v>3.9199999999999999E-2</v>
      </c>
      <c r="R128" s="74">
        <v>1.95E-2</v>
      </c>
      <c r="S128" s="74">
        <v>2.3999999999999998E-3</v>
      </c>
      <c r="T128" s="74">
        <v>5.3900000000000003E-2</v>
      </c>
      <c r="U128" s="74">
        <v>1.84E-2</v>
      </c>
      <c r="V128" s="74">
        <v>3.7100000000000001E-2</v>
      </c>
      <c r="W128" s="74">
        <v>4.7800000000000002E-2</v>
      </c>
      <c r="X128" s="74">
        <v>6.4000000000000001E-2</v>
      </c>
      <c r="Y128" s="74">
        <v>2.7000000000000001E-3</v>
      </c>
      <c r="Z128" s="75">
        <v>0</v>
      </c>
      <c r="AA128" s="75">
        <v>6.9999999999999999E-4</v>
      </c>
      <c r="AB128" s="75">
        <v>0</v>
      </c>
      <c r="AC128" s="32"/>
      <c r="AD128" s="30"/>
    </row>
    <row r="129" spans="1:30" s="27" customFormat="1">
      <c r="A129" s="76"/>
      <c r="B129" s="16"/>
      <c r="C129" s="95"/>
      <c r="D129" s="78">
        <f t="shared" ref="D129:AB129" si="95">$C128*D128</f>
        <v>125.02014537500001</v>
      </c>
      <c r="E129" s="78">
        <f t="shared" si="95"/>
        <v>1043.5813332500002</v>
      </c>
      <c r="F129" s="78">
        <f t="shared" si="95"/>
        <v>422.22372450000006</v>
      </c>
      <c r="G129" s="78">
        <f t="shared" si="95"/>
        <v>600.39614725000001</v>
      </c>
      <c r="H129" s="78">
        <f t="shared" si="95"/>
        <v>308.43293350000005</v>
      </c>
      <c r="I129" s="78">
        <f t="shared" si="95"/>
        <v>1007.6473992500001</v>
      </c>
      <c r="J129" s="78">
        <f t="shared" si="95"/>
        <v>158.70820850000001</v>
      </c>
      <c r="K129" s="78">
        <f t="shared" si="95"/>
        <v>252.28616162500003</v>
      </c>
      <c r="L129" s="78">
        <f t="shared" si="95"/>
        <v>131.75775800000002</v>
      </c>
      <c r="M129" s="78">
        <f t="shared" si="95"/>
        <v>190.89902437500001</v>
      </c>
      <c r="N129" s="78">
        <f t="shared" si="95"/>
        <v>970.96484162500019</v>
      </c>
      <c r="O129" s="78">
        <f t="shared" si="95"/>
        <v>135.50087612500002</v>
      </c>
      <c r="P129" s="78">
        <f t="shared" si="95"/>
        <v>0</v>
      </c>
      <c r="Q129" s="78">
        <f t="shared" si="95"/>
        <v>293.46046100000001</v>
      </c>
      <c r="R129" s="78">
        <f t="shared" si="95"/>
        <v>145.98160687500001</v>
      </c>
      <c r="S129" s="78">
        <f t="shared" si="95"/>
        <v>17.966967</v>
      </c>
      <c r="T129" s="78">
        <f t="shared" si="95"/>
        <v>403.50813387500006</v>
      </c>
      <c r="U129" s="78">
        <f t="shared" si="95"/>
        <v>137.746747</v>
      </c>
      <c r="V129" s="78">
        <f t="shared" si="95"/>
        <v>277.73936487500004</v>
      </c>
      <c r="W129" s="78">
        <f t="shared" si="95"/>
        <v>357.84209275000006</v>
      </c>
      <c r="X129" s="78">
        <f t="shared" si="95"/>
        <v>479.11912000000007</v>
      </c>
      <c r="Y129" s="78">
        <f t="shared" si="95"/>
        <v>20.212837875000002</v>
      </c>
      <c r="Z129" s="78">
        <f t="shared" si="95"/>
        <v>0</v>
      </c>
      <c r="AA129" s="78">
        <f t="shared" si="95"/>
        <v>5.2403653750000005</v>
      </c>
      <c r="AB129" s="78">
        <f t="shared" si="95"/>
        <v>0</v>
      </c>
      <c r="AC129" s="32"/>
      <c r="AD129" s="30"/>
    </row>
    <row r="130" spans="1:30" s="27" customFormat="1">
      <c r="A130" s="124" t="s">
        <v>92</v>
      </c>
      <c r="B130" s="93">
        <v>89834.835000000006</v>
      </c>
      <c r="C130" s="96">
        <f>B130/12</f>
        <v>7486.2362500000008</v>
      </c>
      <c r="D130" s="79"/>
      <c r="E130" s="79"/>
      <c r="F130" s="79"/>
      <c r="G130" s="79"/>
      <c r="H130" s="119">
        <v>7.4399999999999994E-2</v>
      </c>
      <c r="I130" s="79"/>
      <c r="J130" s="79"/>
      <c r="K130" s="79"/>
      <c r="L130" s="79"/>
      <c r="M130" s="79"/>
      <c r="N130" s="119">
        <v>0.80659999999999998</v>
      </c>
      <c r="O130" s="79"/>
      <c r="P130" s="79"/>
      <c r="Q130" s="79"/>
      <c r="R130" s="79"/>
      <c r="S130" s="79"/>
      <c r="T130" s="79"/>
      <c r="U130" s="79"/>
      <c r="V130" s="119">
        <v>0.11899999999999999</v>
      </c>
      <c r="W130" s="79"/>
      <c r="X130" s="79"/>
      <c r="Y130" s="79"/>
      <c r="Z130" s="79"/>
      <c r="AA130" s="79"/>
      <c r="AB130" s="79"/>
      <c r="AC130" s="32"/>
      <c r="AD130" s="30"/>
    </row>
    <row r="131" spans="1:30" s="27" customFormat="1">
      <c r="A131" s="80"/>
      <c r="B131" s="77"/>
      <c r="C131" s="96"/>
      <c r="D131" s="78">
        <f t="shared" ref="D131:AB131" si="96">$C130*D130</f>
        <v>0</v>
      </c>
      <c r="E131" s="78">
        <f t="shared" si="96"/>
        <v>0</v>
      </c>
      <c r="F131" s="78">
        <f t="shared" si="96"/>
        <v>0</v>
      </c>
      <c r="G131" s="78">
        <f t="shared" si="96"/>
        <v>0</v>
      </c>
      <c r="H131" s="78">
        <f t="shared" si="96"/>
        <v>556.97597700000006</v>
      </c>
      <c r="I131" s="78">
        <f t="shared" si="96"/>
        <v>0</v>
      </c>
      <c r="J131" s="78">
        <f t="shared" si="96"/>
        <v>0</v>
      </c>
      <c r="K131" s="78">
        <f t="shared" si="96"/>
        <v>0</v>
      </c>
      <c r="L131" s="78">
        <f t="shared" si="96"/>
        <v>0</v>
      </c>
      <c r="M131" s="78">
        <f t="shared" si="96"/>
        <v>0</v>
      </c>
      <c r="N131" s="78">
        <f t="shared" si="96"/>
        <v>6038.3981592500004</v>
      </c>
      <c r="O131" s="78">
        <f t="shared" si="96"/>
        <v>0</v>
      </c>
      <c r="P131" s="78">
        <f t="shared" si="96"/>
        <v>0</v>
      </c>
      <c r="Q131" s="78">
        <f t="shared" si="96"/>
        <v>0</v>
      </c>
      <c r="R131" s="78">
        <f t="shared" si="96"/>
        <v>0</v>
      </c>
      <c r="S131" s="78">
        <f t="shared" si="96"/>
        <v>0</v>
      </c>
      <c r="T131" s="78">
        <f t="shared" si="96"/>
        <v>0</v>
      </c>
      <c r="U131" s="78">
        <f t="shared" si="96"/>
        <v>0</v>
      </c>
      <c r="V131" s="78">
        <f t="shared" si="96"/>
        <v>890.86211375000005</v>
      </c>
      <c r="W131" s="78">
        <f t="shared" si="96"/>
        <v>0</v>
      </c>
      <c r="X131" s="78">
        <f t="shared" si="96"/>
        <v>0</v>
      </c>
      <c r="Y131" s="78">
        <f t="shared" si="96"/>
        <v>0</v>
      </c>
      <c r="Z131" s="78">
        <f t="shared" si="96"/>
        <v>0</v>
      </c>
      <c r="AA131" s="78">
        <f t="shared" si="96"/>
        <v>0</v>
      </c>
      <c r="AB131" s="78">
        <f t="shared" si="96"/>
        <v>0</v>
      </c>
      <c r="AC131" s="32"/>
      <c r="AD131" s="30"/>
    </row>
    <row r="132" spans="1:30" s="27" customFormat="1">
      <c r="A132" s="71" t="s">
        <v>33</v>
      </c>
      <c r="B132" s="93">
        <v>13718807.305</v>
      </c>
      <c r="C132" s="94">
        <f>B132/12</f>
        <v>1143233.9420833334</v>
      </c>
      <c r="D132" s="74">
        <v>1.67E-2</v>
      </c>
      <c r="E132" s="74">
        <v>0.1394</v>
      </c>
      <c r="F132" s="74">
        <v>5.6399999999999999E-2</v>
      </c>
      <c r="G132" s="74">
        <v>8.0199999999999994E-2</v>
      </c>
      <c r="H132" s="74">
        <v>4.1200000000000001E-2</v>
      </c>
      <c r="I132" s="74">
        <v>0.1346</v>
      </c>
      <c r="J132" s="74">
        <v>2.12E-2</v>
      </c>
      <c r="K132" s="74">
        <v>3.3700000000000001E-2</v>
      </c>
      <c r="L132" s="74">
        <v>1.7600000000000001E-2</v>
      </c>
      <c r="M132" s="74">
        <v>2.5499999999999998E-2</v>
      </c>
      <c r="N132" s="74">
        <v>0.12970000000000001</v>
      </c>
      <c r="O132" s="74">
        <v>1.8100000000000002E-2</v>
      </c>
      <c r="P132" s="74">
        <v>0</v>
      </c>
      <c r="Q132" s="74">
        <v>3.9199999999999999E-2</v>
      </c>
      <c r="R132" s="74">
        <v>1.95E-2</v>
      </c>
      <c r="S132" s="74">
        <v>2.3999999999999998E-3</v>
      </c>
      <c r="T132" s="74">
        <v>5.3900000000000003E-2</v>
      </c>
      <c r="U132" s="74">
        <v>1.84E-2</v>
      </c>
      <c r="V132" s="74">
        <v>3.7100000000000001E-2</v>
      </c>
      <c r="W132" s="74">
        <v>4.7800000000000002E-2</v>
      </c>
      <c r="X132" s="74">
        <v>6.4000000000000001E-2</v>
      </c>
      <c r="Y132" s="74">
        <v>2.7000000000000001E-3</v>
      </c>
      <c r="Z132" s="75">
        <v>0</v>
      </c>
      <c r="AA132" s="75">
        <v>6.9999999999999999E-4</v>
      </c>
      <c r="AB132" s="75">
        <v>0</v>
      </c>
      <c r="AC132" s="32"/>
      <c r="AD132" s="30"/>
    </row>
    <row r="133" spans="1:30" s="27" customFormat="1">
      <c r="A133" s="76"/>
      <c r="B133" s="16"/>
      <c r="C133" s="95"/>
      <c r="D133" s="78">
        <f t="shared" ref="D133:AB133" si="97">$C132*D132</f>
        <v>19092.006832791667</v>
      </c>
      <c r="E133" s="78">
        <f t="shared" si="97"/>
        <v>159366.81152641666</v>
      </c>
      <c r="F133" s="78">
        <f t="shared" si="97"/>
        <v>64478.3943335</v>
      </c>
      <c r="G133" s="78">
        <f t="shared" si="97"/>
        <v>91687.362155083334</v>
      </c>
      <c r="H133" s="78">
        <f t="shared" si="97"/>
        <v>47101.238413833336</v>
      </c>
      <c r="I133" s="78">
        <f t="shared" si="97"/>
        <v>153879.28860441668</v>
      </c>
      <c r="J133" s="78">
        <f t="shared" si="97"/>
        <v>24236.559572166669</v>
      </c>
      <c r="K133" s="78">
        <f t="shared" si="97"/>
        <v>38526.983848208336</v>
      </c>
      <c r="L133" s="78">
        <f t="shared" si="97"/>
        <v>20120.917380666669</v>
      </c>
      <c r="M133" s="78">
        <f t="shared" si="97"/>
        <v>29152.465523125</v>
      </c>
      <c r="N133" s="78">
        <f t="shared" si="97"/>
        <v>148277.44228820835</v>
      </c>
      <c r="O133" s="78">
        <f t="shared" si="97"/>
        <v>20692.534351708335</v>
      </c>
      <c r="P133" s="78">
        <f t="shared" si="97"/>
        <v>0</v>
      </c>
      <c r="Q133" s="78">
        <f t="shared" si="97"/>
        <v>44814.770529666668</v>
      </c>
      <c r="R133" s="78">
        <f t="shared" si="97"/>
        <v>22293.061870625002</v>
      </c>
      <c r="S133" s="78">
        <f t="shared" si="97"/>
        <v>2743.7614610000001</v>
      </c>
      <c r="T133" s="78">
        <f t="shared" si="97"/>
        <v>61620.309478291674</v>
      </c>
      <c r="U133" s="78">
        <f t="shared" si="97"/>
        <v>21035.504534333333</v>
      </c>
      <c r="V133" s="78">
        <f t="shared" si="97"/>
        <v>42413.979251291668</v>
      </c>
      <c r="W133" s="78">
        <f t="shared" si="97"/>
        <v>54646.582431583338</v>
      </c>
      <c r="X133" s="78">
        <f t="shared" si="97"/>
        <v>73166.97229333334</v>
      </c>
      <c r="Y133" s="78">
        <f t="shared" si="97"/>
        <v>3086.7316436250003</v>
      </c>
      <c r="Z133" s="78">
        <f t="shared" si="97"/>
        <v>0</v>
      </c>
      <c r="AA133" s="78">
        <f t="shared" si="97"/>
        <v>800.26375945833331</v>
      </c>
      <c r="AB133" s="78">
        <f t="shared" si="97"/>
        <v>0</v>
      </c>
      <c r="AC133" s="32"/>
      <c r="AD133" s="30"/>
    </row>
    <row r="134" spans="1:30" s="27" customFormat="1">
      <c r="A134" s="124" t="s">
        <v>81</v>
      </c>
      <c r="B134" s="93">
        <v>13718807.305</v>
      </c>
      <c r="C134" s="96">
        <f>B134/12</f>
        <v>1143233.9420833334</v>
      </c>
      <c r="D134" s="79"/>
      <c r="E134" s="79"/>
      <c r="F134" s="79"/>
      <c r="G134" s="79"/>
      <c r="H134" s="119">
        <v>7.4399999999999994E-2</v>
      </c>
      <c r="I134" s="79"/>
      <c r="J134" s="79"/>
      <c r="K134" s="79"/>
      <c r="L134" s="79"/>
      <c r="M134" s="79"/>
      <c r="N134" s="119">
        <v>0.80659999999999998</v>
      </c>
      <c r="O134" s="79"/>
      <c r="P134" s="79"/>
      <c r="Q134" s="79"/>
      <c r="R134" s="79"/>
      <c r="S134" s="79"/>
      <c r="T134" s="79"/>
      <c r="U134" s="79"/>
      <c r="V134" s="119">
        <v>0.11899999999999999</v>
      </c>
      <c r="W134" s="79"/>
      <c r="X134" s="79"/>
      <c r="Y134" s="79"/>
      <c r="Z134" s="79"/>
      <c r="AA134" s="79"/>
      <c r="AB134" s="79"/>
      <c r="AC134" s="32"/>
      <c r="AD134" s="30"/>
    </row>
    <row r="135" spans="1:30" s="27" customFormat="1">
      <c r="A135" s="80"/>
      <c r="B135" s="77"/>
      <c r="C135" s="96"/>
      <c r="D135" s="78">
        <f t="shared" ref="D135:AB135" si="98">$C134*D134</f>
        <v>0</v>
      </c>
      <c r="E135" s="78">
        <f t="shared" si="98"/>
        <v>0</v>
      </c>
      <c r="F135" s="78">
        <f t="shared" si="98"/>
        <v>0</v>
      </c>
      <c r="G135" s="78">
        <f t="shared" si="98"/>
        <v>0</v>
      </c>
      <c r="H135" s="78">
        <f t="shared" si="98"/>
        <v>85056.605291</v>
      </c>
      <c r="I135" s="78">
        <f t="shared" si="98"/>
        <v>0</v>
      </c>
      <c r="J135" s="78">
        <f t="shared" si="98"/>
        <v>0</v>
      </c>
      <c r="K135" s="78">
        <f t="shared" si="98"/>
        <v>0</v>
      </c>
      <c r="L135" s="78">
        <f t="shared" si="98"/>
        <v>0</v>
      </c>
      <c r="M135" s="78">
        <f t="shared" si="98"/>
        <v>0</v>
      </c>
      <c r="N135" s="78">
        <f t="shared" si="98"/>
        <v>922132.49768441671</v>
      </c>
      <c r="O135" s="78">
        <f t="shared" si="98"/>
        <v>0</v>
      </c>
      <c r="P135" s="78">
        <f t="shared" si="98"/>
        <v>0</v>
      </c>
      <c r="Q135" s="78">
        <f t="shared" si="98"/>
        <v>0</v>
      </c>
      <c r="R135" s="78">
        <f t="shared" si="98"/>
        <v>0</v>
      </c>
      <c r="S135" s="78">
        <f t="shared" si="98"/>
        <v>0</v>
      </c>
      <c r="T135" s="78">
        <f t="shared" si="98"/>
        <v>0</v>
      </c>
      <c r="U135" s="78">
        <f t="shared" si="98"/>
        <v>0</v>
      </c>
      <c r="V135" s="78">
        <f t="shared" si="98"/>
        <v>136044.83910791666</v>
      </c>
      <c r="W135" s="78">
        <f t="shared" si="98"/>
        <v>0</v>
      </c>
      <c r="X135" s="78">
        <f t="shared" si="98"/>
        <v>0</v>
      </c>
      <c r="Y135" s="78">
        <f t="shared" si="98"/>
        <v>0</v>
      </c>
      <c r="Z135" s="78">
        <f t="shared" si="98"/>
        <v>0</v>
      </c>
      <c r="AA135" s="78">
        <f t="shared" si="98"/>
        <v>0</v>
      </c>
      <c r="AB135" s="78">
        <f t="shared" si="98"/>
        <v>0</v>
      </c>
      <c r="AC135" s="32"/>
      <c r="AD135" s="30"/>
    </row>
    <row r="136" spans="1:30" s="27" customFormat="1">
      <c r="A136" s="71" t="s">
        <v>44</v>
      </c>
      <c r="B136" s="93">
        <v>830647.46</v>
      </c>
      <c r="C136" s="94">
        <f>B136/12</f>
        <v>69220.621666666659</v>
      </c>
      <c r="D136" s="74">
        <v>1.67E-2</v>
      </c>
      <c r="E136" s="74">
        <v>0.1394</v>
      </c>
      <c r="F136" s="74">
        <v>5.6399999999999999E-2</v>
      </c>
      <c r="G136" s="74">
        <v>8.0199999999999994E-2</v>
      </c>
      <c r="H136" s="74">
        <v>4.1200000000000001E-2</v>
      </c>
      <c r="I136" s="74">
        <v>0.1346</v>
      </c>
      <c r="J136" s="74">
        <v>2.12E-2</v>
      </c>
      <c r="K136" s="74">
        <v>3.3700000000000001E-2</v>
      </c>
      <c r="L136" s="74">
        <v>1.7600000000000001E-2</v>
      </c>
      <c r="M136" s="74">
        <v>2.5499999999999998E-2</v>
      </c>
      <c r="N136" s="74">
        <v>0.12970000000000001</v>
      </c>
      <c r="O136" s="74">
        <v>1.8100000000000002E-2</v>
      </c>
      <c r="P136" s="74">
        <v>0</v>
      </c>
      <c r="Q136" s="74">
        <v>3.9199999999999999E-2</v>
      </c>
      <c r="R136" s="74">
        <v>1.95E-2</v>
      </c>
      <c r="S136" s="74">
        <v>2.3999999999999998E-3</v>
      </c>
      <c r="T136" s="74">
        <v>5.3900000000000003E-2</v>
      </c>
      <c r="U136" s="74">
        <v>1.84E-2</v>
      </c>
      <c r="V136" s="74">
        <v>3.7100000000000001E-2</v>
      </c>
      <c r="W136" s="74">
        <v>4.7800000000000002E-2</v>
      </c>
      <c r="X136" s="74">
        <v>6.4000000000000001E-2</v>
      </c>
      <c r="Y136" s="74">
        <v>2.7000000000000001E-3</v>
      </c>
      <c r="Z136" s="75">
        <v>0</v>
      </c>
      <c r="AA136" s="75">
        <v>6.9999999999999999E-4</v>
      </c>
      <c r="AB136" s="75">
        <v>0</v>
      </c>
      <c r="AC136" s="32"/>
      <c r="AD136" s="30"/>
    </row>
    <row r="137" spans="1:30" s="27" customFormat="1">
      <c r="A137" s="76"/>
      <c r="B137" s="16"/>
      <c r="C137" s="95"/>
      <c r="D137" s="78">
        <f t="shared" ref="D137:AB137" si="99">$C136*D136</f>
        <v>1155.9843818333331</v>
      </c>
      <c r="E137" s="78">
        <f t="shared" si="99"/>
        <v>9649.3546603333325</v>
      </c>
      <c r="F137" s="78">
        <f t="shared" si="99"/>
        <v>3904.0430619999993</v>
      </c>
      <c r="G137" s="78">
        <f t="shared" si="99"/>
        <v>5551.4938576666655</v>
      </c>
      <c r="H137" s="78">
        <f t="shared" si="99"/>
        <v>2851.8896126666664</v>
      </c>
      <c r="I137" s="78">
        <f t="shared" si="99"/>
        <v>9317.0956763333324</v>
      </c>
      <c r="J137" s="78">
        <f t="shared" si="99"/>
        <v>1467.4771793333332</v>
      </c>
      <c r="K137" s="78">
        <f t="shared" si="99"/>
        <v>2332.7349501666663</v>
      </c>
      <c r="L137" s="78">
        <f t="shared" si="99"/>
        <v>1218.2829413333332</v>
      </c>
      <c r="M137" s="78">
        <f t="shared" si="99"/>
        <v>1765.1258524999996</v>
      </c>
      <c r="N137" s="78">
        <f t="shared" si="99"/>
        <v>8977.914630166666</v>
      </c>
      <c r="O137" s="78">
        <f t="shared" si="99"/>
        <v>1252.8932521666666</v>
      </c>
      <c r="P137" s="78">
        <f t="shared" si="99"/>
        <v>0</v>
      </c>
      <c r="Q137" s="78">
        <f t="shared" si="99"/>
        <v>2713.4483693333327</v>
      </c>
      <c r="R137" s="78">
        <f t="shared" si="99"/>
        <v>1349.8021224999998</v>
      </c>
      <c r="S137" s="78">
        <f t="shared" si="99"/>
        <v>166.12949199999997</v>
      </c>
      <c r="T137" s="78">
        <f t="shared" si="99"/>
        <v>3730.9915078333333</v>
      </c>
      <c r="U137" s="78">
        <f t="shared" si="99"/>
        <v>1273.6594386666666</v>
      </c>
      <c r="V137" s="78">
        <f t="shared" si="99"/>
        <v>2568.0850638333332</v>
      </c>
      <c r="W137" s="78">
        <f t="shared" si="99"/>
        <v>3308.7457156666665</v>
      </c>
      <c r="X137" s="78">
        <f t="shared" si="99"/>
        <v>4430.1197866666662</v>
      </c>
      <c r="Y137" s="78">
        <f t="shared" si="99"/>
        <v>186.8956785</v>
      </c>
      <c r="Z137" s="78">
        <f t="shared" si="99"/>
        <v>0</v>
      </c>
      <c r="AA137" s="78">
        <f t="shared" si="99"/>
        <v>48.454435166666663</v>
      </c>
      <c r="AB137" s="78">
        <f t="shared" si="99"/>
        <v>0</v>
      </c>
      <c r="AC137" s="32"/>
      <c r="AD137" s="30"/>
    </row>
    <row r="138" spans="1:30" s="27" customFormat="1">
      <c r="A138" s="125" t="s">
        <v>93</v>
      </c>
      <c r="B138" s="93">
        <v>830647.46</v>
      </c>
      <c r="C138" s="94">
        <f>B138/12</f>
        <v>69220.621666666659</v>
      </c>
      <c r="D138" s="75"/>
      <c r="E138" s="75"/>
      <c r="F138" s="120">
        <v>0.33169999999999999</v>
      </c>
      <c r="G138" s="75"/>
      <c r="H138" s="120">
        <v>0</v>
      </c>
      <c r="I138" s="75"/>
      <c r="J138" s="75"/>
      <c r="K138" s="75"/>
      <c r="L138" s="75"/>
      <c r="M138" s="75"/>
      <c r="N138" s="120">
        <v>0.5131</v>
      </c>
      <c r="O138" s="75"/>
      <c r="P138" s="75"/>
      <c r="Q138" s="75"/>
      <c r="R138" s="75"/>
      <c r="S138" s="75"/>
      <c r="T138" s="75"/>
      <c r="U138" s="75"/>
      <c r="V138" s="120">
        <v>0.1552</v>
      </c>
      <c r="W138" s="75"/>
      <c r="X138" s="75"/>
      <c r="Y138" s="75"/>
      <c r="Z138" s="75"/>
      <c r="AA138" s="75"/>
      <c r="AB138" s="75"/>
      <c r="AC138" s="32"/>
      <c r="AD138" s="30"/>
    </row>
    <row r="139" spans="1:30" s="27" customFormat="1">
      <c r="A139" s="76"/>
      <c r="B139" s="77"/>
      <c r="C139" s="97"/>
      <c r="D139" s="78">
        <f t="shared" ref="D139:AB139" si="100">$C138*D138</f>
        <v>0</v>
      </c>
      <c r="E139" s="78">
        <f t="shared" si="100"/>
        <v>0</v>
      </c>
      <c r="F139" s="78">
        <f t="shared" si="100"/>
        <v>22960.48020683333</v>
      </c>
      <c r="G139" s="78">
        <f t="shared" si="100"/>
        <v>0</v>
      </c>
      <c r="H139" s="78">
        <f t="shared" si="100"/>
        <v>0</v>
      </c>
      <c r="I139" s="78">
        <f t="shared" si="100"/>
        <v>0</v>
      </c>
      <c r="J139" s="78">
        <f t="shared" si="100"/>
        <v>0</v>
      </c>
      <c r="K139" s="78">
        <f t="shared" si="100"/>
        <v>0</v>
      </c>
      <c r="L139" s="78">
        <f t="shared" si="100"/>
        <v>0</v>
      </c>
      <c r="M139" s="78">
        <f t="shared" si="100"/>
        <v>0</v>
      </c>
      <c r="N139" s="78">
        <f t="shared" si="100"/>
        <v>35517.100977166665</v>
      </c>
      <c r="O139" s="78">
        <f t="shared" si="100"/>
        <v>0</v>
      </c>
      <c r="P139" s="78">
        <f t="shared" si="100"/>
        <v>0</v>
      </c>
      <c r="Q139" s="78">
        <f t="shared" si="100"/>
        <v>0</v>
      </c>
      <c r="R139" s="78">
        <f t="shared" si="100"/>
        <v>0</v>
      </c>
      <c r="S139" s="78">
        <f t="shared" si="100"/>
        <v>0</v>
      </c>
      <c r="T139" s="78">
        <f t="shared" si="100"/>
        <v>0</v>
      </c>
      <c r="U139" s="78">
        <f t="shared" si="100"/>
        <v>0</v>
      </c>
      <c r="V139" s="78">
        <f t="shared" si="100"/>
        <v>10743.040482666665</v>
      </c>
      <c r="W139" s="78">
        <f t="shared" si="100"/>
        <v>0</v>
      </c>
      <c r="X139" s="78">
        <f t="shared" si="100"/>
        <v>0</v>
      </c>
      <c r="Y139" s="78">
        <f t="shared" si="100"/>
        <v>0</v>
      </c>
      <c r="Z139" s="78">
        <f t="shared" si="100"/>
        <v>0</v>
      </c>
      <c r="AA139" s="78">
        <f t="shared" si="100"/>
        <v>0</v>
      </c>
      <c r="AB139" s="78">
        <f t="shared" si="100"/>
        <v>0</v>
      </c>
      <c r="AC139" s="32"/>
      <c r="AD139" s="30"/>
    </row>
    <row r="140" spans="1:30" s="27" customFormat="1">
      <c r="A140" s="71" t="s">
        <v>45</v>
      </c>
      <c r="B140" s="93">
        <v>189498.35</v>
      </c>
      <c r="C140" s="94">
        <f>B140/12</f>
        <v>15791.529166666667</v>
      </c>
      <c r="D140" s="74">
        <v>1.67E-2</v>
      </c>
      <c r="E140" s="74">
        <v>0.1394</v>
      </c>
      <c r="F140" s="74">
        <v>5.6399999999999999E-2</v>
      </c>
      <c r="G140" s="74">
        <v>8.0199999999999994E-2</v>
      </c>
      <c r="H140" s="74">
        <v>4.1200000000000001E-2</v>
      </c>
      <c r="I140" s="74">
        <v>0.1346</v>
      </c>
      <c r="J140" s="74">
        <v>2.12E-2</v>
      </c>
      <c r="K140" s="74">
        <v>3.3700000000000001E-2</v>
      </c>
      <c r="L140" s="74">
        <v>1.7600000000000001E-2</v>
      </c>
      <c r="M140" s="74">
        <v>2.5499999999999998E-2</v>
      </c>
      <c r="N140" s="74">
        <v>0.12970000000000001</v>
      </c>
      <c r="O140" s="74">
        <v>1.8100000000000002E-2</v>
      </c>
      <c r="P140" s="74">
        <v>0</v>
      </c>
      <c r="Q140" s="74">
        <v>3.9199999999999999E-2</v>
      </c>
      <c r="R140" s="74">
        <v>1.95E-2</v>
      </c>
      <c r="S140" s="74">
        <v>2.3999999999999998E-3</v>
      </c>
      <c r="T140" s="74">
        <v>5.3900000000000003E-2</v>
      </c>
      <c r="U140" s="74">
        <v>1.84E-2</v>
      </c>
      <c r="V140" s="74">
        <v>3.7100000000000001E-2</v>
      </c>
      <c r="W140" s="74">
        <v>4.7800000000000002E-2</v>
      </c>
      <c r="X140" s="74">
        <v>6.4000000000000001E-2</v>
      </c>
      <c r="Y140" s="74">
        <v>2.7000000000000001E-3</v>
      </c>
      <c r="Z140" s="75">
        <v>0</v>
      </c>
      <c r="AA140" s="75">
        <v>6.9999999999999999E-4</v>
      </c>
      <c r="AB140" s="75">
        <v>0</v>
      </c>
      <c r="AC140" s="32"/>
      <c r="AD140" s="30"/>
    </row>
    <row r="141" spans="1:30" s="27" customFormat="1">
      <c r="A141" s="76"/>
      <c r="B141" s="16"/>
      <c r="C141" s="95"/>
      <c r="D141" s="78">
        <f t="shared" ref="D141:AB141" si="101">$C140*D140</f>
        <v>263.71853708333333</v>
      </c>
      <c r="E141" s="78">
        <f t="shared" si="101"/>
        <v>2201.3391658333335</v>
      </c>
      <c r="F141" s="78">
        <f t="shared" si="101"/>
        <v>890.642245</v>
      </c>
      <c r="G141" s="78">
        <f t="shared" si="101"/>
        <v>1266.4806391666666</v>
      </c>
      <c r="H141" s="78">
        <f t="shared" si="101"/>
        <v>650.61100166666665</v>
      </c>
      <c r="I141" s="78">
        <f t="shared" si="101"/>
        <v>2125.5398258333335</v>
      </c>
      <c r="J141" s="78">
        <f t="shared" si="101"/>
        <v>334.78041833333333</v>
      </c>
      <c r="K141" s="78">
        <f t="shared" si="101"/>
        <v>532.17453291666675</v>
      </c>
      <c r="L141" s="78">
        <f t="shared" si="101"/>
        <v>277.93091333333336</v>
      </c>
      <c r="M141" s="78">
        <f t="shared" si="101"/>
        <v>402.68399375000001</v>
      </c>
      <c r="N141" s="78">
        <f t="shared" si="101"/>
        <v>2048.1613329166671</v>
      </c>
      <c r="O141" s="78">
        <f t="shared" si="101"/>
        <v>285.82667791666671</v>
      </c>
      <c r="P141" s="78">
        <f t="shared" si="101"/>
        <v>0</v>
      </c>
      <c r="Q141" s="78">
        <f t="shared" si="101"/>
        <v>619.02794333333338</v>
      </c>
      <c r="R141" s="78">
        <f t="shared" si="101"/>
        <v>307.93481875000003</v>
      </c>
      <c r="S141" s="78">
        <f t="shared" si="101"/>
        <v>37.89967</v>
      </c>
      <c r="T141" s="78">
        <f t="shared" si="101"/>
        <v>851.16342208333344</v>
      </c>
      <c r="U141" s="78">
        <f t="shared" si="101"/>
        <v>290.56413666666668</v>
      </c>
      <c r="V141" s="78">
        <f t="shared" si="101"/>
        <v>585.86573208333334</v>
      </c>
      <c r="W141" s="78">
        <f t="shared" si="101"/>
        <v>754.83509416666675</v>
      </c>
      <c r="X141" s="78">
        <f t="shared" si="101"/>
        <v>1010.6578666666667</v>
      </c>
      <c r="Y141" s="78">
        <f t="shared" si="101"/>
        <v>42.637128750000002</v>
      </c>
      <c r="Z141" s="78">
        <f t="shared" si="101"/>
        <v>0</v>
      </c>
      <c r="AA141" s="78">
        <f t="shared" si="101"/>
        <v>11.054070416666667</v>
      </c>
      <c r="AB141" s="78">
        <f t="shared" si="101"/>
        <v>0</v>
      </c>
      <c r="AC141" s="32"/>
      <c r="AD141" s="30"/>
    </row>
    <row r="142" spans="1:30" s="27" customFormat="1">
      <c r="A142" s="125" t="s">
        <v>94</v>
      </c>
      <c r="B142" s="93">
        <v>189498.35</v>
      </c>
      <c r="C142" s="94">
        <f>B142/12</f>
        <v>15791.529166666667</v>
      </c>
      <c r="D142" s="75"/>
      <c r="E142" s="75"/>
      <c r="F142" s="75"/>
      <c r="G142" s="75"/>
      <c r="H142" s="120">
        <v>7.4399999999999994E-2</v>
      </c>
      <c r="I142" s="75"/>
      <c r="J142" s="75"/>
      <c r="K142" s="75"/>
      <c r="L142" s="75"/>
      <c r="M142" s="75"/>
      <c r="N142" s="120">
        <v>0.80659999999999998</v>
      </c>
      <c r="O142" s="75"/>
      <c r="P142" s="75"/>
      <c r="Q142" s="75"/>
      <c r="R142" s="75"/>
      <c r="S142" s="75"/>
      <c r="T142" s="75"/>
      <c r="U142" s="75"/>
      <c r="V142" s="120">
        <v>0.11899999999999999</v>
      </c>
      <c r="W142" s="75"/>
      <c r="X142" s="75"/>
      <c r="Y142" s="75"/>
      <c r="Z142" s="75"/>
      <c r="AA142" s="75"/>
      <c r="AB142" s="75"/>
      <c r="AC142" s="32"/>
      <c r="AD142" s="30"/>
    </row>
    <row r="143" spans="1:30" s="27" customFormat="1">
      <c r="A143" s="76"/>
      <c r="B143" s="77"/>
      <c r="C143" s="97"/>
      <c r="D143" s="78">
        <f t="shared" ref="D143:AB143" si="102">$C142*D142</f>
        <v>0</v>
      </c>
      <c r="E143" s="78">
        <f t="shared" si="102"/>
        <v>0</v>
      </c>
      <c r="F143" s="78">
        <f t="shared" si="102"/>
        <v>0</v>
      </c>
      <c r="G143" s="78">
        <f t="shared" si="102"/>
        <v>0</v>
      </c>
      <c r="H143" s="78">
        <f t="shared" si="102"/>
        <v>1174.88977</v>
      </c>
      <c r="I143" s="78">
        <f t="shared" si="102"/>
        <v>0</v>
      </c>
      <c r="J143" s="78">
        <f t="shared" si="102"/>
        <v>0</v>
      </c>
      <c r="K143" s="78">
        <f t="shared" si="102"/>
        <v>0</v>
      </c>
      <c r="L143" s="78">
        <f t="shared" si="102"/>
        <v>0</v>
      </c>
      <c r="M143" s="78">
        <f t="shared" si="102"/>
        <v>0</v>
      </c>
      <c r="N143" s="78">
        <f t="shared" si="102"/>
        <v>12737.447425833334</v>
      </c>
      <c r="O143" s="78">
        <f t="shared" si="102"/>
        <v>0</v>
      </c>
      <c r="P143" s="78">
        <f t="shared" si="102"/>
        <v>0</v>
      </c>
      <c r="Q143" s="78">
        <f t="shared" si="102"/>
        <v>0</v>
      </c>
      <c r="R143" s="78">
        <f t="shared" si="102"/>
        <v>0</v>
      </c>
      <c r="S143" s="78">
        <f t="shared" si="102"/>
        <v>0</v>
      </c>
      <c r="T143" s="78">
        <f t="shared" si="102"/>
        <v>0</v>
      </c>
      <c r="U143" s="78">
        <f t="shared" si="102"/>
        <v>0</v>
      </c>
      <c r="V143" s="78">
        <f t="shared" si="102"/>
        <v>1879.1919708333332</v>
      </c>
      <c r="W143" s="78">
        <f t="shared" si="102"/>
        <v>0</v>
      </c>
      <c r="X143" s="78">
        <f t="shared" si="102"/>
        <v>0</v>
      </c>
      <c r="Y143" s="78">
        <f t="shared" si="102"/>
        <v>0</v>
      </c>
      <c r="Z143" s="78">
        <f t="shared" si="102"/>
        <v>0</v>
      </c>
      <c r="AA143" s="78">
        <f t="shared" si="102"/>
        <v>0</v>
      </c>
      <c r="AB143" s="78">
        <f t="shared" si="102"/>
        <v>0</v>
      </c>
      <c r="AC143" s="32"/>
      <c r="AD143" s="30"/>
    </row>
    <row r="144" spans="1:30" s="27" customFormat="1">
      <c r="A144" s="71" t="s">
        <v>46</v>
      </c>
      <c r="B144" s="93">
        <v>19674605.335000001</v>
      </c>
      <c r="C144" s="94">
        <f>B144/12</f>
        <v>1639550.4445833333</v>
      </c>
      <c r="D144" s="74">
        <v>1.67E-2</v>
      </c>
      <c r="E144" s="74">
        <v>0.1394</v>
      </c>
      <c r="F144" s="74">
        <v>5.6399999999999999E-2</v>
      </c>
      <c r="G144" s="74">
        <v>8.0199999999999994E-2</v>
      </c>
      <c r="H144" s="74">
        <v>4.1200000000000001E-2</v>
      </c>
      <c r="I144" s="74">
        <v>0.1346</v>
      </c>
      <c r="J144" s="74">
        <v>2.12E-2</v>
      </c>
      <c r="K144" s="74">
        <v>3.3700000000000001E-2</v>
      </c>
      <c r="L144" s="74">
        <v>1.7600000000000001E-2</v>
      </c>
      <c r="M144" s="74">
        <v>2.5499999999999998E-2</v>
      </c>
      <c r="N144" s="74">
        <v>0.12970000000000001</v>
      </c>
      <c r="O144" s="74">
        <v>1.8100000000000002E-2</v>
      </c>
      <c r="P144" s="74">
        <v>0</v>
      </c>
      <c r="Q144" s="74">
        <v>3.9199999999999999E-2</v>
      </c>
      <c r="R144" s="74">
        <v>1.95E-2</v>
      </c>
      <c r="S144" s="74">
        <v>2.3999999999999998E-3</v>
      </c>
      <c r="T144" s="74">
        <v>5.3900000000000003E-2</v>
      </c>
      <c r="U144" s="74">
        <v>1.84E-2</v>
      </c>
      <c r="V144" s="74">
        <v>3.7100000000000001E-2</v>
      </c>
      <c r="W144" s="74">
        <v>4.7800000000000002E-2</v>
      </c>
      <c r="X144" s="74">
        <v>6.4000000000000001E-2</v>
      </c>
      <c r="Y144" s="74">
        <v>2.7000000000000001E-3</v>
      </c>
      <c r="Z144" s="75">
        <v>0</v>
      </c>
      <c r="AA144" s="75">
        <v>6.9999999999999999E-4</v>
      </c>
      <c r="AB144" s="75">
        <v>0</v>
      </c>
      <c r="AC144" s="32"/>
      <c r="AD144" s="30"/>
    </row>
    <row r="145" spans="1:30" s="27" customFormat="1">
      <c r="A145" s="76"/>
      <c r="B145" s="16"/>
      <c r="C145" s="95"/>
      <c r="D145" s="78">
        <f t="shared" ref="D145:AB145" si="103">$C144*D144</f>
        <v>27380.492424541666</v>
      </c>
      <c r="E145" s="78">
        <f t="shared" si="103"/>
        <v>228553.33197491665</v>
      </c>
      <c r="F145" s="78">
        <f t="shared" si="103"/>
        <v>92470.645074500004</v>
      </c>
      <c r="G145" s="78">
        <f t="shared" si="103"/>
        <v>131491.94565558332</v>
      </c>
      <c r="H145" s="78">
        <f t="shared" si="103"/>
        <v>67549.478316833338</v>
      </c>
      <c r="I145" s="78">
        <f t="shared" si="103"/>
        <v>220683.48984091665</v>
      </c>
      <c r="J145" s="78">
        <f t="shared" si="103"/>
        <v>34758.469425166666</v>
      </c>
      <c r="K145" s="78">
        <f t="shared" si="103"/>
        <v>55252.849982458334</v>
      </c>
      <c r="L145" s="78">
        <f t="shared" si="103"/>
        <v>28856.087824666669</v>
      </c>
      <c r="M145" s="78">
        <f t="shared" si="103"/>
        <v>41808.536336874997</v>
      </c>
      <c r="N145" s="78">
        <f t="shared" si="103"/>
        <v>212649.69266245834</v>
      </c>
      <c r="O145" s="78">
        <f t="shared" si="103"/>
        <v>29675.863046958337</v>
      </c>
      <c r="P145" s="78">
        <f t="shared" si="103"/>
        <v>0</v>
      </c>
      <c r="Q145" s="78">
        <f t="shared" si="103"/>
        <v>64270.377427666666</v>
      </c>
      <c r="R145" s="78">
        <f t="shared" si="103"/>
        <v>31971.233669375</v>
      </c>
      <c r="S145" s="78">
        <f t="shared" si="103"/>
        <v>3934.9210669999998</v>
      </c>
      <c r="T145" s="78">
        <f t="shared" si="103"/>
        <v>88371.768963041672</v>
      </c>
      <c r="U145" s="78">
        <f t="shared" si="103"/>
        <v>30167.728180333332</v>
      </c>
      <c r="V145" s="78">
        <f t="shared" si="103"/>
        <v>60827.321494041666</v>
      </c>
      <c r="W145" s="78">
        <f t="shared" si="103"/>
        <v>78370.511251083342</v>
      </c>
      <c r="X145" s="78">
        <f t="shared" si="103"/>
        <v>104931.22845333333</v>
      </c>
      <c r="Y145" s="78">
        <f t="shared" si="103"/>
        <v>4426.7862003750006</v>
      </c>
      <c r="Z145" s="78">
        <f t="shared" si="103"/>
        <v>0</v>
      </c>
      <c r="AA145" s="78">
        <f t="shared" si="103"/>
        <v>1147.6853112083334</v>
      </c>
      <c r="AB145" s="78">
        <f t="shared" si="103"/>
        <v>0</v>
      </c>
      <c r="AC145" s="32"/>
      <c r="AD145" s="30"/>
    </row>
    <row r="146" spans="1:30" s="27" customFormat="1">
      <c r="A146" s="125" t="s">
        <v>95</v>
      </c>
      <c r="B146" s="93">
        <v>19674605.335000001</v>
      </c>
      <c r="C146" s="94">
        <f>B146/12</f>
        <v>1639550.4445833333</v>
      </c>
      <c r="D146" s="75"/>
      <c r="E146" s="75"/>
      <c r="F146" s="120">
        <v>0.20369999999999999</v>
      </c>
      <c r="G146" s="75"/>
      <c r="H146" s="120">
        <v>0.12889999999999999</v>
      </c>
      <c r="I146" s="75"/>
      <c r="J146" s="75"/>
      <c r="K146" s="75"/>
      <c r="L146" s="75"/>
      <c r="M146" s="75"/>
      <c r="N146" s="120">
        <v>0.53520000000000001</v>
      </c>
      <c r="O146" s="75"/>
      <c r="P146" s="75"/>
      <c r="Q146" s="75"/>
      <c r="R146" s="75"/>
      <c r="S146" s="75"/>
      <c r="T146" s="75"/>
      <c r="U146" s="75"/>
      <c r="V146" s="120">
        <v>0.13220000000000001</v>
      </c>
      <c r="W146" s="75"/>
      <c r="X146" s="75"/>
      <c r="Y146" s="75"/>
      <c r="Z146" s="75"/>
      <c r="AA146" s="75"/>
      <c r="AB146" s="75"/>
      <c r="AC146" s="32"/>
      <c r="AD146" s="30"/>
    </row>
    <row r="147" spans="1:30" s="27" customFormat="1">
      <c r="A147" s="76"/>
      <c r="B147" s="77"/>
      <c r="C147" s="97"/>
      <c r="D147" s="78">
        <f t="shared" ref="D147:AB147" si="104">$C146*D146</f>
        <v>0</v>
      </c>
      <c r="E147" s="78">
        <f t="shared" si="104"/>
        <v>0</v>
      </c>
      <c r="F147" s="78">
        <f t="shared" si="104"/>
        <v>333976.42556162499</v>
      </c>
      <c r="G147" s="78">
        <f t="shared" si="104"/>
        <v>0</v>
      </c>
      <c r="H147" s="78">
        <f t="shared" si="104"/>
        <v>211338.05230679165</v>
      </c>
      <c r="I147" s="78">
        <f t="shared" si="104"/>
        <v>0</v>
      </c>
      <c r="J147" s="78">
        <f t="shared" si="104"/>
        <v>0</v>
      </c>
      <c r="K147" s="78">
        <f t="shared" si="104"/>
        <v>0</v>
      </c>
      <c r="L147" s="78">
        <f t="shared" si="104"/>
        <v>0</v>
      </c>
      <c r="M147" s="78">
        <f t="shared" si="104"/>
        <v>0</v>
      </c>
      <c r="N147" s="78">
        <f t="shared" si="104"/>
        <v>877487.39794100006</v>
      </c>
      <c r="O147" s="78">
        <f t="shared" si="104"/>
        <v>0</v>
      </c>
      <c r="P147" s="78">
        <f t="shared" si="104"/>
        <v>0</v>
      </c>
      <c r="Q147" s="78">
        <f t="shared" si="104"/>
        <v>0</v>
      </c>
      <c r="R147" s="78">
        <f t="shared" si="104"/>
        <v>0</v>
      </c>
      <c r="S147" s="78">
        <f t="shared" si="104"/>
        <v>0</v>
      </c>
      <c r="T147" s="78">
        <f t="shared" si="104"/>
        <v>0</v>
      </c>
      <c r="U147" s="78">
        <f t="shared" si="104"/>
        <v>0</v>
      </c>
      <c r="V147" s="78">
        <f t="shared" si="104"/>
        <v>216748.56877391669</v>
      </c>
      <c r="W147" s="78">
        <f t="shared" si="104"/>
        <v>0</v>
      </c>
      <c r="X147" s="78">
        <f t="shared" si="104"/>
        <v>0</v>
      </c>
      <c r="Y147" s="78">
        <f t="shared" si="104"/>
        <v>0</v>
      </c>
      <c r="Z147" s="78">
        <f t="shared" si="104"/>
        <v>0</v>
      </c>
      <c r="AA147" s="78">
        <f t="shared" si="104"/>
        <v>0</v>
      </c>
      <c r="AB147" s="78">
        <f t="shared" si="104"/>
        <v>0</v>
      </c>
      <c r="AC147" s="32"/>
      <c r="AD147" s="30"/>
    </row>
    <row r="148" spans="1:30" s="27" customFormat="1">
      <c r="A148" s="71" t="s">
        <v>47</v>
      </c>
      <c r="B148" s="93">
        <v>6217.41</v>
      </c>
      <c r="C148" s="94">
        <f>B148/12</f>
        <v>518.11749999999995</v>
      </c>
      <c r="D148" s="74">
        <v>1.67E-2</v>
      </c>
      <c r="E148" s="74">
        <v>0.1394</v>
      </c>
      <c r="F148" s="74">
        <v>5.6399999999999999E-2</v>
      </c>
      <c r="G148" s="74">
        <v>8.0199999999999994E-2</v>
      </c>
      <c r="H148" s="74">
        <v>4.1200000000000001E-2</v>
      </c>
      <c r="I148" s="74">
        <v>0.1346</v>
      </c>
      <c r="J148" s="74">
        <v>2.12E-2</v>
      </c>
      <c r="K148" s="74">
        <v>3.3700000000000001E-2</v>
      </c>
      <c r="L148" s="74">
        <v>1.7600000000000001E-2</v>
      </c>
      <c r="M148" s="74">
        <v>2.5499999999999998E-2</v>
      </c>
      <c r="N148" s="74">
        <v>0.12970000000000001</v>
      </c>
      <c r="O148" s="74">
        <v>1.8100000000000002E-2</v>
      </c>
      <c r="P148" s="74">
        <v>0</v>
      </c>
      <c r="Q148" s="74">
        <v>3.9199999999999999E-2</v>
      </c>
      <c r="R148" s="74">
        <v>1.95E-2</v>
      </c>
      <c r="S148" s="74">
        <v>2.3999999999999998E-3</v>
      </c>
      <c r="T148" s="74">
        <v>5.3900000000000003E-2</v>
      </c>
      <c r="U148" s="74">
        <v>1.84E-2</v>
      </c>
      <c r="V148" s="74">
        <v>3.7100000000000001E-2</v>
      </c>
      <c r="W148" s="74">
        <v>4.7800000000000002E-2</v>
      </c>
      <c r="X148" s="74">
        <v>6.4000000000000001E-2</v>
      </c>
      <c r="Y148" s="74">
        <v>2.7000000000000001E-3</v>
      </c>
      <c r="Z148" s="75">
        <v>0</v>
      </c>
      <c r="AA148" s="75">
        <v>6.9999999999999999E-4</v>
      </c>
      <c r="AB148" s="75">
        <v>0</v>
      </c>
      <c r="AC148" s="32"/>
      <c r="AD148" s="30"/>
    </row>
    <row r="149" spans="1:30" s="27" customFormat="1">
      <c r="A149" s="76"/>
      <c r="B149" s="16"/>
      <c r="C149" s="95"/>
      <c r="D149" s="78">
        <f t="shared" ref="D149:AB149" si="105">$C148*D148</f>
        <v>8.652562249999999</v>
      </c>
      <c r="E149" s="78">
        <f t="shared" si="105"/>
        <v>72.225579499999995</v>
      </c>
      <c r="F149" s="78">
        <f t="shared" si="105"/>
        <v>29.221826999999998</v>
      </c>
      <c r="G149" s="78">
        <f t="shared" si="105"/>
        <v>41.553023499999995</v>
      </c>
      <c r="H149" s="78">
        <f t="shared" si="105"/>
        <v>21.346440999999999</v>
      </c>
      <c r="I149" s="78">
        <f t="shared" si="105"/>
        <v>69.738615499999995</v>
      </c>
      <c r="J149" s="78">
        <f t="shared" si="105"/>
        <v>10.984090999999999</v>
      </c>
      <c r="K149" s="78">
        <f t="shared" si="105"/>
        <v>17.460559749999998</v>
      </c>
      <c r="L149" s="78">
        <f t="shared" si="105"/>
        <v>9.1188679999999991</v>
      </c>
      <c r="M149" s="78">
        <f t="shared" si="105"/>
        <v>13.211996249999999</v>
      </c>
      <c r="N149" s="78">
        <f t="shared" si="105"/>
        <v>67.199839749999995</v>
      </c>
      <c r="O149" s="78">
        <f t="shared" si="105"/>
        <v>9.3779267500000003</v>
      </c>
      <c r="P149" s="78">
        <f t="shared" si="105"/>
        <v>0</v>
      </c>
      <c r="Q149" s="78">
        <f t="shared" si="105"/>
        <v>20.310205999999997</v>
      </c>
      <c r="R149" s="78">
        <f t="shared" si="105"/>
        <v>10.10329125</v>
      </c>
      <c r="S149" s="78">
        <f t="shared" si="105"/>
        <v>1.2434819999999998</v>
      </c>
      <c r="T149" s="78">
        <f t="shared" si="105"/>
        <v>27.926533249999999</v>
      </c>
      <c r="U149" s="78">
        <f t="shared" si="105"/>
        <v>9.5333619999999986</v>
      </c>
      <c r="V149" s="78">
        <f t="shared" si="105"/>
        <v>19.222159249999997</v>
      </c>
      <c r="W149" s="78">
        <f t="shared" si="105"/>
        <v>24.766016499999999</v>
      </c>
      <c r="X149" s="78">
        <f t="shared" si="105"/>
        <v>33.159520000000001</v>
      </c>
      <c r="Y149" s="78">
        <f t="shared" si="105"/>
        <v>1.39891725</v>
      </c>
      <c r="Z149" s="78">
        <f t="shared" si="105"/>
        <v>0</v>
      </c>
      <c r="AA149" s="78">
        <f t="shared" si="105"/>
        <v>0.36268224999999998</v>
      </c>
      <c r="AB149" s="78">
        <f t="shared" si="105"/>
        <v>0</v>
      </c>
      <c r="AC149" s="32"/>
      <c r="AD149" s="30"/>
    </row>
    <row r="150" spans="1:30" s="27" customFormat="1">
      <c r="A150" s="125" t="s">
        <v>96</v>
      </c>
      <c r="B150" s="93">
        <v>6217.41</v>
      </c>
      <c r="C150" s="94">
        <f>B150/12</f>
        <v>518.11749999999995</v>
      </c>
      <c r="D150" s="75"/>
      <c r="E150" s="75"/>
      <c r="F150" s="75"/>
      <c r="G150" s="75"/>
      <c r="H150" s="120">
        <v>0.1084</v>
      </c>
      <c r="I150" s="75"/>
      <c r="J150" s="75"/>
      <c r="K150" s="75">
        <v>0</v>
      </c>
      <c r="L150" s="75"/>
      <c r="M150" s="75"/>
      <c r="N150" s="120">
        <v>0.70069999999999999</v>
      </c>
      <c r="O150" s="75">
        <v>4.82E-2</v>
      </c>
      <c r="P150" s="75"/>
      <c r="Q150" s="75"/>
      <c r="R150" s="75"/>
      <c r="S150" s="75"/>
      <c r="T150" s="75"/>
      <c r="U150" s="75"/>
      <c r="V150" s="120">
        <v>0.14269999999999999</v>
      </c>
      <c r="W150" s="75"/>
      <c r="X150" s="75"/>
      <c r="Y150" s="75"/>
      <c r="Z150" s="75"/>
      <c r="AA150" s="75"/>
      <c r="AB150" s="75"/>
      <c r="AC150" s="32"/>
      <c r="AD150" s="30"/>
    </row>
    <row r="151" spans="1:30" s="27" customFormat="1">
      <c r="A151" s="76"/>
      <c r="B151" s="77"/>
      <c r="C151" s="97"/>
      <c r="D151" s="78">
        <f t="shared" ref="D151:AB151" si="106">$C150*D150</f>
        <v>0</v>
      </c>
      <c r="E151" s="78">
        <f t="shared" si="106"/>
        <v>0</v>
      </c>
      <c r="F151" s="78">
        <f t="shared" si="106"/>
        <v>0</v>
      </c>
      <c r="G151" s="78">
        <f t="shared" si="106"/>
        <v>0</v>
      </c>
      <c r="H151" s="78">
        <f t="shared" si="106"/>
        <v>56.16393699999999</v>
      </c>
      <c r="I151" s="78">
        <f t="shared" si="106"/>
        <v>0</v>
      </c>
      <c r="J151" s="78">
        <f t="shared" si="106"/>
        <v>0</v>
      </c>
      <c r="K151" s="78">
        <f t="shared" si="106"/>
        <v>0</v>
      </c>
      <c r="L151" s="78">
        <f t="shared" si="106"/>
        <v>0</v>
      </c>
      <c r="M151" s="78">
        <f t="shared" si="106"/>
        <v>0</v>
      </c>
      <c r="N151" s="78">
        <f t="shared" si="106"/>
        <v>363.04493224999993</v>
      </c>
      <c r="O151" s="78">
        <f t="shared" si="106"/>
        <v>24.973263499999998</v>
      </c>
      <c r="P151" s="78">
        <f t="shared" si="106"/>
        <v>0</v>
      </c>
      <c r="Q151" s="78">
        <f t="shared" si="106"/>
        <v>0</v>
      </c>
      <c r="R151" s="78">
        <f t="shared" si="106"/>
        <v>0</v>
      </c>
      <c r="S151" s="78">
        <f t="shared" si="106"/>
        <v>0</v>
      </c>
      <c r="T151" s="78">
        <f t="shared" si="106"/>
        <v>0</v>
      </c>
      <c r="U151" s="78">
        <f t="shared" si="106"/>
        <v>0</v>
      </c>
      <c r="V151" s="78">
        <f t="shared" si="106"/>
        <v>73.935367249999985</v>
      </c>
      <c r="W151" s="78">
        <f t="shared" si="106"/>
        <v>0</v>
      </c>
      <c r="X151" s="78">
        <f t="shared" si="106"/>
        <v>0</v>
      </c>
      <c r="Y151" s="78">
        <f t="shared" si="106"/>
        <v>0</v>
      </c>
      <c r="Z151" s="78">
        <f t="shared" si="106"/>
        <v>0</v>
      </c>
      <c r="AA151" s="78">
        <f t="shared" si="106"/>
        <v>0</v>
      </c>
      <c r="AB151" s="78">
        <f t="shared" si="106"/>
        <v>0</v>
      </c>
      <c r="AC151" s="32"/>
      <c r="AD151" s="30"/>
    </row>
    <row r="152" spans="1:30" s="27" customFormat="1">
      <c r="A152" s="71" t="s">
        <v>58</v>
      </c>
      <c r="B152" s="93">
        <v>1097040.6299999999</v>
      </c>
      <c r="C152" s="94">
        <f>B152/12</f>
        <v>91420.052499999991</v>
      </c>
      <c r="D152" s="74">
        <v>1.67E-2</v>
      </c>
      <c r="E152" s="74">
        <v>0.1394</v>
      </c>
      <c r="F152" s="74">
        <v>5.6399999999999999E-2</v>
      </c>
      <c r="G152" s="74">
        <v>8.0199999999999994E-2</v>
      </c>
      <c r="H152" s="74">
        <v>4.1200000000000001E-2</v>
      </c>
      <c r="I152" s="74">
        <v>0.1346</v>
      </c>
      <c r="J152" s="74">
        <v>2.12E-2</v>
      </c>
      <c r="K152" s="74">
        <v>3.3700000000000001E-2</v>
      </c>
      <c r="L152" s="74">
        <v>1.7600000000000001E-2</v>
      </c>
      <c r="M152" s="74">
        <v>2.5499999999999998E-2</v>
      </c>
      <c r="N152" s="74">
        <v>0.12970000000000001</v>
      </c>
      <c r="O152" s="74">
        <v>1.8100000000000002E-2</v>
      </c>
      <c r="P152" s="74">
        <v>0</v>
      </c>
      <c r="Q152" s="74">
        <v>3.9199999999999999E-2</v>
      </c>
      <c r="R152" s="74">
        <v>1.95E-2</v>
      </c>
      <c r="S152" s="74">
        <v>2.3999999999999998E-3</v>
      </c>
      <c r="T152" s="74">
        <v>5.3900000000000003E-2</v>
      </c>
      <c r="U152" s="74">
        <v>1.84E-2</v>
      </c>
      <c r="V152" s="74">
        <v>3.7100000000000001E-2</v>
      </c>
      <c r="W152" s="74">
        <v>4.7800000000000002E-2</v>
      </c>
      <c r="X152" s="74">
        <v>6.4000000000000001E-2</v>
      </c>
      <c r="Y152" s="74">
        <v>2.7000000000000001E-3</v>
      </c>
      <c r="Z152" s="75">
        <v>0</v>
      </c>
      <c r="AA152" s="75">
        <v>6.9999999999999999E-4</v>
      </c>
      <c r="AB152" s="75">
        <v>0</v>
      </c>
      <c r="AC152" s="32"/>
      <c r="AD152" s="30"/>
    </row>
    <row r="153" spans="1:30" s="27" customFormat="1">
      <c r="A153" s="76"/>
      <c r="B153" s="16"/>
      <c r="C153" s="95"/>
      <c r="D153" s="78">
        <f t="shared" ref="D153:AB153" si="107">$C152*D152</f>
        <v>1526.7148767499998</v>
      </c>
      <c r="E153" s="78">
        <f t="shared" si="107"/>
        <v>12743.955318499999</v>
      </c>
      <c r="F153" s="78">
        <f t="shared" si="107"/>
        <v>5156.090960999999</v>
      </c>
      <c r="G153" s="78">
        <f t="shared" si="107"/>
        <v>7331.8882104999984</v>
      </c>
      <c r="H153" s="78">
        <f t="shared" si="107"/>
        <v>3766.5061629999996</v>
      </c>
      <c r="I153" s="78">
        <f t="shared" si="107"/>
        <v>12305.139066499998</v>
      </c>
      <c r="J153" s="78">
        <f t="shared" si="107"/>
        <v>1938.1051129999998</v>
      </c>
      <c r="K153" s="78">
        <f t="shared" si="107"/>
        <v>3080.8557692499999</v>
      </c>
      <c r="L153" s="78">
        <f t="shared" si="107"/>
        <v>1608.9929239999999</v>
      </c>
      <c r="M153" s="78">
        <f t="shared" si="107"/>
        <v>2331.2113387499994</v>
      </c>
      <c r="N153" s="78">
        <f t="shared" si="107"/>
        <v>11857.18080925</v>
      </c>
      <c r="O153" s="78">
        <f t="shared" si="107"/>
        <v>1654.70295025</v>
      </c>
      <c r="P153" s="78">
        <f t="shared" si="107"/>
        <v>0</v>
      </c>
      <c r="Q153" s="78">
        <f t="shared" si="107"/>
        <v>3583.6660579999993</v>
      </c>
      <c r="R153" s="78">
        <f t="shared" si="107"/>
        <v>1782.6910237499999</v>
      </c>
      <c r="S153" s="78">
        <f t="shared" si="107"/>
        <v>219.40812599999995</v>
      </c>
      <c r="T153" s="78">
        <f t="shared" si="107"/>
        <v>4927.5408297499998</v>
      </c>
      <c r="U153" s="78">
        <f t="shared" si="107"/>
        <v>1682.1289659999998</v>
      </c>
      <c r="V153" s="78">
        <f t="shared" si="107"/>
        <v>3391.6839477499998</v>
      </c>
      <c r="W153" s="78">
        <f t="shared" si="107"/>
        <v>4369.8785094999994</v>
      </c>
      <c r="X153" s="78">
        <f t="shared" si="107"/>
        <v>5850.8833599999998</v>
      </c>
      <c r="Y153" s="78">
        <f t="shared" si="107"/>
        <v>246.83414174999999</v>
      </c>
      <c r="Z153" s="78">
        <f t="shared" si="107"/>
        <v>0</v>
      </c>
      <c r="AA153" s="78">
        <f t="shared" si="107"/>
        <v>63.994036749999992</v>
      </c>
      <c r="AB153" s="78">
        <f t="shared" si="107"/>
        <v>0</v>
      </c>
      <c r="AC153" s="32"/>
      <c r="AD153" s="30"/>
    </row>
    <row r="154" spans="1:30" s="27" customFormat="1">
      <c r="A154" s="125" t="s">
        <v>97</v>
      </c>
      <c r="B154" s="93">
        <v>1097040.6299999999</v>
      </c>
      <c r="C154" s="94">
        <f>B154/12</f>
        <v>91420.052499999991</v>
      </c>
      <c r="D154" s="75"/>
      <c r="E154" s="75">
        <v>1.2699999999999999E-2</v>
      </c>
      <c r="F154" s="120">
        <v>0.24460000000000001</v>
      </c>
      <c r="G154" s="75">
        <v>6.8999999999999999E-3</v>
      </c>
      <c r="H154" s="120">
        <v>0.31130000000000002</v>
      </c>
      <c r="I154" s="75"/>
      <c r="J154" s="75">
        <v>2.7000000000000001E-3</v>
      </c>
      <c r="K154" s="75">
        <v>6.6E-3</v>
      </c>
      <c r="L154" s="75"/>
      <c r="M154" s="75"/>
      <c r="N154" s="75">
        <v>1.9199999999999998E-2</v>
      </c>
      <c r="O154" s="75">
        <v>3.8E-3</v>
      </c>
      <c r="P154" s="75"/>
      <c r="Q154" s="75"/>
      <c r="R154" s="75"/>
      <c r="S154" s="75"/>
      <c r="T154" s="75"/>
      <c r="U154" s="75"/>
      <c r="V154" s="120">
        <v>0.39219999999999999</v>
      </c>
      <c r="W154" s="75"/>
      <c r="X154" s="75"/>
      <c r="Y154" s="75"/>
      <c r="Z154" s="75"/>
      <c r="AA154" s="75"/>
      <c r="AB154" s="75"/>
      <c r="AC154" s="32"/>
      <c r="AD154" s="30"/>
    </row>
    <row r="155" spans="1:30" s="27" customFormat="1">
      <c r="A155" s="76"/>
      <c r="B155" s="77"/>
      <c r="C155" s="97"/>
      <c r="D155" s="78">
        <f t="shared" ref="D155:AB155" si="108">$C154*D154</f>
        <v>0</v>
      </c>
      <c r="E155" s="78">
        <f t="shared" si="108"/>
        <v>1161.0346667499998</v>
      </c>
      <c r="F155" s="78">
        <f t="shared" si="108"/>
        <v>22361.344841499998</v>
      </c>
      <c r="G155" s="78">
        <f t="shared" si="108"/>
        <v>630.79836224999997</v>
      </c>
      <c r="H155" s="78">
        <f t="shared" si="108"/>
        <v>28459.06234325</v>
      </c>
      <c r="I155" s="78">
        <f t="shared" si="108"/>
        <v>0</v>
      </c>
      <c r="J155" s="78">
        <f t="shared" si="108"/>
        <v>246.83414174999999</v>
      </c>
      <c r="K155" s="78">
        <f t="shared" si="108"/>
        <v>603.37234649999994</v>
      </c>
      <c r="L155" s="78">
        <f t="shared" si="108"/>
        <v>0</v>
      </c>
      <c r="M155" s="78">
        <f t="shared" si="108"/>
        <v>0</v>
      </c>
      <c r="N155" s="78">
        <f t="shared" si="108"/>
        <v>1755.2650079999996</v>
      </c>
      <c r="O155" s="78">
        <f t="shared" si="108"/>
        <v>347.39619949999997</v>
      </c>
      <c r="P155" s="78">
        <f t="shared" si="108"/>
        <v>0</v>
      </c>
      <c r="Q155" s="78">
        <f t="shared" si="108"/>
        <v>0</v>
      </c>
      <c r="R155" s="78">
        <f t="shared" si="108"/>
        <v>0</v>
      </c>
      <c r="S155" s="78">
        <f t="shared" si="108"/>
        <v>0</v>
      </c>
      <c r="T155" s="78">
        <f t="shared" si="108"/>
        <v>0</v>
      </c>
      <c r="U155" s="78">
        <f t="shared" si="108"/>
        <v>0</v>
      </c>
      <c r="V155" s="78">
        <f t="shared" si="108"/>
        <v>35854.944590499996</v>
      </c>
      <c r="W155" s="78">
        <f t="shared" si="108"/>
        <v>0</v>
      </c>
      <c r="X155" s="78">
        <f t="shared" si="108"/>
        <v>0</v>
      </c>
      <c r="Y155" s="78">
        <f t="shared" si="108"/>
        <v>0</v>
      </c>
      <c r="Z155" s="78">
        <f t="shared" si="108"/>
        <v>0</v>
      </c>
      <c r="AA155" s="78">
        <f t="shared" si="108"/>
        <v>0</v>
      </c>
      <c r="AB155" s="78">
        <f t="shared" si="108"/>
        <v>0</v>
      </c>
      <c r="AC155" s="32"/>
      <c r="AD155" s="30"/>
    </row>
    <row r="156" spans="1:30" s="27" customFormat="1">
      <c r="A156" s="71" t="s">
        <v>59</v>
      </c>
      <c r="B156" s="93">
        <v>1586772.04</v>
      </c>
      <c r="C156" s="94">
        <f>B156/12</f>
        <v>132231.00333333333</v>
      </c>
      <c r="D156" s="74">
        <v>1.67E-2</v>
      </c>
      <c r="E156" s="74">
        <v>0.1394</v>
      </c>
      <c r="F156" s="74">
        <v>5.6399999999999999E-2</v>
      </c>
      <c r="G156" s="74">
        <v>8.0199999999999994E-2</v>
      </c>
      <c r="H156" s="74">
        <v>4.1200000000000001E-2</v>
      </c>
      <c r="I156" s="74">
        <v>0.1346</v>
      </c>
      <c r="J156" s="74">
        <v>2.12E-2</v>
      </c>
      <c r="K156" s="74">
        <v>3.3700000000000001E-2</v>
      </c>
      <c r="L156" s="74">
        <v>1.7600000000000001E-2</v>
      </c>
      <c r="M156" s="74">
        <v>2.5499999999999998E-2</v>
      </c>
      <c r="N156" s="74">
        <v>0.12970000000000001</v>
      </c>
      <c r="O156" s="74">
        <v>1.8100000000000002E-2</v>
      </c>
      <c r="P156" s="74">
        <v>0</v>
      </c>
      <c r="Q156" s="74">
        <v>3.9199999999999999E-2</v>
      </c>
      <c r="R156" s="74">
        <v>1.95E-2</v>
      </c>
      <c r="S156" s="74">
        <v>2.3999999999999998E-3</v>
      </c>
      <c r="T156" s="74">
        <v>5.3900000000000003E-2</v>
      </c>
      <c r="U156" s="74">
        <v>1.84E-2</v>
      </c>
      <c r="V156" s="74">
        <v>3.7100000000000001E-2</v>
      </c>
      <c r="W156" s="74">
        <v>4.7800000000000002E-2</v>
      </c>
      <c r="X156" s="74">
        <v>6.4000000000000001E-2</v>
      </c>
      <c r="Y156" s="74">
        <v>2.7000000000000001E-3</v>
      </c>
      <c r="Z156" s="75">
        <v>0</v>
      </c>
      <c r="AA156" s="75">
        <v>6.9999999999999999E-4</v>
      </c>
      <c r="AB156" s="75">
        <v>0</v>
      </c>
      <c r="AC156" s="32"/>
      <c r="AD156" s="30"/>
    </row>
    <row r="157" spans="1:30" s="27" customFormat="1">
      <c r="A157" s="76"/>
      <c r="B157" s="16"/>
      <c r="C157" s="95"/>
      <c r="D157" s="78">
        <f t="shared" ref="D157:AB157" si="109">$C156*D156</f>
        <v>2208.2577556666665</v>
      </c>
      <c r="E157" s="78">
        <f t="shared" si="109"/>
        <v>18433.001864666665</v>
      </c>
      <c r="F157" s="78">
        <f t="shared" si="109"/>
        <v>7457.8285879999994</v>
      </c>
      <c r="G157" s="78">
        <f t="shared" si="109"/>
        <v>10604.926467333333</v>
      </c>
      <c r="H157" s="78">
        <f t="shared" si="109"/>
        <v>5447.9173373333333</v>
      </c>
      <c r="I157" s="78">
        <f t="shared" si="109"/>
        <v>17798.293048666666</v>
      </c>
      <c r="J157" s="78">
        <f t="shared" si="109"/>
        <v>2803.2972706666665</v>
      </c>
      <c r="K157" s="78">
        <f t="shared" si="109"/>
        <v>4456.184812333333</v>
      </c>
      <c r="L157" s="78">
        <f t="shared" si="109"/>
        <v>2327.2656586666667</v>
      </c>
      <c r="M157" s="78">
        <f t="shared" si="109"/>
        <v>3371.8905849999996</v>
      </c>
      <c r="N157" s="78">
        <f t="shared" si="109"/>
        <v>17150.361132333335</v>
      </c>
      <c r="O157" s="78">
        <f t="shared" si="109"/>
        <v>2393.3811603333334</v>
      </c>
      <c r="P157" s="78">
        <f t="shared" si="109"/>
        <v>0</v>
      </c>
      <c r="Q157" s="78">
        <f t="shared" si="109"/>
        <v>5183.4553306666667</v>
      </c>
      <c r="R157" s="78">
        <f t="shared" si="109"/>
        <v>2578.5045649999997</v>
      </c>
      <c r="S157" s="78">
        <f t="shared" si="109"/>
        <v>317.35440799999998</v>
      </c>
      <c r="T157" s="78">
        <f t="shared" si="109"/>
        <v>7127.2510796666666</v>
      </c>
      <c r="U157" s="78">
        <f t="shared" si="109"/>
        <v>2433.0504613333333</v>
      </c>
      <c r="V157" s="78">
        <f t="shared" si="109"/>
        <v>4905.7702236666664</v>
      </c>
      <c r="W157" s="78">
        <f t="shared" si="109"/>
        <v>6320.641959333333</v>
      </c>
      <c r="X157" s="78">
        <f t="shared" si="109"/>
        <v>8462.7842133333324</v>
      </c>
      <c r="Y157" s="78">
        <f t="shared" si="109"/>
        <v>357.023709</v>
      </c>
      <c r="Z157" s="78">
        <f t="shared" si="109"/>
        <v>0</v>
      </c>
      <c r="AA157" s="78">
        <f t="shared" si="109"/>
        <v>92.561702333333329</v>
      </c>
      <c r="AB157" s="78">
        <f t="shared" si="109"/>
        <v>0</v>
      </c>
      <c r="AC157" s="32"/>
      <c r="AD157" s="30"/>
    </row>
    <row r="158" spans="1:30" s="27" customFormat="1">
      <c r="A158" s="125" t="s">
        <v>98</v>
      </c>
      <c r="B158" s="93">
        <v>1586772.04</v>
      </c>
      <c r="C158" s="94">
        <f>B158/12</f>
        <v>132231.00333333333</v>
      </c>
      <c r="D158" s="120">
        <v>0</v>
      </c>
      <c r="E158" s="75"/>
      <c r="F158" s="120">
        <v>4.6899999999999997E-2</v>
      </c>
      <c r="G158" s="75"/>
      <c r="H158" s="75"/>
      <c r="I158" s="75"/>
      <c r="J158" s="75"/>
      <c r="K158" s="75"/>
      <c r="L158" s="75"/>
      <c r="M158" s="120">
        <v>1.0800000000000001E-2</v>
      </c>
      <c r="N158" s="75">
        <v>0.90769999999999995</v>
      </c>
      <c r="O158" s="75">
        <v>0</v>
      </c>
      <c r="P158" s="75"/>
      <c r="Q158" s="75"/>
      <c r="R158" s="120">
        <v>1.15E-2</v>
      </c>
      <c r="S158" s="75"/>
      <c r="T158" s="120">
        <v>0</v>
      </c>
      <c r="U158" s="75"/>
      <c r="V158" s="120">
        <v>2.3099999999999999E-2</v>
      </c>
      <c r="W158" s="75"/>
      <c r="X158" s="75"/>
      <c r="Y158" s="75"/>
      <c r="Z158" s="75"/>
      <c r="AA158" s="75"/>
      <c r="AB158" s="75"/>
      <c r="AC158" s="32"/>
      <c r="AD158" s="30"/>
    </row>
    <row r="159" spans="1:30" s="27" customFormat="1">
      <c r="A159" s="76"/>
      <c r="B159" s="77"/>
      <c r="C159" s="97"/>
      <c r="D159" s="78">
        <f t="shared" ref="D159:AB159" si="110">$C158*D158</f>
        <v>0</v>
      </c>
      <c r="E159" s="78">
        <f t="shared" si="110"/>
        <v>0</v>
      </c>
      <c r="F159" s="78">
        <f t="shared" si="110"/>
        <v>6201.6340563333324</v>
      </c>
      <c r="G159" s="78">
        <f t="shared" si="110"/>
        <v>0</v>
      </c>
      <c r="H159" s="78">
        <f t="shared" si="110"/>
        <v>0</v>
      </c>
      <c r="I159" s="78">
        <f t="shared" si="110"/>
        <v>0</v>
      </c>
      <c r="J159" s="78">
        <f t="shared" si="110"/>
        <v>0</v>
      </c>
      <c r="K159" s="78">
        <f t="shared" si="110"/>
        <v>0</v>
      </c>
      <c r="L159" s="78">
        <f t="shared" si="110"/>
        <v>0</v>
      </c>
      <c r="M159" s="78">
        <f t="shared" si="110"/>
        <v>1428.094836</v>
      </c>
      <c r="N159" s="78">
        <f t="shared" si="110"/>
        <v>120026.08172566665</v>
      </c>
      <c r="O159" s="78">
        <f t="shared" si="110"/>
        <v>0</v>
      </c>
      <c r="P159" s="78">
        <f t="shared" si="110"/>
        <v>0</v>
      </c>
      <c r="Q159" s="78">
        <f t="shared" si="110"/>
        <v>0</v>
      </c>
      <c r="R159" s="78">
        <f t="shared" si="110"/>
        <v>1520.6565383333332</v>
      </c>
      <c r="S159" s="78">
        <f t="shared" si="110"/>
        <v>0</v>
      </c>
      <c r="T159" s="78">
        <f t="shared" si="110"/>
        <v>0</v>
      </c>
      <c r="U159" s="78">
        <f t="shared" si="110"/>
        <v>0</v>
      </c>
      <c r="V159" s="78">
        <f t="shared" si="110"/>
        <v>3054.5361769999995</v>
      </c>
      <c r="W159" s="78">
        <f t="shared" si="110"/>
        <v>0</v>
      </c>
      <c r="X159" s="78">
        <f t="shared" si="110"/>
        <v>0</v>
      </c>
      <c r="Y159" s="78">
        <f t="shared" si="110"/>
        <v>0</v>
      </c>
      <c r="Z159" s="78">
        <f t="shared" si="110"/>
        <v>0</v>
      </c>
      <c r="AA159" s="78">
        <f t="shared" si="110"/>
        <v>0</v>
      </c>
      <c r="AB159" s="78">
        <f t="shared" si="110"/>
        <v>0</v>
      </c>
      <c r="AC159" s="32"/>
      <c r="AD159" s="30"/>
    </row>
    <row r="160" spans="1:30" s="27" customFormat="1">
      <c r="A160" s="71" t="s">
        <v>60</v>
      </c>
      <c r="B160" s="93">
        <v>6721434.7949999999</v>
      </c>
      <c r="C160" s="94">
        <f>B160/12</f>
        <v>560119.56625000003</v>
      </c>
      <c r="D160" s="74">
        <v>1.67E-2</v>
      </c>
      <c r="E160" s="74">
        <v>0.1394</v>
      </c>
      <c r="F160" s="74">
        <v>5.6399999999999999E-2</v>
      </c>
      <c r="G160" s="74">
        <v>8.0199999999999994E-2</v>
      </c>
      <c r="H160" s="74">
        <v>4.1200000000000001E-2</v>
      </c>
      <c r="I160" s="74">
        <v>0.1346</v>
      </c>
      <c r="J160" s="74">
        <v>2.12E-2</v>
      </c>
      <c r="K160" s="74">
        <v>3.3700000000000001E-2</v>
      </c>
      <c r="L160" s="74">
        <v>1.7600000000000001E-2</v>
      </c>
      <c r="M160" s="74">
        <v>2.5499999999999998E-2</v>
      </c>
      <c r="N160" s="74">
        <v>0.12970000000000001</v>
      </c>
      <c r="O160" s="74">
        <v>1.8100000000000002E-2</v>
      </c>
      <c r="P160" s="74">
        <v>0</v>
      </c>
      <c r="Q160" s="74">
        <v>3.9199999999999999E-2</v>
      </c>
      <c r="R160" s="74">
        <v>1.95E-2</v>
      </c>
      <c r="S160" s="74">
        <v>2.3999999999999998E-3</v>
      </c>
      <c r="T160" s="74">
        <v>5.3900000000000003E-2</v>
      </c>
      <c r="U160" s="74">
        <v>1.84E-2</v>
      </c>
      <c r="V160" s="74">
        <v>3.7100000000000001E-2</v>
      </c>
      <c r="W160" s="74">
        <v>4.7800000000000002E-2</v>
      </c>
      <c r="X160" s="74">
        <v>6.4000000000000001E-2</v>
      </c>
      <c r="Y160" s="74">
        <v>2.7000000000000001E-3</v>
      </c>
      <c r="Z160" s="75">
        <v>0</v>
      </c>
      <c r="AA160" s="75">
        <v>6.9999999999999999E-4</v>
      </c>
      <c r="AB160" s="75">
        <v>0</v>
      </c>
      <c r="AC160" s="32"/>
      <c r="AD160" s="30"/>
    </row>
    <row r="161" spans="1:30" s="27" customFormat="1">
      <c r="A161" s="76"/>
      <c r="B161" s="16"/>
      <c r="C161" s="95"/>
      <c r="D161" s="78">
        <f t="shared" ref="D161:AB161" si="111">$C160*D160</f>
        <v>9353.9967563749997</v>
      </c>
      <c r="E161" s="78">
        <f t="shared" si="111"/>
        <v>78080.667535250002</v>
      </c>
      <c r="F161" s="78">
        <f t="shared" si="111"/>
        <v>31590.743536500002</v>
      </c>
      <c r="G161" s="78">
        <f t="shared" si="111"/>
        <v>44921.589213250001</v>
      </c>
      <c r="H161" s="78">
        <f t="shared" si="111"/>
        <v>23076.926129500003</v>
      </c>
      <c r="I161" s="78">
        <f t="shared" si="111"/>
        <v>75392.093617250008</v>
      </c>
      <c r="J161" s="78">
        <f t="shared" si="111"/>
        <v>11874.534804500001</v>
      </c>
      <c r="K161" s="78">
        <f t="shared" si="111"/>
        <v>18876.029382625002</v>
      </c>
      <c r="L161" s="78">
        <f t="shared" si="111"/>
        <v>9858.1043660000014</v>
      </c>
      <c r="M161" s="78">
        <f t="shared" si="111"/>
        <v>14283.048939374999</v>
      </c>
      <c r="N161" s="78">
        <f t="shared" si="111"/>
        <v>72647.507742625006</v>
      </c>
      <c r="O161" s="78">
        <f t="shared" si="111"/>
        <v>10138.164149125001</v>
      </c>
      <c r="P161" s="78">
        <f t="shared" si="111"/>
        <v>0</v>
      </c>
      <c r="Q161" s="78">
        <f t="shared" si="111"/>
        <v>21956.686997000001</v>
      </c>
      <c r="R161" s="78">
        <f t="shared" si="111"/>
        <v>10922.331541875001</v>
      </c>
      <c r="S161" s="78">
        <f t="shared" si="111"/>
        <v>1344.286959</v>
      </c>
      <c r="T161" s="78">
        <f t="shared" si="111"/>
        <v>30190.444620875005</v>
      </c>
      <c r="U161" s="78">
        <f t="shared" si="111"/>
        <v>10306.200019</v>
      </c>
      <c r="V161" s="78">
        <f t="shared" si="111"/>
        <v>20780.435907875002</v>
      </c>
      <c r="W161" s="78">
        <f t="shared" si="111"/>
        <v>26773.715266750001</v>
      </c>
      <c r="X161" s="78">
        <f t="shared" si="111"/>
        <v>35847.652240000003</v>
      </c>
      <c r="Y161" s="78">
        <f t="shared" si="111"/>
        <v>1512.3228288750001</v>
      </c>
      <c r="Z161" s="78">
        <f t="shared" si="111"/>
        <v>0</v>
      </c>
      <c r="AA161" s="78">
        <f t="shared" si="111"/>
        <v>392.08369637500005</v>
      </c>
      <c r="AB161" s="78">
        <f t="shared" si="111"/>
        <v>0</v>
      </c>
      <c r="AC161" s="32"/>
      <c r="AD161" s="30"/>
    </row>
    <row r="162" spans="1:30" s="27" customFormat="1">
      <c r="A162" s="125" t="s">
        <v>99</v>
      </c>
      <c r="B162" s="93">
        <v>6721434.7949999999</v>
      </c>
      <c r="C162" s="94">
        <f>B162/12</f>
        <v>560119.56625000003</v>
      </c>
      <c r="D162" s="75"/>
      <c r="E162" s="75"/>
      <c r="F162" s="75"/>
      <c r="G162" s="75"/>
      <c r="H162" s="120">
        <v>7.4399999999999994E-2</v>
      </c>
      <c r="I162" s="75"/>
      <c r="J162" s="75"/>
      <c r="K162" s="75"/>
      <c r="L162" s="75"/>
      <c r="M162" s="75"/>
      <c r="N162" s="120">
        <v>0.80659999999999998</v>
      </c>
      <c r="O162" s="75"/>
      <c r="P162" s="75"/>
      <c r="Q162" s="75"/>
      <c r="R162" s="75"/>
      <c r="S162" s="75"/>
      <c r="T162" s="75"/>
      <c r="U162" s="75"/>
      <c r="V162" s="120">
        <v>0.11899999999999999</v>
      </c>
      <c r="W162" s="75"/>
      <c r="X162" s="75"/>
      <c r="Y162" s="75"/>
      <c r="Z162" s="75"/>
      <c r="AA162" s="75"/>
      <c r="AB162" s="75"/>
      <c r="AC162" s="32"/>
      <c r="AD162" s="30"/>
    </row>
    <row r="163" spans="1:30" s="27" customFormat="1">
      <c r="A163" s="76"/>
      <c r="B163" s="77"/>
      <c r="C163" s="97"/>
      <c r="D163" s="78">
        <f t="shared" ref="D163:AB163" si="112">$C162*D162</f>
        <v>0</v>
      </c>
      <c r="E163" s="78">
        <f t="shared" si="112"/>
        <v>0</v>
      </c>
      <c r="F163" s="78">
        <f t="shared" si="112"/>
        <v>0</v>
      </c>
      <c r="G163" s="78">
        <f t="shared" si="112"/>
        <v>0</v>
      </c>
      <c r="H163" s="78">
        <f t="shared" si="112"/>
        <v>41672.895728999996</v>
      </c>
      <c r="I163" s="78">
        <f t="shared" si="112"/>
        <v>0</v>
      </c>
      <c r="J163" s="78">
        <f t="shared" si="112"/>
        <v>0</v>
      </c>
      <c r="K163" s="78">
        <f t="shared" si="112"/>
        <v>0</v>
      </c>
      <c r="L163" s="78">
        <f t="shared" si="112"/>
        <v>0</v>
      </c>
      <c r="M163" s="78">
        <f t="shared" si="112"/>
        <v>0</v>
      </c>
      <c r="N163" s="78">
        <f t="shared" si="112"/>
        <v>451792.44213725004</v>
      </c>
      <c r="O163" s="78">
        <f t="shared" si="112"/>
        <v>0</v>
      </c>
      <c r="P163" s="78">
        <f t="shared" si="112"/>
        <v>0</v>
      </c>
      <c r="Q163" s="78">
        <f t="shared" si="112"/>
        <v>0</v>
      </c>
      <c r="R163" s="78">
        <f t="shared" si="112"/>
        <v>0</v>
      </c>
      <c r="S163" s="78">
        <f t="shared" si="112"/>
        <v>0</v>
      </c>
      <c r="T163" s="78">
        <f t="shared" si="112"/>
        <v>0</v>
      </c>
      <c r="U163" s="78">
        <f t="shared" si="112"/>
        <v>0</v>
      </c>
      <c r="V163" s="78">
        <f t="shared" si="112"/>
        <v>66654.22838375</v>
      </c>
      <c r="W163" s="78">
        <f t="shared" si="112"/>
        <v>0</v>
      </c>
      <c r="X163" s="78">
        <f t="shared" si="112"/>
        <v>0</v>
      </c>
      <c r="Y163" s="78">
        <f t="shared" si="112"/>
        <v>0</v>
      </c>
      <c r="Z163" s="78">
        <f t="shared" si="112"/>
        <v>0</v>
      </c>
      <c r="AA163" s="78">
        <f t="shared" si="112"/>
        <v>0</v>
      </c>
      <c r="AB163" s="78">
        <f t="shared" si="112"/>
        <v>0</v>
      </c>
      <c r="AC163" s="32"/>
      <c r="AD163" s="30"/>
    </row>
    <row r="164" spans="1:30" s="27" customFormat="1">
      <c r="A164" s="71" t="s">
        <v>61</v>
      </c>
      <c r="B164" s="93">
        <v>2242335.73</v>
      </c>
      <c r="C164" s="94">
        <f>B164/12</f>
        <v>186861.31083333332</v>
      </c>
      <c r="D164" s="74">
        <v>1.67E-2</v>
      </c>
      <c r="E164" s="74">
        <v>0.1394</v>
      </c>
      <c r="F164" s="74">
        <v>5.6399999999999999E-2</v>
      </c>
      <c r="G164" s="74">
        <v>8.0199999999999994E-2</v>
      </c>
      <c r="H164" s="74">
        <v>4.1200000000000001E-2</v>
      </c>
      <c r="I164" s="74">
        <v>0.1346</v>
      </c>
      <c r="J164" s="74">
        <v>2.12E-2</v>
      </c>
      <c r="K164" s="74">
        <v>3.3700000000000001E-2</v>
      </c>
      <c r="L164" s="74">
        <v>1.7600000000000001E-2</v>
      </c>
      <c r="M164" s="74">
        <v>2.5499999999999998E-2</v>
      </c>
      <c r="N164" s="74">
        <v>0.12970000000000001</v>
      </c>
      <c r="O164" s="74">
        <v>1.8100000000000002E-2</v>
      </c>
      <c r="P164" s="74">
        <v>0</v>
      </c>
      <c r="Q164" s="74">
        <v>3.9199999999999999E-2</v>
      </c>
      <c r="R164" s="74">
        <v>1.95E-2</v>
      </c>
      <c r="S164" s="74">
        <v>2.3999999999999998E-3</v>
      </c>
      <c r="T164" s="74">
        <v>5.3900000000000003E-2</v>
      </c>
      <c r="U164" s="74">
        <v>1.84E-2</v>
      </c>
      <c r="V164" s="74">
        <v>3.7100000000000001E-2</v>
      </c>
      <c r="W164" s="74">
        <v>4.7800000000000002E-2</v>
      </c>
      <c r="X164" s="74">
        <v>6.4000000000000001E-2</v>
      </c>
      <c r="Y164" s="74">
        <v>2.7000000000000001E-3</v>
      </c>
      <c r="Z164" s="75">
        <v>0</v>
      </c>
      <c r="AA164" s="75">
        <v>6.9999999999999999E-4</v>
      </c>
      <c r="AB164" s="75">
        <v>0</v>
      </c>
      <c r="AC164" s="32"/>
      <c r="AD164" s="30"/>
    </row>
    <row r="165" spans="1:30" s="27" customFormat="1">
      <c r="A165" s="76"/>
      <c r="B165" s="16"/>
      <c r="C165" s="95"/>
      <c r="D165" s="78">
        <f t="shared" ref="D165:AB165" si="113">$C164*D164</f>
        <v>3120.5838909166664</v>
      </c>
      <c r="E165" s="78">
        <f t="shared" si="113"/>
        <v>26048.466730166663</v>
      </c>
      <c r="F165" s="78">
        <f t="shared" si="113"/>
        <v>10538.977930999999</v>
      </c>
      <c r="G165" s="78">
        <f t="shared" si="113"/>
        <v>14986.277128833332</v>
      </c>
      <c r="H165" s="78">
        <f t="shared" si="113"/>
        <v>7698.6860063333334</v>
      </c>
      <c r="I165" s="78">
        <f t="shared" si="113"/>
        <v>25151.532438166665</v>
      </c>
      <c r="J165" s="78">
        <f t="shared" si="113"/>
        <v>3961.4597896666664</v>
      </c>
      <c r="K165" s="78">
        <f t="shared" si="113"/>
        <v>6297.2261750833331</v>
      </c>
      <c r="L165" s="78">
        <f t="shared" si="113"/>
        <v>3288.7590706666665</v>
      </c>
      <c r="M165" s="78">
        <f t="shared" si="113"/>
        <v>4764.9634262499994</v>
      </c>
      <c r="N165" s="78">
        <f t="shared" si="113"/>
        <v>24235.912015083333</v>
      </c>
      <c r="O165" s="78">
        <f t="shared" si="113"/>
        <v>3382.1897260833334</v>
      </c>
      <c r="P165" s="78">
        <f t="shared" si="113"/>
        <v>0</v>
      </c>
      <c r="Q165" s="78">
        <f t="shared" si="113"/>
        <v>7324.9633846666657</v>
      </c>
      <c r="R165" s="78">
        <f t="shared" si="113"/>
        <v>3643.79556125</v>
      </c>
      <c r="S165" s="78">
        <f t="shared" si="113"/>
        <v>448.46714599999996</v>
      </c>
      <c r="T165" s="78">
        <f t="shared" si="113"/>
        <v>10071.824653916667</v>
      </c>
      <c r="U165" s="78">
        <f t="shared" si="113"/>
        <v>3438.2481193333329</v>
      </c>
      <c r="V165" s="78">
        <f t="shared" si="113"/>
        <v>6932.554631916666</v>
      </c>
      <c r="W165" s="78">
        <f t="shared" si="113"/>
        <v>8931.9706578333335</v>
      </c>
      <c r="X165" s="78">
        <f t="shared" si="113"/>
        <v>11959.123893333333</v>
      </c>
      <c r="Y165" s="78">
        <f t="shared" si="113"/>
        <v>504.52553925000001</v>
      </c>
      <c r="Z165" s="78">
        <f t="shared" si="113"/>
        <v>0</v>
      </c>
      <c r="AA165" s="78">
        <f t="shared" si="113"/>
        <v>130.80291758333331</v>
      </c>
      <c r="AB165" s="78">
        <f t="shared" si="113"/>
        <v>0</v>
      </c>
      <c r="AC165" s="32"/>
      <c r="AD165" s="30"/>
    </row>
    <row r="166" spans="1:30" s="27" customFormat="1">
      <c r="A166" s="125" t="s">
        <v>100</v>
      </c>
      <c r="B166" s="93">
        <v>2242335.73</v>
      </c>
      <c r="C166" s="94">
        <f>B166/12</f>
        <v>186861.31083333332</v>
      </c>
      <c r="D166" s="75"/>
      <c r="E166" s="75"/>
      <c r="F166" s="120">
        <v>0.49030000000000001</v>
      </c>
      <c r="G166" s="75"/>
      <c r="H166" s="120">
        <v>0.1787</v>
      </c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120">
        <v>0.33100000000000002</v>
      </c>
      <c r="W166" s="75"/>
      <c r="X166" s="75"/>
      <c r="Y166" s="75"/>
      <c r="Z166" s="75"/>
      <c r="AA166" s="75"/>
      <c r="AB166" s="75"/>
      <c r="AC166" s="32"/>
      <c r="AD166" s="30"/>
    </row>
    <row r="167" spans="1:30" s="27" customFormat="1">
      <c r="A167" s="76"/>
      <c r="B167" s="77"/>
      <c r="C167" s="97"/>
      <c r="D167" s="78">
        <f t="shared" ref="D167:AB167" si="114">$C166*D166</f>
        <v>0</v>
      </c>
      <c r="E167" s="78">
        <f t="shared" si="114"/>
        <v>0</v>
      </c>
      <c r="F167" s="78">
        <f t="shared" si="114"/>
        <v>91618.100701583331</v>
      </c>
      <c r="G167" s="78">
        <f t="shared" si="114"/>
        <v>0</v>
      </c>
      <c r="H167" s="78">
        <f t="shared" si="114"/>
        <v>33392.116245916666</v>
      </c>
      <c r="I167" s="78">
        <f t="shared" si="114"/>
        <v>0</v>
      </c>
      <c r="J167" s="78">
        <f t="shared" si="114"/>
        <v>0</v>
      </c>
      <c r="K167" s="78">
        <f t="shared" si="114"/>
        <v>0</v>
      </c>
      <c r="L167" s="78">
        <f t="shared" si="114"/>
        <v>0</v>
      </c>
      <c r="M167" s="78">
        <f t="shared" si="114"/>
        <v>0</v>
      </c>
      <c r="N167" s="78">
        <f t="shared" si="114"/>
        <v>0</v>
      </c>
      <c r="O167" s="78">
        <f t="shared" si="114"/>
        <v>0</v>
      </c>
      <c r="P167" s="78">
        <f t="shared" si="114"/>
        <v>0</v>
      </c>
      <c r="Q167" s="78">
        <f t="shared" si="114"/>
        <v>0</v>
      </c>
      <c r="R167" s="78">
        <f t="shared" si="114"/>
        <v>0</v>
      </c>
      <c r="S167" s="78">
        <f t="shared" si="114"/>
        <v>0</v>
      </c>
      <c r="T167" s="78">
        <f t="shared" si="114"/>
        <v>0</v>
      </c>
      <c r="U167" s="78">
        <f t="shared" si="114"/>
        <v>0</v>
      </c>
      <c r="V167" s="78">
        <f t="shared" si="114"/>
        <v>61851.093885833332</v>
      </c>
      <c r="W167" s="78">
        <f t="shared" si="114"/>
        <v>0</v>
      </c>
      <c r="X167" s="78">
        <f t="shared" si="114"/>
        <v>0</v>
      </c>
      <c r="Y167" s="78">
        <f t="shared" si="114"/>
        <v>0</v>
      </c>
      <c r="Z167" s="78">
        <f t="shared" si="114"/>
        <v>0</v>
      </c>
      <c r="AA167" s="78">
        <f t="shared" si="114"/>
        <v>0</v>
      </c>
      <c r="AB167" s="78">
        <f t="shared" si="114"/>
        <v>0</v>
      </c>
      <c r="AC167" s="32"/>
      <c r="AD167" s="30"/>
    </row>
    <row r="168" spans="1:30" s="27" customFormat="1">
      <c r="A168" s="71" t="s">
        <v>64</v>
      </c>
      <c r="B168" s="93">
        <v>7705661.4349999996</v>
      </c>
      <c r="C168" s="94">
        <f>B168/12</f>
        <v>642138.45291666663</v>
      </c>
      <c r="D168" s="74">
        <v>1.67E-2</v>
      </c>
      <c r="E168" s="74">
        <v>0.1394</v>
      </c>
      <c r="F168" s="74">
        <v>5.6399999999999999E-2</v>
      </c>
      <c r="G168" s="74">
        <v>8.0199999999999994E-2</v>
      </c>
      <c r="H168" s="74">
        <v>4.1200000000000001E-2</v>
      </c>
      <c r="I168" s="74">
        <v>0.1346</v>
      </c>
      <c r="J168" s="74">
        <v>2.12E-2</v>
      </c>
      <c r="K168" s="74">
        <v>3.3700000000000001E-2</v>
      </c>
      <c r="L168" s="74">
        <v>1.7600000000000001E-2</v>
      </c>
      <c r="M168" s="74">
        <v>2.5499999999999998E-2</v>
      </c>
      <c r="N168" s="74">
        <v>0.12970000000000001</v>
      </c>
      <c r="O168" s="74">
        <v>1.8100000000000002E-2</v>
      </c>
      <c r="P168" s="74">
        <v>0</v>
      </c>
      <c r="Q168" s="74">
        <v>3.9199999999999999E-2</v>
      </c>
      <c r="R168" s="74">
        <v>1.95E-2</v>
      </c>
      <c r="S168" s="74">
        <v>2.3999999999999998E-3</v>
      </c>
      <c r="T168" s="74">
        <v>5.3900000000000003E-2</v>
      </c>
      <c r="U168" s="74">
        <v>1.84E-2</v>
      </c>
      <c r="V168" s="74">
        <v>3.7100000000000001E-2</v>
      </c>
      <c r="W168" s="74">
        <v>4.7800000000000002E-2</v>
      </c>
      <c r="X168" s="74">
        <v>6.4000000000000001E-2</v>
      </c>
      <c r="Y168" s="74">
        <v>2.7000000000000001E-3</v>
      </c>
      <c r="Z168" s="75">
        <v>0</v>
      </c>
      <c r="AA168" s="75">
        <v>6.9999999999999999E-4</v>
      </c>
      <c r="AB168" s="75">
        <v>0</v>
      </c>
      <c r="AC168" s="32"/>
      <c r="AD168" s="30"/>
    </row>
    <row r="169" spans="1:30" s="27" customFormat="1">
      <c r="A169" s="76"/>
      <c r="B169" s="16"/>
      <c r="C169" s="95"/>
      <c r="D169" s="78">
        <f t="shared" ref="D169:AB169" si="115">$C168*D168</f>
        <v>10723.712163708333</v>
      </c>
      <c r="E169" s="78">
        <f t="shared" si="115"/>
        <v>89514.100336583331</v>
      </c>
      <c r="F169" s="78">
        <f t="shared" si="115"/>
        <v>36216.608744499994</v>
      </c>
      <c r="G169" s="78">
        <f t="shared" si="115"/>
        <v>51499.503923916658</v>
      </c>
      <c r="H169" s="78">
        <f t="shared" si="115"/>
        <v>26456.104260166667</v>
      </c>
      <c r="I169" s="78">
        <f t="shared" si="115"/>
        <v>86431.835762583331</v>
      </c>
      <c r="J169" s="78">
        <f t="shared" si="115"/>
        <v>13613.335201833333</v>
      </c>
      <c r="K169" s="78">
        <f t="shared" si="115"/>
        <v>21640.065863291667</v>
      </c>
      <c r="L169" s="78">
        <f t="shared" si="115"/>
        <v>11301.636771333333</v>
      </c>
      <c r="M169" s="78">
        <f t="shared" si="115"/>
        <v>16374.530549374998</v>
      </c>
      <c r="N169" s="78">
        <f t="shared" si="115"/>
        <v>83285.357343291675</v>
      </c>
      <c r="O169" s="78">
        <f t="shared" si="115"/>
        <v>11622.705997791667</v>
      </c>
      <c r="P169" s="78">
        <f t="shared" si="115"/>
        <v>0</v>
      </c>
      <c r="Q169" s="78">
        <f t="shared" si="115"/>
        <v>25171.827354333331</v>
      </c>
      <c r="R169" s="78">
        <f t="shared" si="115"/>
        <v>12521.699831874999</v>
      </c>
      <c r="S169" s="78">
        <f t="shared" si="115"/>
        <v>1541.1322869999997</v>
      </c>
      <c r="T169" s="78">
        <f t="shared" si="115"/>
        <v>34611.262612208331</v>
      </c>
      <c r="U169" s="78">
        <f t="shared" si="115"/>
        <v>11815.347533666665</v>
      </c>
      <c r="V169" s="78">
        <f t="shared" si="115"/>
        <v>23823.336603208332</v>
      </c>
      <c r="W169" s="78">
        <f t="shared" si="115"/>
        <v>30694.218049416668</v>
      </c>
      <c r="X169" s="78">
        <f t="shared" si="115"/>
        <v>41096.860986666667</v>
      </c>
      <c r="Y169" s="78">
        <f t="shared" si="115"/>
        <v>1733.773822875</v>
      </c>
      <c r="Z169" s="78">
        <f t="shared" si="115"/>
        <v>0</v>
      </c>
      <c r="AA169" s="78">
        <f t="shared" si="115"/>
        <v>449.49691704166662</v>
      </c>
      <c r="AB169" s="78">
        <f t="shared" si="115"/>
        <v>0</v>
      </c>
      <c r="AC169" s="32"/>
      <c r="AD169" s="30"/>
    </row>
    <row r="170" spans="1:30" s="27" customFormat="1">
      <c r="A170" s="125" t="s">
        <v>101</v>
      </c>
      <c r="B170" s="93">
        <v>7705661.4349999996</v>
      </c>
      <c r="C170" s="94">
        <f>B170/12</f>
        <v>642138.45291666663</v>
      </c>
      <c r="D170" s="75"/>
      <c r="E170" s="75"/>
      <c r="F170" s="75"/>
      <c r="G170" s="75"/>
      <c r="H170" s="120">
        <v>0.1084</v>
      </c>
      <c r="I170" s="75"/>
      <c r="J170" s="75"/>
      <c r="K170" s="75"/>
      <c r="L170" s="75"/>
      <c r="M170" s="75"/>
      <c r="N170" s="120">
        <v>0.70069999999999999</v>
      </c>
      <c r="O170" s="75">
        <v>4.82E-2</v>
      </c>
      <c r="P170" s="75"/>
      <c r="Q170" s="75"/>
      <c r="R170" s="75"/>
      <c r="S170" s="75"/>
      <c r="T170" s="75"/>
      <c r="U170" s="75"/>
      <c r="V170" s="120">
        <v>0.14269999999999999</v>
      </c>
      <c r="W170" s="75"/>
      <c r="X170" s="75"/>
      <c r="Y170" s="75"/>
      <c r="Z170" s="75"/>
      <c r="AA170" s="75"/>
      <c r="AB170" s="75"/>
      <c r="AC170" s="32"/>
      <c r="AD170" s="30"/>
    </row>
    <row r="171" spans="1:30" s="27" customFormat="1">
      <c r="A171" s="76"/>
      <c r="B171" s="77"/>
      <c r="C171" s="97"/>
      <c r="D171" s="78">
        <f t="shared" ref="D171:AB171" si="116">$C170*D170</f>
        <v>0</v>
      </c>
      <c r="E171" s="78">
        <f t="shared" si="116"/>
        <v>0</v>
      </c>
      <c r="F171" s="78">
        <f t="shared" si="116"/>
        <v>0</v>
      </c>
      <c r="G171" s="78">
        <f t="shared" si="116"/>
        <v>0</v>
      </c>
      <c r="H171" s="78">
        <f t="shared" si="116"/>
        <v>69607.808296166666</v>
      </c>
      <c r="I171" s="78">
        <f t="shared" si="116"/>
        <v>0</v>
      </c>
      <c r="J171" s="78">
        <f t="shared" si="116"/>
        <v>0</v>
      </c>
      <c r="K171" s="78">
        <f t="shared" si="116"/>
        <v>0</v>
      </c>
      <c r="L171" s="78">
        <f t="shared" si="116"/>
        <v>0</v>
      </c>
      <c r="M171" s="78">
        <f t="shared" si="116"/>
        <v>0</v>
      </c>
      <c r="N171" s="78">
        <f t="shared" si="116"/>
        <v>449946.41395870829</v>
      </c>
      <c r="O171" s="78">
        <f t="shared" si="116"/>
        <v>30951.073430583332</v>
      </c>
      <c r="P171" s="78">
        <f t="shared" si="116"/>
        <v>0</v>
      </c>
      <c r="Q171" s="78">
        <f t="shared" si="116"/>
        <v>0</v>
      </c>
      <c r="R171" s="78">
        <f t="shared" si="116"/>
        <v>0</v>
      </c>
      <c r="S171" s="78">
        <f t="shared" si="116"/>
        <v>0</v>
      </c>
      <c r="T171" s="78">
        <f t="shared" si="116"/>
        <v>0</v>
      </c>
      <c r="U171" s="78">
        <f t="shared" si="116"/>
        <v>0</v>
      </c>
      <c r="V171" s="78">
        <f t="shared" si="116"/>
        <v>91633.15723120833</v>
      </c>
      <c r="W171" s="78">
        <f t="shared" si="116"/>
        <v>0</v>
      </c>
      <c r="X171" s="78">
        <f t="shared" si="116"/>
        <v>0</v>
      </c>
      <c r="Y171" s="78">
        <f t="shared" si="116"/>
        <v>0</v>
      </c>
      <c r="Z171" s="78">
        <f t="shared" si="116"/>
        <v>0</v>
      </c>
      <c r="AA171" s="78">
        <f t="shared" si="116"/>
        <v>0</v>
      </c>
      <c r="AB171" s="78">
        <f t="shared" si="116"/>
        <v>0</v>
      </c>
      <c r="AC171" s="32"/>
      <c r="AD171" s="30"/>
    </row>
    <row r="172" spans="1:30" s="27" customFormat="1">
      <c r="A172" s="98" t="s">
        <v>114</v>
      </c>
      <c r="B172" s="93">
        <v>5385440.21</v>
      </c>
      <c r="C172" s="94">
        <f>B172/12</f>
        <v>448786.68416666664</v>
      </c>
      <c r="D172" s="74">
        <v>1.67E-2</v>
      </c>
      <c r="E172" s="74">
        <v>0.1394</v>
      </c>
      <c r="F172" s="74">
        <v>5.6399999999999999E-2</v>
      </c>
      <c r="G172" s="74">
        <v>8.0199999999999994E-2</v>
      </c>
      <c r="H172" s="74">
        <v>4.1200000000000001E-2</v>
      </c>
      <c r="I172" s="74">
        <v>0.1346</v>
      </c>
      <c r="J172" s="74">
        <v>2.12E-2</v>
      </c>
      <c r="K172" s="74">
        <v>3.3700000000000001E-2</v>
      </c>
      <c r="L172" s="74">
        <v>1.7600000000000001E-2</v>
      </c>
      <c r="M172" s="74">
        <v>2.5499999999999998E-2</v>
      </c>
      <c r="N172" s="74">
        <v>0.12970000000000001</v>
      </c>
      <c r="O172" s="74">
        <v>1.8100000000000002E-2</v>
      </c>
      <c r="P172" s="74">
        <v>0</v>
      </c>
      <c r="Q172" s="74">
        <v>3.9199999999999999E-2</v>
      </c>
      <c r="R172" s="74">
        <v>1.95E-2</v>
      </c>
      <c r="S172" s="74">
        <v>2.3999999999999998E-3</v>
      </c>
      <c r="T172" s="74">
        <v>5.3900000000000003E-2</v>
      </c>
      <c r="U172" s="74">
        <v>1.84E-2</v>
      </c>
      <c r="V172" s="74">
        <v>3.7100000000000001E-2</v>
      </c>
      <c r="W172" s="74">
        <v>4.7800000000000002E-2</v>
      </c>
      <c r="X172" s="74">
        <v>6.4000000000000001E-2</v>
      </c>
      <c r="Y172" s="74">
        <v>2.7000000000000001E-3</v>
      </c>
      <c r="Z172" s="75">
        <v>0</v>
      </c>
      <c r="AA172" s="75">
        <v>6.9999999999999999E-4</v>
      </c>
      <c r="AB172" s="75">
        <v>0</v>
      </c>
      <c r="AC172" s="32"/>
      <c r="AD172" s="30"/>
    </row>
    <row r="173" spans="1:30" s="27" customFormat="1">
      <c r="A173" s="99"/>
      <c r="B173" s="100"/>
      <c r="C173" s="95"/>
      <c r="D173" s="101">
        <f t="shared" ref="D173:AB173" si="117">$C172*D172</f>
        <v>7494.7376255833324</v>
      </c>
      <c r="E173" s="101">
        <f t="shared" si="117"/>
        <v>62560.863772833327</v>
      </c>
      <c r="F173" s="101">
        <f t="shared" si="117"/>
        <v>25311.568986999999</v>
      </c>
      <c r="G173" s="101">
        <f t="shared" si="117"/>
        <v>35992.69207016666</v>
      </c>
      <c r="H173" s="101">
        <f t="shared" si="117"/>
        <v>18490.011387666666</v>
      </c>
      <c r="I173" s="101">
        <f t="shared" si="117"/>
        <v>60406.687688833328</v>
      </c>
      <c r="J173" s="101">
        <f t="shared" si="117"/>
        <v>9514.2777043333335</v>
      </c>
      <c r="K173" s="101">
        <f t="shared" si="117"/>
        <v>15124.111256416667</v>
      </c>
      <c r="L173" s="101">
        <f t="shared" si="117"/>
        <v>7898.6456413333335</v>
      </c>
      <c r="M173" s="101">
        <f t="shared" si="117"/>
        <v>11444.06044625</v>
      </c>
      <c r="N173" s="101">
        <f t="shared" si="117"/>
        <v>58207.632936416667</v>
      </c>
      <c r="O173" s="101">
        <f t="shared" si="117"/>
        <v>8123.0389834166672</v>
      </c>
      <c r="P173" s="101">
        <f t="shared" si="117"/>
        <v>0</v>
      </c>
      <c r="Q173" s="101">
        <f t="shared" si="117"/>
        <v>17592.438019333331</v>
      </c>
      <c r="R173" s="101">
        <f t="shared" si="117"/>
        <v>8751.3403412499993</v>
      </c>
      <c r="S173" s="101">
        <f t="shared" si="117"/>
        <v>1077.0880419999999</v>
      </c>
      <c r="T173" s="101">
        <f t="shared" si="117"/>
        <v>24189.602276583333</v>
      </c>
      <c r="U173" s="101">
        <f t="shared" si="117"/>
        <v>8257.6749886666657</v>
      </c>
      <c r="V173" s="101">
        <f t="shared" si="117"/>
        <v>16649.985982583334</v>
      </c>
      <c r="W173" s="101">
        <f t="shared" si="117"/>
        <v>21452.003503166667</v>
      </c>
      <c r="X173" s="101">
        <f t="shared" si="117"/>
        <v>28722.347786666665</v>
      </c>
      <c r="Y173" s="101">
        <f t="shared" si="117"/>
        <v>1211.72404725</v>
      </c>
      <c r="Z173" s="101">
        <f t="shared" si="117"/>
        <v>0</v>
      </c>
      <c r="AA173" s="101">
        <f t="shared" si="117"/>
        <v>314.15067891666666</v>
      </c>
      <c r="AB173" s="101">
        <f t="shared" si="117"/>
        <v>0</v>
      </c>
      <c r="AC173" s="32"/>
      <c r="AD173" s="30"/>
    </row>
    <row r="174" spans="1:30" s="27" customFormat="1">
      <c r="A174" s="131" t="s">
        <v>119</v>
      </c>
      <c r="B174" s="93">
        <v>5385440.21</v>
      </c>
      <c r="C174" s="94">
        <f>B174/12</f>
        <v>448786.68416666664</v>
      </c>
      <c r="D174" s="74"/>
      <c r="E174" s="74"/>
      <c r="F174" s="123">
        <v>0</v>
      </c>
      <c r="G174" s="74"/>
      <c r="H174" s="74"/>
      <c r="I174" s="74"/>
      <c r="J174" s="74"/>
      <c r="K174" s="74"/>
      <c r="L174" s="74"/>
      <c r="M174" s="74"/>
      <c r="N174" s="123">
        <v>0.89980000000000004</v>
      </c>
      <c r="O174" s="74"/>
      <c r="P174" s="74"/>
      <c r="Q174" s="74"/>
      <c r="R174" s="74"/>
      <c r="S174" s="74"/>
      <c r="T174" s="74"/>
      <c r="U174" s="74"/>
      <c r="V174" s="123">
        <v>0.1002</v>
      </c>
      <c r="W174" s="74"/>
      <c r="X174" s="74"/>
      <c r="Y174" s="74"/>
      <c r="Z174" s="102"/>
      <c r="AA174" s="102"/>
      <c r="AB174" s="102"/>
      <c r="AC174" s="32"/>
      <c r="AD174" s="30"/>
    </row>
    <row r="175" spans="1:30" s="27" customFormat="1">
      <c r="A175" s="99"/>
      <c r="B175" s="103"/>
      <c r="C175" s="97"/>
      <c r="D175" s="101">
        <f t="shared" ref="D175:AB175" si="118">$C174*D174</f>
        <v>0</v>
      </c>
      <c r="E175" s="101">
        <f t="shared" si="118"/>
        <v>0</v>
      </c>
      <c r="F175" s="101">
        <f t="shared" si="118"/>
        <v>0</v>
      </c>
      <c r="G175" s="101">
        <f t="shared" si="118"/>
        <v>0</v>
      </c>
      <c r="H175" s="101">
        <f t="shared" si="118"/>
        <v>0</v>
      </c>
      <c r="I175" s="101">
        <f t="shared" si="118"/>
        <v>0</v>
      </c>
      <c r="J175" s="101">
        <f t="shared" si="118"/>
        <v>0</v>
      </c>
      <c r="K175" s="101">
        <f t="shared" si="118"/>
        <v>0</v>
      </c>
      <c r="L175" s="101">
        <f t="shared" si="118"/>
        <v>0</v>
      </c>
      <c r="M175" s="101">
        <f t="shared" si="118"/>
        <v>0</v>
      </c>
      <c r="N175" s="101">
        <f t="shared" si="118"/>
        <v>403818.25841316668</v>
      </c>
      <c r="O175" s="101">
        <f t="shared" si="118"/>
        <v>0</v>
      </c>
      <c r="P175" s="101">
        <f t="shared" si="118"/>
        <v>0</v>
      </c>
      <c r="Q175" s="101">
        <f t="shared" si="118"/>
        <v>0</v>
      </c>
      <c r="R175" s="101">
        <f t="shared" si="118"/>
        <v>0</v>
      </c>
      <c r="S175" s="101">
        <f t="shared" si="118"/>
        <v>0</v>
      </c>
      <c r="T175" s="101">
        <f t="shared" si="118"/>
        <v>0</v>
      </c>
      <c r="U175" s="101">
        <f t="shared" si="118"/>
        <v>0</v>
      </c>
      <c r="V175" s="101">
        <f t="shared" si="118"/>
        <v>44968.4257535</v>
      </c>
      <c r="W175" s="101">
        <f t="shared" si="118"/>
        <v>0</v>
      </c>
      <c r="X175" s="101">
        <f t="shared" si="118"/>
        <v>0</v>
      </c>
      <c r="Y175" s="101">
        <f t="shared" si="118"/>
        <v>0</v>
      </c>
      <c r="Z175" s="101">
        <f t="shared" si="118"/>
        <v>0</v>
      </c>
      <c r="AA175" s="101">
        <f t="shared" si="118"/>
        <v>0</v>
      </c>
      <c r="AB175" s="101">
        <f t="shared" si="118"/>
        <v>0</v>
      </c>
      <c r="AC175" s="32"/>
      <c r="AD175" s="30"/>
    </row>
    <row r="176" spans="1:30" s="27" customFormat="1">
      <c r="A176" s="9" t="s">
        <v>40</v>
      </c>
      <c r="B176" s="16">
        <f>SUM(B124:B175)</f>
        <v>118715958.02000001</v>
      </c>
      <c r="C176" s="16">
        <f>SUM(C124:C175)</f>
        <v>9892996.5016666651</v>
      </c>
      <c r="D176" s="4">
        <f>D125+D127+D129+D131+D133+D135+D137+D139+D141+D143+D145+D147+D149+D151+D153+D155+D157+D159+D161+D163+D165+D167+D169+D171+D173+D175</f>
        <v>82606.520788916649</v>
      </c>
      <c r="E176" s="4">
        <f t="shared" ref="E176:AB176" si="119">E125+E127+E129+E131+E133+E135+E137+E139+E141+E143+E145+E147+E149+E151+E153+E155+E157+E159+E161+E163+E165+E167+E169+E171+E173+E175</f>
        <v>690702.89083291672</v>
      </c>
      <c r="F176" s="4">
        <f t="shared" si="119"/>
        <v>757962.36370300001</v>
      </c>
      <c r="G176" s="4">
        <f t="shared" si="119"/>
        <v>397339.9580790833</v>
      </c>
      <c r="H176" s="4">
        <f t="shared" si="119"/>
        <v>676288.48115775012</v>
      </c>
      <c r="I176" s="4">
        <f t="shared" si="119"/>
        <v>665798.66456216667</v>
      </c>
      <c r="J176" s="4">
        <f t="shared" si="119"/>
        <v>105112.59705941667</v>
      </c>
      <c r="K176" s="4">
        <f t="shared" si="119"/>
        <v>167300.36339958332</v>
      </c>
      <c r="L176" s="4">
        <f t="shared" si="119"/>
        <v>87058.369214666658</v>
      </c>
      <c r="M176" s="4">
        <f t="shared" si="119"/>
        <v>127563.80023225003</v>
      </c>
      <c r="N176" s="4">
        <f t="shared" si="119"/>
        <v>3928067.054480793</v>
      </c>
      <c r="O176" s="4">
        <f t="shared" si="119"/>
        <v>120855.06123366667</v>
      </c>
      <c r="P176" s="4">
        <f t="shared" si="119"/>
        <v>0</v>
      </c>
      <c r="Q176" s="4">
        <f t="shared" si="119"/>
        <v>193902.73143266662</v>
      </c>
      <c r="R176" s="4">
        <f t="shared" si="119"/>
        <v>97977.372429583338</v>
      </c>
      <c r="S176" s="4">
        <f t="shared" si="119"/>
        <v>11871.595802</v>
      </c>
      <c r="T176" s="4">
        <f t="shared" si="119"/>
        <v>266616.25571991666</v>
      </c>
      <c r="U176" s="4">
        <f t="shared" si="119"/>
        <v>91015.567815333328</v>
      </c>
      <c r="V176" s="4">
        <f t="shared" si="119"/>
        <v>855120.25522695819</v>
      </c>
      <c r="W176" s="4">
        <f t="shared" si="119"/>
        <v>236442.61638983333</v>
      </c>
      <c r="X176" s="4">
        <f t="shared" si="119"/>
        <v>316575.88805333333</v>
      </c>
      <c r="Y176" s="4">
        <f t="shared" si="119"/>
        <v>13355.545277249999</v>
      </c>
      <c r="Z176" s="4">
        <f t="shared" si="119"/>
        <v>0</v>
      </c>
      <c r="AA176" s="4">
        <f t="shared" si="119"/>
        <v>3462.5487755833337</v>
      </c>
      <c r="AB176" s="4">
        <f t="shared" si="119"/>
        <v>0</v>
      </c>
      <c r="AC176" s="32"/>
      <c r="AD176" s="30"/>
    </row>
    <row r="177" spans="1:30" s="27" customFormat="1">
      <c r="A177" s="18"/>
      <c r="B177" s="16">
        <f>B176-B178</f>
        <v>114600052.07000001</v>
      </c>
      <c r="C177" s="16">
        <f>C176-C178</f>
        <v>9550004.3416666649</v>
      </c>
      <c r="D177" s="2" t="s">
        <v>48</v>
      </c>
      <c r="E177" s="4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12"/>
      <c r="U177" s="12"/>
      <c r="V177" s="12"/>
      <c r="W177" s="12"/>
      <c r="X177" s="12"/>
      <c r="Y177" s="12"/>
      <c r="Z177" s="12"/>
      <c r="AA177" s="12"/>
      <c r="AB177" s="12"/>
      <c r="AC177" s="32"/>
      <c r="AD177" s="30"/>
    </row>
    <row r="178" spans="1:30" s="27" customFormat="1">
      <c r="A178" s="13"/>
      <c r="B178" s="31">
        <v>4115905.95</v>
      </c>
      <c r="C178" s="16">
        <v>342992.16</v>
      </c>
      <c r="D178" s="2" t="s">
        <v>130</v>
      </c>
      <c r="E178" s="15"/>
      <c r="F178" s="8"/>
      <c r="G178" s="7"/>
      <c r="H178" s="8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32"/>
      <c r="AD178" s="30"/>
    </row>
    <row r="179" spans="1:30" s="27" customFormat="1">
      <c r="A179" s="13"/>
      <c r="B179" s="31"/>
      <c r="C179" s="16"/>
      <c r="D179" s="2"/>
      <c r="E179" s="15"/>
      <c r="F179" s="8"/>
      <c r="G179" s="7"/>
      <c r="H179" s="8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32"/>
      <c r="AD179" s="30"/>
    </row>
    <row r="180" spans="1:30" s="27" customFormat="1">
      <c r="A180" s="13"/>
      <c r="B180" s="14"/>
      <c r="C180" s="16"/>
      <c r="D180" s="55"/>
      <c r="E180" s="15"/>
      <c r="F180" s="8"/>
      <c r="G180" s="7"/>
      <c r="H180" s="8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32"/>
      <c r="AD180" s="30"/>
    </row>
    <row r="181" spans="1:30" s="27" customFormat="1">
      <c r="A181" s="18"/>
      <c r="B181" s="4"/>
      <c r="C181" s="60"/>
      <c r="D181" s="12"/>
      <c r="E181" s="12"/>
      <c r="F181" s="8"/>
      <c r="G181" s="8"/>
      <c r="H181" s="8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32"/>
      <c r="AD181" s="30"/>
    </row>
    <row r="182" spans="1:30" s="27" customFormat="1" ht="13.8" thickBot="1">
      <c r="A182" s="34" t="s">
        <v>49</v>
      </c>
      <c r="B182" s="54"/>
      <c r="C182" s="57"/>
      <c r="D182" s="54"/>
      <c r="E182" s="5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32"/>
      <c r="AD182" s="30"/>
    </row>
    <row r="183" spans="1:30" s="27" customFormat="1" ht="13.8" thickBot="1">
      <c r="A183" s="40" t="s">
        <v>1</v>
      </c>
      <c r="B183" s="41" t="s">
        <v>2</v>
      </c>
      <c r="C183" s="58" t="s">
        <v>3</v>
      </c>
      <c r="D183" s="137" t="s">
        <v>4</v>
      </c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50"/>
      <c r="AA183" s="50"/>
      <c r="AB183" s="50"/>
      <c r="AC183" s="32"/>
      <c r="AD183" s="30"/>
    </row>
    <row r="184" spans="1:30" s="27" customFormat="1">
      <c r="A184" s="42" t="s">
        <v>5</v>
      </c>
      <c r="B184" s="43" t="s">
        <v>6</v>
      </c>
      <c r="C184" s="59" t="s">
        <v>6</v>
      </c>
      <c r="D184" s="44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3" t="s">
        <v>7</v>
      </c>
      <c r="AA184" s="43"/>
      <c r="AB184" s="43"/>
      <c r="AC184" s="32"/>
      <c r="AD184" s="30"/>
    </row>
    <row r="185" spans="1:30" s="27" customFormat="1">
      <c r="A185" s="42" t="s">
        <v>8</v>
      </c>
      <c r="B185" s="43" t="s">
        <v>9</v>
      </c>
      <c r="C185" s="59" t="s">
        <v>9</v>
      </c>
      <c r="D185" s="47" t="s">
        <v>10</v>
      </c>
      <c r="E185" s="43" t="s">
        <v>11</v>
      </c>
      <c r="F185" s="43" t="s">
        <v>12</v>
      </c>
      <c r="G185" s="43" t="s">
        <v>13</v>
      </c>
      <c r="H185" s="43" t="s">
        <v>14</v>
      </c>
      <c r="I185" s="43" t="s">
        <v>15</v>
      </c>
      <c r="J185" s="43" t="s">
        <v>16</v>
      </c>
      <c r="K185" s="43" t="s">
        <v>17</v>
      </c>
      <c r="L185" s="43" t="s">
        <v>18</v>
      </c>
      <c r="M185" s="43" t="s">
        <v>19</v>
      </c>
      <c r="N185" s="43" t="s">
        <v>20</v>
      </c>
      <c r="O185" s="43" t="s">
        <v>57</v>
      </c>
      <c r="P185" s="43" t="s">
        <v>21</v>
      </c>
      <c r="Q185" s="43" t="s">
        <v>22</v>
      </c>
      <c r="R185" s="43" t="s">
        <v>23</v>
      </c>
      <c r="S185" s="43" t="s">
        <v>24</v>
      </c>
      <c r="T185" s="43" t="s">
        <v>25</v>
      </c>
      <c r="U185" s="43" t="s">
        <v>26</v>
      </c>
      <c r="V185" s="43" t="s">
        <v>27</v>
      </c>
      <c r="W185" s="43" t="s">
        <v>28</v>
      </c>
      <c r="X185" s="43" t="s">
        <v>29</v>
      </c>
      <c r="Y185" s="43" t="s">
        <v>30</v>
      </c>
      <c r="Z185" s="43" t="s">
        <v>31</v>
      </c>
      <c r="AA185" s="43" t="s">
        <v>115</v>
      </c>
      <c r="AB185" s="43" t="s">
        <v>113</v>
      </c>
      <c r="AC185" s="32"/>
      <c r="AD185" s="30"/>
    </row>
    <row r="186" spans="1:30" s="27" customFormat="1">
      <c r="A186" s="42"/>
      <c r="B186" s="45"/>
      <c r="C186" s="132" t="s">
        <v>134</v>
      </c>
      <c r="D186" s="48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32"/>
      <c r="AD186" s="30"/>
    </row>
    <row r="187" spans="1:30" s="27" customFormat="1">
      <c r="A187" s="71" t="s">
        <v>50</v>
      </c>
      <c r="B187" s="93">
        <f>2320/2</f>
        <v>1160</v>
      </c>
      <c r="C187" s="89">
        <f>B187/12</f>
        <v>96.666666666666671</v>
      </c>
      <c r="D187" s="74">
        <v>1.67E-2</v>
      </c>
      <c r="E187" s="74">
        <v>0.1394</v>
      </c>
      <c r="F187" s="74">
        <v>5.6399999999999999E-2</v>
      </c>
      <c r="G187" s="74">
        <v>8.0199999999999994E-2</v>
      </c>
      <c r="H187" s="74">
        <v>4.1200000000000001E-2</v>
      </c>
      <c r="I187" s="74">
        <v>0.1346</v>
      </c>
      <c r="J187" s="74">
        <v>2.12E-2</v>
      </c>
      <c r="K187" s="74">
        <v>3.3700000000000001E-2</v>
      </c>
      <c r="L187" s="74">
        <v>1.7600000000000001E-2</v>
      </c>
      <c r="M187" s="74">
        <v>2.5499999999999998E-2</v>
      </c>
      <c r="N187" s="74">
        <v>0.12970000000000001</v>
      </c>
      <c r="O187" s="74">
        <v>1.8100000000000002E-2</v>
      </c>
      <c r="P187" s="74">
        <v>0</v>
      </c>
      <c r="Q187" s="74">
        <v>3.9199999999999999E-2</v>
      </c>
      <c r="R187" s="74">
        <v>1.95E-2</v>
      </c>
      <c r="S187" s="74">
        <v>2.3999999999999998E-3</v>
      </c>
      <c r="T187" s="74">
        <v>5.3900000000000003E-2</v>
      </c>
      <c r="U187" s="74">
        <v>1.84E-2</v>
      </c>
      <c r="V187" s="74">
        <v>3.7100000000000001E-2</v>
      </c>
      <c r="W187" s="74">
        <v>4.7800000000000002E-2</v>
      </c>
      <c r="X187" s="74">
        <v>6.4000000000000001E-2</v>
      </c>
      <c r="Y187" s="74">
        <v>2.7000000000000001E-3</v>
      </c>
      <c r="Z187" s="75">
        <v>0</v>
      </c>
      <c r="AA187" s="75">
        <v>6.9999999999999999E-4</v>
      </c>
      <c r="AB187" s="75">
        <v>0</v>
      </c>
      <c r="AC187" s="32"/>
      <c r="AD187" s="30"/>
    </row>
    <row r="188" spans="1:30" s="27" customFormat="1">
      <c r="A188" s="76"/>
      <c r="B188" s="16"/>
      <c r="C188" s="84"/>
      <c r="D188" s="78">
        <f t="shared" ref="D188" si="120">$C187*D187</f>
        <v>1.6143333333333334</v>
      </c>
      <c r="E188" s="78">
        <f t="shared" ref="E188" si="121">$C187*E187</f>
        <v>13.475333333333333</v>
      </c>
      <c r="F188" s="78">
        <f t="shared" ref="F188:O188" si="122">$C187*F187</f>
        <v>5.452</v>
      </c>
      <c r="G188" s="78">
        <f t="shared" si="122"/>
        <v>7.7526666666666664</v>
      </c>
      <c r="H188" s="78">
        <f t="shared" si="122"/>
        <v>3.9826666666666668</v>
      </c>
      <c r="I188" s="78">
        <f t="shared" si="122"/>
        <v>13.011333333333333</v>
      </c>
      <c r="J188" s="78">
        <f t="shared" si="122"/>
        <v>2.0493333333333332</v>
      </c>
      <c r="K188" s="78">
        <f t="shared" si="122"/>
        <v>3.2576666666666667</v>
      </c>
      <c r="L188" s="78">
        <f t="shared" si="122"/>
        <v>1.7013333333333336</v>
      </c>
      <c r="M188" s="78">
        <f t="shared" si="122"/>
        <v>2.4649999999999999</v>
      </c>
      <c r="N188" s="78">
        <f t="shared" si="122"/>
        <v>12.537666666666668</v>
      </c>
      <c r="O188" s="78">
        <f t="shared" si="122"/>
        <v>1.7496666666666669</v>
      </c>
      <c r="P188" s="78">
        <f t="shared" ref="P188" si="123">$C187*P187</f>
        <v>0</v>
      </c>
      <c r="Q188" s="78">
        <f t="shared" ref="Q188" si="124">$C187*Q187</f>
        <v>3.7893333333333334</v>
      </c>
      <c r="R188" s="78">
        <f t="shared" ref="R188:AB188" si="125">$C187*R187</f>
        <v>1.885</v>
      </c>
      <c r="S188" s="78">
        <f t="shared" si="125"/>
        <v>0.23199999999999998</v>
      </c>
      <c r="T188" s="78">
        <f t="shared" si="125"/>
        <v>5.2103333333333337</v>
      </c>
      <c r="U188" s="78">
        <f t="shared" si="125"/>
        <v>1.7786666666666666</v>
      </c>
      <c r="V188" s="78">
        <f t="shared" si="125"/>
        <v>3.5863333333333336</v>
      </c>
      <c r="W188" s="78">
        <f t="shared" si="125"/>
        <v>4.6206666666666667</v>
      </c>
      <c r="X188" s="78">
        <f t="shared" si="125"/>
        <v>6.1866666666666674</v>
      </c>
      <c r="Y188" s="78">
        <f t="shared" si="125"/>
        <v>0.26100000000000001</v>
      </c>
      <c r="Z188" s="78">
        <f t="shared" si="125"/>
        <v>0</v>
      </c>
      <c r="AA188" s="78">
        <f t="shared" si="125"/>
        <v>6.7666666666666667E-2</v>
      </c>
      <c r="AB188" s="78">
        <f t="shared" si="125"/>
        <v>0</v>
      </c>
      <c r="AC188" s="32"/>
      <c r="AD188" s="30"/>
    </row>
    <row r="189" spans="1:30" s="27" customFormat="1">
      <c r="A189" s="125" t="s">
        <v>102</v>
      </c>
      <c r="B189" s="93">
        <f>2320/2</f>
        <v>1160</v>
      </c>
      <c r="C189" s="89">
        <f>B189/12</f>
        <v>96.666666666666671</v>
      </c>
      <c r="D189" s="120">
        <v>7.3200000000000001E-2</v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120">
        <v>0.3049</v>
      </c>
      <c r="R189" s="75"/>
      <c r="S189" s="120">
        <v>4.9000000000000002E-2</v>
      </c>
      <c r="T189" s="75"/>
      <c r="U189" s="75"/>
      <c r="V189" s="75"/>
      <c r="W189" s="75"/>
      <c r="X189" s="120">
        <v>0.55149999999999999</v>
      </c>
      <c r="Y189" s="120">
        <v>2.1399999999999999E-2</v>
      </c>
      <c r="Z189" s="75"/>
      <c r="AA189" s="75"/>
      <c r="AB189" s="75"/>
      <c r="AC189" s="32"/>
      <c r="AD189" s="30"/>
    </row>
    <row r="190" spans="1:30" s="27" customFormat="1">
      <c r="A190" s="76"/>
      <c r="B190" s="77"/>
      <c r="C190" s="87"/>
      <c r="D190" s="78">
        <f t="shared" ref="D190" si="126">$C189*D189</f>
        <v>7.0760000000000005</v>
      </c>
      <c r="E190" s="78">
        <f t="shared" ref="E190" si="127">$C189*E189</f>
        <v>0</v>
      </c>
      <c r="F190" s="78">
        <f t="shared" ref="F190:O190" si="128">$C189*F189</f>
        <v>0</v>
      </c>
      <c r="G190" s="78">
        <f t="shared" si="128"/>
        <v>0</v>
      </c>
      <c r="H190" s="78">
        <f t="shared" si="128"/>
        <v>0</v>
      </c>
      <c r="I190" s="78">
        <f t="shared" si="128"/>
        <v>0</v>
      </c>
      <c r="J190" s="78">
        <f t="shared" si="128"/>
        <v>0</v>
      </c>
      <c r="K190" s="78">
        <f t="shared" si="128"/>
        <v>0</v>
      </c>
      <c r="L190" s="78">
        <f t="shared" si="128"/>
        <v>0</v>
      </c>
      <c r="M190" s="78">
        <f t="shared" si="128"/>
        <v>0</v>
      </c>
      <c r="N190" s="78">
        <f t="shared" si="128"/>
        <v>0</v>
      </c>
      <c r="O190" s="78">
        <f t="shared" si="128"/>
        <v>0</v>
      </c>
      <c r="P190" s="78">
        <f t="shared" ref="P190" si="129">$C189*P189</f>
        <v>0</v>
      </c>
      <c r="Q190" s="78">
        <f t="shared" ref="Q190" si="130">$C189*Q189</f>
        <v>29.47366666666667</v>
      </c>
      <c r="R190" s="78">
        <f t="shared" ref="R190:AB190" si="131">$C189*R189</f>
        <v>0</v>
      </c>
      <c r="S190" s="78">
        <f t="shared" si="131"/>
        <v>4.7366666666666672</v>
      </c>
      <c r="T190" s="78">
        <f t="shared" si="131"/>
        <v>0</v>
      </c>
      <c r="U190" s="78">
        <f t="shared" si="131"/>
        <v>0</v>
      </c>
      <c r="V190" s="78">
        <f t="shared" si="131"/>
        <v>0</v>
      </c>
      <c r="W190" s="78">
        <f t="shared" si="131"/>
        <v>0</v>
      </c>
      <c r="X190" s="78">
        <f t="shared" si="131"/>
        <v>53.311666666666667</v>
      </c>
      <c r="Y190" s="78">
        <f t="shared" si="131"/>
        <v>2.0686666666666667</v>
      </c>
      <c r="Z190" s="78">
        <f t="shared" si="131"/>
        <v>0</v>
      </c>
      <c r="AA190" s="78">
        <f t="shared" si="131"/>
        <v>0</v>
      </c>
      <c r="AB190" s="78">
        <f t="shared" si="131"/>
        <v>0</v>
      </c>
      <c r="AC190" s="32"/>
      <c r="AD190" s="30"/>
    </row>
    <row r="191" spans="1:30" s="27" customFormat="1">
      <c r="A191" s="71" t="s">
        <v>51</v>
      </c>
      <c r="B191" s="93">
        <f>7146088/2</f>
        <v>3573044</v>
      </c>
      <c r="C191" s="89">
        <f>B191/12</f>
        <v>297753.66666666669</v>
      </c>
      <c r="D191" s="74">
        <v>1.67E-2</v>
      </c>
      <c r="E191" s="74">
        <v>0.1394</v>
      </c>
      <c r="F191" s="74">
        <v>5.6399999999999999E-2</v>
      </c>
      <c r="G191" s="74">
        <v>8.0199999999999994E-2</v>
      </c>
      <c r="H191" s="74">
        <v>4.1200000000000001E-2</v>
      </c>
      <c r="I191" s="74">
        <v>0.1346</v>
      </c>
      <c r="J191" s="74">
        <v>2.12E-2</v>
      </c>
      <c r="K191" s="74">
        <v>3.3700000000000001E-2</v>
      </c>
      <c r="L191" s="74">
        <v>1.7600000000000001E-2</v>
      </c>
      <c r="M191" s="74">
        <v>2.5499999999999998E-2</v>
      </c>
      <c r="N191" s="74">
        <v>0.12970000000000001</v>
      </c>
      <c r="O191" s="74">
        <v>1.8100000000000002E-2</v>
      </c>
      <c r="P191" s="74">
        <v>0</v>
      </c>
      <c r="Q191" s="74">
        <v>3.9199999999999999E-2</v>
      </c>
      <c r="R191" s="74">
        <v>1.95E-2</v>
      </c>
      <c r="S191" s="74">
        <v>2.3999999999999998E-3</v>
      </c>
      <c r="T191" s="74">
        <v>5.3900000000000003E-2</v>
      </c>
      <c r="U191" s="74">
        <v>1.84E-2</v>
      </c>
      <c r="V191" s="74">
        <v>3.7100000000000001E-2</v>
      </c>
      <c r="W191" s="74">
        <v>4.7800000000000002E-2</v>
      </c>
      <c r="X191" s="74">
        <v>6.4000000000000001E-2</v>
      </c>
      <c r="Y191" s="74">
        <v>2.7000000000000001E-3</v>
      </c>
      <c r="Z191" s="75">
        <v>0</v>
      </c>
      <c r="AA191" s="75">
        <v>6.9999999999999999E-4</v>
      </c>
      <c r="AB191" s="75">
        <v>0</v>
      </c>
      <c r="AC191" s="32"/>
      <c r="AD191" s="30"/>
    </row>
    <row r="192" spans="1:30" s="27" customFormat="1">
      <c r="A192" s="76"/>
      <c r="B192" s="16"/>
      <c r="C192" s="84"/>
      <c r="D192" s="78">
        <f t="shared" ref="D192" si="132">$C191*D191</f>
        <v>4972.4862333333331</v>
      </c>
      <c r="E192" s="78">
        <f t="shared" ref="E192" si="133">$C191*E191</f>
        <v>41506.861133333332</v>
      </c>
      <c r="F192" s="78">
        <f t="shared" ref="F192:O192" si="134">$C191*F191</f>
        <v>16793.306800000002</v>
      </c>
      <c r="G192" s="78">
        <f t="shared" si="134"/>
        <v>23879.844066666665</v>
      </c>
      <c r="H192" s="78">
        <f t="shared" si="134"/>
        <v>12267.451066666668</v>
      </c>
      <c r="I192" s="78">
        <f t="shared" si="134"/>
        <v>40077.643533333336</v>
      </c>
      <c r="J192" s="78">
        <f t="shared" si="134"/>
        <v>6312.3777333333337</v>
      </c>
      <c r="K192" s="78">
        <f t="shared" si="134"/>
        <v>10034.298566666668</v>
      </c>
      <c r="L192" s="78">
        <f t="shared" si="134"/>
        <v>5240.4645333333337</v>
      </c>
      <c r="M192" s="78">
        <f t="shared" si="134"/>
        <v>7592.7184999999999</v>
      </c>
      <c r="N192" s="78">
        <f t="shared" si="134"/>
        <v>38618.650566666671</v>
      </c>
      <c r="O192" s="78">
        <f t="shared" si="134"/>
        <v>5389.3413666666675</v>
      </c>
      <c r="P192" s="78">
        <f t="shared" ref="P192" si="135">$C191*P191</f>
        <v>0</v>
      </c>
      <c r="Q192" s="78">
        <f t="shared" ref="Q192" si="136">$C191*Q191</f>
        <v>11671.943733333334</v>
      </c>
      <c r="R192" s="78">
        <f t="shared" ref="R192:AB192" si="137">$C191*R191</f>
        <v>5806.1965</v>
      </c>
      <c r="S192" s="78">
        <f t="shared" si="137"/>
        <v>714.60879999999997</v>
      </c>
      <c r="T192" s="78">
        <f t="shared" si="137"/>
        <v>16048.922633333335</v>
      </c>
      <c r="U192" s="78">
        <f t="shared" si="137"/>
        <v>5478.6674666666668</v>
      </c>
      <c r="V192" s="78">
        <f t="shared" si="137"/>
        <v>11046.661033333334</v>
      </c>
      <c r="W192" s="78">
        <f t="shared" si="137"/>
        <v>14232.625266666668</v>
      </c>
      <c r="X192" s="78">
        <f t="shared" si="137"/>
        <v>19056.234666666667</v>
      </c>
      <c r="Y192" s="78">
        <f t="shared" si="137"/>
        <v>803.93490000000008</v>
      </c>
      <c r="Z192" s="78">
        <f t="shared" si="137"/>
        <v>0</v>
      </c>
      <c r="AA192" s="78">
        <f t="shared" si="137"/>
        <v>208.42756666666668</v>
      </c>
      <c r="AB192" s="78">
        <f t="shared" si="137"/>
        <v>0</v>
      </c>
      <c r="AC192" s="32"/>
      <c r="AD192" s="30"/>
    </row>
    <row r="193" spans="1:30" s="27" customFormat="1">
      <c r="A193" s="125" t="s">
        <v>103</v>
      </c>
      <c r="B193" s="93">
        <f>7146088/2</f>
        <v>3573044</v>
      </c>
      <c r="C193" s="89">
        <f>B193/12</f>
        <v>297753.66666666669</v>
      </c>
      <c r="D193" s="120">
        <v>7.3200000000000001E-2</v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120">
        <v>0.3049</v>
      </c>
      <c r="R193" s="75"/>
      <c r="S193" s="120">
        <v>4.9000000000000002E-2</v>
      </c>
      <c r="T193" s="75"/>
      <c r="U193" s="75"/>
      <c r="V193" s="75"/>
      <c r="W193" s="75"/>
      <c r="X193" s="120">
        <v>0.55149999999999999</v>
      </c>
      <c r="Y193" s="120">
        <v>2.1399999999999999E-2</v>
      </c>
      <c r="Z193" s="75"/>
      <c r="AA193" s="75"/>
      <c r="AB193" s="75"/>
      <c r="AC193" s="32"/>
      <c r="AD193" s="30"/>
    </row>
    <row r="194" spans="1:30" s="27" customFormat="1">
      <c r="A194" s="76"/>
      <c r="B194" s="77"/>
      <c r="C194" s="87"/>
      <c r="D194" s="78">
        <f t="shared" ref="D194" si="138">$C193*D193</f>
        <v>21795.5684</v>
      </c>
      <c r="E194" s="78">
        <f t="shared" ref="E194" si="139">$C193*E193</f>
        <v>0</v>
      </c>
      <c r="F194" s="78">
        <f t="shared" ref="F194:O194" si="140">$C193*F193</f>
        <v>0</v>
      </c>
      <c r="G194" s="78">
        <f t="shared" si="140"/>
        <v>0</v>
      </c>
      <c r="H194" s="78">
        <f t="shared" si="140"/>
        <v>0</v>
      </c>
      <c r="I194" s="78">
        <f t="shared" si="140"/>
        <v>0</v>
      </c>
      <c r="J194" s="78">
        <f t="shared" si="140"/>
        <v>0</v>
      </c>
      <c r="K194" s="78">
        <f t="shared" si="140"/>
        <v>0</v>
      </c>
      <c r="L194" s="78">
        <f t="shared" si="140"/>
        <v>0</v>
      </c>
      <c r="M194" s="78">
        <f t="shared" si="140"/>
        <v>0</v>
      </c>
      <c r="N194" s="78">
        <f t="shared" si="140"/>
        <v>0</v>
      </c>
      <c r="O194" s="78">
        <f t="shared" si="140"/>
        <v>0</v>
      </c>
      <c r="P194" s="78">
        <f t="shared" ref="P194" si="141">$C193*P193</f>
        <v>0</v>
      </c>
      <c r="Q194" s="78">
        <f t="shared" ref="Q194" si="142">$C193*Q193</f>
        <v>90785.092966666678</v>
      </c>
      <c r="R194" s="78">
        <f t="shared" ref="R194:AB194" si="143">$C193*R193</f>
        <v>0</v>
      </c>
      <c r="S194" s="78">
        <f t="shared" si="143"/>
        <v>14589.929666666669</v>
      </c>
      <c r="T194" s="78">
        <f t="shared" si="143"/>
        <v>0</v>
      </c>
      <c r="U194" s="78">
        <f t="shared" si="143"/>
        <v>0</v>
      </c>
      <c r="V194" s="78">
        <f t="shared" si="143"/>
        <v>0</v>
      </c>
      <c r="W194" s="78">
        <f t="shared" si="143"/>
        <v>0</v>
      </c>
      <c r="X194" s="78">
        <f t="shared" si="143"/>
        <v>164211.14716666666</v>
      </c>
      <c r="Y194" s="78">
        <f t="shared" si="143"/>
        <v>6371.9284666666672</v>
      </c>
      <c r="Z194" s="78">
        <f t="shared" si="143"/>
        <v>0</v>
      </c>
      <c r="AA194" s="78">
        <f t="shared" si="143"/>
        <v>0</v>
      </c>
      <c r="AB194" s="78">
        <f t="shared" si="143"/>
        <v>0</v>
      </c>
      <c r="AC194" s="32"/>
      <c r="AD194" s="30"/>
    </row>
    <row r="195" spans="1:30" s="27" customFormat="1">
      <c r="A195" s="71" t="s">
        <v>65</v>
      </c>
      <c r="B195" s="93">
        <f>111827/2</f>
        <v>55913.5</v>
      </c>
      <c r="C195" s="89">
        <f>B195/12</f>
        <v>4659.458333333333</v>
      </c>
      <c r="D195" s="74">
        <v>1.67E-2</v>
      </c>
      <c r="E195" s="74">
        <v>0.1394</v>
      </c>
      <c r="F195" s="74">
        <v>5.6399999999999999E-2</v>
      </c>
      <c r="G195" s="74">
        <v>8.0199999999999994E-2</v>
      </c>
      <c r="H195" s="74">
        <v>4.1200000000000001E-2</v>
      </c>
      <c r="I195" s="74">
        <v>0.1346</v>
      </c>
      <c r="J195" s="74">
        <v>2.12E-2</v>
      </c>
      <c r="K195" s="74">
        <v>3.3700000000000001E-2</v>
      </c>
      <c r="L195" s="74">
        <v>1.7600000000000001E-2</v>
      </c>
      <c r="M195" s="74">
        <v>2.5499999999999998E-2</v>
      </c>
      <c r="N195" s="74">
        <v>0.12970000000000001</v>
      </c>
      <c r="O195" s="74">
        <v>1.8100000000000002E-2</v>
      </c>
      <c r="P195" s="74">
        <v>0</v>
      </c>
      <c r="Q195" s="74">
        <v>3.9199999999999999E-2</v>
      </c>
      <c r="R195" s="74">
        <v>1.95E-2</v>
      </c>
      <c r="S195" s="74">
        <v>2.3999999999999998E-3</v>
      </c>
      <c r="T195" s="74">
        <v>5.3900000000000003E-2</v>
      </c>
      <c r="U195" s="74">
        <v>1.84E-2</v>
      </c>
      <c r="V195" s="74">
        <v>3.7100000000000001E-2</v>
      </c>
      <c r="W195" s="74">
        <v>4.7800000000000002E-2</v>
      </c>
      <c r="X195" s="74">
        <v>6.4000000000000001E-2</v>
      </c>
      <c r="Y195" s="74">
        <v>2.7000000000000001E-3</v>
      </c>
      <c r="Z195" s="75">
        <v>0</v>
      </c>
      <c r="AA195" s="75">
        <v>6.9999999999999999E-4</v>
      </c>
      <c r="AB195" s="75">
        <v>0</v>
      </c>
      <c r="AC195" s="32"/>
      <c r="AD195" s="30"/>
    </row>
    <row r="196" spans="1:30" s="27" customFormat="1">
      <c r="A196" s="76"/>
      <c r="B196" s="16"/>
      <c r="C196" s="84"/>
      <c r="D196" s="78">
        <f t="shared" ref="D196" si="144">$C195*D195</f>
        <v>77.812954166666657</v>
      </c>
      <c r="E196" s="78">
        <f t="shared" ref="E196" si="145">$C195*E195</f>
        <v>649.52849166666658</v>
      </c>
      <c r="F196" s="78">
        <f t="shared" ref="F196:AB196" si="146">$C195*F195</f>
        <v>262.79344999999995</v>
      </c>
      <c r="G196" s="78">
        <f t="shared" si="146"/>
        <v>373.68855833333328</v>
      </c>
      <c r="H196" s="78">
        <f t="shared" si="146"/>
        <v>191.96968333333334</v>
      </c>
      <c r="I196" s="78">
        <f t="shared" si="146"/>
        <v>627.16309166666656</v>
      </c>
      <c r="J196" s="78">
        <f t="shared" si="146"/>
        <v>98.780516666666657</v>
      </c>
      <c r="K196" s="78">
        <f t="shared" si="146"/>
        <v>157.02374583333332</v>
      </c>
      <c r="L196" s="78">
        <f t="shared" si="146"/>
        <v>82.006466666666668</v>
      </c>
      <c r="M196" s="78">
        <f t="shared" si="146"/>
        <v>118.81618749999998</v>
      </c>
      <c r="N196" s="78">
        <f t="shared" si="146"/>
        <v>604.33174583333334</v>
      </c>
      <c r="O196" s="78">
        <f t="shared" si="146"/>
        <v>84.336195833333335</v>
      </c>
      <c r="P196" s="78">
        <f t="shared" si="146"/>
        <v>0</v>
      </c>
      <c r="Q196" s="78">
        <f t="shared" si="146"/>
        <v>182.65076666666664</v>
      </c>
      <c r="R196" s="78">
        <f t="shared" si="146"/>
        <v>90.859437499999999</v>
      </c>
      <c r="S196" s="78">
        <f t="shared" si="146"/>
        <v>11.182699999999999</v>
      </c>
      <c r="T196" s="78">
        <f t="shared" si="146"/>
        <v>251.14480416666666</v>
      </c>
      <c r="U196" s="78">
        <f t="shared" si="146"/>
        <v>85.734033333333329</v>
      </c>
      <c r="V196" s="78">
        <f t="shared" si="146"/>
        <v>172.86590416666667</v>
      </c>
      <c r="W196" s="78">
        <f t="shared" si="146"/>
        <v>222.72210833333332</v>
      </c>
      <c r="X196" s="78">
        <f t="shared" si="146"/>
        <v>298.20533333333333</v>
      </c>
      <c r="Y196" s="78">
        <f t="shared" si="146"/>
        <v>12.5805375</v>
      </c>
      <c r="Z196" s="78">
        <f t="shared" si="146"/>
        <v>0</v>
      </c>
      <c r="AA196" s="78">
        <f t="shared" si="146"/>
        <v>3.2616208333333332</v>
      </c>
      <c r="AB196" s="78">
        <f t="shared" si="146"/>
        <v>0</v>
      </c>
      <c r="AC196" s="32"/>
      <c r="AD196" s="30"/>
    </row>
    <row r="197" spans="1:30" s="27" customFormat="1">
      <c r="A197" s="125" t="s">
        <v>90</v>
      </c>
      <c r="B197" s="93">
        <f>111827/2</f>
        <v>55913.5</v>
      </c>
      <c r="C197" s="89">
        <f>B197/12</f>
        <v>4659.458333333333</v>
      </c>
      <c r="D197" s="120">
        <v>5.1999999999999998E-2</v>
      </c>
      <c r="E197" s="75"/>
      <c r="F197" s="75"/>
      <c r="G197" s="75"/>
      <c r="H197" s="120">
        <v>0.1946</v>
      </c>
      <c r="I197" s="75"/>
      <c r="J197" s="75"/>
      <c r="K197" s="75"/>
      <c r="L197" s="75"/>
      <c r="M197" s="75"/>
      <c r="N197" s="75"/>
      <c r="O197" s="75"/>
      <c r="P197" s="75"/>
      <c r="Q197" s="120">
        <v>0.18229999999999999</v>
      </c>
      <c r="R197" s="120">
        <v>0.1167</v>
      </c>
      <c r="S197" s="120">
        <v>0.02</v>
      </c>
      <c r="T197" s="120">
        <v>0.1842</v>
      </c>
      <c r="U197" s="75"/>
      <c r="V197" s="75"/>
      <c r="W197" s="75"/>
      <c r="X197" s="120">
        <v>0.2409</v>
      </c>
      <c r="Y197" s="120">
        <v>9.2999999999999992E-3</v>
      </c>
      <c r="Z197" s="75"/>
      <c r="AA197" s="75"/>
      <c r="AB197" s="75"/>
      <c r="AC197" s="32"/>
      <c r="AD197" s="30"/>
    </row>
    <row r="198" spans="1:30" s="27" customFormat="1">
      <c r="A198" s="76"/>
      <c r="B198" s="77"/>
      <c r="C198" s="87"/>
      <c r="D198" s="78">
        <f t="shared" ref="D198" si="147">$C197*D197</f>
        <v>242.2918333333333</v>
      </c>
      <c r="E198" s="78">
        <f t="shared" ref="E198" si="148">$C197*E197</f>
        <v>0</v>
      </c>
      <c r="F198" s="78">
        <f t="shared" ref="F198:O198" si="149">$C197*F197</f>
        <v>0</v>
      </c>
      <c r="G198" s="78">
        <f t="shared" si="149"/>
        <v>0</v>
      </c>
      <c r="H198" s="78">
        <f t="shared" si="149"/>
        <v>906.73059166666656</v>
      </c>
      <c r="I198" s="78">
        <f t="shared" si="149"/>
        <v>0</v>
      </c>
      <c r="J198" s="78">
        <f t="shared" si="149"/>
        <v>0</v>
      </c>
      <c r="K198" s="78">
        <f t="shared" si="149"/>
        <v>0</v>
      </c>
      <c r="L198" s="78">
        <f t="shared" si="149"/>
        <v>0</v>
      </c>
      <c r="M198" s="78">
        <f t="shared" si="149"/>
        <v>0</v>
      </c>
      <c r="N198" s="78">
        <f t="shared" si="149"/>
        <v>0</v>
      </c>
      <c r="O198" s="78">
        <f t="shared" si="149"/>
        <v>0</v>
      </c>
      <c r="P198" s="78">
        <f t="shared" ref="P198" si="150">$C197*P197</f>
        <v>0</v>
      </c>
      <c r="Q198" s="78">
        <f t="shared" ref="Q198" si="151">$C197*Q197</f>
        <v>849.41925416666652</v>
      </c>
      <c r="R198" s="78">
        <f t="shared" ref="R198:AB198" si="152">$C197*R197</f>
        <v>543.75878749999993</v>
      </c>
      <c r="S198" s="78">
        <f t="shared" si="152"/>
        <v>93.189166666666665</v>
      </c>
      <c r="T198" s="78">
        <f t="shared" si="152"/>
        <v>858.27222499999993</v>
      </c>
      <c r="U198" s="78">
        <f t="shared" si="152"/>
        <v>0</v>
      </c>
      <c r="V198" s="78">
        <f t="shared" si="152"/>
        <v>0</v>
      </c>
      <c r="W198" s="78">
        <f t="shared" si="152"/>
        <v>0</v>
      </c>
      <c r="X198" s="78">
        <f t="shared" si="152"/>
        <v>1122.4635125</v>
      </c>
      <c r="Y198" s="78">
        <f t="shared" si="152"/>
        <v>43.332962499999994</v>
      </c>
      <c r="Z198" s="78">
        <f t="shared" si="152"/>
        <v>0</v>
      </c>
      <c r="AA198" s="78">
        <f t="shared" si="152"/>
        <v>0</v>
      </c>
      <c r="AB198" s="78">
        <f t="shared" si="152"/>
        <v>0</v>
      </c>
      <c r="AC198" s="32"/>
      <c r="AD198" s="30"/>
    </row>
    <row r="199" spans="1:30" s="27" customFormat="1">
      <c r="A199" s="9" t="s">
        <v>40</v>
      </c>
      <c r="B199" s="4">
        <f>SUM(B187:B198)</f>
        <v>7260235</v>
      </c>
      <c r="C199" s="60">
        <f>SUM(C187:C198)</f>
        <v>605019.58333333349</v>
      </c>
      <c r="D199" s="22">
        <f>D188+D190+D192+D194+D196+D198</f>
        <v>27096.849754166666</v>
      </c>
      <c r="E199" s="22">
        <f t="shared" ref="E199:AB199" si="153">E188+E190+E192+E194+E196+E198</f>
        <v>42169.864958333332</v>
      </c>
      <c r="F199" s="22">
        <f t="shared" si="153"/>
        <v>17061.552250000004</v>
      </c>
      <c r="G199" s="22">
        <f t="shared" si="153"/>
        <v>24261.285291666667</v>
      </c>
      <c r="H199" s="22">
        <f t="shared" si="153"/>
        <v>13370.134008333334</v>
      </c>
      <c r="I199" s="22">
        <f t="shared" si="153"/>
        <v>40717.81795833334</v>
      </c>
      <c r="J199" s="22">
        <f t="shared" si="153"/>
        <v>6413.2075833333338</v>
      </c>
      <c r="K199" s="22">
        <f t="shared" si="153"/>
        <v>10194.579979166669</v>
      </c>
      <c r="L199" s="22">
        <f t="shared" si="153"/>
        <v>5324.1723333333339</v>
      </c>
      <c r="M199" s="22">
        <f t="shared" si="153"/>
        <v>7713.9996874999997</v>
      </c>
      <c r="N199" s="22">
        <f t="shared" si="153"/>
        <v>39235.519979166667</v>
      </c>
      <c r="O199" s="22">
        <f t="shared" si="153"/>
        <v>5475.4272291666675</v>
      </c>
      <c r="P199" s="22">
        <f t="shared" si="153"/>
        <v>0</v>
      </c>
      <c r="Q199" s="22">
        <f t="shared" si="153"/>
        <v>103522.36972083336</v>
      </c>
      <c r="R199" s="22">
        <f t="shared" si="153"/>
        <v>6442.6997250000004</v>
      </c>
      <c r="S199" s="22">
        <f t="shared" si="153"/>
        <v>15413.879000000003</v>
      </c>
      <c r="T199" s="22">
        <f t="shared" si="153"/>
        <v>17163.549995833335</v>
      </c>
      <c r="U199" s="22">
        <f t="shared" si="153"/>
        <v>5566.180166666667</v>
      </c>
      <c r="V199" s="22">
        <f t="shared" si="153"/>
        <v>11223.113270833333</v>
      </c>
      <c r="W199" s="22">
        <f t="shared" si="153"/>
        <v>14459.968041666667</v>
      </c>
      <c r="X199" s="22">
        <f t="shared" si="153"/>
        <v>184747.54901250001</v>
      </c>
      <c r="Y199" s="22">
        <f t="shared" si="153"/>
        <v>7234.1065333333336</v>
      </c>
      <c r="Z199" s="22">
        <f t="shared" si="153"/>
        <v>0</v>
      </c>
      <c r="AA199" s="22">
        <f t="shared" si="153"/>
        <v>211.75685416666667</v>
      </c>
      <c r="AB199" s="22">
        <f t="shared" si="153"/>
        <v>0</v>
      </c>
      <c r="AC199" s="32"/>
      <c r="AD199" s="30"/>
    </row>
    <row r="200" spans="1:30" s="27" customFormat="1">
      <c r="A200" s="9"/>
      <c r="B200" s="4"/>
      <c r="C200" s="60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32"/>
      <c r="AD200" s="30"/>
    </row>
    <row r="201" spans="1:30" s="27" customFormat="1">
      <c r="A201" s="18"/>
      <c r="B201" s="12"/>
      <c r="C201" s="61"/>
      <c r="D201" s="21"/>
      <c r="E201" s="12"/>
      <c r="F201" s="12"/>
      <c r="G201" s="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32"/>
      <c r="AD201" s="30"/>
    </row>
    <row r="202" spans="1:30" s="27" customFormat="1">
      <c r="A202" s="18"/>
      <c r="B202" s="12"/>
      <c r="C202" s="61"/>
      <c r="D202" s="12"/>
      <c r="E202" s="12"/>
      <c r="F202" s="12"/>
      <c r="G202" s="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32"/>
      <c r="AD202" s="30"/>
    </row>
    <row r="203" spans="1:30" s="27" customFormat="1" ht="13.8" thickBot="1">
      <c r="A203" s="34" t="s">
        <v>52</v>
      </c>
      <c r="B203" s="54"/>
      <c r="C203" s="57"/>
      <c r="D203" s="54"/>
      <c r="E203" s="5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32"/>
      <c r="AD203" s="30"/>
    </row>
    <row r="204" spans="1:30" s="27" customFormat="1" ht="13.8" thickBot="1">
      <c r="A204" s="40" t="s">
        <v>1</v>
      </c>
      <c r="B204" s="41" t="s">
        <v>2</v>
      </c>
      <c r="C204" s="58" t="s">
        <v>3</v>
      </c>
      <c r="D204" s="137" t="s">
        <v>4</v>
      </c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50"/>
      <c r="AA204" s="50"/>
      <c r="AB204" s="50"/>
      <c r="AC204" s="32"/>
      <c r="AD204" s="30"/>
    </row>
    <row r="205" spans="1:30" s="27" customFormat="1">
      <c r="A205" s="42" t="s">
        <v>5</v>
      </c>
      <c r="B205" s="43" t="s">
        <v>6</v>
      </c>
      <c r="C205" s="59" t="s">
        <v>6</v>
      </c>
      <c r="D205" s="44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6"/>
      <c r="Z205" s="43" t="s">
        <v>7</v>
      </c>
      <c r="AA205" s="43"/>
      <c r="AB205" s="43"/>
      <c r="AC205" s="32"/>
      <c r="AD205" s="30"/>
    </row>
    <row r="206" spans="1:30" s="27" customFormat="1">
      <c r="A206" s="42" t="s">
        <v>8</v>
      </c>
      <c r="B206" s="43" t="s">
        <v>9</v>
      </c>
      <c r="C206" s="59" t="s">
        <v>9</v>
      </c>
      <c r="D206" s="47" t="s">
        <v>10</v>
      </c>
      <c r="E206" s="43" t="s">
        <v>11</v>
      </c>
      <c r="F206" s="43" t="s">
        <v>12</v>
      </c>
      <c r="G206" s="43" t="s">
        <v>13</v>
      </c>
      <c r="H206" s="43" t="s">
        <v>14</v>
      </c>
      <c r="I206" s="43" t="s">
        <v>15</v>
      </c>
      <c r="J206" s="43" t="s">
        <v>16</v>
      </c>
      <c r="K206" s="43" t="s">
        <v>17</v>
      </c>
      <c r="L206" s="43" t="s">
        <v>18</v>
      </c>
      <c r="M206" s="43" t="s">
        <v>19</v>
      </c>
      <c r="N206" s="43" t="s">
        <v>20</v>
      </c>
      <c r="O206" s="43" t="s">
        <v>57</v>
      </c>
      <c r="P206" s="43" t="s">
        <v>21</v>
      </c>
      <c r="Q206" s="43" t="s">
        <v>22</v>
      </c>
      <c r="R206" s="43" t="s">
        <v>23</v>
      </c>
      <c r="S206" s="43" t="s">
        <v>24</v>
      </c>
      <c r="T206" s="43" t="s">
        <v>25</v>
      </c>
      <c r="U206" s="43" t="s">
        <v>26</v>
      </c>
      <c r="V206" s="43" t="s">
        <v>27</v>
      </c>
      <c r="W206" s="43" t="s">
        <v>28</v>
      </c>
      <c r="X206" s="43" t="s">
        <v>29</v>
      </c>
      <c r="Y206" s="43" t="s">
        <v>30</v>
      </c>
      <c r="Z206" s="43" t="s">
        <v>31</v>
      </c>
      <c r="AA206" s="43" t="s">
        <v>115</v>
      </c>
      <c r="AB206" s="43" t="s">
        <v>113</v>
      </c>
      <c r="AC206" s="32"/>
      <c r="AD206" s="30"/>
    </row>
    <row r="207" spans="1:30" s="27" customFormat="1">
      <c r="A207" s="42"/>
      <c r="B207" s="43"/>
      <c r="C207" s="132" t="s">
        <v>131</v>
      </c>
      <c r="D207" s="48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32"/>
      <c r="AD207" s="30"/>
    </row>
    <row r="208" spans="1:30" s="28" customFormat="1" ht="13.35" customHeight="1">
      <c r="A208" s="71" t="s">
        <v>53</v>
      </c>
      <c r="B208" s="93">
        <f>6442.18/2</f>
        <v>3221.09</v>
      </c>
      <c r="C208" s="89">
        <f>B208/12</f>
        <v>268.42416666666668</v>
      </c>
      <c r="D208" s="74">
        <v>1.67E-2</v>
      </c>
      <c r="E208" s="74">
        <v>0.1394</v>
      </c>
      <c r="F208" s="74">
        <v>5.6399999999999999E-2</v>
      </c>
      <c r="G208" s="74">
        <v>8.0199999999999994E-2</v>
      </c>
      <c r="H208" s="74">
        <v>4.1200000000000001E-2</v>
      </c>
      <c r="I208" s="74">
        <v>0.1346</v>
      </c>
      <c r="J208" s="74">
        <v>2.12E-2</v>
      </c>
      <c r="K208" s="74">
        <v>3.3700000000000001E-2</v>
      </c>
      <c r="L208" s="74">
        <v>1.7600000000000001E-2</v>
      </c>
      <c r="M208" s="74">
        <v>2.5499999999999998E-2</v>
      </c>
      <c r="N208" s="74">
        <v>0.12970000000000001</v>
      </c>
      <c r="O208" s="74">
        <v>1.8100000000000002E-2</v>
      </c>
      <c r="P208" s="74">
        <v>0</v>
      </c>
      <c r="Q208" s="74">
        <v>3.9199999999999999E-2</v>
      </c>
      <c r="R208" s="74">
        <v>1.95E-2</v>
      </c>
      <c r="S208" s="74">
        <v>2.3999999999999998E-3</v>
      </c>
      <c r="T208" s="74">
        <v>5.3900000000000003E-2</v>
      </c>
      <c r="U208" s="74">
        <v>1.84E-2</v>
      </c>
      <c r="V208" s="74">
        <v>3.7100000000000001E-2</v>
      </c>
      <c r="W208" s="74">
        <v>4.7800000000000002E-2</v>
      </c>
      <c r="X208" s="74">
        <v>6.4000000000000001E-2</v>
      </c>
      <c r="Y208" s="74">
        <v>2.7000000000000001E-3</v>
      </c>
      <c r="Z208" s="75">
        <v>0</v>
      </c>
      <c r="AA208" s="75">
        <v>6.9999999999999999E-4</v>
      </c>
      <c r="AB208" s="75">
        <v>0</v>
      </c>
      <c r="AC208" s="32"/>
      <c r="AD208" s="30"/>
    </row>
    <row r="209" spans="1:30" s="28" customFormat="1" ht="13.35" customHeight="1">
      <c r="A209" s="76"/>
      <c r="B209" s="16"/>
      <c r="C209" s="84"/>
      <c r="D209" s="78">
        <f t="shared" ref="D209" si="154">$C208*D208</f>
        <v>4.4826835833333334</v>
      </c>
      <c r="E209" s="78">
        <f t="shared" ref="E209" si="155">$C208*E208</f>
        <v>37.418328833333334</v>
      </c>
      <c r="F209" s="78">
        <f t="shared" ref="F209:O209" si="156">$C208*F208</f>
        <v>15.139123</v>
      </c>
      <c r="G209" s="78">
        <f t="shared" si="156"/>
        <v>21.527618166666667</v>
      </c>
      <c r="H209" s="78">
        <f t="shared" si="156"/>
        <v>11.059075666666667</v>
      </c>
      <c r="I209" s="78">
        <f t="shared" si="156"/>
        <v>36.129892833333336</v>
      </c>
      <c r="J209" s="78">
        <f t="shared" si="156"/>
        <v>5.6905923333333339</v>
      </c>
      <c r="K209" s="78">
        <f t="shared" si="156"/>
        <v>9.0458944166666679</v>
      </c>
      <c r="L209" s="78">
        <f t="shared" si="156"/>
        <v>4.7242653333333342</v>
      </c>
      <c r="M209" s="78">
        <f t="shared" si="156"/>
        <v>6.84481625</v>
      </c>
      <c r="N209" s="78">
        <f t="shared" si="156"/>
        <v>34.814614416666672</v>
      </c>
      <c r="O209" s="78">
        <f t="shared" si="156"/>
        <v>4.8584774166666671</v>
      </c>
      <c r="P209" s="78">
        <f t="shared" ref="P209" si="157">$C208*P208</f>
        <v>0</v>
      </c>
      <c r="Q209" s="78">
        <f t="shared" ref="Q209" si="158">$C208*Q208</f>
        <v>10.522227333333333</v>
      </c>
      <c r="R209" s="78">
        <f t="shared" ref="R209:AB209" si="159">$C208*R208</f>
        <v>5.2342712499999999</v>
      </c>
      <c r="S209" s="78">
        <f t="shared" si="159"/>
        <v>0.64421799999999996</v>
      </c>
      <c r="T209" s="78">
        <f t="shared" si="159"/>
        <v>14.468062583333335</v>
      </c>
      <c r="U209" s="78">
        <f t="shared" si="159"/>
        <v>4.9390046666666665</v>
      </c>
      <c r="V209" s="78">
        <f t="shared" si="159"/>
        <v>9.9585365833333341</v>
      </c>
      <c r="W209" s="78">
        <f t="shared" si="159"/>
        <v>12.830675166666667</v>
      </c>
      <c r="X209" s="78">
        <f t="shared" si="159"/>
        <v>17.179146666666668</v>
      </c>
      <c r="Y209" s="78">
        <f t="shared" si="159"/>
        <v>0.72474525000000012</v>
      </c>
      <c r="Z209" s="78">
        <f t="shared" si="159"/>
        <v>0</v>
      </c>
      <c r="AA209" s="78">
        <f t="shared" si="159"/>
        <v>0.18789691666666666</v>
      </c>
      <c r="AB209" s="78">
        <f t="shared" si="159"/>
        <v>0</v>
      </c>
      <c r="AC209" s="32"/>
      <c r="AD209" s="30"/>
    </row>
    <row r="210" spans="1:30" s="27" customFormat="1">
      <c r="A210" s="125" t="s">
        <v>104</v>
      </c>
      <c r="B210" s="93">
        <f>6442.18/2</f>
        <v>3221.09</v>
      </c>
      <c r="C210" s="89">
        <f>B210/12</f>
        <v>268.42416666666668</v>
      </c>
      <c r="D210" s="120">
        <v>8.0299999999999996E-2</v>
      </c>
      <c r="E210" s="75"/>
      <c r="F210" s="75"/>
      <c r="G210" s="75"/>
      <c r="H210" s="75"/>
      <c r="I210" s="75"/>
      <c r="J210" s="75"/>
      <c r="K210" s="75"/>
      <c r="L210" s="75"/>
      <c r="M210" s="120">
        <v>8.4400000000000003E-2</v>
      </c>
      <c r="N210" s="75"/>
      <c r="O210" s="75"/>
      <c r="P210" s="75"/>
      <c r="Q210" s="120">
        <v>0.19980000000000001</v>
      </c>
      <c r="R210" s="75"/>
      <c r="S210" s="75"/>
      <c r="T210" s="120">
        <v>0.63549999999999995</v>
      </c>
      <c r="U210" s="75"/>
      <c r="V210" s="75"/>
      <c r="W210" s="75"/>
      <c r="X210" s="75"/>
      <c r="Y210" s="75"/>
      <c r="Z210" s="75"/>
      <c r="AA210" s="75"/>
      <c r="AB210" s="75"/>
      <c r="AC210" s="32"/>
      <c r="AD210" s="30"/>
    </row>
    <row r="211" spans="1:30" s="27" customFormat="1">
      <c r="A211" s="76"/>
      <c r="B211" s="77"/>
      <c r="C211" s="87"/>
      <c r="D211" s="78">
        <f t="shared" ref="D211" si="160">$C210*D210</f>
        <v>21.554460583333334</v>
      </c>
      <c r="E211" s="78">
        <f t="shared" ref="E211" si="161">$C210*E210</f>
        <v>0</v>
      </c>
      <c r="F211" s="78">
        <f t="shared" ref="F211:O211" si="162">$C210*F210</f>
        <v>0</v>
      </c>
      <c r="G211" s="78">
        <f t="shared" si="162"/>
        <v>0</v>
      </c>
      <c r="H211" s="78">
        <f t="shared" si="162"/>
        <v>0</v>
      </c>
      <c r="I211" s="78">
        <f t="shared" si="162"/>
        <v>0</v>
      </c>
      <c r="J211" s="78">
        <f t="shared" si="162"/>
        <v>0</v>
      </c>
      <c r="K211" s="78">
        <f t="shared" si="162"/>
        <v>0</v>
      </c>
      <c r="L211" s="78">
        <f t="shared" si="162"/>
        <v>0</v>
      </c>
      <c r="M211" s="78">
        <f t="shared" si="162"/>
        <v>22.654999666666669</v>
      </c>
      <c r="N211" s="78">
        <f t="shared" si="162"/>
        <v>0</v>
      </c>
      <c r="O211" s="78">
        <f t="shared" si="162"/>
        <v>0</v>
      </c>
      <c r="P211" s="78">
        <f t="shared" ref="P211" si="163">$C210*P210</f>
        <v>0</v>
      </c>
      <c r="Q211" s="78">
        <f t="shared" ref="Q211" si="164">$C210*Q210</f>
        <v>53.631148500000002</v>
      </c>
      <c r="R211" s="78">
        <f t="shared" ref="R211:AB211" si="165">$C210*R210</f>
        <v>0</v>
      </c>
      <c r="S211" s="78">
        <f t="shared" si="165"/>
        <v>0</v>
      </c>
      <c r="T211" s="78">
        <f t="shared" si="165"/>
        <v>170.58355791666665</v>
      </c>
      <c r="U211" s="78">
        <f t="shared" si="165"/>
        <v>0</v>
      </c>
      <c r="V211" s="78">
        <f t="shared" si="165"/>
        <v>0</v>
      </c>
      <c r="W211" s="78">
        <f t="shared" si="165"/>
        <v>0</v>
      </c>
      <c r="X211" s="78">
        <f t="shared" si="165"/>
        <v>0</v>
      </c>
      <c r="Y211" s="78">
        <f t="shared" si="165"/>
        <v>0</v>
      </c>
      <c r="Z211" s="78">
        <f t="shared" si="165"/>
        <v>0</v>
      </c>
      <c r="AA211" s="78">
        <f t="shared" si="165"/>
        <v>0</v>
      </c>
      <c r="AB211" s="78">
        <f t="shared" si="165"/>
        <v>0</v>
      </c>
      <c r="AC211" s="32"/>
      <c r="AD211" s="30"/>
    </row>
    <row r="212" spans="1:30" s="28" customFormat="1" ht="13.35" customHeight="1">
      <c r="A212" s="71" t="s">
        <v>54</v>
      </c>
      <c r="B212" s="93">
        <f>4620/2</f>
        <v>2310</v>
      </c>
      <c r="C212" s="89">
        <f>B212/12</f>
        <v>192.5</v>
      </c>
      <c r="D212" s="74">
        <v>1.67E-2</v>
      </c>
      <c r="E212" s="74">
        <v>0.1394</v>
      </c>
      <c r="F212" s="74">
        <v>5.6399999999999999E-2</v>
      </c>
      <c r="G212" s="74">
        <v>8.0199999999999994E-2</v>
      </c>
      <c r="H212" s="74">
        <v>4.1200000000000001E-2</v>
      </c>
      <c r="I212" s="74">
        <v>0.1346</v>
      </c>
      <c r="J212" s="74">
        <v>2.12E-2</v>
      </c>
      <c r="K212" s="74">
        <v>3.3700000000000001E-2</v>
      </c>
      <c r="L212" s="74">
        <v>1.7600000000000001E-2</v>
      </c>
      <c r="M212" s="74">
        <v>2.5499999999999998E-2</v>
      </c>
      <c r="N212" s="74">
        <v>0.12970000000000001</v>
      </c>
      <c r="O212" s="74">
        <v>1.8100000000000002E-2</v>
      </c>
      <c r="P212" s="74">
        <v>0</v>
      </c>
      <c r="Q212" s="74">
        <v>3.9199999999999999E-2</v>
      </c>
      <c r="R212" s="74">
        <v>1.95E-2</v>
      </c>
      <c r="S212" s="74">
        <v>2.3999999999999998E-3</v>
      </c>
      <c r="T212" s="74">
        <v>5.3900000000000003E-2</v>
      </c>
      <c r="U212" s="74">
        <v>1.84E-2</v>
      </c>
      <c r="V212" s="74">
        <v>3.7100000000000001E-2</v>
      </c>
      <c r="W212" s="74">
        <v>4.7800000000000002E-2</v>
      </c>
      <c r="X212" s="74">
        <v>6.4000000000000001E-2</v>
      </c>
      <c r="Y212" s="74">
        <v>2.7000000000000001E-3</v>
      </c>
      <c r="Z212" s="75">
        <v>0</v>
      </c>
      <c r="AA212" s="75">
        <v>6.9999999999999999E-4</v>
      </c>
      <c r="AB212" s="75">
        <v>0</v>
      </c>
      <c r="AC212" s="32"/>
      <c r="AD212" s="30"/>
    </row>
    <row r="213" spans="1:30" s="28" customFormat="1" ht="13.35" customHeight="1">
      <c r="A213" s="76"/>
      <c r="B213" s="16"/>
      <c r="C213" s="84"/>
      <c r="D213" s="78">
        <f t="shared" ref="D213" si="166">$C212*D212</f>
        <v>3.21475</v>
      </c>
      <c r="E213" s="78">
        <f t="shared" ref="E213" si="167">$C212*E212</f>
        <v>26.834499999999998</v>
      </c>
      <c r="F213" s="78">
        <f t="shared" ref="F213:O213" si="168">$C212*F212</f>
        <v>10.856999999999999</v>
      </c>
      <c r="G213" s="78">
        <f t="shared" si="168"/>
        <v>15.438499999999999</v>
      </c>
      <c r="H213" s="78">
        <f t="shared" si="168"/>
        <v>7.931</v>
      </c>
      <c r="I213" s="78">
        <f t="shared" si="168"/>
        <v>25.910499999999999</v>
      </c>
      <c r="J213" s="78">
        <f t="shared" si="168"/>
        <v>4.0810000000000004</v>
      </c>
      <c r="K213" s="78">
        <f t="shared" si="168"/>
        <v>6.4872500000000004</v>
      </c>
      <c r="L213" s="78">
        <f t="shared" si="168"/>
        <v>3.3880000000000003</v>
      </c>
      <c r="M213" s="78">
        <f t="shared" si="168"/>
        <v>4.9087499999999995</v>
      </c>
      <c r="N213" s="78">
        <f t="shared" si="168"/>
        <v>24.967250000000003</v>
      </c>
      <c r="O213" s="78">
        <f t="shared" si="168"/>
        <v>3.4842500000000003</v>
      </c>
      <c r="P213" s="78">
        <f t="shared" ref="P213" si="169">$C212*P212</f>
        <v>0</v>
      </c>
      <c r="Q213" s="78">
        <f t="shared" ref="Q213" si="170">$C212*Q212</f>
        <v>7.5459999999999994</v>
      </c>
      <c r="R213" s="78">
        <f t="shared" ref="R213:AB213" si="171">$C212*R212</f>
        <v>3.7537500000000001</v>
      </c>
      <c r="S213" s="78">
        <f t="shared" si="171"/>
        <v>0.46199999999999997</v>
      </c>
      <c r="T213" s="78">
        <f t="shared" si="171"/>
        <v>10.37575</v>
      </c>
      <c r="U213" s="78">
        <f t="shared" si="171"/>
        <v>3.5419999999999998</v>
      </c>
      <c r="V213" s="78">
        <f t="shared" si="171"/>
        <v>7.14175</v>
      </c>
      <c r="W213" s="78">
        <f t="shared" si="171"/>
        <v>9.2015000000000011</v>
      </c>
      <c r="X213" s="78">
        <f t="shared" si="171"/>
        <v>12.32</v>
      </c>
      <c r="Y213" s="78">
        <f t="shared" si="171"/>
        <v>0.51975000000000005</v>
      </c>
      <c r="Z213" s="78">
        <f t="shared" si="171"/>
        <v>0</v>
      </c>
      <c r="AA213" s="78">
        <f t="shared" si="171"/>
        <v>0.13475000000000001</v>
      </c>
      <c r="AB213" s="78">
        <f t="shared" si="171"/>
        <v>0</v>
      </c>
      <c r="AC213" s="32"/>
      <c r="AD213" s="30"/>
    </row>
    <row r="214" spans="1:30" s="27" customFormat="1">
      <c r="A214" s="125" t="s">
        <v>105</v>
      </c>
      <c r="B214" s="93">
        <f>4620/2</f>
        <v>2310</v>
      </c>
      <c r="C214" s="89">
        <f>B214/12</f>
        <v>192.5</v>
      </c>
      <c r="D214" s="120">
        <v>7.3200000000000001E-2</v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120">
        <v>0.3049</v>
      </c>
      <c r="R214" s="75"/>
      <c r="S214" s="120">
        <v>4.9000000000000002E-2</v>
      </c>
      <c r="T214" s="75"/>
      <c r="U214" s="75"/>
      <c r="V214" s="75"/>
      <c r="W214" s="75"/>
      <c r="X214" s="120">
        <v>0.55149999999999999</v>
      </c>
      <c r="Y214" s="120">
        <v>2.1399999999999999E-2</v>
      </c>
      <c r="Z214" s="75"/>
      <c r="AA214" s="75"/>
      <c r="AB214" s="75"/>
      <c r="AC214" s="32"/>
      <c r="AD214" s="30"/>
    </row>
    <row r="215" spans="1:30" s="27" customFormat="1">
      <c r="A215" s="76"/>
      <c r="B215" s="77"/>
      <c r="C215" s="87"/>
      <c r="D215" s="78">
        <f t="shared" ref="D215" si="172">$C214*D214</f>
        <v>14.091000000000001</v>
      </c>
      <c r="E215" s="78">
        <f t="shared" ref="E215" si="173">$C214*E214</f>
        <v>0</v>
      </c>
      <c r="F215" s="78">
        <f t="shared" ref="F215:O215" si="174">$C214*F214</f>
        <v>0</v>
      </c>
      <c r="G215" s="78">
        <f t="shared" si="174"/>
        <v>0</v>
      </c>
      <c r="H215" s="78">
        <f t="shared" si="174"/>
        <v>0</v>
      </c>
      <c r="I215" s="78">
        <f t="shared" si="174"/>
        <v>0</v>
      </c>
      <c r="J215" s="78">
        <f t="shared" si="174"/>
        <v>0</v>
      </c>
      <c r="K215" s="78">
        <f t="shared" si="174"/>
        <v>0</v>
      </c>
      <c r="L215" s="78">
        <f t="shared" si="174"/>
        <v>0</v>
      </c>
      <c r="M215" s="78">
        <f t="shared" si="174"/>
        <v>0</v>
      </c>
      <c r="N215" s="78">
        <f t="shared" si="174"/>
        <v>0</v>
      </c>
      <c r="O215" s="78">
        <f t="shared" si="174"/>
        <v>0</v>
      </c>
      <c r="P215" s="78">
        <f t="shared" ref="P215" si="175">$C214*P214</f>
        <v>0</v>
      </c>
      <c r="Q215" s="78">
        <f t="shared" ref="Q215" si="176">$C214*Q214</f>
        <v>58.693249999999999</v>
      </c>
      <c r="R215" s="78">
        <f t="shared" ref="R215:AB215" si="177">$C214*R214</f>
        <v>0</v>
      </c>
      <c r="S215" s="78">
        <f t="shared" si="177"/>
        <v>9.432500000000001</v>
      </c>
      <c r="T215" s="78">
        <f t="shared" si="177"/>
        <v>0</v>
      </c>
      <c r="U215" s="78">
        <f t="shared" si="177"/>
        <v>0</v>
      </c>
      <c r="V215" s="78">
        <f t="shared" si="177"/>
        <v>0</v>
      </c>
      <c r="W215" s="78">
        <f t="shared" si="177"/>
        <v>0</v>
      </c>
      <c r="X215" s="78">
        <f t="shared" si="177"/>
        <v>106.16374999999999</v>
      </c>
      <c r="Y215" s="78">
        <f t="shared" si="177"/>
        <v>4.1194999999999995</v>
      </c>
      <c r="Z215" s="78">
        <f t="shared" si="177"/>
        <v>0</v>
      </c>
      <c r="AA215" s="78">
        <f t="shared" si="177"/>
        <v>0</v>
      </c>
      <c r="AB215" s="78">
        <f t="shared" si="177"/>
        <v>0</v>
      </c>
      <c r="AC215" s="32"/>
      <c r="AD215" s="30"/>
    </row>
    <row r="216" spans="1:30" s="28" customFormat="1" ht="13.35" customHeight="1">
      <c r="A216" s="71" t="s">
        <v>55</v>
      </c>
      <c r="B216" s="93">
        <f>9342/2</f>
        <v>4671</v>
      </c>
      <c r="C216" s="89">
        <f>B216/12</f>
        <v>389.25</v>
      </c>
      <c r="D216" s="74">
        <v>1.67E-2</v>
      </c>
      <c r="E216" s="74">
        <v>0.1394</v>
      </c>
      <c r="F216" s="74">
        <v>5.6399999999999999E-2</v>
      </c>
      <c r="G216" s="74">
        <v>8.0199999999999994E-2</v>
      </c>
      <c r="H216" s="74">
        <v>4.1200000000000001E-2</v>
      </c>
      <c r="I216" s="74">
        <v>0.1346</v>
      </c>
      <c r="J216" s="74">
        <v>2.12E-2</v>
      </c>
      <c r="K216" s="74">
        <v>3.3700000000000001E-2</v>
      </c>
      <c r="L216" s="74">
        <v>1.7600000000000001E-2</v>
      </c>
      <c r="M216" s="74">
        <v>2.5499999999999998E-2</v>
      </c>
      <c r="N216" s="74">
        <v>0.12970000000000001</v>
      </c>
      <c r="O216" s="74">
        <v>1.8100000000000002E-2</v>
      </c>
      <c r="P216" s="74">
        <v>0</v>
      </c>
      <c r="Q216" s="74">
        <v>3.9199999999999999E-2</v>
      </c>
      <c r="R216" s="74">
        <v>1.95E-2</v>
      </c>
      <c r="S216" s="74">
        <v>2.3999999999999998E-3</v>
      </c>
      <c r="T216" s="74">
        <v>5.3900000000000003E-2</v>
      </c>
      <c r="U216" s="74">
        <v>1.84E-2</v>
      </c>
      <c r="V216" s="74">
        <v>3.7100000000000001E-2</v>
      </c>
      <c r="W216" s="74">
        <v>4.7800000000000002E-2</v>
      </c>
      <c r="X216" s="74">
        <v>6.4000000000000001E-2</v>
      </c>
      <c r="Y216" s="74">
        <v>2.7000000000000001E-3</v>
      </c>
      <c r="Z216" s="75">
        <v>0</v>
      </c>
      <c r="AA216" s="75">
        <v>6.9999999999999999E-4</v>
      </c>
      <c r="AB216" s="75">
        <v>0</v>
      </c>
      <c r="AC216" s="32"/>
      <c r="AD216" s="30"/>
    </row>
    <row r="217" spans="1:30" s="28" customFormat="1" ht="13.35" customHeight="1">
      <c r="A217" s="76"/>
      <c r="B217" s="16"/>
      <c r="C217" s="84"/>
      <c r="D217" s="78">
        <f t="shared" ref="D217" si="178">$C216*D216</f>
        <v>6.5004749999999998</v>
      </c>
      <c r="E217" s="78">
        <f t="shared" ref="E217" si="179">$C216*E216</f>
        <v>54.261449999999996</v>
      </c>
      <c r="F217" s="78">
        <f t="shared" ref="F217:O217" si="180">$C216*F216</f>
        <v>21.953699999999998</v>
      </c>
      <c r="G217" s="78">
        <f t="shared" si="180"/>
        <v>31.217849999999999</v>
      </c>
      <c r="H217" s="78">
        <f t="shared" si="180"/>
        <v>16.037099999999999</v>
      </c>
      <c r="I217" s="78">
        <f t="shared" si="180"/>
        <v>52.393050000000002</v>
      </c>
      <c r="J217" s="78">
        <f t="shared" si="180"/>
        <v>8.2521000000000004</v>
      </c>
      <c r="K217" s="78">
        <f t="shared" si="180"/>
        <v>13.117725</v>
      </c>
      <c r="L217" s="78">
        <f t="shared" si="180"/>
        <v>6.8508000000000004</v>
      </c>
      <c r="M217" s="78">
        <f t="shared" si="180"/>
        <v>9.9258749999999996</v>
      </c>
      <c r="N217" s="78">
        <f t="shared" si="180"/>
        <v>50.485725000000002</v>
      </c>
      <c r="O217" s="78">
        <f t="shared" si="180"/>
        <v>7.0454250000000007</v>
      </c>
      <c r="P217" s="78">
        <f t="shared" ref="P217" si="181">$C216*P216</f>
        <v>0</v>
      </c>
      <c r="Q217" s="78">
        <f t="shared" ref="Q217" si="182">$C216*Q216</f>
        <v>15.258599999999999</v>
      </c>
      <c r="R217" s="78">
        <f t="shared" ref="R217:AB217" si="183">$C216*R216</f>
        <v>7.5903749999999999</v>
      </c>
      <c r="S217" s="78">
        <f t="shared" si="183"/>
        <v>0.93419999999999992</v>
      </c>
      <c r="T217" s="78">
        <f t="shared" si="183"/>
        <v>20.980575000000002</v>
      </c>
      <c r="U217" s="78">
        <f t="shared" si="183"/>
        <v>7.1621999999999995</v>
      </c>
      <c r="V217" s="78">
        <f t="shared" si="183"/>
        <v>14.441175000000001</v>
      </c>
      <c r="W217" s="78">
        <f t="shared" si="183"/>
        <v>18.60615</v>
      </c>
      <c r="X217" s="78">
        <f t="shared" si="183"/>
        <v>24.911999999999999</v>
      </c>
      <c r="Y217" s="78">
        <f t="shared" si="183"/>
        <v>1.050975</v>
      </c>
      <c r="Z217" s="78">
        <f t="shared" si="183"/>
        <v>0</v>
      </c>
      <c r="AA217" s="78">
        <f t="shared" si="183"/>
        <v>0.27247500000000002</v>
      </c>
      <c r="AB217" s="78">
        <f t="shared" si="183"/>
        <v>0</v>
      </c>
      <c r="AC217" s="32"/>
      <c r="AD217" s="30"/>
    </row>
    <row r="218" spans="1:30" s="27" customFormat="1">
      <c r="A218" s="125" t="s">
        <v>106</v>
      </c>
      <c r="B218" s="93">
        <f>9342/2</f>
        <v>4671</v>
      </c>
      <c r="C218" s="89">
        <f>B218/12</f>
        <v>389.25</v>
      </c>
      <c r="D218" s="120">
        <v>5.1999999999999998E-2</v>
      </c>
      <c r="E218" s="75"/>
      <c r="F218" s="75"/>
      <c r="G218" s="75"/>
      <c r="H218" s="120">
        <v>0.1946</v>
      </c>
      <c r="I218" s="75"/>
      <c r="J218" s="75"/>
      <c r="K218" s="75"/>
      <c r="L218" s="75"/>
      <c r="M218" s="75"/>
      <c r="N218" s="75"/>
      <c r="O218" s="75"/>
      <c r="P218" s="75"/>
      <c r="Q218" s="120">
        <v>0.18229999999999999</v>
      </c>
      <c r="R218" s="120">
        <v>0.1167</v>
      </c>
      <c r="S218" s="120">
        <v>0.02</v>
      </c>
      <c r="T218" s="120">
        <v>0.1842</v>
      </c>
      <c r="U218" s="75"/>
      <c r="V218" s="75"/>
      <c r="W218" s="75"/>
      <c r="X218" s="120">
        <v>0.2409</v>
      </c>
      <c r="Y218" s="120">
        <v>9.2999999999999992E-3</v>
      </c>
      <c r="Z218" s="75"/>
      <c r="AA218" s="75"/>
      <c r="AB218" s="75"/>
      <c r="AC218" s="32"/>
      <c r="AD218" s="30"/>
    </row>
    <row r="219" spans="1:30" s="27" customFormat="1">
      <c r="A219" s="76"/>
      <c r="B219" s="77"/>
      <c r="C219" s="87"/>
      <c r="D219" s="78">
        <f t="shared" ref="D219" si="184">$C218*D218</f>
        <v>20.241</v>
      </c>
      <c r="E219" s="78">
        <f t="shared" ref="E219" si="185">$C218*E218</f>
        <v>0</v>
      </c>
      <c r="F219" s="78">
        <f t="shared" ref="F219:O219" si="186">$C218*F218</f>
        <v>0</v>
      </c>
      <c r="G219" s="78">
        <f t="shared" si="186"/>
        <v>0</v>
      </c>
      <c r="H219" s="78">
        <f t="shared" si="186"/>
        <v>75.748049999999992</v>
      </c>
      <c r="I219" s="78">
        <f t="shared" si="186"/>
        <v>0</v>
      </c>
      <c r="J219" s="78">
        <f t="shared" si="186"/>
        <v>0</v>
      </c>
      <c r="K219" s="78">
        <f t="shared" si="186"/>
        <v>0</v>
      </c>
      <c r="L219" s="78">
        <f t="shared" si="186"/>
        <v>0</v>
      </c>
      <c r="M219" s="78">
        <f t="shared" si="186"/>
        <v>0</v>
      </c>
      <c r="N219" s="78">
        <f t="shared" si="186"/>
        <v>0</v>
      </c>
      <c r="O219" s="78">
        <f t="shared" si="186"/>
        <v>0</v>
      </c>
      <c r="P219" s="78">
        <f t="shared" ref="P219" si="187">$C218*P218</f>
        <v>0</v>
      </c>
      <c r="Q219" s="78">
        <f t="shared" ref="Q219" si="188">$C218*Q218</f>
        <v>70.960274999999996</v>
      </c>
      <c r="R219" s="78">
        <f t="shared" ref="R219:AB219" si="189">$C218*R218</f>
        <v>45.425474999999999</v>
      </c>
      <c r="S219" s="78">
        <f t="shared" si="189"/>
        <v>7.7850000000000001</v>
      </c>
      <c r="T219" s="78">
        <f t="shared" si="189"/>
        <v>71.699849999999998</v>
      </c>
      <c r="U219" s="78">
        <f t="shared" si="189"/>
        <v>0</v>
      </c>
      <c r="V219" s="78">
        <f t="shared" si="189"/>
        <v>0</v>
      </c>
      <c r="W219" s="78">
        <f t="shared" si="189"/>
        <v>0</v>
      </c>
      <c r="X219" s="78">
        <f t="shared" si="189"/>
        <v>93.770325</v>
      </c>
      <c r="Y219" s="78">
        <f t="shared" si="189"/>
        <v>3.6200249999999996</v>
      </c>
      <c r="Z219" s="78">
        <f t="shared" si="189"/>
        <v>0</v>
      </c>
      <c r="AA219" s="78">
        <f t="shared" si="189"/>
        <v>0</v>
      </c>
      <c r="AB219" s="78">
        <f t="shared" si="189"/>
        <v>0</v>
      </c>
      <c r="AC219" s="32"/>
      <c r="AD219" s="30"/>
    </row>
    <row r="220" spans="1:30" s="28" customFormat="1" ht="13.35" customHeight="1">
      <c r="A220" s="71" t="s">
        <v>78</v>
      </c>
      <c r="B220" s="93">
        <f>3654670/2</f>
        <v>1827335</v>
      </c>
      <c r="C220" s="89">
        <f>B220/12</f>
        <v>152277.91666666666</v>
      </c>
      <c r="D220" s="74">
        <v>1.67E-2</v>
      </c>
      <c r="E220" s="74">
        <v>0.1394</v>
      </c>
      <c r="F220" s="74">
        <v>5.6399999999999999E-2</v>
      </c>
      <c r="G220" s="74">
        <v>8.0199999999999994E-2</v>
      </c>
      <c r="H220" s="74">
        <v>4.1200000000000001E-2</v>
      </c>
      <c r="I220" s="74">
        <v>0.1346</v>
      </c>
      <c r="J220" s="74">
        <v>2.12E-2</v>
      </c>
      <c r="K220" s="74">
        <v>3.3700000000000001E-2</v>
      </c>
      <c r="L220" s="74">
        <v>1.7600000000000001E-2</v>
      </c>
      <c r="M220" s="74">
        <v>2.5499999999999998E-2</v>
      </c>
      <c r="N220" s="74">
        <v>0.12970000000000001</v>
      </c>
      <c r="O220" s="74">
        <v>1.8100000000000002E-2</v>
      </c>
      <c r="P220" s="74">
        <v>0</v>
      </c>
      <c r="Q220" s="74">
        <v>3.9199999999999999E-2</v>
      </c>
      <c r="R220" s="74">
        <v>1.95E-2</v>
      </c>
      <c r="S220" s="74">
        <v>2.3999999999999998E-3</v>
      </c>
      <c r="T220" s="74">
        <v>5.3900000000000003E-2</v>
      </c>
      <c r="U220" s="74">
        <v>1.84E-2</v>
      </c>
      <c r="V220" s="74">
        <v>3.7100000000000001E-2</v>
      </c>
      <c r="W220" s="74">
        <v>4.7800000000000002E-2</v>
      </c>
      <c r="X220" s="74">
        <v>6.4000000000000001E-2</v>
      </c>
      <c r="Y220" s="74">
        <v>2.7000000000000001E-3</v>
      </c>
      <c r="Z220" s="75">
        <v>0</v>
      </c>
      <c r="AA220" s="75">
        <v>6.9999999999999999E-4</v>
      </c>
      <c r="AB220" s="75">
        <v>0</v>
      </c>
      <c r="AC220" s="32"/>
      <c r="AD220" s="30"/>
    </row>
    <row r="221" spans="1:30" s="28" customFormat="1" ht="13.35" customHeight="1">
      <c r="A221" s="76"/>
      <c r="B221" s="16"/>
      <c r="C221" s="84"/>
      <c r="D221" s="78">
        <f t="shared" ref="D221" si="190">$C220*D220</f>
        <v>2543.0412083333331</v>
      </c>
      <c r="E221" s="78">
        <f t="shared" ref="E221" si="191">$C220*E220</f>
        <v>21227.541583333332</v>
      </c>
      <c r="F221" s="78">
        <f t="shared" ref="F221:O221" si="192">$C220*F220</f>
        <v>8588.4744999999984</v>
      </c>
      <c r="G221" s="78">
        <f t="shared" si="192"/>
        <v>12212.688916666664</v>
      </c>
      <c r="H221" s="78">
        <f t="shared" si="192"/>
        <v>6273.8501666666662</v>
      </c>
      <c r="I221" s="78">
        <f t="shared" si="192"/>
        <v>20496.607583333331</v>
      </c>
      <c r="J221" s="78">
        <f t="shared" si="192"/>
        <v>3228.2918333333332</v>
      </c>
      <c r="K221" s="78">
        <f t="shared" si="192"/>
        <v>5131.7657916666667</v>
      </c>
      <c r="L221" s="78">
        <f t="shared" si="192"/>
        <v>2680.0913333333333</v>
      </c>
      <c r="M221" s="78">
        <f t="shared" si="192"/>
        <v>3883.0868749999995</v>
      </c>
      <c r="N221" s="78">
        <f t="shared" si="192"/>
        <v>19750.445791666665</v>
      </c>
      <c r="O221" s="78">
        <f t="shared" si="192"/>
        <v>2756.2302916666667</v>
      </c>
      <c r="P221" s="78">
        <f t="shared" ref="P221" si="193">$C220*P220</f>
        <v>0</v>
      </c>
      <c r="Q221" s="78">
        <f t="shared" ref="Q221" si="194">$C220*Q220</f>
        <v>5969.2943333333324</v>
      </c>
      <c r="R221" s="78">
        <f t="shared" ref="R221:AB221" si="195">$C220*R220</f>
        <v>2969.4193749999999</v>
      </c>
      <c r="S221" s="78">
        <f t="shared" si="195"/>
        <v>365.46699999999993</v>
      </c>
      <c r="T221" s="78">
        <f t="shared" si="195"/>
        <v>8207.7797083333335</v>
      </c>
      <c r="U221" s="78">
        <f t="shared" si="195"/>
        <v>2801.9136666666664</v>
      </c>
      <c r="V221" s="78">
        <f t="shared" si="195"/>
        <v>5649.5107083333332</v>
      </c>
      <c r="W221" s="78">
        <f t="shared" si="195"/>
        <v>7278.8844166666668</v>
      </c>
      <c r="X221" s="78">
        <f t="shared" si="195"/>
        <v>9745.7866666666669</v>
      </c>
      <c r="Y221" s="78">
        <f t="shared" si="195"/>
        <v>411.150375</v>
      </c>
      <c r="Z221" s="78">
        <f t="shared" si="195"/>
        <v>0</v>
      </c>
      <c r="AA221" s="78">
        <f t="shared" si="195"/>
        <v>106.59454166666666</v>
      </c>
      <c r="AB221" s="78">
        <f t="shared" si="195"/>
        <v>0</v>
      </c>
      <c r="AC221" s="32"/>
      <c r="AD221" s="30"/>
    </row>
    <row r="222" spans="1:30" s="27" customFormat="1">
      <c r="A222" s="125" t="s">
        <v>107</v>
      </c>
      <c r="B222" s="93">
        <f>3654670/2</f>
        <v>1827335</v>
      </c>
      <c r="C222" s="89">
        <f>B222/12</f>
        <v>152277.91666666666</v>
      </c>
      <c r="D222" s="75"/>
      <c r="E222" s="75"/>
      <c r="F222" s="75"/>
      <c r="G222" s="75"/>
      <c r="H222" s="120">
        <v>0</v>
      </c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120">
        <v>1</v>
      </c>
      <c r="X222" s="120"/>
      <c r="Y222" s="75"/>
      <c r="Z222" s="75"/>
      <c r="AA222" s="75"/>
      <c r="AB222" s="75"/>
      <c r="AC222" s="32"/>
      <c r="AD222" s="30"/>
    </row>
    <row r="223" spans="1:30" s="27" customFormat="1">
      <c r="A223" s="76"/>
      <c r="B223" s="77"/>
      <c r="C223" s="87"/>
      <c r="D223" s="78">
        <f t="shared" ref="D223" si="196">$C222*D222</f>
        <v>0</v>
      </c>
      <c r="E223" s="78">
        <f t="shared" ref="E223" si="197">$C222*E222</f>
        <v>0</v>
      </c>
      <c r="F223" s="78">
        <f t="shared" ref="F223:O223" si="198">$C222*F222</f>
        <v>0</v>
      </c>
      <c r="G223" s="78">
        <f t="shared" si="198"/>
        <v>0</v>
      </c>
      <c r="H223" s="78">
        <f t="shared" si="198"/>
        <v>0</v>
      </c>
      <c r="I223" s="78">
        <f t="shared" si="198"/>
        <v>0</v>
      </c>
      <c r="J223" s="78">
        <f t="shared" si="198"/>
        <v>0</v>
      </c>
      <c r="K223" s="78">
        <f t="shared" si="198"/>
        <v>0</v>
      </c>
      <c r="L223" s="78">
        <f t="shared" si="198"/>
        <v>0</v>
      </c>
      <c r="M223" s="78">
        <f t="shared" si="198"/>
        <v>0</v>
      </c>
      <c r="N223" s="78">
        <f t="shared" si="198"/>
        <v>0</v>
      </c>
      <c r="O223" s="78">
        <f t="shared" si="198"/>
        <v>0</v>
      </c>
      <c r="P223" s="78">
        <f t="shared" ref="P223" si="199">$C222*P222</f>
        <v>0</v>
      </c>
      <c r="Q223" s="78">
        <f t="shared" ref="Q223" si="200">$C222*Q222</f>
        <v>0</v>
      </c>
      <c r="R223" s="78">
        <f t="shared" ref="R223:AB223" si="201">$C222*R222</f>
        <v>0</v>
      </c>
      <c r="S223" s="78">
        <f t="shared" si="201"/>
        <v>0</v>
      </c>
      <c r="T223" s="78">
        <f t="shared" si="201"/>
        <v>0</v>
      </c>
      <c r="U223" s="78">
        <f t="shared" si="201"/>
        <v>0</v>
      </c>
      <c r="V223" s="78">
        <f t="shared" si="201"/>
        <v>0</v>
      </c>
      <c r="W223" s="78">
        <f t="shared" si="201"/>
        <v>152277.91666666666</v>
      </c>
      <c r="X223" s="78">
        <f t="shared" si="201"/>
        <v>0</v>
      </c>
      <c r="Y223" s="78">
        <f t="shared" si="201"/>
        <v>0</v>
      </c>
      <c r="Z223" s="78">
        <f t="shared" si="201"/>
        <v>0</v>
      </c>
      <c r="AA223" s="78">
        <f t="shared" si="201"/>
        <v>0</v>
      </c>
      <c r="AB223" s="78">
        <f t="shared" si="201"/>
        <v>0</v>
      </c>
      <c r="AC223" s="32"/>
      <c r="AD223" s="30"/>
    </row>
    <row r="224" spans="1:30" s="28" customFormat="1">
      <c r="A224" s="104" t="s">
        <v>40</v>
      </c>
      <c r="B224" s="4">
        <f>SUM(B208:B223)</f>
        <v>3675074.1799999997</v>
      </c>
      <c r="C224" s="60">
        <f>SUM(C208:C223)</f>
        <v>306256.18166666664</v>
      </c>
      <c r="D224" s="4">
        <f>D209+D211+D213+D215+D217+D219+D221+D223</f>
        <v>2613.1255775</v>
      </c>
      <c r="E224" s="4">
        <f t="shared" ref="E224:AB224" si="202">E209+E211+E213+E215+E217+E219+E221+E223</f>
        <v>21346.055862166664</v>
      </c>
      <c r="F224" s="4">
        <f t="shared" si="202"/>
        <v>8636.4243229999993</v>
      </c>
      <c r="G224" s="4">
        <f t="shared" si="202"/>
        <v>12280.87288483333</v>
      </c>
      <c r="H224" s="4">
        <f t="shared" si="202"/>
        <v>6384.6253923333325</v>
      </c>
      <c r="I224" s="4">
        <f t="shared" si="202"/>
        <v>20611.041026166666</v>
      </c>
      <c r="J224" s="4">
        <f t="shared" si="202"/>
        <v>3246.3155256666664</v>
      </c>
      <c r="K224" s="4">
        <f t="shared" si="202"/>
        <v>5160.4166610833336</v>
      </c>
      <c r="L224" s="4">
        <f t="shared" si="202"/>
        <v>2695.0543986666667</v>
      </c>
      <c r="M224" s="4">
        <f t="shared" si="202"/>
        <v>3927.4213159166661</v>
      </c>
      <c r="N224" s="4">
        <f t="shared" si="202"/>
        <v>19860.713381083333</v>
      </c>
      <c r="O224" s="4">
        <f t="shared" si="202"/>
        <v>2771.6184440833335</v>
      </c>
      <c r="P224" s="4">
        <f t="shared" si="202"/>
        <v>0</v>
      </c>
      <c r="Q224" s="4">
        <f t="shared" si="202"/>
        <v>6185.905834166666</v>
      </c>
      <c r="R224" s="4">
        <f t="shared" si="202"/>
        <v>3031.4232462499999</v>
      </c>
      <c r="S224" s="4">
        <f t="shared" si="202"/>
        <v>384.72491799999995</v>
      </c>
      <c r="T224" s="4">
        <f t="shared" si="202"/>
        <v>8495.8875038333335</v>
      </c>
      <c r="U224" s="4">
        <f t="shared" si="202"/>
        <v>2817.5568713333332</v>
      </c>
      <c r="V224" s="4">
        <f t="shared" si="202"/>
        <v>5681.0521699166666</v>
      </c>
      <c r="W224" s="4">
        <f t="shared" si="202"/>
        <v>159597.43940849998</v>
      </c>
      <c r="X224" s="4">
        <f t="shared" si="202"/>
        <v>10000.131888333333</v>
      </c>
      <c r="Y224" s="4">
        <f t="shared" si="202"/>
        <v>421.18537025000001</v>
      </c>
      <c r="Z224" s="4">
        <f t="shared" si="202"/>
        <v>0</v>
      </c>
      <c r="AA224" s="4">
        <f t="shared" si="202"/>
        <v>107.18966358333333</v>
      </c>
      <c r="AB224" s="4">
        <f t="shared" si="202"/>
        <v>0</v>
      </c>
      <c r="AC224" s="32"/>
      <c r="AD224" s="30"/>
    </row>
    <row r="225" spans="1:30" s="27" customFormat="1">
      <c r="A225" s="106" t="s">
        <v>135</v>
      </c>
      <c r="B225" s="127"/>
      <c r="C225" s="128"/>
      <c r="D225" s="128"/>
      <c r="E225" s="128"/>
      <c r="F225" s="128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32"/>
      <c r="AD225" s="30"/>
    </row>
    <row r="226" spans="1:30" s="27" customFormat="1" ht="13.8" thickBot="1">
      <c r="A226" s="67"/>
      <c r="B226" s="65"/>
      <c r="C226" s="66"/>
      <c r="D226" s="66"/>
      <c r="E226" s="66"/>
      <c r="F226" s="66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32"/>
      <c r="AD226" s="30"/>
    </row>
    <row r="227" spans="1:30" s="27" customFormat="1" ht="13.8" thickBot="1">
      <c r="A227" s="40" t="s">
        <v>1</v>
      </c>
      <c r="B227" s="41" t="s">
        <v>2</v>
      </c>
      <c r="C227" s="58" t="s">
        <v>3</v>
      </c>
      <c r="D227" s="137" t="s">
        <v>4</v>
      </c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50"/>
      <c r="AA227" s="50"/>
      <c r="AB227" s="50"/>
      <c r="AC227" s="32"/>
      <c r="AD227" s="30"/>
    </row>
    <row r="228" spans="1:30" s="27" customFormat="1">
      <c r="A228" s="42" t="s">
        <v>5</v>
      </c>
      <c r="B228" s="43" t="s">
        <v>6</v>
      </c>
      <c r="C228" s="59" t="s">
        <v>6</v>
      </c>
      <c r="D228" s="44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6"/>
      <c r="Z228" s="43" t="s">
        <v>7</v>
      </c>
      <c r="AA228" s="43"/>
      <c r="AB228" s="43"/>
      <c r="AC228" s="32"/>
      <c r="AD228" s="30"/>
    </row>
    <row r="229" spans="1:30" s="27" customFormat="1">
      <c r="A229" s="42" t="s">
        <v>8</v>
      </c>
      <c r="B229" s="43" t="s">
        <v>9</v>
      </c>
      <c r="C229" s="59" t="s">
        <v>9</v>
      </c>
      <c r="D229" s="47" t="s">
        <v>10</v>
      </c>
      <c r="E229" s="43" t="s">
        <v>11</v>
      </c>
      <c r="F229" s="43" t="s">
        <v>12</v>
      </c>
      <c r="G229" s="43" t="s">
        <v>13</v>
      </c>
      <c r="H229" s="43" t="s">
        <v>14</v>
      </c>
      <c r="I229" s="43" t="s">
        <v>15</v>
      </c>
      <c r="J229" s="43" t="s">
        <v>16</v>
      </c>
      <c r="K229" s="43" t="s">
        <v>17</v>
      </c>
      <c r="L229" s="43" t="s">
        <v>18</v>
      </c>
      <c r="M229" s="43" t="s">
        <v>19</v>
      </c>
      <c r="N229" s="43" t="s">
        <v>20</v>
      </c>
      <c r="O229" s="43" t="s">
        <v>57</v>
      </c>
      <c r="P229" s="43" t="s">
        <v>21</v>
      </c>
      <c r="Q229" s="43" t="s">
        <v>22</v>
      </c>
      <c r="R229" s="43" t="s">
        <v>23</v>
      </c>
      <c r="S229" s="43" t="s">
        <v>24</v>
      </c>
      <c r="T229" s="43" t="s">
        <v>25</v>
      </c>
      <c r="U229" s="43" t="s">
        <v>26</v>
      </c>
      <c r="V229" s="43" t="s">
        <v>27</v>
      </c>
      <c r="W229" s="43" t="s">
        <v>28</v>
      </c>
      <c r="X229" s="43" t="s">
        <v>29</v>
      </c>
      <c r="Y229" s="43" t="s">
        <v>30</v>
      </c>
      <c r="Z229" s="43" t="s">
        <v>31</v>
      </c>
      <c r="AA229" s="43" t="s">
        <v>115</v>
      </c>
      <c r="AB229" s="43" t="s">
        <v>113</v>
      </c>
      <c r="AC229" s="32"/>
      <c r="AD229" s="30"/>
    </row>
    <row r="230" spans="1:30" s="27" customFormat="1">
      <c r="A230" s="42"/>
      <c r="B230" s="43"/>
      <c r="C230" s="132" t="s">
        <v>132</v>
      </c>
      <c r="D230" s="48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32"/>
      <c r="AD230" s="30"/>
    </row>
    <row r="231" spans="1:30" s="28" customFormat="1" ht="13.35" customHeight="1">
      <c r="A231" s="71" t="s">
        <v>53</v>
      </c>
      <c r="B231" s="93">
        <f>6974/2</f>
        <v>3487</v>
      </c>
      <c r="C231" s="89">
        <f>B231/12</f>
        <v>290.58333333333331</v>
      </c>
      <c r="D231" s="74">
        <v>1.67E-2</v>
      </c>
      <c r="E231" s="74">
        <v>0.1394</v>
      </c>
      <c r="F231" s="74">
        <v>5.6399999999999999E-2</v>
      </c>
      <c r="G231" s="74">
        <v>8.0199999999999994E-2</v>
      </c>
      <c r="H231" s="74">
        <v>4.1200000000000001E-2</v>
      </c>
      <c r="I231" s="74">
        <v>0.1346</v>
      </c>
      <c r="J231" s="74">
        <v>2.12E-2</v>
      </c>
      <c r="K231" s="74">
        <v>3.3700000000000001E-2</v>
      </c>
      <c r="L231" s="74">
        <v>1.7600000000000001E-2</v>
      </c>
      <c r="M231" s="74">
        <v>2.5499999999999998E-2</v>
      </c>
      <c r="N231" s="74">
        <v>0.12970000000000001</v>
      </c>
      <c r="O231" s="74">
        <v>1.8100000000000002E-2</v>
      </c>
      <c r="P231" s="74">
        <v>0</v>
      </c>
      <c r="Q231" s="74">
        <v>3.9199999999999999E-2</v>
      </c>
      <c r="R231" s="74">
        <v>1.95E-2</v>
      </c>
      <c r="S231" s="74">
        <v>2.3999999999999998E-3</v>
      </c>
      <c r="T231" s="74">
        <v>5.3900000000000003E-2</v>
      </c>
      <c r="U231" s="74">
        <v>1.84E-2</v>
      </c>
      <c r="V231" s="74">
        <v>3.7100000000000001E-2</v>
      </c>
      <c r="W231" s="74">
        <v>4.7800000000000002E-2</v>
      </c>
      <c r="X231" s="74">
        <v>6.4000000000000001E-2</v>
      </c>
      <c r="Y231" s="74">
        <v>2.7000000000000001E-3</v>
      </c>
      <c r="Z231" s="75">
        <v>0</v>
      </c>
      <c r="AA231" s="75">
        <v>6.9999999999999999E-4</v>
      </c>
      <c r="AB231" s="75">
        <v>0</v>
      </c>
      <c r="AC231" s="32"/>
      <c r="AD231" s="30"/>
    </row>
    <row r="232" spans="1:30" s="28" customFormat="1" ht="13.35" customHeight="1">
      <c r="A232" s="76"/>
      <c r="B232" s="16"/>
      <c r="C232" s="84"/>
      <c r="D232" s="78">
        <f t="shared" ref="D232:AB232" si="203">$C231*D231</f>
        <v>4.8527416666666658</v>
      </c>
      <c r="E232" s="78">
        <f t="shared" si="203"/>
        <v>40.507316666666661</v>
      </c>
      <c r="F232" s="78">
        <f t="shared" si="203"/>
        <v>16.3889</v>
      </c>
      <c r="G232" s="78">
        <f t="shared" si="203"/>
        <v>23.304783333333329</v>
      </c>
      <c r="H232" s="78">
        <f t="shared" si="203"/>
        <v>11.972033333333332</v>
      </c>
      <c r="I232" s="78">
        <f t="shared" si="203"/>
        <v>39.112516666666664</v>
      </c>
      <c r="J232" s="78">
        <f t="shared" si="203"/>
        <v>6.1603666666666665</v>
      </c>
      <c r="K232" s="78">
        <f t="shared" si="203"/>
        <v>9.7926583333333337</v>
      </c>
      <c r="L232" s="78">
        <f t="shared" si="203"/>
        <v>5.1142666666666665</v>
      </c>
      <c r="M232" s="78">
        <f t="shared" si="203"/>
        <v>7.4098749999999987</v>
      </c>
      <c r="N232" s="78">
        <f t="shared" si="203"/>
        <v>37.688658333333336</v>
      </c>
      <c r="O232" s="78">
        <f t="shared" si="203"/>
        <v>5.2595583333333336</v>
      </c>
      <c r="P232" s="78">
        <f t="shared" si="203"/>
        <v>0</v>
      </c>
      <c r="Q232" s="78">
        <f t="shared" si="203"/>
        <v>11.390866666666666</v>
      </c>
      <c r="R232" s="78">
        <f t="shared" si="203"/>
        <v>5.6663749999999995</v>
      </c>
      <c r="S232" s="78">
        <f t="shared" si="203"/>
        <v>0.69739999999999991</v>
      </c>
      <c r="T232" s="78">
        <f t="shared" si="203"/>
        <v>15.662441666666666</v>
      </c>
      <c r="U232" s="78">
        <f t="shared" si="203"/>
        <v>5.3467333333333329</v>
      </c>
      <c r="V232" s="78">
        <f t="shared" si="203"/>
        <v>10.780641666666666</v>
      </c>
      <c r="W232" s="78">
        <f t="shared" si="203"/>
        <v>13.889883333333334</v>
      </c>
      <c r="X232" s="78">
        <f t="shared" si="203"/>
        <v>18.597333333333331</v>
      </c>
      <c r="Y232" s="78">
        <f t="shared" si="203"/>
        <v>0.78457500000000002</v>
      </c>
      <c r="Z232" s="78">
        <f t="shared" si="203"/>
        <v>0</v>
      </c>
      <c r="AA232" s="78">
        <f t="shared" si="203"/>
        <v>0.20340833333333333</v>
      </c>
      <c r="AB232" s="78">
        <f t="shared" si="203"/>
        <v>0</v>
      </c>
      <c r="AC232" s="32"/>
      <c r="AD232" s="30"/>
    </row>
    <row r="233" spans="1:30" s="27" customFormat="1">
      <c r="A233" s="125" t="s">
        <v>104</v>
      </c>
      <c r="B233" s="93">
        <f>6974/2</f>
        <v>3487</v>
      </c>
      <c r="C233" s="89">
        <f>B233/12</f>
        <v>290.58333333333331</v>
      </c>
      <c r="D233" s="120">
        <v>8.0299999999999996E-2</v>
      </c>
      <c r="E233" s="75"/>
      <c r="F233" s="75"/>
      <c r="G233" s="75"/>
      <c r="H233" s="75"/>
      <c r="I233" s="75"/>
      <c r="J233" s="75"/>
      <c r="K233" s="75"/>
      <c r="L233" s="75"/>
      <c r="M233" s="120">
        <v>8.4400000000000003E-2</v>
      </c>
      <c r="N233" s="75"/>
      <c r="O233" s="75"/>
      <c r="P233" s="75"/>
      <c r="Q233" s="120">
        <v>0.19980000000000001</v>
      </c>
      <c r="R233" s="75"/>
      <c r="S233" s="75"/>
      <c r="T233" s="120">
        <v>0.63549999999999995</v>
      </c>
      <c r="U233" s="75"/>
      <c r="V233" s="75"/>
      <c r="W233" s="75"/>
      <c r="X233" s="75"/>
      <c r="Y233" s="75"/>
      <c r="Z233" s="75"/>
      <c r="AA233" s="75"/>
      <c r="AB233" s="75"/>
      <c r="AC233" s="32"/>
      <c r="AD233" s="30"/>
    </row>
    <row r="234" spans="1:30" s="27" customFormat="1">
      <c r="A234" s="76"/>
      <c r="B234" s="77"/>
      <c r="C234" s="87"/>
      <c r="D234" s="78">
        <f t="shared" ref="D234:AB234" si="204">$C233*D233</f>
        <v>23.333841666666665</v>
      </c>
      <c r="E234" s="78">
        <f t="shared" si="204"/>
        <v>0</v>
      </c>
      <c r="F234" s="78">
        <f t="shared" si="204"/>
        <v>0</v>
      </c>
      <c r="G234" s="78">
        <f t="shared" si="204"/>
        <v>0</v>
      </c>
      <c r="H234" s="78">
        <f t="shared" si="204"/>
        <v>0</v>
      </c>
      <c r="I234" s="78">
        <f t="shared" si="204"/>
        <v>0</v>
      </c>
      <c r="J234" s="78">
        <f t="shared" si="204"/>
        <v>0</v>
      </c>
      <c r="K234" s="78">
        <f t="shared" si="204"/>
        <v>0</v>
      </c>
      <c r="L234" s="78">
        <f t="shared" si="204"/>
        <v>0</v>
      </c>
      <c r="M234" s="78">
        <f t="shared" si="204"/>
        <v>24.525233333333333</v>
      </c>
      <c r="N234" s="78">
        <f t="shared" si="204"/>
        <v>0</v>
      </c>
      <c r="O234" s="78">
        <f t="shared" si="204"/>
        <v>0</v>
      </c>
      <c r="P234" s="78">
        <f t="shared" si="204"/>
        <v>0</v>
      </c>
      <c r="Q234" s="78">
        <f t="shared" si="204"/>
        <v>58.058549999999997</v>
      </c>
      <c r="R234" s="78">
        <f t="shared" si="204"/>
        <v>0</v>
      </c>
      <c r="S234" s="78">
        <f t="shared" si="204"/>
        <v>0</v>
      </c>
      <c r="T234" s="78">
        <f t="shared" si="204"/>
        <v>184.6657083333333</v>
      </c>
      <c r="U234" s="78">
        <f t="shared" si="204"/>
        <v>0</v>
      </c>
      <c r="V234" s="78">
        <f t="shared" si="204"/>
        <v>0</v>
      </c>
      <c r="W234" s="78">
        <f t="shared" si="204"/>
        <v>0</v>
      </c>
      <c r="X234" s="78">
        <f t="shared" si="204"/>
        <v>0</v>
      </c>
      <c r="Y234" s="78">
        <f t="shared" si="204"/>
        <v>0</v>
      </c>
      <c r="Z234" s="78">
        <f t="shared" si="204"/>
        <v>0</v>
      </c>
      <c r="AA234" s="78">
        <f t="shared" si="204"/>
        <v>0</v>
      </c>
      <c r="AB234" s="78">
        <f t="shared" si="204"/>
        <v>0</v>
      </c>
      <c r="AC234" s="32"/>
      <c r="AD234" s="30"/>
    </row>
    <row r="235" spans="1:30" s="28" customFormat="1" ht="13.35" customHeight="1">
      <c r="A235" s="71" t="s">
        <v>54</v>
      </c>
      <c r="B235" s="93">
        <f>5001/2</f>
        <v>2500.5</v>
      </c>
      <c r="C235" s="89">
        <f>B235/12</f>
        <v>208.375</v>
      </c>
      <c r="D235" s="74">
        <v>1.67E-2</v>
      </c>
      <c r="E235" s="74">
        <v>0.1394</v>
      </c>
      <c r="F235" s="74">
        <v>5.6399999999999999E-2</v>
      </c>
      <c r="G235" s="74">
        <v>8.0199999999999994E-2</v>
      </c>
      <c r="H235" s="74">
        <v>4.1200000000000001E-2</v>
      </c>
      <c r="I235" s="74">
        <v>0.1346</v>
      </c>
      <c r="J235" s="74">
        <v>2.12E-2</v>
      </c>
      <c r="K235" s="74">
        <v>3.3700000000000001E-2</v>
      </c>
      <c r="L235" s="74">
        <v>1.7600000000000001E-2</v>
      </c>
      <c r="M235" s="74">
        <v>2.5499999999999998E-2</v>
      </c>
      <c r="N235" s="74">
        <v>0.12970000000000001</v>
      </c>
      <c r="O235" s="74">
        <v>1.8100000000000002E-2</v>
      </c>
      <c r="P235" s="74">
        <v>0</v>
      </c>
      <c r="Q235" s="74">
        <v>3.9199999999999999E-2</v>
      </c>
      <c r="R235" s="74">
        <v>1.95E-2</v>
      </c>
      <c r="S235" s="74">
        <v>2.3999999999999998E-3</v>
      </c>
      <c r="T235" s="74">
        <v>5.3900000000000003E-2</v>
      </c>
      <c r="U235" s="74">
        <v>1.84E-2</v>
      </c>
      <c r="V235" s="74">
        <v>3.7100000000000001E-2</v>
      </c>
      <c r="W235" s="74">
        <v>4.7800000000000002E-2</v>
      </c>
      <c r="X235" s="74">
        <v>6.4000000000000001E-2</v>
      </c>
      <c r="Y235" s="74">
        <v>2.7000000000000001E-3</v>
      </c>
      <c r="Z235" s="75">
        <v>0</v>
      </c>
      <c r="AA235" s="75">
        <v>6.9999999999999999E-4</v>
      </c>
      <c r="AB235" s="75">
        <v>0</v>
      </c>
      <c r="AC235" s="32"/>
      <c r="AD235" s="30"/>
    </row>
    <row r="236" spans="1:30" s="28" customFormat="1" ht="13.35" customHeight="1">
      <c r="A236" s="76"/>
      <c r="B236" s="16"/>
      <c r="C236" s="84"/>
      <c r="D236" s="78">
        <f t="shared" ref="D236:AB236" si="205">$C235*D235</f>
        <v>3.4798624999999999</v>
      </c>
      <c r="E236" s="78">
        <f t="shared" si="205"/>
        <v>29.047474999999999</v>
      </c>
      <c r="F236" s="78">
        <f t="shared" si="205"/>
        <v>11.75235</v>
      </c>
      <c r="G236" s="78">
        <f t="shared" si="205"/>
        <v>16.711675</v>
      </c>
      <c r="H236" s="78">
        <f t="shared" si="205"/>
        <v>8.5850500000000007</v>
      </c>
      <c r="I236" s="78">
        <f t="shared" si="205"/>
        <v>28.047274999999999</v>
      </c>
      <c r="J236" s="78">
        <f t="shared" si="205"/>
        <v>4.4175500000000003</v>
      </c>
      <c r="K236" s="78">
        <f t="shared" si="205"/>
        <v>7.0222375000000001</v>
      </c>
      <c r="L236" s="78">
        <f t="shared" si="205"/>
        <v>3.6674000000000002</v>
      </c>
      <c r="M236" s="78">
        <f t="shared" si="205"/>
        <v>5.3135624999999997</v>
      </c>
      <c r="N236" s="78">
        <f t="shared" si="205"/>
        <v>27.026237500000001</v>
      </c>
      <c r="O236" s="78">
        <f t="shared" si="205"/>
        <v>3.7715875000000003</v>
      </c>
      <c r="P236" s="78">
        <f t="shared" si="205"/>
        <v>0</v>
      </c>
      <c r="Q236" s="78">
        <f t="shared" si="205"/>
        <v>8.1683000000000003</v>
      </c>
      <c r="R236" s="78">
        <f t="shared" si="205"/>
        <v>4.0633125000000003</v>
      </c>
      <c r="S236" s="78">
        <f t="shared" si="205"/>
        <v>0.50009999999999999</v>
      </c>
      <c r="T236" s="78">
        <f t="shared" si="205"/>
        <v>11.231412500000001</v>
      </c>
      <c r="U236" s="78">
        <f t="shared" si="205"/>
        <v>3.8340999999999998</v>
      </c>
      <c r="V236" s="78">
        <f t="shared" si="205"/>
        <v>7.7307125000000001</v>
      </c>
      <c r="W236" s="78">
        <f t="shared" si="205"/>
        <v>9.960325000000001</v>
      </c>
      <c r="X236" s="78">
        <f t="shared" si="205"/>
        <v>13.336</v>
      </c>
      <c r="Y236" s="78">
        <f t="shared" si="205"/>
        <v>0.56261250000000007</v>
      </c>
      <c r="Z236" s="78">
        <f t="shared" si="205"/>
        <v>0</v>
      </c>
      <c r="AA236" s="78">
        <f t="shared" si="205"/>
        <v>0.14586250000000001</v>
      </c>
      <c r="AB236" s="78">
        <f t="shared" si="205"/>
        <v>0</v>
      </c>
      <c r="AC236" s="32"/>
      <c r="AD236" s="30"/>
    </row>
    <row r="237" spans="1:30" s="27" customFormat="1">
      <c r="A237" s="125" t="s">
        <v>105</v>
      </c>
      <c r="B237" s="93">
        <f>5001/2</f>
        <v>2500.5</v>
      </c>
      <c r="C237" s="89">
        <f>B237/12</f>
        <v>208.375</v>
      </c>
      <c r="D237" s="120">
        <v>7.3200000000000001E-2</v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120">
        <v>0.3049</v>
      </c>
      <c r="R237" s="75"/>
      <c r="S237" s="120">
        <v>4.9000000000000002E-2</v>
      </c>
      <c r="T237" s="75"/>
      <c r="U237" s="75"/>
      <c r="V237" s="75"/>
      <c r="W237" s="75"/>
      <c r="X237" s="120">
        <v>0.55149999999999999</v>
      </c>
      <c r="Y237" s="120">
        <v>2.1399999999999999E-2</v>
      </c>
      <c r="Z237" s="75"/>
      <c r="AA237" s="75"/>
      <c r="AB237" s="75"/>
      <c r="AC237" s="32"/>
      <c r="AD237" s="30"/>
    </row>
    <row r="238" spans="1:30" s="27" customFormat="1">
      <c r="A238" s="76"/>
      <c r="B238" s="77"/>
      <c r="C238" s="87"/>
      <c r="D238" s="78">
        <f t="shared" ref="D238:AB238" si="206">$C237*D237</f>
        <v>15.25305</v>
      </c>
      <c r="E238" s="78">
        <f t="shared" si="206"/>
        <v>0</v>
      </c>
      <c r="F238" s="78">
        <f t="shared" si="206"/>
        <v>0</v>
      </c>
      <c r="G238" s="78">
        <f t="shared" si="206"/>
        <v>0</v>
      </c>
      <c r="H238" s="78">
        <f t="shared" si="206"/>
        <v>0</v>
      </c>
      <c r="I238" s="78">
        <f t="shared" si="206"/>
        <v>0</v>
      </c>
      <c r="J238" s="78">
        <f t="shared" si="206"/>
        <v>0</v>
      </c>
      <c r="K238" s="78">
        <f t="shared" si="206"/>
        <v>0</v>
      </c>
      <c r="L238" s="78">
        <f t="shared" si="206"/>
        <v>0</v>
      </c>
      <c r="M238" s="78">
        <f t="shared" si="206"/>
        <v>0</v>
      </c>
      <c r="N238" s="78">
        <f t="shared" si="206"/>
        <v>0</v>
      </c>
      <c r="O238" s="78">
        <f t="shared" si="206"/>
        <v>0</v>
      </c>
      <c r="P238" s="78">
        <f t="shared" si="206"/>
        <v>0</v>
      </c>
      <c r="Q238" s="78">
        <f t="shared" si="206"/>
        <v>63.533537500000001</v>
      </c>
      <c r="R238" s="78">
        <f t="shared" si="206"/>
        <v>0</v>
      </c>
      <c r="S238" s="78">
        <f t="shared" si="206"/>
        <v>10.210375000000001</v>
      </c>
      <c r="T238" s="78">
        <f t="shared" si="206"/>
        <v>0</v>
      </c>
      <c r="U238" s="78">
        <f t="shared" si="206"/>
        <v>0</v>
      </c>
      <c r="V238" s="78">
        <f t="shared" si="206"/>
        <v>0</v>
      </c>
      <c r="W238" s="78">
        <f t="shared" si="206"/>
        <v>0</v>
      </c>
      <c r="X238" s="78">
        <f t="shared" si="206"/>
        <v>114.9188125</v>
      </c>
      <c r="Y238" s="78">
        <f t="shared" si="206"/>
        <v>4.459225</v>
      </c>
      <c r="Z238" s="78">
        <f t="shared" si="206"/>
        <v>0</v>
      </c>
      <c r="AA238" s="78">
        <f t="shared" si="206"/>
        <v>0</v>
      </c>
      <c r="AB238" s="78">
        <f t="shared" si="206"/>
        <v>0</v>
      </c>
      <c r="AC238" s="32"/>
      <c r="AD238" s="30"/>
    </row>
    <row r="239" spans="1:30" s="28" customFormat="1" ht="13.35" customHeight="1">
      <c r="A239" s="71" t="s">
        <v>55</v>
      </c>
      <c r="B239" s="93">
        <f>10124/2</f>
        <v>5062</v>
      </c>
      <c r="C239" s="89">
        <f>B239/12</f>
        <v>421.83333333333331</v>
      </c>
      <c r="D239" s="74">
        <v>1.67E-2</v>
      </c>
      <c r="E239" s="74">
        <v>0.1394</v>
      </c>
      <c r="F239" s="74">
        <v>5.6399999999999999E-2</v>
      </c>
      <c r="G239" s="74">
        <v>8.0199999999999994E-2</v>
      </c>
      <c r="H239" s="74">
        <v>4.1200000000000001E-2</v>
      </c>
      <c r="I239" s="74">
        <v>0.1346</v>
      </c>
      <c r="J239" s="74">
        <v>2.12E-2</v>
      </c>
      <c r="K239" s="74">
        <v>3.3700000000000001E-2</v>
      </c>
      <c r="L239" s="74">
        <v>1.7600000000000001E-2</v>
      </c>
      <c r="M239" s="74">
        <v>2.5499999999999998E-2</v>
      </c>
      <c r="N239" s="74">
        <v>0.12970000000000001</v>
      </c>
      <c r="O239" s="74">
        <v>1.8100000000000002E-2</v>
      </c>
      <c r="P239" s="74">
        <v>0</v>
      </c>
      <c r="Q239" s="74">
        <v>3.9199999999999999E-2</v>
      </c>
      <c r="R239" s="74">
        <v>1.95E-2</v>
      </c>
      <c r="S239" s="74">
        <v>2.3999999999999998E-3</v>
      </c>
      <c r="T239" s="74">
        <v>5.3900000000000003E-2</v>
      </c>
      <c r="U239" s="74">
        <v>1.84E-2</v>
      </c>
      <c r="V239" s="74">
        <v>3.7100000000000001E-2</v>
      </c>
      <c r="W239" s="74">
        <v>4.7800000000000002E-2</v>
      </c>
      <c r="X239" s="74">
        <v>6.4000000000000001E-2</v>
      </c>
      <c r="Y239" s="74">
        <v>2.7000000000000001E-3</v>
      </c>
      <c r="Z239" s="75">
        <v>0</v>
      </c>
      <c r="AA239" s="75">
        <v>6.9999999999999999E-4</v>
      </c>
      <c r="AB239" s="75">
        <v>0</v>
      </c>
      <c r="AC239" s="32"/>
      <c r="AD239" s="30"/>
    </row>
    <row r="240" spans="1:30" s="28" customFormat="1" ht="13.35" customHeight="1">
      <c r="A240" s="76"/>
      <c r="B240" s="16"/>
      <c r="C240" s="84"/>
      <c r="D240" s="78">
        <f t="shared" ref="D240:AB240" si="207">$C239*D239</f>
        <v>7.0446166666666663</v>
      </c>
      <c r="E240" s="78">
        <f t="shared" si="207"/>
        <v>58.803566666666661</v>
      </c>
      <c r="F240" s="78">
        <f t="shared" si="207"/>
        <v>23.791399999999999</v>
      </c>
      <c r="G240" s="78">
        <f t="shared" si="207"/>
        <v>33.83103333333333</v>
      </c>
      <c r="H240" s="78">
        <f t="shared" si="207"/>
        <v>17.379533333333331</v>
      </c>
      <c r="I240" s="78">
        <f t="shared" si="207"/>
        <v>56.778766666666662</v>
      </c>
      <c r="J240" s="78">
        <f t="shared" si="207"/>
        <v>8.9428666666666672</v>
      </c>
      <c r="K240" s="78">
        <f t="shared" si="207"/>
        <v>14.215783333333333</v>
      </c>
      <c r="L240" s="78">
        <f t="shared" si="207"/>
        <v>7.424266666666667</v>
      </c>
      <c r="M240" s="78">
        <f t="shared" si="207"/>
        <v>10.756749999999998</v>
      </c>
      <c r="N240" s="78">
        <f t="shared" si="207"/>
        <v>54.711783333333337</v>
      </c>
      <c r="O240" s="78">
        <f t="shared" si="207"/>
        <v>7.6351833333333339</v>
      </c>
      <c r="P240" s="78">
        <f t="shared" si="207"/>
        <v>0</v>
      </c>
      <c r="Q240" s="78">
        <f t="shared" si="207"/>
        <v>16.535866666666667</v>
      </c>
      <c r="R240" s="78">
        <f t="shared" si="207"/>
        <v>8.2257499999999997</v>
      </c>
      <c r="S240" s="78">
        <f t="shared" si="207"/>
        <v>1.0124</v>
      </c>
      <c r="T240" s="78">
        <f t="shared" si="207"/>
        <v>22.736816666666666</v>
      </c>
      <c r="U240" s="78">
        <f t="shared" si="207"/>
        <v>7.7617333333333329</v>
      </c>
      <c r="V240" s="78">
        <f t="shared" si="207"/>
        <v>15.650016666666666</v>
      </c>
      <c r="W240" s="78">
        <f t="shared" si="207"/>
        <v>20.163633333333333</v>
      </c>
      <c r="X240" s="78">
        <f t="shared" si="207"/>
        <v>26.997333333333334</v>
      </c>
      <c r="Y240" s="78">
        <f t="shared" si="207"/>
        <v>1.1389499999999999</v>
      </c>
      <c r="Z240" s="78">
        <f t="shared" si="207"/>
        <v>0</v>
      </c>
      <c r="AA240" s="78">
        <f t="shared" si="207"/>
        <v>0.29528333333333334</v>
      </c>
      <c r="AB240" s="78">
        <f t="shared" si="207"/>
        <v>0</v>
      </c>
      <c r="AC240" s="32"/>
      <c r="AD240" s="30"/>
    </row>
    <row r="241" spans="1:30" s="27" customFormat="1">
      <c r="A241" s="125" t="s">
        <v>106</v>
      </c>
      <c r="B241" s="93">
        <f>10124/2</f>
        <v>5062</v>
      </c>
      <c r="C241" s="89">
        <f>B241/12</f>
        <v>421.83333333333331</v>
      </c>
      <c r="D241" s="120">
        <v>5.1999999999999998E-2</v>
      </c>
      <c r="E241" s="75"/>
      <c r="F241" s="75"/>
      <c r="G241" s="75"/>
      <c r="H241" s="120">
        <v>0.1946</v>
      </c>
      <c r="I241" s="75"/>
      <c r="J241" s="75"/>
      <c r="K241" s="75"/>
      <c r="L241" s="75"/>
      <c r="M241" s="75"/>
      <c r="N241" s="75"/>
      <c r="O241" s="75"/>
      <c r="P241" s="75"/>
      <c r="Q241" s="120">
        <v>0.18229999999999999</v>
      </c>
      <c r="R241" s="120">
        <v>0.1167</v>
      </c>
      <c r="S241" s="120">
        <v>0.02</v>
      </c>
      <c r="T241" s="120">
        <v>0.1842</v>
      </c>
      <c r="U241" s="75"/>
      <c r="V241" s="75"/>
      <c r="W241" s="75"/>
      <c r="X241" s="120">
        <v>0.2409</v>
      </c>
      <c r="Y241" s="120">
        <v>9.2999999999999992E-3</v>
      </c>
      <c r="Z241" s="75"/>
      <c r="AA241" s="75"/>
      <c r="AB241" s="75"/>
      <c r="AC241" s="32"/>
      <c r="AD241" s="30"/>
    </row>
    <row r="242" spans="1:30" s="27" customFormat="1">
      <c r="A242" s="76"/>
      <c r="B242" s="77"/>
      <c r="C242" s="87"/>
      <c r="D242" s="78">
        <f t="shared" ref="D242:AB242" si="208">$C241*D241</f>
        <v>21.935333333333332</v>
      </c>
      <c r="E242" s="78">
        <f t="shared" si="208"/>
        <v>0</v>
      </c>
      <c r="F242" s="78">
        <f t="shared" si="208"/>
        <v>0</v>
      </c>
      <c r="G242" s="78">
        <f t="shared" si="208"/>
        <v>0</v>
      </c>
      <c r="H242" s="78">
        <f t="shared" si="208"/>
        <v>82.088766666666658</v>
      </c>
      <c r="I242" s="78">
        <f t="shared" si="208"/>
        <v>0</v>
      </c>
      <c r="J242" s="78">
        <f t="shared" si="208"/>
        <v>0</v>
      </c>
      <c r="K242" s="78">
        <f t="shared" si="208"/>
        <v>0</v>
      </c>
      <c r="L242" s="78">
        <f t="shared" si="208"/>
        <v>0</v>
      </c>
      <c r="M242" s="78">
        <f t="shared" si="208"/>
        <v>0</v>
      </c>
      <c r="N242" s="78">
        <f t="shared" si="208"/>
        <v>0</v>
      </c>
      <c r="O242" s="78">
        <f t="shared" si="208"/>
        <v>0</v>
      </c>
      <c r="P242" s="78">
        <f t="shared" si="208"/>
        <v>0</v>
      </c>
      <c r="Q242" s="78">
        <f t="shared" si="208"/>
        <v>76.900216666666665</v>
      </c>
      <c r="R242" s="78">
        <f t="shared" si="208"/>
        <v>49.22795</v>
      </c>
      <c r="S242" s="78">
        <f t="shared" si="208"/>
        <v>8.4366666666666656</v>
      </c>
      <c r="T242" s="78">
        <f t="shared" si="208"/>
        <v>77.701700000000002</v>
      </c>
      <c r="U242" s="78">
        <f t="shared" si="208"/>
        <v>0</v>
      </c>
      <c r="V242" s="78">
        <f t="shared" si="208"/>
        <v>0</v>
      </c>
      <c r="W242" s="78">
        <f t="shared" si="208"/>
        <v>0</v>
      </c>
      <c r="X242" s="78">
        <f t="shared" si="208"/>
        <v>101.61964999999999</v>
      </c>
      <c r="Y242" s="78">
        <f t="shared" si="208"/>
        <v>3.9230499999999995</v>
      </c>
      <c r="Z242" s="78">
        <f t="shared" si="208"/>
        <v>0</v>
      </c>
      <c r="AA242" s="78">
        <f t="shared" si="208"/>
        <v>0</v>
      </c>
      <c r="AB242" s="78">
        <f t="shared" si="208"/>
        <v>0</v>
      </c>
      <c r="AC242" s="32"/>
      <c r="AD242" s="30"/>
    </row>
    <row r="243" spans="1:30" s="28" customFormat="1" ht="13.35" customHeight="1">
      <c r="A243" s="71" t="s">
        <v>78</v>
      </c>
      <c r="B243" s="93">
        <f>3999246/2</f>
        <v>1999623</v>
      </c>
      <c r="C243" s="89">
        <f>B243/12</f>
        <v>166635.25</v>
      </c>
      <c r="D243" s="74">
        <v>1.67E-2</v>
      </c>
      <c r="E243" s="74">
        <v>0.1394</v>
      </c>
      <c r="F243" s="74">
        <v>5.6399999999999999E-2</v>
      </c>
      <c r="G243" s="74">
        <v>8.0199999999999994E-2</v>
      </c>
      <c r="H243" s="74">
        <v>4.1200000000000001E-2</v>
      </c>
      <c r="I243" s="74">
        <v>0.1346</v>
      </c>
      <c r="J243" s="74">
        <v>2.12E-2</v>
      </c>
      <c r="K243" s="74">
        <v>3.3700000000000001E-2</v>
      </c>
      <c r="L243" s="74">
        <v>1.7600000000000001E-2</v>
      </c>
      <c r="M243" s="74">
        <v>2.5499999999999998E-2</v>
      </c>
      <c r="N243" s="74">
        <v>0.12970000000000001</v>
      </c>
      <c r="O243" s="74">
        <v>1.8100000000000002E-2</v>
      </c>
      <c r="P243" s="74">
        <v>0</v>
      </c>
      <c r="Q243" s="74">
        <v>3.9199999999999999E-2</v>
      </c>
      <c r="R243" s="74">
        <v>1.95E-2</v>
      </c>
      <c r="S243" s="74">
        <v>2.3999999999999998E-3</v>
      </c>
      <c r="T243" s="74">
        <v>5.3900000000000003E-2</v>
      </c>
      <c r="U243" s="74">
        <v>1.84E-2</v>
      </c>
      <c r="V243" s="74">
        <v>3.7100000000000001E-2</v>
      </c>
      <c r="W243" s="74">
        <v>4.7800000000000002E-2</v>
      </c>
      <c r="X243" s="74">
        <v>6.4000000000000001E-2</v>
      </c>
      <c r="Y243" s="74">
        <v>2.7000000000000001E-3</v>
      </c>
      <c r="Z243" s="75">
        <v>0</v>
      </c>
      <c r="AA243" s="75">
        <v>6.9999999999999999E-4</v>
      </c>
      <c r="AB243" s="75">
        <v>0</v>
      </c>
      <c r="AC243" s="32"/>
      <c r="AD243" s="30"/>
    </row>
    <row r="244" spans="1:30" s="28" customFormat="1" ht="13.35" customHeight="1">
      <c r="A244" s="76"/>
      <c r="B244" s="16"/>
      <c r="C244" s="84"/>
      <c r="D244" s="78">
        <f t="shared" ref="D244:AB244" si="209">$C243*D243</f>
        <v>2782.8086749999998</v>
      </c>
      <c r="E244" s="78">
        <f t="shared" si="209"/>
        <v>23228.953849999998</v>
      </c>
      <c r="F244" s="78">
        <f t="shared" si="209"/>
        <v>9398.2281000000003</v>
      </c>
      <c r="G244" s="78">
        <f t="shared" si="209"/>
        <v>13364.14705</v>
      </c>
      <c r="H244" s="78">
        <f t="shared" si="209"/>
        <v>6865.3723</v>
      </c>
      <c r="I244" s="78">
        <f t="shared" si="209"/>
        <v>22429.104650000001</v>
      </c>
      <c r="J244" s="78">
        <f t="shared" si="209"/>
        <v>3532.6673000000001</v>
      </c>
      <c r="K244" s="78">
        <f t="shared" si="209"/>
        <v>5615.6079250000003</v>
      </c>
      <c r="L244" s="78">
        <f t="shared" si="209"/>
        <v>2932.7804000000001</v>
      </c>
      <c r="M244" s="78">
        <f t="shared" si="209"/>
        <v>4249.198875</v>
      </c>
      <c r="N244" s="78">
        <f t="shared" si="209"/>
        <v>21612.591925000001</v>
      </c>
      <c r="O244" s="78">
        <f t="shared" si="209"/>
        <v>3016.0980250000002</v>
      </c>
      <c r="P244" s="78">
        <f t="shared" si="209"/>
        <v>0</v>
      </c>
      <c r="Q244" s="78">
        <f t="shared" si="209"/>
        <v>6532.1017999999995</v>
      </c>
      <c r="R244" s="78">
        <f t="shared" si="209"/>
        <v>3249.3873749999998</v>
      </c>
      <c r="S244" s="78">
        <f t="shared" si="209"/>
        <v>399.92459999999994</v>
      </c>
      <c r="T244" s="78">
        <f t="shared" si="209"/>
        <v>8981.639975</v>
      </c>
      <c r="U244" s="78">
        <f t="shared" si="209"/>
        <v>3066.0886</v>
      </c>
      <c r="V244" s="78">
        <f t="shared" si="209"/>
        <v>6182.1677749999999</v>
      </c>
      <c r="W244" s="78">
        <f t="shared" si="209"/>
        <v>7965.1649500000003</v>
      </c>
      <c r="X244" s="78">
        <f t="shared" si="209"/>
        <v>10664.656000000001</v>
      </c>
      <c r="Y244" s="78">
        <f t="shared" si="209"/>
        <v>449.91517500000003</v>
      </c>
      <c r="Z244" s="78">
        <f t="shared" si="209"/>
        <v>0</v>
      </c>
      <c r="AA244" s="78">
        <f t="shared" si="209"/>
        <v>116.64467499999999</v>
      </c>
      <c r="AB244" s="78">
        <f t="shared" si="209"/>
        <v>0</v>
      </c>
      <c r="AC244" s="32"/>
      <c r="AD244" s="30"/>
    </row>
    <row r="245" spans="1:30" s="27" customFormat="1">
      <c r="A245" s="125" t="s">
        <v>107</v>
      </c>
      <c r="B245" s="93">
        <f>3999246/2</f>
        <v>1999623</v>
      </c>
      <c r="C245" s="89">
        <f>B245/12</f>
        <v>166635.25</v>
      </c>
      <c r="D245" s="75"/>
      <c r="E245" s="75"/>
      <c r="F245" s="75"/>
      <c r="G245" s="75"/>
      <c r="H245" s="120">
        <v>0</v>
      </c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120">
        <v>1</v>
      </c>
      <c r="X245" s="120"/>
      <c r="Y245" s="75"/>
      <c r="Z245" s="75"/>
      <c r="AA245" s="75"/>
      <c r="AB245" s="75"/>
      <c r="AC245" s="32"/>
      <c r="AD245" s="30"/>
    </row>
    <row r="246" spans="1:30" s="27" customFormat="1">
      <c r="A246" s="76"/>
      <c r="B246" s="77"/>
      <c r="C246" s="87"/>
      <c r="D246" s="78">
        <f t="shared" ref="D246:AB246" si="210">$C245*D245</f>
        <v>0</v>
      </c>
      <c r="E246" s="78">
        <f t="shared" si="210"/>
        <v>0</v>
      </c>
      <c r="F246" s="78">
        <f t="shared" si="210"/>
        <v>0</v>
      </c>
      <c r="G246" s="78">
        <f t="shared" si="210"/>
        <v>0</v>
      </c>
      <c r="H246" s="78">
        <f t="shared" si="210"/>
        <v>0</v>
      </c>
      <c r="I246" s="78">
        <f t="shared" si="210"/>
        <v>0</v>
      </c>
      <c r="J246" s="78">
        <f t="shared" si="210"/>
        <v>0</v>
      </c>
      <c r="K246" s="78">
        <f t="shared" si="210"/>
        <v>0</v>
      </c>
      <c r="L246" s="78">
        <f t="shared" si="210"/>
        <v>0</v>
      </c>
      <c r="M246" s="78">
        <f t="shared" si="210"/>
        <v>0</v>
      </c>
      <c r="N246" s="78">
        <f t="shared" si="210"/>
        <v>0</v>
      </c>
      <c r="O246" s="78">
        <f t="shared" si="210"/>
        <v>0</v>
      </c>
      <c r="P246" s="78">
        <f t="shared" si="210"/>
        <v>0</v>
      </c>
      <c r="Q246" s="78">
        <f t="shared" si="210"/>
        <v>0</v>
      </c>
      <c r="R246" s="78">
        <f t="shared" si="210"/>
        <v>0</v>
      </c>
      <c r="S246" s="78">
        <f t="shared" si="210"/>
        <v>0</v>
      </c>
      <c r="T246" s="78">
        <f t="shared" si="210"/>
        <v>0</v>
      </c>
      <c r="U246" s="78">
        <f t="shared" si="210"/>
        <v>0</v>
      </c>
      <c r="V246" s="78">
        <f t="shared" si="210"/>
        <v>0</v>
      </c>
      <c r="W246" s="78">
        <f t="shared" si="210"/>
        <v>166635.25</v>
      </c>
      <c r="X246" s="78">
        <f t="shared" si="210"/>
        <v>0</v>
      </c>
      <c r="Y246" s="78">
        <f t="shared" si="210"/>
        <v>0</v>
      </c>
      <c r="Z246" s="78">
        <f t="shared" si="210"/>
        <v>0</v>
      </c>
      <c r="AA246" s="78">
        <f t="shared" si="210"/>
        <v>0</v>
      </c>
      <c r="AB246" s="78">
        <f t="shared" si="210"/>
        <v>0</v>
      </c>
      <c r="AC246" s="32"/>
      <c r="AD246" s="30"/>
    </row>
    <row r="247" spans="1:30" s="28" customFormat="1">
      <c r="A247" s="104" t="s">
        <v>40</v>
      </c>
      <c r="B247" s="4">
        <f>SUM(B231:B246)</f>
        <v>4021345</v>
      </c>
      <c r="C247" s="60">
        <f>SUM(C231:C246)</f>
        <v>335112.08333333337</v>
      </c>
      <c r="D247" s="4">
        <f>D232+D234+D236+D238+D240+D242+D244+D246</f>
        <v>2858.7081208333329</v>
      </c>
      <c r="E247" s="4">
        <f t="shared" ref="E247:AB247" si="211">E232+E234+E236+E238+E240+E242+E244+E246</f>
        <v>23357.312208333333</v>
      </c>
      <c r="F247" s="4">
        <f t="shared" si="211"/>
        <v>9450.1607500000009</v>
      </c>
      <c r="G247" s="4">
        <f t="shared" si="211"/>
        <v>13437.994541666667</v>
      </c>
      <c r="H247" s="4">
        <f t="shared" si="211"/>
        <v>6985.3976833333336</v>
      </c>
      <c r="I247" s="4">
        <f t="shared" si="211"/>
        <v>22553.043208333336</v>
      </c>
      <c r="J247" s="4">
        <f t="shared" si="211"/>
        <v>3552.1880833333335</v>
      </c>
      <c r="K247" s="4">
        <f t="shared" si="211"/>
        <v>5646.6386041666665</v>
      </c>
      <c r="L247" s="4">
        <f t="shared" si="211"/>
        <v>2948.9863333333333</v>
      </c>
      <c r="M247" s="4">
        <f t="shared" si="211"/>
        <v>4297.2042958333332</v>
      </c>
      <c r="N247" s="4">
        <f t="shared" si="211"/>
        <v>21732.018604166668</v>
      </c>
      <c r="O247" s="4">
        <f t="shared" si="211"/>
        <v>3032.7643541666671</v>
      </c>
      <c r="P247" s="4">
        <f t="shared" si="211"/>
        <v>0</v>
      </c>
      <c r="Q247" s="4">
        <f t="shared" si="211"/>
        <v>6766.6891374999996</v>
      </c>
      <c r="R247" s="4">
        <f t="shared" si="211"/>
        <v>3316.5707625</v>
      </c>
      <c r="S247" s="4">
        <f t="shared" si="211"/>
        <v>420.78154166666661</v>
      </c>
      <c r="T247" s="4">
        <f t="shared" si="211"/>
        <v>9293.6380541666658</v>
      </c>
      <c r="U247" s="4">
        <f t="shared" si="211"/>
        <v>3083.0311666666666</v>
      </c>
      <c r="V247" s="4">
        <f t="shared" si="211"/>
        <v>6216.3291458333333</v>
      </c>
      <c r="W247" s="4">
        <f t="shared" si="211"/>
        <v>174644.42879166667</v>
      </c>
      <c r="X247" s="4">
        <f t="shared" si="211"/>
        <v>10940.125129166667</v>
      </c>
      <c r="Y247" s="4">
        <f t="shared" si="211"/>
        <v>460.78358750000001</v>
      </c>
      <c r="Z247" s="4">
        <f t="shared" si="211"/>
        <v>0</v>
      </c>
      <c r="AA247" s="4">
        <f t="shared" si="211"/>
        <v>117.28922916666666</v>
      </c>
      <c r="AB247" s="4">
        <f t="shared" si="211"/>
        <v>0</v>
      </c>
      <c r="AC247" s="32"/>
      <c r="AD247" s="30"/>
    </row>
    <row r="248" spans="1:30" s="28" customFormat="1">
      <c r="A248" s="104"/>
      <c r="B248" s="4"/>
      <c r="C248" s="60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32"/>
      <c r="AD248" s="30"/>
    </row>
    <row r="249" spans="1:30" s="28" customFormat="1">
      <c r="A249" s="104"/>
      <c r="B249" s="4"/>
      <c r="C249" s="60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32"/>
      <c r="AD249" s="30"/>
    </row>
    <row r="250" spans="1:30" s="27" customFormat="1">
      <c r="A250" s="37"/>
      <c r="B250" s="10"/>
      <c r="C250" s="6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32"/>
      <c r="AD250" s="30"/>
    </row>
    <row r="251" spans="1:30" s="27" customFormat="1" ht="13.8" thickBot="1">
      <c r="A251" s="36" t="s">
        <v>116</v>
      </c>
      <c r="B251" s="54"/>
      <c r="C251" s="57"/>
      <c r="D251" s="54"/>
      <c r="E251" s="54"/>
      <c r="F251" s="54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32"/>
      <c r="AD251" s="30"/>
    </row>
    <row r="252" spans="1:30" s="27" customFormat="1" ht="13.8" thickBot="1">
      <c r="A252" s="40" t="s">
        <v>1</v>
      </c>
      <c r="B252" s="41" t="s">
        <v>2</v>
      </c>
      <c r="C252" s="58" t="s">
        <v>3</v>
      </c>
      <c r="D252" s="137" t="s">
        <v>4</v>
      </c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50"/>
      <c r="AA252" s="50"/>
      <c r="AB252" s="50"/>
      <c r="AC252" s="32"/>
      <c r="AD252" s="30"/>
    </row>
    <row r="253" spans="1:30" s="27" customFormat="1">
      <c r="A253" s="42" t="s">
        <v>5</v>
      </c>
      <c r="B253" s="43" t="s">
        <v>6</v>
      </c>
      <c r="C253" s="59" t="s">
        <v>6</v>
      </c>
      <c r="D253" s="44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6"/>
      <c r="Z253" s="43" t="s">
        <v>7</v>
      </c>
      <c r="AA253" s="43"/>
      <c r="AB253" s="43"/>
      <c r="AC253" s="32"/>
      <c r="AD253" s="30"/>
    </row>
    <row r="254" spans="1:30" s="27" customFormat="1">
      <c r="A254" s="42" t="s">
        <v>8</v>
      </c>
      <c r="B254" s="43" t="s">
        <v>9</v>
      </c>
      <c r="C254" s="59" t="s">
        <v>9</v>
      </c>
      <c r="D254" s="47" t="s">
        <v>10</v>
      </c>
      <c r="E254" s="43" t="s">
        <v>11</v>
      </c>
      <c r="F254" s="43" t="s">
        <v>12</v>
      </c>
      <c r="G254" s="43" t="s">
        <v>13</v>
      </c>
      <c r="H254" s="43" t="s">
        <v>14</v>
      </c>
      <c r="I254" s="43" t="s">
        <v>15</v>
      </c>
      <c r="J254" s="43" t="s">
        <v>16</v>
      </c>
      <c r="K254" s="43" t="s">
        <v>17</v>
      </c>
      <c r="L254" s="43" t="s">
        <v>18</v>
      </c>
      <c r="M254" s="43" t="s">
        <v>19</v>
      </c>
      <c r="N254" s="43" t="s">
        <v>20</v>
      </c>
      <c r="O254" s="43" t="s">
        <v>57</v>
      </c>
      <c r="P254" s="43" t="s">
        <v>21</v>
      </c>
      <c r="Q254" s="43" t="s">
        <v>22</v>
      </c>
      <c r="R254" s="43" t="s">
        <v>23</v>
      </c>
      <c r="S254" s="43" t="s">
        <v>24</v>
      </c>
      <c r="T254" s="43" t="s">
        <v>25</v>
      </c>
      <c r="U254" s="43" t="s">
        <v>26</v>
      </c>
      <c r="V254" s="43" t="s">
        <v>27</v>
      </c>
      <c r="W254" s="43" t="s">
        <v>28</v>
      </c>
      <c r="X254" s="43" t="s">
        <v>29</v>
      </c>
      <c r="Y254" s="43" t="s">
        <v>30</v>
      </c>
      <c r="Z254" s="43" t="s">
        <v>31</v>
      </c>
      <c r="AA254" s="43" t="s">
        <v>115</v>
      </c>
      <c r="AB254" s="43" t="s">
        <v>113</v>
      </c>
      <c r="AC254" s="32"/>
      <c r="AD254" s="30"/>
    </row>
    <row r="255" spans="1:30" s="27" customFormat="1">
      <c r="A255" s="42"/>
      <c r="B255" s="43"/>
      <c r="C255" s="132" t="s">
        <v>134</v>
      </c>
      <c r="D255" s="48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32"/>
      <c r="AD255" s="30"/>
    </row>
    <row r="256" spans="1:30" s="27" customFormat="1">
      <c r="A256" s="71" t="s">
        <v>66</v>
      </c>
      <c r="B256" s="93">
        <v>198269</v>
      </c>
      <c r="C256" s="89">
        <f>B256/12</f>
        <v>16522.416666666668</v>
      </c>
      <c r="D256" s="74">
        <v>1.67E-2</v>
      </c>
      <c r="E256" s="74">
        <v>0.1394</v>
      </c>
      <c r="F256" s="74">
        <v>5.6399999999999999E-2</v>
      </c>
      <c r="G256" s="74">
        <v>8.0199999999999994E-2</v>
      </c>
      <c r="H256" s="74">
        <v>4.1200000000000001E-2</v>
      </c>
      <c r="I256" s="74">
        <v>0.1346</v>
      </c>
      <c r="J256" s="74">
        <v>2.12E-2</v>
      </c>
      <c r="K256" s="74">
        <v>3.3700000000000001E-2</v>
      </c>
      <c r="L256" s="74">
        <v>1.7600000000000001E-2</v>
      </c>
      <c r="M256" s="74">
        <v>2.5499999999999998E-2</v>
      </c>
      <c r="N256" s="74">
        <v>0.12970000000000001</v>
      </c>
      <c r="O256" s="74">
        <v>1.8100000000000002E-2</v>
      </c>
      <c r="P256" s="74">
        <v>0</v>
      </c>
      <c r="Q256" s="74">
        <v>3.9199999999999999E-2</v>
      </c>
      <c r="R256" s="74">
        <v>1.95E-2</v>
      </c>
      <c r="S256" s="74">
        <v>2.3999999999999998E-3</v>
      </c>
      <c r="T256" s="74">
        <v>5.3900000000000003E-2</v>
      </c>
      <c r="U256" s="74">
        <v>1.84E-2</v>
      </c>
      <c r="V256" s="74">
        <v>3.7100000000000001E-2</v>
      </c>
      <c r="W256" s="74">
        <v>4.7800000000000002E-2</v>
      </c>
      <c r="X256" s="74">
        <v>6.4000000000000001E-2</v>
      </c>
      <c r="Y256" s="74">
        <v>2.7000000000000001E-3</v>
      </c>
      <c r="Z256" s="75">
        <v>0</v>
      </c>
      <c r="AA256" s="75">
        <v>6.9999999999999999E-4</v>
      </c>
      <c r="AB256" s="75">
        <v>0</v>
      </c>
      <c r="AC256" s="32"/>
      <c r="AD256" s="30"/>
    </row>
    <row r="257" spans="1:30" s="27" customFormat="1">
      <c r="A257" s="76"/>
      <c r="B257" s="16"/>
      <c r="C257" s="84" t="s">
        <v>56</v>
      </c>
      <c r="D257" s="78">
        <f t="shared" ref="D257" si="212">$C256*D256</f>
        <v>275.92435833333337</v>
      </c>
      <c r="E257" s="78">
        <f t="shared" ref="E257" si="213">$C256*E256</f>
        <v>2303.2248833333333</v>
      </c>
      <c r="F257" s="78">
        <f t="shared" ref="F257:AB257" si="214">$C256*F256</f>
        <v>931.86430000000007</v>
      </c>
      <c r="G257" s="78">
        <f t="shared" si="214"/>
        <v>1325.0978166666666</v>
      </c>
      <c r="H257" s="78">
        <f t="shared" si="214"/>
        <v>680.72356666666667</v>
      </c>
      <c r="I257" s="78">
        <f t="shared" si="214"/>
        <v>2223.9172833333337</v>
      </c>
      <c r="J257" s="78">
        <f t="shared" si="214"/>
        <v>350.27523333333335</v>
      </c>
      <c r="K257" s="78">
        <f t="shared" si="214"/>
        <v>556.80544166666675</v>
      </c>
      <c r="L257" s="78">
        <f t="shared" si="214"/>
        <v>290.79453333333339</v>
      </c>
      <c r="M257" s="78">
        <f t="shared" si="214"/>
        <v>421.32162499999998</v>
      </c>
      <c r="N257" s="78">
        <f t="shared" si="214"/>
        <v>2142.9574416666669</v>
      </c>
      <c r="O257" s="78">
        <f t="shared" si="214"/>
        <v>299.05574166666673</v>
      </c>
      <c r="P257" s="78">
        <f t="shared" si="214"/>
        <v>0</v>
      </c>
      <c r="Q257" s="78">
        <f t="shared" si="214"/>
        <v>647.67873333333341</v>
      </c>
      <c r="R257" s="78">
        <f t="shared" si="214"/>
        <v>322.18712500000004</v>
      </c>
      <c r="S257" s="78">
        <f t="shared" si="214"/>
        <v>39.653799999999997</v>
      </c>
      <c r="T257" s="78">
        <f t="shared" si="214"/>
        <v>890.55825833333347</v>
      </c>
      <c r="U257" s="78">
        <f t="shared" si="214"/>
        <v>304.01246666666668</v>
      </c>
      <c r="V257" s="78">
        <f t="shared" si="214"/>
        <v>612.98165833333337</v>
      </c>
      <c r="W257" s="78">
        <f t="shared" si="214"/>
        <v>789.7715166666668</v>
      </c>
      <c r="X257" s="78">
        <f t="shared" si="214"/>
        <v>1057.4346666666668</v>
      </c>
      <c r="Y257" s="78">
        <f t="shared" si="214"/>
        <v>44.610525000000003</v>
      </c>
      <c r="Z257" s="78">
        <f t="shared" si="214"/>
        <v>0</v>
      </c>
      <c r="AA257" s="78">
        <f t="shared" si="214"/>
        <v>11.565691666666668</v>
      </c>
      <c r="AB257" s="78">
        <f t="shared" si="214"/>
        <v>0</v>
      </c>
      <c r="AC257" s="32"/>
      <c r="AD257" s="30"/>
    </row>
    <row r="258" spans="1:30" s="27" customFormat="1">
      <c r="A258" s="125" t="s">
        <v>112</v>
      </c>
      <c r="B258" s="72">
        <v>198269</v>
      </c>
      <c r="C258" s="89">
        <f>B258/12</f>
        <v>16522.416666666668</v>
      </c>
      <c r="D258" s="75"/>
      <c r="E258" s="75"/>
      <c r="F258" s="75"/>
      <c r="G258" s="75"/>
      <c r="H258" s="120">
        <v>0.43469999999999998</v>
      </c>
      <c r="I258" s="75"/>
      <c r="J258" s="75">
        <v>1.6000000000000001E-3</v>
      </c>
      <c r="K258" s="75">
        <v>4.0000000000000001E-3</v>
      </c>
      <c r="L258" s="75"/>
      <c r="M258" s="75"/>
      <c r="N258" s="120">
        <v>1.0500000000000001E-2</v>
      </c>
      <c r="O258" s="75">
        <v>2.3999999999999998E-3</v>
      </c>
      <c r="P258" s="75"/>
      <c r="Q258" s="75"/>
      <c r="R258" s="75"/>
      <c r="S258" s="75"/>
      <c r="T258" s="75"/>
      <c r="U258" s="75"/>
      <c r="V258" s="120">
        <v>0.54679999999999995</v>
      </c>
      <c r="W258" s="75"/>
      <c r="X258" s="75"/>
      <c r="Y258" s="75"/>
      <c r="Z258" s="75"/>
      <c r="AA258" s="75"/>
      <c r="AB258" s="75"/>
      <c r="AC258" s="32"/>
      <c r="AD258" s="30"/>
    </row>
    <row r="259" spans="1:30" s="27" customFormat="1">
      <c r="A259" s="76"/>
      <c r="B259" s="77"/>
      <c r="C259" s="87"/>
      <c r="D259" s="78">
        <f t="shared" ref="D259" si="215">$C258*D258</f>
        <v>0</v>
      </c>
      <c r="E259" s="78">
        <f t="shared" ref="E259" si="216">$C258*E258</f>
        <v>0</v>
      </c>
      <c r="F259" s="78">
        <f t="shared" ref="F259:O259" si="217">$C258*F258</f>
        <v>0</v>
      </c>
      <c r="G259" s="78">
        <f t="shared" si="217"/>
        <v>0</v>
      </c>
      <c r="H259" s="78">
        <f t="shared" si="217"/>
        <v>7182.2945250000002</v>
      </c>
      <c r="I259" s="78">
        <f t="shared" si="217"/>
        <v>0</v>
      </c>
      <c r="J259" s="78">
        <f t="shared" si="217"/>
        <v>26.435866666666669</v>
      </c>
      <c r="K259" s="78">
        <f t="shared" si="217"/>
        <v>66.089666666666673</v>
      </c>
      <c r="L259" s="78">
        <f t="shared" si="217"/>
        <v>0</v>
      </c>
      <c r="M259" s="78">
        <f t="shared" si="217"/>
        <v>0</v>
      </c>
      <c r="N259" s="78">
        <f t="shared" si="217"/>
        <v>173.48537500000003</v>
      </c>
      <c r="O259" s="78">
        <f t="shared" si="217"/>
        <v>39.653799999999997</v>
      </c>
      <c r="P259" s="78">
        <f t="shared" ref="P259" si="218">$C258*P258</f>
        <v>0</v>
      </c>
      <c r="Q259" s="78">
        <f t="shared" ref="Q259" si="219">$C258*Q258</f>
        <v>0</v>
      </c>
      <c r="R259" s="78">
        <f t="shared" ref="R259:AB259" si="220">$C258*R258</f>
        <v>0</v>
      </c>
      <c r="S259" s="78">
        <f t="shared" si="220"/>
        <v>0</v>
      </c>
      <c r="T259" s="78">
        <f t="shared" si="220"/>
        <v>0</v>
      </c>
      <c r="U259" s="78">
        <f t="shared" si="220"/>
        <v>0</v>
      </c>
      <c r="V259" s="78">
        <f t="shared" si="220"/>
        <v>9034.457433333333</v>
      </c>
      <c r="W259" s="78">
        <f t="shared" si="220"/>
        <v>0</v>
      </c>
      <c r="X259" s="78">
        <f t="shared" si="220"/>
        <v>0</v>
      </c>
      <c r="Y259" s="78">
        <f t="shared" si="220"/>
        <v>0</v>
      </c>
      <c r="Z259" s="78">
        <f t="shared" si="220"/>
        <v>0</v>
      </c>
      <c r="AA259" s="78">
        <f t="shared" si="220"/>
        <v>0</v>
      </c>
      <c r="AB259" s="78">
        <f t="shared" si="220"/>
        <v>0</v>
      </c>
      <c r="AC259" s="32"/>
      <c r="AD259" s="30"/>
    </row>
    <row r="260" spans="1:30" s="27" customFormat="1">
      <c r="A260" s="105" t="s">
        <v>67</v>
      </c>
      <c r="B260" s="93">
        <v>1716288.5</v>
      </c>
      <c r="C260" s="73">
        <f>B260/12</f>
        <v>143024.04166666666</v>
      </c>
      <c r="D260" s="74">
        <v>1.67E-2</v>
      </c>
      <c r="E260" s="74">
        <v>0.1394</v>
      </c>
      <c r="F260" s="74">
        <v>5.6399999999999999E-2</v>
      </c>
      <c r="G260" s="74">
        <v>8.0199999999999994E-2</v>
      </c>
      <c r="H260" s="74">
        <v>4.1200000000000001E-2</v>
      </c>
      <c r="I260" s="74">
        <v>0.1346</v>
      </c>
      <c r="J260" s="74">
        <v>2.12E-2</v>
      </c>
      <c r="K260" s="74">
        <v>3.3700000000000001E-2</v>
      </c>
      <c r="L260" s="74">
        <v>1.7600000000000001E-2</v>
      </c>
      <c r="M260" s="74">
        <v>2.5499999999999998E-2</v>
      </c>
      <c r="N260" s="74">
        <v>0.12970000000000001</v>
      </c>
      <c r="O260" s="74">
        <v>1.8100000000000002E-2</v>
      </c>
      <c r="P260" s="74">
        <v>0</v>
      </c>
      <c r="Q260" s="74">
        <v>3.9199999999999999E-2</v>
      </c>
      <c r="R260" s="74">
        <v>1.95E-2</v>
      </c>
      <c r="S260" s="74">
        <v>2.3999999999999998E-3</v>
      </c>
      <c r="T260" s="74">
        <v>5.3900000000000003E-2</v>
      </c>
      <c r="U260" s="74">
        <v>1.84E-2</v>
      </c>
      <c r="V260" s="74">
        <v>3.7100000000000001E-2</v>
      </c>
      <c r="W260" s="74">
        <v>4.7800000000000002E-2</v>
      </c>
      <c r="X260" s="74">
        <v>6.4000000000000001E-2</v>
      </c>
      <c r="Y260" s="74">
        <v>2.7000000000000001E-3</v>
      </c>
      <c r="Z260" s="75">
        <v>0</v>
      </c>
      <c r="AA260" s="75">
        <v>6.9999999999999999E-4</v>
      </c>
      <c r="AB260" s="75">
        <v>0</v>
      </c>
      <c r="AC260" s="32"/>
      <c r="AD260" s="30"/>
    </row>
    <row r="261" spans="1:30" s="27" customFormat="1">
      <c r="A261" s="106"/>
      <c r="B261" s="16"/>
      <c r="C261" s="73" t="s">
        <v>56</v>
      </c>
      <c r="D261" s="3">
        <f t="shared" ref="D261" si="221">$C260*D260</f>
        <v>2388.5014958333331</v>
      </c>
      <c r="E261" s="3">
        <f t="shared" ref="E261" si="222">$C260*E260</f>
        <v>19937.551408333333</v>
      </c>
      <c r="F261" s="3">
        <f t="shared" ref="F261:AB261" si="223">$C260*F260</f>
        <v>8066.555949999999</v>
      </c>
      <c r="G261" s="3">
        <f t="shared" si="223"/>
        <v>11470.528141666666</v>
      </c>
      <c r="H261" s="3">
        <f t="shared" si="223"/>
        <v>5892.5905166666662</v>
      </c>
      <c r="I261" s="3">
        <f t="shared" si="223"/>
        <v>19251.036008333333</v>
      </c>
      <c r="J261" s="3">
        <f t="shared" si="223"/>
        <v>3032.1096833333331</v>
      </c>
      <c r="K261" s="3">
        <f t="shared" si="223"/>
        <v>4819.9102041666665</v>
      </c>
      <c r="L261" s="3">
        <f t="shared" si="223"/>
        <v>2517.2231333333334</v>
      </c>
      <c r="M261" s="3">
        <f t="shared" si="223"/>
        <v>3647.1130624999996</v>
      </c>
      <c r="N261" s="3">
        <f t="shared" si="223"/>
        <v>18550.218204166667</v>
      </c>
      <c r="O261" s="3">
        <f t="shared" si="223"/>
        <v>2588.7351541666667</v>
      </c>
      <c r="P261" s="3">
        <f t="shared" si="223"/>
        <v>0</v>
      </c>
      <c r="Q261" s="3">
        <f t="shared" si="223"/>
        <v>5606.5424333333331</v>
      </c>
      <c r="R261" s="3">
        <f t="shared" si="223"/>
        <v>2788.9688124999998</v>
      </c>
      <c r="S261" s="3">
        <f t="shared" si="223"/>
        <v>343.25769999999994</v>
      </c>
      <c r="T261" s="3">
        <f t="shared" si="223"/>
        <v>7708.9958458333331</v>
      </c>
      <c r="U261" s="3">
        <f t="shared" si="223"/>
        <v>2631.6423666666665</v>
      </c>
      <c r="V261" s="3">
        <f t="shared" si="223"/>
        <v>5306.1919458333332</v>
      </c>
      <c r="W261" s="3">
        <f t="shared" si="223"/>
        <v>6836.549191666667</v>
      </c>
      <c r="X261" s="3">
        <f t="shared" si="223"/>
        <v>9153.5386666666654</v>
      </c>
      <c r="Y261" s="3">
        <f t="shared" si="223"/>
        <v>386.16491250000001</v>
      </c>
      <c r="Z261" s="3">
        <f t="shared" si="223"/>
        <v>0</v>
      </c>
      <c r="AA261" s="3">
        <f t="shared" si="223"/>
        <v>100.11682916666666</v>
      </c>
      <c r="AB261" s="3">
        <f t="shared" si="223"/>
        <v>0</v>
      </c>
      <c r="AC261" s="32"/>
      <c r="AD261" s="30"/>
    </row>
    <row r="262" spans="1:30" s="27" customFormat="1">
      <c r="A262" s="126" t="s">
        <v>69</v>
      </c>
      <c r="B262" s="93">
        <v>1716288.5</v>
      </c>
      <c r="C262" s="73">
        <f>B262/12</f>
        <v>143024.04166666666</v>
      </c>
      <c r="D262" s="75"/>
      <c r="E262" s="75"/>
      <c r="F262" s="75"/>
      <c r="G262" s="75"/>
      <c r="H262" s="120">
        <v>0.43469999999999998</v>
      </c>
      <c r="I262" s="75"/>
      <c r="J262" s="75">
        <v>1.6000000000000001E-3</v>
      </c>
      <c r="K262" s="75">
        <v>4.0000000000000001E-3</v>
      </c>
      <c r="L262" s="75"/>
      <c r="M262" s="75"/>
      <c r="N262" s="120">
        <v>1.0500000000000001E-2</v>
      </c>
      <c r="O262" s="75">
        <v>2.3999999999999998E-3</v>
      </c>
      <c r="P262" s="75"/>
      <c r="Q262" s="75"/>
      <c r="R262" s="75"/>
      <c r="S262" s="75"/>
      <c r="T262" s="75"/>
      <c r="U262" s="75"/>
      <c r="V262" s="120">
        <v>0.54679999999999995</v>
      </c>
      <c r="W262" s="75"/>
      <c r="X262" s="75"/>
      <c r="Y262" s="75"/>
      <c r="Z262" s="75"/>
      <c r="AA262" s="75"/>
      <c r="AB262" s="75"/>
      <c r="AC262" s="32"/>
      <c r="AD262" s="30"/>
    </row>
    <row r="263" spans="1:30" s="27" customFormat="1">
      <c r="A263" s="106"/>
      <c r="B263" s="16"/>
      <c r="C263" s="73" t="s">
        <v>56</v>
      </c>
      <c r="D263" s="3">
        <f t="shared" ref="D263" si="224">$C262*D262</f>
        <v>0</v>
      </c>
      <c r="E263" s="3">
        <f t="shared" ref="E263" si="225">$C262*E262</f>
        <v>0</v>
      </c>
      <c r="F263" s="3">
        <f t="shared" ref="F263:AB263" si="226">$C262*F262</f>
        <v>0</v>
      </c>
      <c r="G263" s="3">
        <f t="shared" si="226"/>
        <v>0</v>
      </c>
      <c r="H263" s="3">
        <f t="shared" si="226"/>
        <v>62172.550912499995</v>
      </c>
      <c r="I263" s="3">
        <f t="shared" si="226"/>
        <v>0</v>
      </c>
      <c r="J263" s="3">
        <f t="shared" si="226"/>
        <v>228.83846666666668</v>
      </c>
      <c r="K263" s="3">
        <f t="shared" si="226"/>
        <v>572.09616666666659</v>
      </c>
      <c r="L263" s="3">
        <f t="shared" si="226"/>
        <v>0</v>
      </c>
      <c r="M263" s="3">
        <f t="shared" si="226"/>
        <v>0</v>
      </c>
      <c r="N263" s="3">
        <f t="shared" si="226"/>
        <v>1501.7524375</v>
      </c>
      <c r="O263" s="3">
        <f t="shared" si="226"/>
        <v>343.25769999999994</v>
      </c>
      <c r="P263" s="3">
        <f t="shared" si="226"/>
        <v>0</v>
      </c>
      <c r="Q263" s="3">
        <f t="shared" si="226"/>
        <v>0</v>
      </c>
      <c r="R263" s="3">
        <f t="shared" si="226"/>
        <v>0</v>
      </c>
      <c r="S263" s="3">
        <f t="shared" si="226"/>
        <v>0</v>
      </c>
      <c r="T263" s="3">
        <f t="shared" si="226"/>
        <v>0</v>
      </c>
      <c r="U263" s="3">
        <f t="shared" si="226"/>
        <v>0</v>
      </c>
      <c r="V263" s="3">
        <f t="shared" si="226"/>
        <v>78205.545983333315</v>
      </c>
      <c r="W263" s="3">
        <f t="shared" si="226"/>
        <v>0</v>
      </c>
      <c r="X263" s="3">
        <f t="shared" si="226"/>
        <v>0</v>
      </c>
      <c r="Y263" s="3">
        <f t="shared" si="226"/>
        <v>0</v>
      </c>
      <c r="Z263" s="3">
        <f t="shared" si="226"/>
        <v>0</v>
      </c>
      <c r="AA263" s="3">
        <f t="shared" si="226"/>
        <v>0</v>
      </c>
      <c r="AB263" s="3">
        <f t="shared" si="226"/>
        <v>0</v>
      </c>
      <c r="AC263" s="32"/>
      <c r="AD263" s="30"/>
    </row>
    <row r="264" spans="1:30" s="27" customFormat="1">
      <c r="A264" s="105" t="s">
        <v>68</v>
      </c>
      <c r="B264" s="93">
        <v>2634281</v>
      </c>
      <c r="C264" s="73">
        <f>B264/12</f>
        <v>219523.41666666666</v>
      </c>
      <c r="D264" s="74">
        <v>1.67E-2</v>
      </c>
      <c r="E264" s="74">
        <v>0.1394</v>
      </c>
      <c r="F264" s="74">
        <v>5.6399999999999999E-2</v>
      </c>
      <c r="G264" s="74">
        <v>8.0199999999999994E-2</v>
      </c>
      <c r="H264" s="74">
        <v>4.1200000000000001E-2</v>
      </c>
      <c r="I264" s="74">
        <v>0.1346</v>
      </c>
      <c r="J264" s="74">
        <v>2.12E-2</v>
      </c>
      <c r="K264" s="74">
        <v>3.3700000000000001E-2</v>
      </c>
      <c r="L264" s="74">
        <v>1.7600000000000001E-2</v>
      </c>
      <c r="M264" s="74">
        <v>2.5499999999999998E-2</v>
      </c>
      <c r="N264" s="74">
        <v>0.12970000000000001</v>
      </c>
      <c r="O264" s="74">
        <v>1.8100000000000002E-2</v>
      </c>
      <c r="P264" s="74">
        <v>0</v>
      </c>
      <c r="Q264" s="74">
        <v>3.9199999999999999E-2</v>
      </c>
      <c r="R264" s="74">
        <v>1.95E-2</v>
      </c>
      <c r="S264" s="74">
        <v>2.3999999999999998E-3</v>
      </c>
      <c r="T264" s="74">
        <v>5.3900000000000003E-2</v>
      </c>
      <c r="U264" s="74">
        <v>1.84E-2</v>
      </c>
      <c r="V264" s="74">
        <v>3.7100000000000001E-2</v>
      </c>
      <c r="W264" s="74">
        <v>4.7800000000000002E-2</v>
      </c>
      <c r="X264" s="74">
        <v>6.4000000000000001E-2</v>
      </c>
      <c r="Y264" s="74">
        <v>2.7000000000000001E-3</v>
      </c>
      <c r="Z264" s="75">
        <v>0</v>
      </c>
      <c r="AA264" s="75">
        <v>6.9999999999999999E-4</v>
      </c>
      <c r="AB264" s="75">
        <v>0</v>
      </c>
      <c r="AC264" s="32"/>
      <c r="AD264" s="30"/>
    </row>
    <row r="265" spans="1:30" s="27" customFormat="1">
      <c r="A265" s="106"/>
      <c r="B265" s="16"/>
      <c r="C265" s="73" t="s">
        <v>56</v>
      </c>
      <c r="D265" s="3">
        <f t="shared" ref="D265" si="227">$C264*D264</f>
        <v>3666.0410583333332</v>
      </c>
      <c r="E265" s="3">
        <f t="shared" ref="E265" si="228">$C264*E264</f>
        <v>30601.56428333333</v>
      </c>
      <c r="F265" s="3">
        <f t="shared" ref="F265:AB265" si="229">$C264*F264</f>
        <v>12381.120699999999</v>
      </c>
      <c r="G265" s="3">
        <f t="shared" si="229"/>
        <v>17605.778016666663</v>
      </c>
      <c r="H265" s="3">
        <f t="shared" si="229"/>
        <v>9044.3647666666657</v>
      </c>
      <c r="I265" s="3">
        <f t="shared" si="229"/>
        <v>29547.851883333333</v>
      </c>
      <c r="J265" s="3">
        <f t="shared" si="229"/>
        <v>4653.8964333333333</v>
      </c>
      <c r="K265" s="3">
        <f t="shared" si="229"/>
        <v>7397.9391416666667</v>
      </c>
      <c r="L265" s="3">
        <f t="shared" si="229"/>
        <v>3863.6121333333335</v>
      </c>
      <c r="M265" s="3">
        <f t="shared" si="229"/>
        <v>5597.8471249999993</v>
      </c>
      <c r="N265" s="3">
        <f t="shared" si="229"/>
        <v>28472.187141666669</v>
      </c>
      <c r="O265" s="3">
        <f t="shared" si="229"/>
        <v>3973.373841666667</v>
      </c>
      <c r="P265" s="3">
        <f t="shared" si="229"/>
        <v>0</v>
      </c>
      <c r="Q265" s="3">
        <f t="shared" si="229"/>
        <v>8605.3179333333319</v>
      </c>
      <c r="R265" s="3">
        <f t="shared" si="229"/>
        <v>4280.7066249999998</v>
      </c>
      <c r="S265" s="3">
        <f t="shared" si="229"/>
        <v>526.85619999999994</v>
      </c>
      <c r="T265" s="3">
        <f t="shared" si="229"/>
        <v>11832.312158333334</v>
      </c>
      <c r="U265" s="3">
        <f t="shared" si="229"/>
        <v>4039.2308666666663</v>
      </c>
      <c r="V265" s="3">
        <f t="shared" si="229"/>
        <v>8144.3187583333329</v>
      </c>
      <c r="W265" s="3">
        <f t="shared" si="229"/>
        <v>10493.219316666668</v>
      </c>
      <c r="X265" s="3">
        <f t="shared" si="229"/>
        <v>14049.498666666666</v>
      </c>
      <c r="Y265" s="3">
        <f t="shared" si="229"/>
        <v>592.71322499999997</v>
      </c>
      <c r="Z265" s="3">
        <f t="shared" si="229"/>
        <v>0</v>
      </c>
      <c r="AA265" s="3">
        <f t="shared" si="229"/>
        <v>153.66639166666667</v>
      </c>
      <c r="AB265" s="3">
        <f t="shared" si="229"/>
        <v>0</v>
      </c>
      <c r="AC265" s="32"/>
      <c r="AD265" s="30"/>
    </row>
    <row r="266" spans="1:30" s="27" customFormat="1">
      <c r="A266" s="126" t="s">
        <v>70</v>
      </c>
      <c r="B266" s="93">
        <v>2634281</v>
      </c>
      <c r="C266" s="73">
        <f>B266/12</f>
        <v>219523.41666666666</v>
      </c>
      <c r="D266" s="75"/>
      <c r="E266" s="75">
        <v>1.2699999999999999E-2</v>
      </c>
      <c r="F266" s="120">
        <v>0.24460000000000001</v>
      </c>
      <c r="G266" s="75">
        <v>6.8999999999999999E-3</v>
      </c>
      <c r="H266" s="120">
        <v>0.31130000000000002</v>
      </c>
      <c r="I266" s="75"/>
      <c r="J266" s="75">
        <v>2.7000000000000001E-3</v>
      </c>
      <c r="K266" s="75">
        <v>6.6E-3</v>
      </c>
      <c r="L266" s="75"/>
      <c r="M266" s="75"/>
      <c r="N266" s="75">
        <v>1.9199999999999998E-2</v>
      </c>
      <c r="O266" s="75">
        <v>3.8E-3</v>
      </c>
      <c r="P266" s="75"/>
      <c r="Q266" s="75"/>
      <c r="R266" s="75"/>
      <c r="S266" s="75"/>
      <c r="T266" s="75"/>
      <c r="U266" s="75"/>
      <c r="V266" s="120">
        <v>0.39219999999999999</v>
      </c>
      <c r="W266" s="75"/>
      <c r="X266" s="75"/>
      <c r="Y266" s="120"/>
      <c r="Z266" s="75"/>
      <c r="AA266" s="75"/>
      <c r="AB266" s="75"/>
      <c r="AC266" s="32"/>
      <c r="AD266" s="30"/>
    </row>
    <row r="267" spans="1:30" s="92" customFormat="1">
      <c r="A267" s="107"/>
      <c r="B267" s="108"/>
      <c r="C267" s="89" t="s">
        <v>56</v>
      </c>
      <c r="D267" s="78">
        <f>$C266*D266</f>
        <v>0</v>
      </c>
      <c r="E267" s="78">
        <f>$C266*E266</f>
        <v>2787.9473916666666</v>
      </c>
      <c r="F267" s="78">
        <f t="shared" ref="F267" si="230">$C266*F266</f>
        <v>53695.427716666665</v>
      </c>
      <c r="G267" s="78">
        <f t="shared" ref="G267" si="231">$C266*G266</f>
        <v>1514.7115749999998</v>
      </c>
      <c r="H267" s="78">
        <f t="shared" ref="H267:AB267" si="232">$C266*H266</f>
        <v>68337.639608333338</v>
      </c>
      <c r="I267" s="78">
        <f t="shared" si="232"/>
        <v>0</v>
      </c>
      <c r="J267" s="78">
        <f t="shared" si="232"/>
        <v>592.71322499999997</v>
      </c>
      <c r="K267" s="78">
        <f t="shared" si="232"/>
        <v>1448.85455</v>
      </c>
      <c r="L267" s="78">
        <f t="shared" si="232"/>
        <v>0</v>
      </c>
      <c r="M267" s="78">
        <f t="shared" si="232"/>
        <v>0</v>
      </c>
      <c r="N267" s="78">
        <f t="shared" si="232"/>
        <v>4214.8495999999996</v>
      </c>
      <c r="O267" s="78">
        <f t="shared" si="232"/>
        <v>834.18898333333334</v>
      </c>
      <c r="P267" s="78">
        <f t="shared" si="232"/>
        <v>0</v>
      </c>
      <c r="Q267" s="78">
        <f t="shared" si="232"/>
        <v>0</v>
      </c>
      <c r="R267" s="78">
        <f t="shared" si="232"/>
        <v>0</v>
      </c>
      <c r="S267" s="78">
        <f t="shared" si="232"/>
        <v>0</v>
      </c>
      <c r="T267" s="78">
        <f t="shared" si="232"/>
        <v>0</v>
      </c>
      <c r="U267" s="78">
        <f t="shared" si="232"/>
        <v>0</v>
      </c>
      <c r="V267" s="78">
        <f t="shared" si="232"/>
        <v>86097.08401666666</v>
      </c>
      <c r="W267" s="78">
        <f t="shared" si="232"/>
        <v>0</v>
      </c>
      <c r="X267" s="78">
        <f t="shared" si="232"/>
        <v>0</v>
      </c>
      <c r="Y267" s="78">
        <f t="shared" si="232"/>
        <v>0</v>
      </c>
      <c r="Z267" s="78">
        <f t="shared" si="232"/>
        <v>0</v>
      </c>
      <c r="AA267" s="78">
        <f t="shared" si="232"/>
        <v>0</v>
      </c>
      <c r="AB267" s="78">
        <f t="shared" si="232"/>
        <v>0</v>
      </c>
      <c r="AC267" s="90"/>
      <c r="AD267" s="91"/>
    </row>
    <row r="268" spans="1:30" s="27" customFormat="1">
      <c r="A268" s="9" t="s">
        <v>40</v>
      </c>
      <c r="B268" s="16">
        <f>SUM(B256:B267)</f>
        <v>9097677</v>
      </c>
      <c r="C268" s="16">
        <f>SUM(C256:C267)</f>
        <v>758139.74999999988</v>
      </c>
      <c r="D268" s="5">
        <f>D257+D259+D261+D263+D265+D267</f>
        <v>6330.4669125</v>
      </c>
      <c r="E268" s="5">
        <f t="shared" ref="E268:AB268" si="233">E257+E259+E261+E263+E265+E267</f>
        <v>55630.287966666663</v>
      </c>
      <c r="F268" s="5">
        <f t="shared" si="233"/>
        <v>75074.968666666668</v>
      </c>
      <c r="G268" s="5">
        <f t="shared" si="233"/>
        <v>31916.115549999995</v>
      </c>
      <c r="H268" s="5">
        <f t="shared" si="233"/>
        <v>153310.16389583334</v>
      </c>
      <c r="I268" s="5">
        <f t="shared" si="233"/>
        <v>51022.805175000001</v>
      </c>
      <c r="J268" s="5">
        <f t="shared" si="233"/>
        <v>8884.2689083333316</v>
      </c>
      <c r="K268" s="5">
        <f t="shared" si="233"/>
        <v>14861.695170833333</v>
      </c>
      <c r="L268" s="5">
        <f t="shared" si="233"/>
        <v>6671.6298000000006</v>
      </c>
      <c r="M268" s="5">
        <f t="shared" si="233"/>
        <v>9666.2818124999994</v>
      </c>
      <c r="N268" s="5">
        <f t="shared" si="233"/>
        <v>55055.450200000007</v>
      </c>
      <c r="O268" s="5">
        <f t="shared" si="233"/>
        <v>8078.2652208333338</v>
      </c>
      <c r="P268" s="5">
        <f t="shared" si="233"/>
        <v>0</v>
      </c>
      <c r="Q268" s="5">
        <f t="shared" si="233"/>
        <v>14859.539099999998</v>
      </c>
      <c r="R268" s="5">
        <f t="shared" si="233"/>
        <v>7391.8625624999995</v>
      </c>
      <c r="S268" s="5">
        <f t="shared" si="233"/>
        <v>909.76769999999988</v>
      </c>
      <c r="T268" s="5">
        <f t="shared" si="233"/>
        <v>20431.8662625</v>
      </c>
      <c r="U268" s="5">
        <f t="shared" si="233"/>
        <v>6974.8856999999989</v>
      </c>
      <c r="V268" s="5">
        <f t="shared" si="233"/>
        <v>187400.57979583333</v>
      </c>
      <c r="W268" s="5">
        <f t="shared" si="233"/>
        <v>18119.540025000002</v>
      </c>
      <c r="X268" s="5">
        <f t="shared" si="233"/>
        <v>24260.471999999998</v>
      </c>
      <c r="Y268" s="5">
        <f t="shared" si="233"/>
        <v>1023.4886624999999</v>
      </c>
      <c r="Z268" s="5">
        <f t="shared" si="233"/>
        <v>0</v>
      </c>
      <c r="AA268" s="5">
        <f t="shared" si="233"/>
        <v>265.34891249999998</v>
      </c>
      <c r="AB268" s="5">
        <f t="shared" si="233"/>
        <v>0</v>
      </c>
      <c r="AC268" s="32"/>
      <c r="AD268" s="30"/>
    </row>
    <row r="269" spans="1:30" s="27" customFormat="1">
      <c r="A269" s="9"/>
      <c r="B269" s="16"/>
      <c r="C269" s="1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32"/>
      <c r="AD269" s="30"/>
    </row>
    <row r="270" spans="1:30" s="27" customFormat="1">
      <c r="A270" s="9"/>
      <c r="B270" s="33"/>
      <c r="C270" s="1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32"/>
      <c r="AD270" s="30"/>
    </row>
    <row r="271" spans="1:30" s="27" customFormat="1">
      <c r="A271" s="9"/>
      <c r="B271" s="4"/>
      <c r="C271" s="60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32"/>
      <c r="AD271" s="30"/>
    </row>
    <row r="272" spans="1:30" s="27" customFormat="1" ht="13.5" customHeight="1" thickBot="1">
      <c r="A272" s="36" t="s">
        <v>72</v>
      </c>
      <c r="B272" s="54"/>
      <c r="C272" s="57"/>
      <c r="D272" s="54"/>
      <c r="E272" s="54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32"/>
      <c r="AD272" s="30"/>
    </row>
    <row r="273" spans="1:30" s="27" customFormat="1" ht="13.5" customHeight="1" thickBot="1">
      <c r="A273" s="40" t="s">
        <v>1</v>
      </c>
      <c r="B273" s="41" t="s">
        <v>2</v>
      </c>
      <c r="C273" s="58" t="s">
        <v>3</v>
      </c>
      <c r="D273" s="137" t="s">
        <v>4</v>
      </c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50"/>
      <c r="AA273" s="50"/>
      <c r="AB273" s="50"/>
      <c r="AC273" s="32"/>
      <c r="AD273" s="30"/>
    </row>
    <row r="274" spans="1:30" s="27" customFormat="1">
      <c r="A274" s="42" t="s">
        <v>5</v>
      </c>
      <c r="B274" s="43" t="s">
        <v>6</v>
      </c>
      <c r="C274" s="59" t="s">
        <v>6</v>
      </c>
      <c r="D274" s="44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6"/>
      <c r="Z274" s="43" t="s">
        <v>7</v>
      </c>
      <c r="AA274" s="43"/>
      <c r="AB274" s="43"/>
      <c r="AC274" s="32"/>
      <c r="AD274" s="30"/>
    </row>
    <row r="275" spans="1:30" s="27" customFormat="1">
      <c r="A275" s="42" t="s">
        <v>8</v>
      </c>
      <c r="B275" s="43" t="s">
        <v>9</v>
      </c>
      <c r="C275" s="59" t="s">
        <v>9</v>
      </c>
      <c r="D275" s="47" t="s">
        <v>10</v>
      </c>
      <c r="E275" s="43" t="s">
        <v>11</v>
      </c>
      <c r="F275" s="43" t="s">
        <v>12</v>
      </c>
      <c r="G275" s="43" t="s">
        <v>13</v>
      </c>
      <c r="H275" s="43" t="s">
        <v>14</v>
      </c>
      <c r="I275" s="43" t="s">
        <v>15</v>
      </c>
      <c r="J275" s="43" t="s">
        <v>16</v>
      </c>
      <c r="K275" s="43" t="s">
        <v>17</v>
      </c>
      <c r="L275" s="43" t="s">
        <v>18</v>
      </c>
      <c r="M275" s="43" t="s">
        <v>19</v>
      </c>
      <c r="N275" s="43" t="s">
        <v>20</v>
      </c>
      <c r="O275" s="43" t="s">
        <v>57</v>
      </c>
      <c r="P275" s="43" t="s">
        <v>21</v>
      </c>
      <c r="Q275" s="43" t="s">
        <v>22</v>
      </c>
      <c r="R275" s="43" t="s">
        <v>23</v>
      </c>
      <c r="S275" s="43" t="s">
        <v>24</v>
      </c>
      <c r="T275" s="43" t="s">
        <v>25</v>
      </c>
      <c r="U275" s="43" t="s">
        <v>26</v>
      </c>
      <c r="V275" s="43" t="s">
        <v>27</v>
      </c>
      <c r="W275" s="43" t="s">
        <v>28</v>
      </c>
      <c r="X275" s="43" t="s">
        <v>29</v>
      </c>
      <c r="Y275" s="43" t="s">
        <v>30</v>
      </c>
      <c r="Z275" s="43" t="s">
        <v>31</v>
      </c>
      <c r="AA275" s="43" t="s">
        <v>115</v>
      </c>
      <c r="AB275" s="43" t="s">
        <v>113</v>
      </c>
      <c r="AC275" s="32"/>
      <c r="AD275" s="30"/>
    </row>
    <row r="276" spans="1:30" s="27" customFormat="1">
      <c r="A276" s="42"/>
      <c r="B276" s="43"/>
      <c r="C276" s="132" t="s">
        <v>134</v>
      </c>
      <c r="D276" s="44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32"/>
      <c r="AD276" s="30"/>
    </row>
    <row r="277" spans="1:30" s="27" customFormat="1">
      <c r="A277" s="71" t="s">
        <v>73</v>
      </c>
      <c r="B277" s="109">
        <f>577649.84/2</f>
        <v>288824.92</v>
      </c>
      <c r="C277" s="89">
        <f>B277/12</f>
        <v>24068.743333333332</v>
      </c>
      <c r="D277" s="74">
        <v>1.67E-2</v>
      </c>
      <c r="E277" s="74">
        <v>0.1394</v>
      </c>
      <c r="F277" s="74">
        <v>5.6399999999999999E-2</v>
      </c>
      <c r="G277" s="74">
        <v>8.0199999999999994E-2</v>
      </c>
      <c r="H277" s="74">
        <v>4.1200000000000001E-2</v>
      </c>
      <c r="I277" s="74">
        <v>0.1346</v>
      </c>
      <c r="J277" s="74">
        <v>2.12E-2</v>
      </c>
      <c r="K277" s="74">
        <v>3.3700000000000001E-2</v>
      </c>
      <c r="L277" s="74">
        <v>1.7600000000000001E-2</v>
      </c>
      <c r="M277" s="74">
        <v>2.5499999999999998E-2</v>
      </c>
      <c r="N277" s="74">
        <v>0.12970000000000001</v>
      </c>
      <c r="O277" s="74">
        <v>1.8100000000000002E-2</v>
      </c>
      <c r="P277" s="74">
        <v>0</v>
      </c>
      <c r="Q277" s="74">
        <v>3.9199999999999999E-2</v>
      </c>
      <c r="R277" s="74">
        <v>1.95E-2</v>
      </c>
      <c r="S277" s="74">
        <v>2.3999999999999998E-3</v>
      </c>
      <c r="T277" s="74">
        <v>5.3900000000000003E-2</v>
      </c>
      <c r="U277" s="74">
        <v>1.84E-2</v>
      </c>
      <c r="V277" s="74">
        <v>3.7100000000000001E-2</v>
      </c>
      <c r="W277" s="74">
        <v>4.7800000000000002E-2</v>
      </c>
      <c r="X277" s="74">
        <v>6.4000000000000001E-2</v>
      </c>
      <c r="Y277" s="74">
        <v>2.7000000000000001E-3</v>
      </c>
      <c r="Z277" s="75">
        <v>0</v>
      </c>
      <c r="AA277" s="75">
        <v>6.9999999999999999E-4</v>
      </c>
      <c r="AB277" s="75">
        <v>0</v>
      </c>
      <c r="AC277" s="32"/>
      <c r="AD277" s="30"/>
    </row>
    <row r="278" spans="1:30" s="27" customFormat="1">
      <c r="A278" s="76"/>
      <c r="B278" s="110"/>
      <c r="C278" s="84"/>
      <c r="D278" s="78">
        <f>$C277*D277</f>
        <v>401.94801366666661</v>
      </c>
      <c r="E278" s="78">
        <f t="shared" ref="E278" si="234">$C277*E277</f>
        <v>3355.1828206666664</v>
      </c>
      <c r="F278" s="78">
        <f t="shared" ref="F278" si="235">$C277*F277</f>
        <v>1357.477124</v>
      </c>
      <c r="G278" s="78">
        <f t="shared" ref="G278:AB278" si="236">$C277*G277</f>
        <v>1930.3132153333331</v>
      </c>
      <c r="H278" s="78">
        <f t="shared" si="236"/>
        <v>991.63222533333328</v>
      </c>
      <c r="I278" s="78">
        <f t="shared" si="236"/>
        <v>3239.6528526666666</v>
      </c>
      <c r="J278" s="78">
        <f t="shared" si="236"/>
        <v>510.25735866666662</v>
      </c>
      <c r="K278" s="78">
        <f t="shared" si="236"/>
        <v>811.11665033333327</v>
      </c>
      <c r="L278" s="78">
        <f t="shared" si="236"/>
        <v>423.60988266666669</v>
      </c>
      <c r="M278" s="78">
        <f t="shared" si="236"/>
        <v>613.75295499999993</v>
      </c>
      <c r="N278" s="78">
        <f t="shared" si="236"/>
        <v>3121.7160103333335</v>
      </c>
      <c r="O278" s="78">
        <f t="shared" si="236"/>
        <v>435.64425433333332</v>
      </c>
      <c r="P278" s="78">
        <f t="shared" si="236"/>
        <v>0</v>
      </c>
      <c r="Q278" s="78">
        <f t="shared" si="236"/>
        <v>943.49473866666654</v>
      </c>
      <c r="R278" s="78">
        <f t="shared" si="236"/>
        <v>469.34049499999998</v>
      </c>
      <c r="S278" s="78">
        <f t="shared" si="236"/>
        <v>57.764983999999991</v>
      </c>
      <c r="T278" s="78">
        <f t="shared" si="236"/>
        <v>1297.3052656666666</v>
      </c>
      <c r="U278" s="78">
        <f t="shared" si="236"/>
        <v>442.86487733333331</v>
      </c>
      <c r="V278" s="78">
        <f t="shared" si="236"/>
        <v>892.95037766666667</v>
      </c>
      <c r="W278" s="78">
        <f t="shared" si="236"/>
        <v>1150.4859313333334</v>
      </c>
      <c r="X278" s="78">
        <f t="shared" si="236"/>
        <v>1540.3995733333334</v>
      </c>
      <c r="Y278" s="78">
        <f t="shared" si="236"/>
        <v>64.985607000000002</v>
      </c>
      <c r="Z278" s="78">
        <f t="shared" si="236"/>
        <v>0</v>
      </c>
      <c r="AA278" s="78">
        <f t="shared" si="236"/>
        <v>16.84812033333333</v>
      </c>
      <c r="AB278" s="78">
        <f t="shared" si="236"/>
        <v>0</v>
      </c>
      <c r="AC278" s="32"/>
      <c r="AD278" s="30"/>
    </row>
    <row r="279" spans="1:30" s="27" customFormat="1">
      <c r="A279" s="125" t="s">
        <v>108</v>
      </c>
      <c r="B279" s="109">
        <f>577649.84/2</f>
        <v>288824.92</v>
      </c>
      <c r="C279" s="89">
        <f>B279/12</f>
        <v>24068.743333333332</v>
      </c>
      <c r="D279" s="120">
        <v>5.11E-2</v>
      </c>
      <c r="E279" s="75"/>
      <c r="F279" s="75"/>
      <c r="G279" s="75"/>
      <c r="H279" s="120">
        <v>0.23949999999999999</v>
      </c>
      <c r="I279" s="75"/>
      <c r="J279" s="75"/>
      <c r="K279" s="75"/>
      <c r="L279" s="75">
        <v>4.0000000000000002E-4</v>
      </c>
      <c r="M279" s="120">
        <v>0</v>
      </c>
      <c r="N279" s="75"/>
      <c r="O279" s="75"/>
      <c r="P279" s="75"/>
      <c r="Q279" s="120">
        <v>0.16270000000000001</v>
      </c>
      <c r="R279" s="120">
        <v>0.12989999999999999</v>
      </c>
      <c r="S279" s="120">
        <v>1.7899999999999999E-2</v>
      </c>
      <c r="T279" s="120">
        <v>0.18160000000000001</v>
      </c>
      <c r="U279" s="75"/>
      <c r="V279" s="75"/>
      <c r="W279" s="75"/>
      <c r="X279" s="120">
        <v>0.20880000000000001</v>
      </c>
      <c r="Y279" s="120">
        <v>8.0999999999999996E-3</v>
      </c>
      <c r="Z279" s="75"/>
      <c r="AA279" s="75"/>
      <c r="AB279" s="75"/>
      <c r="AC279" s="32"/>
      <c r="AD279" s="30"/>
    </row>
    <row r="280" spans="1:30" s="27" customFormat="1">
      <c r="A280" s="76"/>
      <c r="B280" s="111"/>
      <c r="C280" s="87"/>
      <c r="D280" s="78">
        <f t="shared" ref="D280" si="237">$C279*D279</f>
        <v>1229.9127843333333</v>
      </c>
      <c r="E280" s="78">
        <f t="shared" ref="E280" si="238">$C279*E279</f>
        <v>0</v>
      </c>
      <c r="F280" s="78">
        <f t="shared" ref="F280:O280" si="239">$C279*F279</f>
        <v>0</v>
      </c>
      <c r="G280" s="78">
        <f t="shared" si="239"/>
        <v>0</v>
      </c>
      <c r="H280" s="78">
        <f t="shared" si="239"/>
        <v>5764.4640283333329</v>
      </c>
      <c r="I280" s="78">
        <f t="shared" si="239"/>
        <v>0</v>
      </c>
      <c r="J280" s="78">
        <f t="shared" si="239"/>
        <v>0</v>
      </c>
      <c r="K280" s="78">
        <f t="shared" si="239"/>
        <v>0</v>
      </c>
      <c r="L280" s="78">
        <f t="shared" si="239"/>
        <v>9.6274973333333325</v>
      </c>
      <c r="M280" s="78">
        <f t="shared" si="239"/>
        <v>0</v>
      </c>
      <c r="N280" s="78">
        <f t="shared" si="239"/>
        <v>0</v>
      </c>
      <c r="O280" s="78">
        <f t="shared" si="239"/>
        <v>0</v>
      </c>
      <c r="P280" s="78">
        <f t="shared" ref="P280" si="240">$C279*P279</f>
        <v>0</v>
      </c>
      <c r="Q280" s="78">
        <f t="shared" ref="Q280" si="241">$C279*Q279</f>
        <v>3915.9845403333334</v>
      </c>
      <c r="R280" s="78">
        <f t="shared" ref="R280:AB280" si="242">$C279*R279</f>
        <v>3126.5297589999996</v>
      </c>
      <c r="S280" s="78">
        <f t="shared" si="242"/>
        <v>430.83050566666662</v>
      </c>
      <c r="T280" s="78">
        <f t="shared" si="242"/>
        <v>4370.883789333333</v>
      </c>
      <c r="U280" s="78">
        <f t="shared" si="242"/>
        <v>0</v>
      </c>
      <c r="V280" s="78">
        <f t="shared" si="242"/>
        <v>0</v>
      </c>
      <c r="W280" s="78">
        <f t="shared" si="242"/>
        <v>0</v>
      </c>
      <c r="X280" s="78">
        <f t="shared" si="242"/>
        <v>5025.5536080000002</v>
      </c>
      <c r="Y280" s="78">
        <f t="shared" si="242"/>
        <v>194.95682099999999</v>
      </c>
      <c r="Z280" s="78">
        <f t="shared" si="242"/>
        <v>0</v>
      </c>
      <c r="AA280" s="78">
        <f t="shared" si="242"/>
        <v>0</v>
      </c>
      <c r="AB280" s="78">
        <f t="shared" si="242"/>
        <v>0</v>
      </c>
      <c r="AC280" s="32"/>
      <c r="AD280" s="30"/>
    </row>
    <row r="281" spans="1:30" s="27" customFormat="1">
      <c r="A281" s="71" t="s">
        <v>74</v>
      </c>
      <c r="B281" s="109">
        <v>355657.39</v>
      </c>
      <c r="C281" s="89">
        <f>B281/12</f>
        <v>29638.115833333333</v>
      </c>
      <c r="D281" s="74">
        <v>1.67E-2</v>
      </c>
      <c r="E281" s="74">
        <v>0.1394</v>
      </c>
      <c r="F281" s="74">
        <v>5.6399999999999999E-2</v>
      </c>
      <c r="G281" s="74">
        <v>8.0199999999999994E-2</v>
      </c>
      <c r="H281" s="74">
        <v>4.1200000000000001E-2</v>
      </c>
      <c r="I281" s="74">
        <v>0.1346</v>
      </c>
      <c r="J281" s="74">
        <v>2.12E-2</v>
      </c>
      <c r="K281" s="74">
        <v>3.3700000000000001E-2</v>
      </c>
      <c r="L281" s="74">
        <v>1.7600000000000001E-2</v>
      </c>
      <c r="M281" s="74">
        <v>2.5499999999999998E-2</v>
      </c>
      <c r="N281" s="74">
        <v>0.12970000000000001</v>
      </c>
      <c r="O281" s="74">
        <v>1.8100000000000002E-2</v>
      </c>
      <c r="P281" s="74">
        <v>0</v>
      </c>
      <c r="Q281" s="74">
        <v>3.9199999999999999E-2</v>
      </c>
      <c r="R281" s="74">
        <v>1.95E-2</v>
      </c>
      <c r="S281" s="74">
        <v>2.3999999999999998E-3</v>
      </c>
      <c r="T281" s="74">
        <v>5.3900000000000003E-2</v>
      </c>
      <c r="U281" s="74">
        <v>1.84E-2</v>
      </c>
      <c r="V281" s="74">
        <v>3.7100000000000001E-2</v>
      </c>
      <c r="W281" s="74">
        <v>4.7800000000000002E-2</v>
      </c>
      <c r="X281" s="74">
        <v>6.4000000000000001E-2</v>
      </c>
      <c r="Y281" s="74">
        <v>2.7000000000000001E-3</v>
      </c>
      <c r="Z281" s="75">
        <v>0</v>
      </c>
      <c r="AA281" s="75">
        <v>6.9999999999999999E-4</v>
      </c>
      <c r="AB281" s="75">
        <v>0</v>
      </c>
      <c r="AC281" s="32"/>
      <c r="AD281" s="30"/>
    </row>
    <row r="282" spans="1:30" s="27" customFormat="1">
      <c r="A282" s="76"/>
      <c r="B282" s="110"/>
      <c r="C282" s="84"/>
      <c r="D282" s="78">
        <f>$C281*D281</f>
        <v>494.95653441666667</v>
      </c>
      <c r="E282" s="78">
        <f t="shared" ref="E282" si="243">$C281*E281</f>
        <v>4131.5533471666668</v>
      </c>
      <c r="F282" s="78">
        <f t="shared" ref="F282" si="244">$C281*F281</f>
        <v>1671.589733</v>
      </c>
      <c r="G282" s="78">
        <f t="shared" ref="G282:AB282" si="245">$C281*G281</f>
        <v>2376.9768898333332</v>
      </c>
      <c r="H282" s="78">
        <f t="shared" si="245"/>
        <v>1221.0903723333333</v>
      </c>
      <c r="I282" s="78">
        <f t="shared" si="245"/>
        <v>3989.2903911666667</v>
      </c>
      <c r="J282" s="78">
        <f t="shared" si="245"/>
        <v>628.32805566666661</v>
      </c>
      <c r="K282" s="78">
        <f t="shared" si="245"/>
        <v>998.80450358333337</v>
      </c>
      <c r="L282" s="78">
        <f t="shared" si="245"/>
        <v>521.6308386666667</v>
      </c>
      <c r="M282" s="78">
        <f t="shared" si="245"/>
        <v>755.77195374999997</v>
      </c>
      <c r="N282" s="78">
        <f t="shared" si="245"/>
        <v>3844.0636235833335</v>
      </c>
      <c r="O282" s="78">
        <f t="shared" si="245"/>
        <v>536.44989658333338</v>
      </c>
      <c r="P282" s="78">
        <f t="shared" si="245"/>
        <v>0</v>
      </c>
      <c r="Q282" s="78">
        <f t="shared" si="245"/>
        <v>1161.8141406666666</v>
      </c>
      <c r="R282" s="78">
        <f t="shared" si="245"/>
        <v>577.94325875000004</v>
      </c>
      <c r="S282" s="78">
        <f t="shared" si="245"/>
        <v>71.131477999999987</v>
      </c>
      <c r="T282" s="78">
        <f t="shared" si="245"/>
        <v>1597.4944434166669</v>
      </c>
      <c r="U282" s="78">
        <f t="shared" si="245"/>
        <v>545.3413313333333</v>
      </c>
      <c r="V282" s="78">
        <f t="shared" si="245"/>
        <v>1099.5740974166667</v>
      </c>
      <c r="W282" s="78">
        <f t="shared" si="245"/>
        <v>1416.7019368333333</v>
      </c>
      <c r="X282" s="78">
        <f t="shared" si="245"/>
        <v>1896.8394133333334</v>
      </c>
      <c r="Y282" s="78">
        <f t="shared" si="245"/>
        <v>80.022912750000003</v>
      </c>
      <c r="Z282" s="78">
        <f t="shared" si="245"/>
        <v>0</v>
      </c>
      <c r="AA282" s="78">
        <f t="shared" si="245"/>
        <v>20.746681083333332</v>
      </c>
      <c r="AB282" s="78">
        <f t="shared" si="245"/>
        <v>0</v>
      </c>
      <c r="AC282" s="32"/>
      <c r="AD282" s="30"/>
    </row>
    <row r="283" spans="1:30" s="27" customFormat="1">
      <c r="A283" s="125" t="s">
        <v>75</v>
      </c>
      <c r="B283" s="109">
        <v>395047.84</v>
      </c>
      <c r="C283" s="89">
        <f>B283/12</f>
        <v>32920.653333333335</v>
      </c>
      <c r="D283" s="74"/>
      <c r="E283" s="74"/>
      <c r="F283" s="74"/>
      <c r="G283" s="74"/>
      <c r="H283" s="123">
        <v>0</v>
      </c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123">
        <v>1</v>
      </c>
      <c r="X283" s="74"/>
      <c r="Y283" s="74"/>
      <c r="Z283" s="75"/>
      <c r="AA283" s="75"/>
      <c r="AB283" s="75"/>
      <c r="AC283" s="32"/>
      <c r="AD283" s="30"/>
    </row>
    <row r="284" spans="1:30" s="27" customFormat="1">
      <c r="A284" s="76"/>
      <c r="B284" s="110"/>
      <c r="C284" s="84"/>
      <c r="D284" s="78">
        <f t="shared" ref="D284" si="246">$C283*D283</f>
        <v>0</v>
      </c>
      <c r="E284" s="78">
        <f t="shared" ref="E284" si="247">$C283*E283</f>
        <v>0</v>
      </c>
      <c r="F284" s="78">
        <f t="shared" ref="F284:O284" si="248">$C283*F283</f>
        <v>0</v>
      </c>
      <c r="G284" s="78">
        <f t="shared" si="248"/>
        <v>0</v>
      </c>
      <c r="H284" s="78">
        <f t="shared" si="248"/>
        <v>0</v>
      </c>
      <c r="I284" s="78">
        <f t="shared" si="248"/>
        <v>0</v>
      </c>
      <c r="J284" s="78">
        <f t="shared" si="248"/>
        <v>0</v>
      </c>
      <c r="K284" s="78">
        <f t="shared" si="248"/>
        <v>0</v>
      </c>
      <c r="L284" s="78">
        <f t="shared" si="248"/>
        <v>0</v>
      </c>
      <c r="M284" s="78">
        <f t="shared" si="248"/>
        <v>0</v>
      </c>
      <c r="N284" s="78">
        <f t="shared" si="248"/>
        <v>0</v>
      </c>
      <c r="O284" s="78">
        <f t="shared" si="248"/>
        <v>0</v>
      </c>
      <c r="P284" s="78">
        <f t="shared" ref="P284" si="249">$C283*P283</f>
        <v>0</v>
      </c>
      <c r="Q284" s="78">
        <f t="shared" ref="Q284" si="250">$C283*Q283</f>
        <v>0</v>
      </c>
      <c r="R284" s="78">
        <f t="shared" ref="R284:AB284" si="251">$C283*R283</f>
        <v>0</v>
      </c>
      <c r="S284" s="78">
        <f t="shared" si="251"/>
        <v>0</v>
      </c>
      <c r="T284" s="78">
        <f t="shared" si="251"/>
        <v>0</v>
      </c>
      <c r="U284" s="78">
        <f t="shared" si="251"/>
        <v>0</v>
      </c>
      <c r="V284" s="78">
        <f t="shared" si="251"/>
        <v>0</v>
      </c>
      <c r="W284" s="78">
        <f t="shared" si="251"/>
        <v>32920.653333333335</v>
      </c>
      <c r="X284" s="78">
        <f t="shared" si="251"/>
        <v>0</v>
      </c>
      <c r="Y284" s="78">
        <f t="shared" si="251"/>
        <v>0</v>
      </c>
      <c r="Z284" s="78">
        <f t="shared" si="251"/>
        <v>0</v>
      </c>
      <c r="AA284" s="78">
        <f t="shared" si="251"/>
        <v>0</v>
      </c>
      <c r="AB284" s="78">
        <f t="shared" si="251"/>
        <v>0</v>
      </c>
      <c r="AC284" s="32"/>
      <c r="AD284" s="30"/>
    </row>
    <row r="285" spans="1:30" s="27" customFormat="1">
      <c r="A285" s="25" t="s">
        <v>40</v>
      </c>
      <c r="B285" s="17">
        <f>SUM(B277:B284)</f>
        <v>1328355.07</v>
      </c>
      <c r="C285" s="26">
        <f>SUM(C277:C284)</f>
        <v>110696.25583333333</v>
      </c>
      <c r="D285" s="26">
        <f>D278+D280+D282+D284</f>
        <v>2126.8173324166664</v>
      </c>
      <c r="E285" s="26">
        <f t="shared" ref="E285:AB285" si="252">E278+E280+E282+E284</f>
        <v>7486.7361678333327</v>
      </c>
      <c r="F285" s="26">
        <f t="shared" si="252"/>
        <v>3029.0668569999998</v>
      </c>
      <c r="G285" s="26">
        <f t="shared" si="252"/>
        <v>4307.2901051666668</v>
      </c>
      <c r="H285" s="26">
        <f t="shared" si="252"/>
        <v>7977.1866259999997</v>
      </c>
      <c r="I285" s="26">
        <f t="shared" si="252"/>
        <v>7228.9432438333333</v>
      </c>
      <c r="J285" s="26">
        <f t="shared" si="252"/>
        <v>1138.5854143333331</v>
      </c>
      <c r="K285" s="26">
        <f t="shared" si="252"/>
        <v>1809.9211539166668</v>
      </c>
      <c r="L285" s="26">
        <f t="shared" si="252"/>
        <v>954.86821866666673</v>
      </c>
      <c r="M285" s="26">
        <f t="shared" si="252"/>
        <v>1369.5249087499999</v>
      </c>
      <c r="N285" s="26">
        <f t="shared" si="252"/>
        <v>6965.7796339166671</v>
      </c>
      <c r="O285" s="26">
        <f t="shared" si="252"/>
        <v>972.09415091666665</v>
      </c>
      <c r="P285" s="26">
        <f t="shared" si="252"/>
        <v>0</v>
      </c>
      <c r="Q285" s="26">
        <f t="shared" si="252"/>
        <v>6021.2934196666665</v>
      </c>
      <c r="R285" s="26">
        <f t="shared" si="252"/>
        <v>4173.8135127499991</v>
      </c>
      <c r="S285" s="26">
        <f t="shared" si="252"/>
        <v>559.72696766666661</v>
      </c>
      <c r="T285" s="26">
        <f t="shared" si="252"/>
        <v>7265.6834984166671</v>
      </c>
      <c r="U285" s="26">
        <f t="shared" si="252"/>
        <v>988.20620866666661</v>
      </c>
      <c r="V285" s="26">
        <f t="shared" si="252"/>
        <v>1992.5244750833335</v>
      </c>
      <c r="W285" s="26">
        <f t="shared" si="252"/>
        <v>35487.841201499999</v>
      </c>
      <c r="X285" s="26">
        <f t="shared" si="252"/>
        <v>8462.7925946666674</v>
      </c>
      <c r="Y285" s="26">
        <f t="shared" si="252"/>
        <v>339.96534075</v>
      </c>
      <c r="Z285" s="26">
        <f t="shared" si="252"/>
        <v>0</v>
      </c>
      <c r="AA285" s="26">
        <f t="shared" si="252"/>
        <v>37.594801416666662</v>
      </c>
      <c r="AB285" s="26">
        <f t="shared" si="252"/>
        <v>0</v>
      </c>
      <c r="AC285" s="32"/>
      <c r="AD285" s="30"/>
    </row>
    <row r="286" spans="1:30" s="27" customFormat="1">
      <c r="A286" s="29"/>
      <c r="B286" s="3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32"/>
      <c r="AD286" s="30"/>
    </row>
    <row r="287" spans="1:30" s="27" customFormat="1">
      <c r="A287" s="29"/>
      <c r="B287" s="3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32"/>
      <c r="AD287" s="30"/>
    </row>
    <row r="288" spans="1:30" s="27" customFormat="1">
      <c r="A288" s="29"/>
      <c r="B288" s="3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32"/>
      <c r="AD288" s="30"/>
    </row>
    <row r="289" spans="1:30" s="27" customFormat="1" ht="13.8" thickBot="1">
      <c r="A289" s="36" t="s">
        <v>76</v>
      </c>
      <c r="B289" s="54"/>
      <c r="C289" s="57"/>
      <c r="D289" s="54"/>
      <c r="E289" s="5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32"/>
      <c r="AD289" s="30"/>
    </row>
    <row r="290" spans="1:30" s="27" customFormat="1" ht="13.8" thickBot="1">
      <c r="A290" s="40" t="s">
        <v>1</v>
      </c>
      <c r="B290" s="41" t="s">
        <v>2</v>
      </c>
      <c r="C290" s="58" t="s">
        <v>3</v>
      </c>
      <c r="D290" s="137" t="s">
        <v>4</v>
      </c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50"/>
      <c r="AA290" s="50"/>
      <c r="AB290" s="50"/>
      <c r="AC290" s="32"/>
      <c r="AD290" s="30"/>
    </row>
    <row r="291" spans="1:30" s="27" customFormat="1">
      <c r="A291" s="42" t="s">
        <v>5</v>
      </c>
      <c r="B291" s="43" t="s">
        <v>6</v>
      </c>
      <c r="C291" s="59" t="s">
        <v>6</v>
      </c>
      <c r="D291" s="44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6"/>
      <c r="Z291" s="43" t="s">
        <v>7</v>
      </c>
      <c r="AA291" s="43"/>
      <c r="AB291" s="43"/>
      <c r="AC291" s="32"/>
      <c r="AD291" s="30"/>
    </row>
    <row r="292" spans="1:30" s="27" customFormat="1">
      <c r="A292" s="42" t="s">
        <v>8</v>
      </c>
      <c r="B292" s="43" t="s">
        <v>9</v>
      </c>
      <c r="C292" s="59" t="s">
        <v>9</v>
      </c>
      <c r="D292" s="47" t="s">
        <v>10</v>
      </c>
      <c r="E292" s="43" t="s">
        <v>11</v>
      </c>
      <c r="F292" s="43" t="s">
        <v>12</v>
      </c>
      <c r="G292" s="43" t="s">
        <v>13</v>
      </c>
      <c r="H292" s="43" t="s">
        <v>14</v>
      </c>
      <c r="I292" s="43" t="s">
        <v>15</v>
      </c>
      <c r="J292" s="43" t="s">
        <v>16</v>
      </c>
      <c r="K292" s="43" t="s">
        <v>17</v>
      </c>
      <c r="L292" s="43" t="s">
        <v>18</v>
      </c>
      <c r="M292" s="43" t="s">
        <v>19</v>
      </c>
      <c r="N292" s="43" t="s">
        <v>20</v>
      </c>
      <c r="O292" s="43" t="s">
        <v>57</v>
      </c>
      <c r="P292" s="43" t="s">
        <v>21</v>
      </c>
      <c r="Q292" s="43" t="s">
        <v>22</v>
      </c>
      <c r="R292" s="43" t="s">
        <v>23</v>
      </c>
      <c r="S292" s="43" t="s">
        <v>24</v>
      </c>
      <c r="T292" s="43" t="s">
        <v>25</v>
      </c>
      <c r="U292" s="43" t="s">
        <v>26</v>
      </c>
      <c r="V292" s="43" t="s">
        <v>27</v>
      </c>
      <c r="W292" s="43" t="s">
        <v>28</v>
      </c>
      <c r="X292" s="43" t="s">
        <v>29</v>
      </c>
      <c r="Y292" s="43" t="s">
        <v>30</v>
      </c>
      <c r="Z292" s="43" t="s">
        <v>31</v>
      </c>
      <c r="AA292" s="43" t="s">
        <v>115</v>
      </c>
      <c r="AB292" s="43" t="s">
        <v>113</v>
      </c>
      <c r="AC292" s="32"/>
      <c r="AD292" s="30"/>
    </row>
    <row r="293" spans="1:30" s="27" customFormat="1">
      <c r="A293" s="42"/>
      <c r="B293" s="43"/>
      <c r="C293" s="132" t="s">
        <v>133</v>
      </c>
      <c r="D293" s="44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32"/>
      <c r="AD293" s="30"/>
    </row>
    <row r="294" spans="1:30" s="27" customFormat="1">
      <c r="A294" s="71" t="s">
        <v>77</v>
      </c>
      <c r="B294" s="93">
        <f>575184/2</f>
        <v>287592</v>
      </c>
      <c r="C294" s="89">
        <f>B294/12</f>
        <v>23966</v>
      </c>
      <c r="D294" s="74">
        <v>1.67E-2</v>
      </c>
      <c r="E294" s="74">
        <v>0.1394</v>
      </c>
      <c r="F294" s="74">
        <v>5.6399999999999999E-2</v>
      </c>
      <c r="G294" s="74">
        <v>8.0199999999999994E-2</v>
      </c>
      <c r="H294" s="74">
        <v>4.1200000000000001E-2</v>
      </c>
      <c r="I294" s="74">
        <v>0.1346</v>
      </c>
      <c r="J294" s="74">
        <v>2.12E-2</v>
      </c>
      <c r="K294" s="74">
        <v>3.3700000000000001E-2</v>
      </c>
      <c r="L294" s="74">
        <v>1.7600000000000001E-2</v>
      </c>
      <c r="M294" s="74">
        <v>2.5499999999999998E-2</v>
      </c>
      <c r="N294" s="74">
        <v>0.12970000000000001</v>
      </c>
      <c r="O294" s="74">
        <v>1.8100000000000002E-2</v>
      </c>
      <c r="P294" s="74">
        <v>0</v>
      </c>
      <c r="Q294" s="74">
        <v>3.9199999999999999E-2</v>
      </c>
      <c r="R294" s="74">
        <v>1.95E-2</v>
      </c>
      <c r="S294" s="74">
        <v>2.3999999999999998E-3</v>
      </c>
      <c r="T294" s="74">
        <v>5.3900000000000003E-2</v>
      </c>
      <c r="U294" s="74">
        <v>1.84E-2</v>
      </c>
      <c r="V294" s="74">
        <v>3.7100000000000001E-2</v>
      </c>
      <c r="W294" s="74">
        <v>4.7800000000000002E-2</v>
      </c>
      <c r="X294" s="74">
        <v>6.4000000000000001E-2</v>
      </c>
      <c r="Y294" s="74">
        <v>2.7000000000000001E-3</v>
      </c>
      <c r="Z294" s="75">
        <v>0</v>
      </c>
      <c r="AA294" s="75">
        <v>6.9999999999999999E-4</v>
      </c>
      <c r="AB294" s="75">
        <v>0</v>
      </c>
      <c r="AC294" s="32"/>
      <c r="AD294" s="30"/>
    </row>
    <row r="295" spans="1:30" s="27" customFormat="1">
      <c r="A295" s="76"/>
      <c r="B295" s="31"/>
      <c r="C295" s="100"/>
      <c r="D295" s="78">
        <f>$C294*D294</f>
        <v>400.23219999999998</v>
      </c>
      <c r="E295" s="78">
        <f t="shared" ref="E295" si="253">$C294*E294</f>
        <v>3340.8604</v>
      </c>
      <c r="F295" s="78">
        <f t="shared" ref="F295" si="254">$C294*F294</f>
        <v>1351.6823999999999</v>
      </c>
      <c r="G295" s="78">
        <f t="shared" ref="G295:AB295" si="255">$C294*G294</f>
        <v>1922.0731999999998</v>
      </c>
      <c r="H295" s="78">
        <f t="shared" si="255"/>
        <v>987.39920000000006</v>
      </c>
      <c r="I295" s="78">
        <f t="shared" si="255"/>
        <v>3225.8235999999997</v>
      </c>
      <c r="J295" s="78">
        <f t="shared" si="255"/>
        <v>508.07920000000001</v>
      </c>
      <c r="K295" s="78">
        <f t="shared" si="255"/>
        <v>807.65420000000006</v>
      </c>
      <c r="L295" s="78">
        <f t="shared" si="255"/>
        <v>421.80160000000001</v>
      </c>
      <c r="M295" s="78">
        <f t="shared" si="255"/>
        <v>611.13299999999992</v>
      </c>
      <c r="N295" s="78">
        <f t="shared" si="255"/>
        <v>3108.3902000000003</v>
      </c>
      <c r="O295" s="78">
        <f t="shared" si="255"/>
        <v>433.78460000000001</v>
      </c>
      <c r="P295" s="78">
        <f t="shared" si="255"/>
        <v>0</v>
      </c>
      <c r="Q295" s="78">
        <f t="shared" si="255"/>
        <v>939.46719999999993</v>
      </c>
      <c r="R295" s="78">
        <f t="shared" si="255"/>
        <v>467.33699999999999</v>
      </c>
      <c r="S295" s="78">
        <f t="shared" si="255"/>
        <v>57.518399999999993</v>
      </c>
      <c r="T295" s="78">
        <f t="shared" si="255"/>
        <v>1291.7674000000002</v>
      </c>
      <c r="U295" s="78">
        <f t="shared" si="255"/>
        <v>440.9744</v>
      </c>
      <c r="V295" s="78">
        <f t="shared" si="255"/>
        <v>889.1386</v>
      </c>
      <c r="W295" s="78">
        <f t="shared" si="255"/>
        <v>1145.5748000000001</v>
      </c>
      <c r="X295" s="78">
        <f t="shared" si="255"/>
        <v>1533.8240000000001</v>
      </c>
      <c r="Y295" s="78">
        <f t="shared" si="255"/>
        <v>64.708200000000005</v>
      </c>
      <c r="Z295" s="78">
        <f t="shared" si="255"/>
        <v>0</v>
      </c>
      <c r="AA295" s="78">
        <f t="shared" si="255"/>
        <v>16.776199999999999</v>
      </c>
      <c r="AB295" s="78">
        <f t="shared" si="255"/>
        <v>0</v>
      </c>
      <c r="AC295" s="32"/>
      <c r="AD295" s="30"/>
    </row>
    <row r="296" spans="1:30" s="27" customFormat="1">
      <c r="A296" s="125" t="s">
        <v>109</v>
      </c>
      <c r="B296" s="93">
        <f>575184/2</f>
        <v>287592</v>
      </c>
      <c r="C296" s="89">
        <f>B296/12</f>
        <v>23966</v>
      </c>
      <c r="D296" s="120">
        <v>8.0299999999999996E-2</v>
      </c>
      <c r="E296" s="75"/>
      <c r="F296" s="75"/>
      <c r="G296" s="75"/>
      <c r="H296" s="75"/>
      <c r="I296" s="75"/>
      <c r="J296" s="75"/>
      <c r="K296" s="75"/>
      <c r="L296" s="75"/>
      <c r="M296" s="120">
        <v>8.4400000000000003E-2</v>
      </c>
      <c r="N296" s="75"/>
      <c r="O296" s="75"/>
      <c r="P296" s="75"/>
      <c r="Q296" s="120">
        <v>0.19980000000000001</v>
      </c>
      <c r="R296" s="75"/>
      <c r="S296" s="75"/>
      <c r="T296" s="120">
        <v>0.63549999999999995</v>
      </c>
      <c r="U296" s="75"/>
      <c r="V296" s="75"/>
      <c r="W296" s="75"/>
      <c r="X296" s="75"/>
      <c r="Y296" s="75"/>
      <c r="Z296" s="75"/>
      <c r="AA296" s="75"/>
      <c r="AB296" s="75"/>
      <c r="AC296" s="32"/>
      <c r="AD296" s="30"/>
    </row>
    <row r="297" spans="1:30" s="27" customFormat="1">
      <c r="A297" s="76"/>
      <c r="B297" s="77"/>
      <c r="C297" s="87"/>
      <c r="D297" s="78">
        <f t="shared" ref="D297" si="256">$C296*D296</f>
        <v>1924.4697999999999</v>
      </c>
      <c r="E297" s="78">
        <f t="shared" ref="E297" si="257">$C296*E296</f>
        <v>0</v>
      </c>
      <c r="F297" s="78">
        <f t="shared" ref="F297:O297" si="258">$C296*F296</f>
        <v>0</v>
      </c>
      <c r="G297" s="78">
        <f t="shared" si="258"/>
        <v>0</v>
      </c>
      <c r="H297" s="78">
        <f t="shared" si="258"/>
        <v>0</v>
      </c>
      <c r="I297" s="78">
        <f t="shared" si="258"/>
        <v>0</v>
      </c>
      <c r="J297" s="78">
        <f t="shared" si="258"/>
        <v>0</v>
      </c>
      <c r="K297" s="78">
        <f t="shared" si="258"/>
        <v>0</v>
      </c>
      <c r="L297" s="78">
        <f t="shared" si="258"/>
        <v>0</v>
      </c>
      <c r="M297" s="78">
        <f t="shared" si="258"/>
        <v>2022.7304000000001</v>
      </c>
      <c r="N297" s="78">
        <f t="shared" si="258"/>
        <v>0</v>
      </c>
      <c r="O297" s="78">
        <f t="shared" si="258"/>
        <v>0</v>
      </c>
      <c r="P297" s="78">
        <f t="shared" ref="P297" si="259">$C296*P296</f>
        <v>0</v>
      </c>
      <c r="Q297" s="78">
        <f t="shared" ref="Q297" si="260">$C296*Q296</f>
        <v>4788.4067999999997</v>
      </c>
      <c r="R297" s="78">
        <f t="shared" ref="R297:AB297" si="261">$C296*R296</f>
        <v>0</v>
      </c>
      <c r="S297" s="78">
        <f t="shared" si="261"/>
        <v>0</v>
      </c>
      <c r="T297" s="78">
        <f t="shared" si="261"/>
        <v>15230.392999999998</v>
      </c>
      <c r="U297" s="78">
        <f t="shared" si="261"/>
        <v>0</v>
      </c>
      <c r="V297" s="78">
        <f t="shared" si="261"/>
        <v>0</v>
      </c>
      <c r="W297" s="78">
        <f t="shared" si="261"/>
        <v>0</v>
      </c>
      <c r="X297" s="78">
        <f t="shared" si="261"/>
        <v>0</v>
      </c>
      <c r="Y297" s="78">
        <f t="shared" si="261"/>
        <v>0</v>
      </c>
      <c r="Z297" s="78">
        <f t="shared" si="261"/>
        <v>0</v>
      </c>
      <c r="AA297" s="78">
        <f t="shared" si="261"/>
        <v>0</v>
      </c>
      <c r="AB297" s="78">
        <f t="shared" si="261"/>
        <v>0</v>
      </c>
      <c r="AC297" s="32"/>
      <c r="AD297" s="30"/>
    </row>
    <row r="298" spans="1:30" s="27" customFormat="1">
      <c r="A298" s="71" t="s">
        <v>79</v>
      </c>
      <c r="B298" s="93">
        <f>485091/2</f>
        <v>242545.5</v>
      </c>
      <c r="C298" s="89">
        <f>B298/12</f>
        <v>20212.125</v>
      </c>
      <c r="D298" s="74">
        <v>1.67E-2</v>
      </c>
      <c r="E298" s="74">
        <v>0.1394</v>
      </c>
      <c r="F298" s="74">
        <v>5.6399999999999999E-2</v>
      </c>
      <c r="G298" s="74">
        <v>8.0199999999999994E-2</v>
      </c>
      <c r="H298" s="74">
        <v>4.1200000000000001E-2</v>
      </c>
      <c r="I298" s="74">
        <v>0.1346</v>
      </c>
      <c r="J298" s="74">
        <v>2.12E-2</v>
      </c>
      <c r="K298" s="74">
        <v>3.3700000000000001E-2</v>
      </c>
      <c r="L298" s="74">
        <v>1.7600000000000001E-2</v>
      </c>
      <c r="M298" s="74">
        <v>2.5499999999999998E-2</v>
      </c>
      <c r="N298" s="74">
        <v>0.12970000000000001</v>
      </c>
      <c r="O298" s="74">
        <v>1.8100000000000002E-2</v>
      </c>
      <c r="P298" s="74">
        <v>0</v>
      </c>
      <c r="Q298" s="74">
        <v>3.9199999999999999E-2</v>
      </c>
      <c r="R298" s="74">
        <v>1.95E-2</v>
      </c>
      <c r="S298" s="74">
        <v>2.3999999999999998E-3</v>
      </c>
      <c r="T298" s="74">
        <v>5.3900000000000003E-2</v>
      </c>
      <c r="U298" s="74">
        <v>1.84E-2</v>
      </c>
      <c r="V298" s="74">
        <v>3.7100000000000001E-2</v>
      </c>
      <c r="W298" s="74">
        <v>4.7800000000000002E-2</v>
      </c>
      <c r="X298" s="74">
        <v>6.4000000000000001E-2</v>
      </c>
      <c r="Y298" s="74">
        <v>2.7000000000000001E-3</v>
      </c>
      <c r="Z298" s="75">
        <v>0</v>
      </c>
      <c r="AA298" s="75">
        <v>6.9999999999999999E-4</v>
      </c>
      <c r="AB298" s="75">
        <v>0</v>
      </c>
      <c r="AC298" s="32"/>
      <c r="AD298" s="30"/>
    </row>
    <row r="299" spans="1:30" s="27" customFormat="1">
      <c r="A299" s="76"/>
      <c r="B299" s="16"/>
      <c r="C299" s="84"/>
      <c r="D299" s="78">
        <f t="shared" ref="D299" si="262">$C298*D298</f>
        <v>337.54248749999999</v>
      </c>
      <c r="E299" s="78">
        <f t="shared" ref="E299" si="263">$C298*E298</f>
        <v>2817.5702249999999</v>
      </c>
      <c r="F299" s="78">
        <f t="shared" ref="F299:AB299" si="264">$C298*F298</f>
        <v>1139.9638499999999</v>
      </c>
      <c r="G299" s="78">
        <f t="shared" si="264"/>
        <v>1621.0124249999999</v>
      </c>
      <c r="H299" s="78">
        <f t="shared" si="264"/>
        <v>832.73955000000001</v>
      </c>
      <c r="I299" s="78">
        <f t="shared" si="264"/>
        <v>2720.552025</v>
      </c>
      <c r="J299" s="78">
        <f t="shared" si="264"/>
        <v>428.49705</v>
      </c>
      <c r="K299" s="78">
        <f t="shared" si="264"/>
        <v>681.14861250000001</v>
      </c>
      <c r="L299" s="78">
        <f t="shared" si="264"/>
        <v>355.73340000000002</v>
      </c>
      <c r="M299" s="78">
        <f t="shared" si="264"/>
        <v>515.40918749999992</v>
      </c>
      <c r="N299" s="78">
        <f t="shared" si="264"/>
        <v>2621.5126125000002</v>
      </c>
      <c r="O299" s="78">
        <f t="shared" si="264"/>
        <v>365.83946250000002</v>
      </c>
      <c r="P299" s="78">
        <f t="shared" si="264"/>
        <v>0</v>
      </c>
      <c r="Q299" s="78">
        <f t="shared" si="264"/>
        <v>792.31529999999998</v>
      </c>
      <c r="R299" s="78">
        <f t="shared" si="264"/>
        <v>394.1364375</v>
      </c>
      <c r="S299" s="78">
        <f t="shared" si="264"/>
        <v>48.509099999999997</v>
      </c>
      <c r="T299" s="78">
        <f t="shared" si="264"/>
        <v>1089.4335375000001</v>
      </c>
      <c r="U299" s="78">
        <f t="shared" si="264"/>
        <v>371.90309999999999</v>
      </c>
      <c r="V299" s="78">
        <f t="shared" si="264"/>
        <v>749.86983750000002</v>
      </c>
      <c r="W299" s="78">
        <f t="shared" si="264"/>
        <v>966.13957500000004</v>
      </c>
      <c r="X299" s="78">
        <f t="shared" si="264"/>
        <v>1293.576</v>
      </c>
      <c r="Y299" s="78">
        <f t="shared" si="264"/>
        <v>54.572737500000002</v>
      </c>
      <c r="Z299" s="78">
        <f t="shared" si="264"/>
        <v>0</v>
      </c>
      <c r="AA299" s="78">
        <f t="shared" si="264"/>
        <v>14.1484875</v>
      </c>
      <c r="AB299" s="78">
        <f t="shared" si="264"/>
        <v>0</v>
      </c>
      <c r="AC299" s="32"/>
      <c r="AD299" s="30"/>
    </row>
    <row r="300" spans="1:30" s="27" customFormat="1">
      <c r="A300" s="125" t="s">
        <v>110</v>
      </c>
      <c r="B300" s="93">
        <f>485091/2</f>
        <v>242545.5</v>
      </c>
      <c r="C300" s="89">
        <f>B300/12</f>
        <v>20212.125</v>
      </c>
      <c r="D300" s="120">
        <v>8.0299999999999996E-2</v>
      </c>
      <c r="E300" s="75"/>
      <c r="F300" s="75"/>
      <c r="G300" s="75"/>
      <c r="H300" s="75"/>
      <c r="I300" s="75"/>
      <c r="J300" s="75"/>
      <c r="K300" s="75"/>
      <c r="L300" s="75"/>
      <c r="M300" s="120">
        <v>8.4400000000000003E-2</v>
      </c>
      <c r="N300" s="75"/>
      <c r="O300" s="75"/>
      <c r="P300" s="75"/>
      <c r="Q300" s="120">
        <v>0.19980000000000001</v>
      </c>
      <c r="R300" s="75"/>
      <c r="S300" s="75"/>
      <c r="T300" s="120">
        <v>0.63549999999999995</v>
      </c>
      <c r="U300" s="75"/>
      <c r="V300" s="75"/>
      <c r="W300" s="75"/>
      <c r="X300" s="75"/>
      <c r="Y300" s="75"/>
      <c r="Z300" s="75"/>
      <c r="AA300" s="75"/>
      <c r="AB300" s="75"/>
      <c r="AC300" s="32"/>
      <c r="AD300" s="30"/>
    </row>
    <row r="301" spans="1:30" s="27" customFormat="1">
      <c r="A301" s="76"/>
      <c r="B301" s="77"/>
      <c r="C301" s="87"/>
      <c r="D301" s="78">
        <f t="shared" ref="D301" si="265">$C300*D300</f>
        <v>1623.0336374999999</v>
      </c>
      <c r="E301" s="78">
        <f t="shared" ref="E301" si="266">$C300*E300</f>
        <v>0</v>
      </c>
      <c r="F301" s="78">
        <f t="shared" ref="F301:O301" si="267">$C300*F300</f>
        <v>0</v>
      </c>
      <c r="G301" s="78">
        <f t="shared" si="267"/>
        <v>0</v>
      </c>
      <c r="H301" s="78">
        <f t="shared" si="267"/>
        <v>0</v>
      </c>
      <c r="I301" s="78">
        <f t="shared" si="267"/>
        <v>0</v>
      </c>
      <c r="J301" s="78">
        <f t="shared" si="267"/>
        <v>0</v>
      </c>
      <c r="K301" s="78">
        <f t="shared" si="267"/>
        <v>0</v>
      </c>
      <c r="L301" s="78">
        <f t="shared" si="267"/>
        <v>0</v>
      </c>
      <c r="M301" s="78">
        <f t="shared" si="267"/>
        <v>1705.90335</v>
      </c>
      <c r="N301" s="78">
        <f t="shared" si="267"/>
        <v>0</v>
      </c>
      <c r="O301" s="78">
        <f t="shared" si="267"/>
        <v>0</v>
      </c>
      <c r="P301" s="78">
        <f t="shared" ref="P301" si="268">$C300*P300</f>
        <v>0</v>
      </c>
      <c r="Q301" s="78">
        <f t="shared" ref="Q301" si="269">$C300*Q300</f>
        <v>4038.3825750000001</v>
      </c>
      <c r="R301" s="78">
        <f t="shared" ref="R301:AB301" si="270">$C300*R300</f>
        <v>0</v>
      </c>
      <c r="S301" s="78">
        <f t="shared" si="270"/>
        <v>0</v>
      </c>
      <c r="T301" s="78">
        <f t="shared" si="270"/>
        <v>12844.805437499999</v>
      </c>
      <c r="U301" s="78">
        <f t="shared" si="270"/>
        <v>0</v>
      </c>
      <c r="V301" s="78">
        <f t="shared" si="270"/>
        <v>0</v>
      </c>
      <c r="W301" s="78">
        <f t="shared" si="270"/>
        <v>0</v>
      </c>
      <c r="X301" s="78">
        <f t="shared" si="270"/>
        <v>0</v>
      </c>
      <c r="Y301" s="78">
        <f t="shared" si="270"/>
        <v>0</v>
      </c>
      <c r="Z301" s="78">
        <f t="shared" si="270"/>
        <v>0</v>
      </c>
      <c r="AA301" s="78">
        <f t="shared" si="270"/>
        <v>0</v>
      </c>
      <c r="AB301" s="78">
        <f t="shared" si="270"/>
        <v>0</v>
      </c>
      <c r="AC301" s="32"/>
      <c r="AD301" s="30"/>
    </row>
    <row r="302" spans="1:30" s="27" customFormat="1">
      <c r="A302" s="71" t="s">
        <v>117</v>
      </c>
      <c r="B302" s="93">
        <f>164453/2</f>
        <v>82226.5</v>
      </c>
      <c r="C302" s="89">
        <f>B302/12</f>
        <v>6852.208333333333</v>
      </c>
      <c r="D302" s="74">
        <v>1.67E-2</v>
      </c>
      <c r="E302" s="74">
        <v>0.1394</v>
      </c>
      <c r="F302" s="74">
        <v>5.6399999999999999E-2</v>
      </c>
      <c r="G302" s="74">
        <v>8.0199999999999994E-2</v>
      </c>
      <c r="H302" s="74">
        <v>4.1200000000000001E-2</v>
      </c>
      <c r="I302" s="74">
        <v>0.1346</v>
      </c>
      <c r="J302" s="74">
        <v>2.12E-2</v>
      </c>
      <c r="K302" s="74">
        <v>3.3700000000000001E-2</v>
      </c>
      <c r="L302" s="74">
        <v>1.7600000000000001E-2</v>
      </c>
      <c r="M302" s="74">
        <v>2.5499999999999998E-2</v>
      </c>
      <c r="N302" s="74">
        <v>0.12970000000000001</v>
      </c>
      <c r="O302" s="74">
        <v>1.8100000000000002E-2</v>
      </c>
      <c r="P302" s="74">
        <v>0</v>
      </c>
      <c r="Q302" s="74">
        <v>3.9199999999999999E-2</v>
      </c>
      <c r="R302" s="74">
        <v>1.95E-2</v>
      </c>
      <c r="S302" s="74">
        <v>2.3999999999999998E-3</v>
      </c>
      <c r="T302" s="74">
        <v>5.3900000000000003E-2</v>
      </c>
      <c r="U302" s="74">
        <v>1.84E-2</v>
      </c>
      <c r="V302" s="74">
        <v>3.7100000000000001E-2</v>
      </c>
      <c r="W302" s="74">
        <v>4.7800000000000002E-2</v>
      </c>
      <c r="X302" s="74">
        <v>6.4000000000000001E-2</v>
      </c>
      <c r="Y302" s="74">
        <v>2.7000000000000001E-3</v>
      </c>
      <c r="Z302" s="75">
        <v>0</v>
      </c>
      <c r="AA302" s="75">
        <v>6.9999999999999999E-4</v>
      </c>
      <c r="AB302" s="75">
        <v>0</v>
      </c>
      <c r="AC302" s="32"/>
      <c r="AD302" s="30"/>
    </row>
    <row r="303" spans="1:30" s="27" customFormat="1">
      <c r="A303" s="112"/>
      <c r="B303" s="14"/>
      <c r="C303" s="113"/>
      <c r="D303" s="16">
        <f t="shared" ref="D303" si="271">$C302*D302</f>
        <v>114.43187916666666</v>
      </c>
      <c r="E303" s="16">
        <f t="shared" ref="E303" si="272">$C302*E302</f>
        <v>955.19784166666659</v>
      </c>
      <c r="F303" s="16">
        <f t="shared" ref="F303:AB303" si="273">$C302*F302</f>
        <v>386.46454999999997</v>
      </c>
      <c r="G303" s="16">
        <f t="shared" si="273"/>
        <v>549.54710833333331</v>
      </c>
      <c r="H303" s="16">
        <f t="shared" si="273"/>
        <v>282.3109833333333</v>
      </c>
      <c r="I303" s="16">
        <f t="shared" si="273"/>
        <v>922.30724166666664</v>
      </c>
      <c r="J303" s="16">
        <f t="shared" si="273"/>
        <v>145.26681666666667</v>
      </c>
      <c r="K303" s="16">
        <f t="shared" si="273"/>
        <v>230.91942083333333</v>
      </c>
      <c r="L303" s="16">
        <f t="shared" si="273"/>
        <v>120.59886666666667</v>
      </c>
      <c r="M303" s="16">
        <f t="shared" si="273"/>
        <v>174.73131249999997</v>
      </c>
      <c r="N303" s="16">
        <f t="shared" si="273"/>
        <v>888.73142083333335</v>
      </c>
      <c r="O303" s="16">
        <f t="shared" si="273"/>
        <v>124.02497083333334</v>
      </c>
      <c r="P303" s="16">
        <f t="shared" si="273"/>
        <v>0</v>
      </c>
      <c r="Q303" s="16">
        <f t="shared" si="273"/>
        <v>268.60656666666665</v>
      </c>
      <c r="R303" s="16">
        <f t="shared" si="273"/>
        <v>133.61806250000001</v>
      </c>
      <c r="S303" s="16">
        <f t="shared" si="273"/>
        <v>16.4453</v>
      </c>
      <c r="T303" s="16">
        <f t="shared" si="273"/>
        <v>369.33402916666665</v>
      </c>
      <c r="U303" s="16">
        <f t="shared" si="273"/>
        <v>126.08063333333332</v>
      </c>
      <c r="V303" s="16">
        <f t="shared" si="273"/>
        <v>254.21692916666666</v>
      </c>
      <c r="W303" s="16">
        <f t="shared" si="273"/>
        <v>327.53555833333331</v>
      </c>
      <c r="X303" s="16">
        <f t="shared" si="273"/>
        <v>438.54133333333334</v>
      </c>
      <c r="Y303" s="16">
        <f t="shared" si="273"/>
        <v>18.5009625</v>
      </c>
      <c r="Z303" s="16">
        <f t="shared" si="273"/>
        <v>0</v>
      </c>
      <c r="AA303" s="16">
        <f t="shared" si="273"/>
        <v>4.7965458333333331</v>
      </c>
      <c r="AB303" s="16">
        <f t="shared" si="273"/>
        <v>0</v>
      </c>
      <c r="AC303" s="32"/>
      <c r="AD303" s="30"/>
    </row>
    <row r="304" spans="1:30" s="27" customFormat="1">
      <c r="A304" s="125" t="s">
        <v>118</v>
      </c>
      <c r="B304" s="93">
        <f>164453/2</f>
        <v>82226.5</v>
      </c>
      <c r="C304" s="89">
        <f>B304/12</f>
        <v>6852.208333333333</v>
      </c>
      <c r="D304" s="123">
        <v>5.1999999999999998E-3</v>
      </c>
      <c r="E304" s="74"/>
      <c r="F304" s="123">
        <v>8.3799999999999999E-2</v>
      </c>
      <c r="G304" s="123">
        <v>2.5399999999999999E-2</v>
      </c>
      <c r="H304" s="123">
        <v>0.17960000000000001</v>
      </c>
      <c r="I304" s="74"/>
      <c r="J304" s="74"/>
      <c r="K304" s="74"/>
      <c r="L304" s="74"/>
      <c r="M304" s="123">
        <v>2.7199999999999998E-2</v>
      </c>
      <c r="N304" s="74"/>
      <c r="O304" s="74"/>
      <c r="P304" s="74"/>
      <c r="Q304" s="123">
        <v>0.1273</v>
      </c>
      <c r="R304" s="74"/>
      <c r="S304" s="123">
        <v>1.3899999999999999E-2</v>
      </c>
      <c r="T304" s="123">
        <v>0</v>
      </c>
      <c r="U304" s="74">
        <v>0</v>
      </c>
      <c r="V304" s="123">
        <v>0.26390000000000002</v>
      </c>
      <c r="W304" s="74"/>
      <c r="X304" s="123">
        <v>0.26350000000000001</v>
      </c>
      <c r="Y304" s="123">
        <v>1.0200000000000001E-2</v>
      </c>
      <c r="Z304" s="75"/>
      <c r="AA304" s="75"/>
      <c r="AB304" s="75"/>
      <c r="AC304" s="32"/>
      <c r="AD304" s="30"/>
    </row>
    <row r="305" spans="1:30" s="27" customFormat="1">
      <c r="A305" s="112"/>
      <c r="B305" s="14"/>
      <c r="C305" s="113"/>
      <c r="D305" s="16">
        <f>$C304*D304</f>
        <v>35.631483333333328</v>
      </c>
      <c r="E305" s="16">
        <f t="shared" ref="E305" si="274">$C304*E304</f>
        <v>0</v>
      </c>
      <c r="F305" s="16">
        <f t="shared" ref="F305" si="275">$C304*F304</f>
        <v>574.21505833333333</v>
      </c>
      <c r="G305" s="16">
        <f t="shared" ref="G305:AB305" si="276">$C304*G304</f>
        <v>174.04609166666665</v>
      </c>
      <c r="H305" s="16">
        <f t="shared" si="276"/>
        <v>1230.6566166666667</v>
      </c>
      <c r="I305" s="16">
        <f t="shared" si="276"/>
        <v>0</v>
      </c>
      <c r="J305" s="16">
        <f t="shared" si="276"/>
        <v>0</v>
      </c>
      <c r="K305" s="16">
        <f t="shared" si="276"/>
        <v>0</v>
      </c>
      <c r="L305" s="16">
        <f t="shared" si="276"/>
        <v>0</v>
      </c>
      <c r="M305" s="16">
        <f t="shared" si="276"/>
        <v>186.38006666666664</v>
      </c>
      <c r="N305" s="16">
        <f t="shared" si="276"/>
        <v>0</v>
      </c>
      <c r="O305" s="16">
        <f t="shared" si="276"/>
        <v>0</v>
      </c>
      <c r="P305" s="16">
        <f t="shared" si="276"/>
        <v>0</v>
      </c>
      <c r="Q305" s="16">
        <f t="shared" si="276"/>
        <v>872.28612083333326</v>
      </c>
      <c r="R305" s="16">
        <f t="shared" si="276"/>
        <v>0</v>
      </c>
      <c r="S305" s="16">
        <f t="shared" si="276"/>
        <v>95.245695833333329</v>
      </c>
      <c r="T305" s="16">
        <f t="shared" si="276"/>
        <v>0</v>
      </c>
      <c r="U305" s="16">
        <f t="shared" si="276"/>
        <v>0</v>
      </c>
      <c r="V305" s="16">
        <f t="shared" si="276"/>
        <v>1808.2977791666667</v>
      </c>
      <c r="W305" s="16">
        <f t="shared" si="276"/>
        <v>0</v>
      </c>
      <c r="X305" s="16">
        <f t="shared" si="276"/>
        <v>1805.5568958333333</v>
      </c>
      <c r="Y305" s="16">
        <f t="shared" si="276"/>
        <v>69.892525000000006</v>
      </c>
      <c r="Z305" s="16">
        <f t="shared" si="276"/>
        <v>0</v>
      </c>
      <c r="AA305" s="16">
        <f t="shared" si="276"/>
        <v>0</v>
      </c>
      <c r="AB305" s="16">
        <f t="shared" si="276"/>
        <v>0</v>
      </c>
      <c r="AC305" s="32"/>
      <c r="AD305" s="30"/>
    </row>
    <row r="306" spans="1:30" s="27" customFormat="1">
      <c r="A306" s="25" t="s">
        <v>40</v>
      </c>
      <c r="B306" s="17">
        <f>SUM(B294:B304)</f>
        <v>1224728</v>
      </c>
      <c r="C306" s="26">
        <f>SUM(C294:C304)</f>
        <v>102060.66666666666</v>
      </c>
      <c r="D306" s="26">
        <f>D295+D297+D299+D301+D303+D305</f>
        <v>4435.3414874999999</v>
      </c>
      <c r="E306" s="26">
        <f t="shared" ref="E306:AB306" si="277">E295+E297+E299+E301+E303+E305</f>
        <v>7113.628466666667</v>
      </c>
      <c r="F306" s="26">
        <f t="shared" si="277"/>
        <v>3452.3258583333331</v>
      </c>
      <c r="G306" s="26">
        <f t="shared" si="277"/>
        <v>4266.678825</v>
      </c>
      <c r="H306" s="26">
        <f t="shared" si="277"/>
        <v>3333.10635</v>
      </c>
      <c r="I306" s="26">
        <f t="shared" si="277"/>
        <v>6868.6828666666661</v>
      </c>
      <c r="J306" s="26">
        <f t="shared" si="277"/>
        <v>1081.8430666666668</v>
      </c>
      <c r="K306" s="26">
        <f t="shared" si="277"/>
        <v>1719.7222333333334</v>
      </c>
      <c r="L306" s="26">
        <f t="shared" si="277"/>
        <v>898.13386666666679</v>
      </c>
      <c r="M306" s="26">
        <f t="shared" si="277"/>
        <v>5216.2873166666668</v>
      </c>
      <c r="N306" s="26">
        <f t="shared" si="277"/>
        <v>6618.6342333333341</v>
      </c>
      <c r="O306" s="26">
        <f t="shared" si="277"/>
        <v>923.64903333333336</v>
      </c>
      <c r="P306" s="26">
        <f t="shared" si="277"/>
        <v>0</v>
      </c>
      <c r="Q306" s="26">
        <f t="shared" si="277"/>
        <v>11699.464562499999</v>
      </c>
      <c r="R306" s="26">
        <f t="shared" si="277"/>
        <v>995.0915</v>
      </c>
      <c r="S306" s="26">
        <f t="shared" si="277"/>
        <v>217.71849583333332</v>
      </c>
      <c r="T306" s="26">
        <f t="shared" si="277"/>
        <v>30825.733404166665</v>
      </c>
      <c r="U306" s="26">
        <f t="shared" si="277"/>
        <v>938.95813333333342</v>
      </c>
      <c r="V306" s="26">
        <f t="shared" si="277"/>
        <v>3701.5231458333337</v>
      </c>
      <c r="W306" s="26">
        <f t="shared" si="277"/>
        <v>2439.2499333333335</v>
      </c>
      <c r="X306" s="26">
        <f t="shared" si="277"/>
        <v>5071.4982291666665</v>
      </c>
      <c r="Y306" s="26">
        <f t="shared" si="277"/>
        <v>207.67442500000001</v>
      </c>
      <c r="Z306" s="26">
        <f t="shared" si="277"/>
        <v>0</v>
      </c>
      <c r="AA306" s="26">
        <f t="shared" si="277"/>
        <v>35.721233333333331</v>
      </c>
      <c r="AB306" s="26">
        <f t="shared" si="277"/>
        <v>0</v>
      </c>
      <c r="AC306" s="32"/>
      <c r="AD306" s="30"/>
    </row>
    <row r="307" spans="1:30" s="27" customFormat="1">
      <c r="A307" s="29"/>
      <c r="B307" s="3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32"/>
      <c r="AD307" s="30"/>
    </row>
    <row r="308" spans="1:30" s="27" customFormat="1" ht="13.8" thickBot="1">
      <c r="A308" s="29"/>
      <c r="B308" s="3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32"/>
      <c r="AD308" s="30"/>
    </row>
    <row r="309" spans="1:30" s="27" customFormat="1" ht="13.8" thickBot="1">
      <c r="A309" s="40" t="s">
        <v>1</v>
      </c>
      <c r="B309" s="41" t="s">
        <v>2</v>
      </c>
      <c r="C309" s="58" t="s">
        <v>3</v>
      </c>
      <c r="D309" s="137" t="s">
        <v>4</v>
      </c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50"/>
      <c r="AA309" s="50"/>
      <c r="AB309" s="50"/>
      <c r="AC309" s="32"/>
      <c r="AD309" s="30"/>
    </row>
    <row r="310" spans="1:30" s="27" customFormat="1">
      <c r="A310" s="42" t="s">
        <v>5</v>
      </c>
      <c r="B310" s="43" t="s">
        <v>6</v>
      </c>
      <c r="C310" s="59" t="s">
        <v>6</v>
      </c>
      <c r="D310" s="44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6"/>
      <c r="Z310" s="43" t="s">
        <v>7</v>
      </c>
      <c r="AA310" s="43"/>
      <c r="AB310" s="43"/>
      <c r="AC310" s="32"/>
      <c r="AD310" s="30"/>
    </row>
    <row r="311" spans="1:30" s="27" customFormat="1">
      <c r="A311" s="42" t="s">
        <v>8</v>
      </c>
      <c r="B311" s="43" t="s">
        <v>9</v>
      </c>
      <c r="C311" s="59" t="s">
        <v>9</v>
      </c>
      <c r="D311" s="47" t="s">
        <v>10</v>
      </c>
      <c r="E311" s="43" t="s">
        <v>11</v>
      </c>
      <c r="F311" s="43" t="s">
        <v>12</v>
      </c>
      <c r="G311" s="43" t="s">
        <v>13</v>
      </c>
      <c r="H311" s="43" t="s">
        <v>14</v>
      </c>
      <c r="I311" s="43" t="s">
        <v>15</v>
      </c>
      <c r="J311" s="43" t="s">
        <v>16</v>
      </c>
      <c r="K311" s="43" t="s">
        <v>17</v>
      </c>
      <c r="L311" s="43" t="s">
        <v>18</v>
      </c>
      <c r="M311" s="43" t="s">
        <v>19</v>
      </c>
      <c r="N311" s="43" t="s">
        <v>20</v>
      </c>
      <c r="O311" s="43" t="s">
        <v>57</v>
      </c>
      <c r="P311" s="43" t="s">
        <v>21</v>
      </c>
      <c r="Q311" s="43" t="s">
        <v>22</v>
      </c>
      <c r="R311" s="43" t="s">
        <v>23</v>
      </c>
      <c r="S311" s="43" t="s">
        <v>24</v>
      </c>
      <c r="T311" s="43" t="s">
        <v>25</v>
      </c>
      <c r="U311" s="43" t="s">
        <v>26</v>
      </c>
      <c r="V311" s="43" t="s">
        <v>27</v>
      </c>
      <c r="W311" s="43" t="s">
        <v>28</v>
      </c>
      <c r="X311" s="43" t="s">
        <v>29</v>
      </c>
      <c r="Y311" s="43" t="s">
        <v>30</v>
      </c>
      <c r="Z311" s="43" t="s">
        <v>31</v>
      </c>
      <c r="AA311" s="43" t="s">
        <v>115</v>
      </c>
      <c r="AB311" s="43" t="s">
        <v>113</v>
      </c>
      <c r="AC311" s="32"/>
      <c r="AD311" s="30"/>
    </row>
    <row r="312" spans="1:30" s="27" customFormat="1">
      <c r="A312" s="42"/>
      <c r="B312" s="43"/>
      <c r="C312" s="132" t="s">
        <v>132</v>
      </c>
      <c r="D312" s="44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32"/>
      <c r="AD312" s="30"/>
    </row>
    <row r="313" spans="1:30" s="27" customFormat="1">
      <c r="A313" s="71" t="s">
        <v>77</v>
      </c>
      <c r="B313" s="93">
        <f xml:space="preserve"> 606082/2</f>
        <v>303041</v>
      </c>
      <c r="C313" s="89">
        <f>B313/12</f>
        <v>25253.416666666668</v>
      </c>
      <c r="D313" s="74">
        <v>1.67E-2</v>
      </c>
      <c r="E313" s="74">
        <v>0.1394</v>
      </c>
      <c r="F313" s="74">
        <v>5.6399999999999999E-2</v>
      </c>
      <c r="G313" s="74">
        <v>8.0199999999999994E-2</v>
      </c>
      <c r="H313" s="74">
        <v>4.1200000000000001E-2</v>
      </c>
      <c r="I313" s="74">
        <v>0.1346</v>
      </c>
      <c r="J313" s="74">
        <v>2.12E-2</v>
      </c>
      <c r="K313" s="74">
        <v>3.3700000000000001E-2</v>
      </c>
      <c r="L313" s="74">
        <v>1.7600000000000001E-2</v>
      </c>
      <c r="M313" s="74">
        <v>2.5499999999999998E-2</v>
      </c>
      <c r="N313" s="74">
        <v>0.12970000000000001</v>
      </c>
      <c r="O313" s="74">
        <v>1.8100000000000002E-2</v>
      </c>
      <c r="P313" s="74">
        <v>0</v>
      </c>
      <c r="Q313" s="74">
        <v>3.9199999999999999E-2</v>
      </c>
      <c r="R313" s="74">
        <v>1.95E-2</v>
      </c>
      <c r="S313" s="74">
        <v>2.3999999999999998E-3</v>
      </c>
      <c r="T313" s="74">
        <v>5.3900000000000003E-2</v>
      </c>
      <c r="U313" s="74">
        <v>1.84E-2</v>
      </c>
      <c r="V313" s="74">
        <v>3.7100000000000001E-2</v>
      </c>
      <c r="W313" s="74">
        <v>4.7800000000000002E-2</v>
      </c>
      <c r="X313" s="74">
        <v>6.4000000000000001E-2</v>
      </c>
      <c r="Y313" s="74">
        <v>2.7000000000000001E-3</v>
      </c>
      <c r="Z313" s="75">
        <v>0</v>
      </c>
      <c r="AA313" s="75">
        <v>6.9999999999999999E-4</v>
      </c>
      <c r="AB313" s="75">
        <v>0</v>
      </c>
      <c r="AC313" s="32"/>
      <c r="AD313" s="30"/>
    </row>
    <row r="314" spans="1:30" s="27" customFormat="1">
      <c r="A314" s="76"/>
      <c r="B314" s="31"/>
      <c r="C314" s="100"/>
      <c r="D314" s="78">
        <f>$C313*D313</f>
        <v>421.73205833333333</v>
      </c>
      <c r="E314" s="78">
        <f t="shared" ref="E314:AB314" si="278">$C313*E313</f>
        <v>3520.3262833333333</v>
      </c>
      <c r="F314" s="78">
        <f t="shared" si="278"/>
        <v>1424.2927</v>
      </c>
      <c r="G314" s="78">
        <f t="shared" si="278"/>
        <v>2025.3240166666667</v>
      </c>
      <c r="H314" s="78">
        <f t="shared" si="278"/>
        <v>1040.4407666666668</v>
      </c>
      <c r="I314" s="78">
        <f t="shared" si="278"/>
        <v>3399.1098833333335</v>
      </c>
      <c r="J314" s="78">
        <f t="shared" si="278"/>
        <v>535.37243333333333</v>
      </c>
      <c r="K314" s="78">
        <f t="shared" si="278"/>
        <v>851.04014166666673</v>
      </c>
      <c r="L314" s="78">
        <f t="shared" si="278"/>
        <v>444.46013333333337</v>
      </c>
      <c r="M314" s="78">
        <f t="shared" si="278"/>
        <v>643.96212500000001</v>
      </c>
      <c r="N314" s="78">
        <f t="shared" si="278"/>
        <v>3275.3681416666673</v>
      </c>
      <c r="O314" s="78">
        <f t="shared" si="278"/>
        <v>457.08684166666671</v>
      </c>
      <c r="P314" s="78">
        <f t="shared" si="278"/>
        <v>0</v>
      </c>
      <c r="Q314" s="78">
        <f t="shared" si="278"/>
        <v>989.93393333333336</v>
      </c>
      <c r="R314" s="78">
        <f t="shared" si="278"/>
        <v>492.44162500000004</v>
      </c>
      <c r="S314" s="78">
        <f t="shared" si="278"/>
        <v>60.608199999999997</v>
      </c>
      <c r="T314" s="78">
        <f t="shared" si="278"/>
        <v>1361.1591583333334</v>
      </c>
      <c r="U314" s="78">
        <f t="shared" si="278"/>
        <v>464.66286666666667</v>
      </c>
      <c r="V314" s="78">
        <f t="shared" si="278"/>
        <v>936.90175833333342</v>
      </c>
      <c r="W314" s="78">
        <f t="shared" si="278"/>
        <v>1207.1133166666668</v>
      </c>
      <c r="X314" s="78">
        <f t="shared" si="278"/>
        <v>1616.2186666666669</v>
      </c>
      <c r="Y314" s="78">
        <f t="shared" si="278"/>
        <v>68.184225000000012</v>
      </c>
      <c r="Z314" s="78">
        <f t="shared" si="278"/>
        <v>0</v>
      </c>
      <c r="AA314" s="78">
        <f t="shared" si="278"/>
        <v>17.677391666666669</v>
      </c>
      <c r="AB314" s="78">
        <f t="shared" si="278"/>
        <v>0</v>
      </c>
      <c r="AC314" s="32"/>
      <c r="AD314" s="30"/>
    </row>
    <row r="315" spans="1:30" s="27" customFormat="1">
      <c r="A315" s="125" t="s">
        <v>109</v>
      </c>
      <c r="B315" s="93">
        <f xml:space="preserve"> 606082/2</f>
        <v>303041</v>
      </c>
      <c r="C315" s="89">
        <f>B315/12</f>
        <v>25253.416666666668</v>
      </c>
      <c r="D315" s="120">
        <v>8.0299999999999996E-2</v>
      </c>
      <c r="E315" s="75"/>
      <c r="F315" s="75"/>
      <c r="G315" s="75"/>
      <c r="H315" s="75"/>
      <c r="I315" s="75"/>
      <c r="J315" s="75"/>
      <c r="K315" s="75"/>
      <c r="L315" s="75"/>
      <c r="M315" s="120">
        <v>8.4400000000000003E-2</v>
      </c>
      <c r="N315" s="75"/>
      <c r="O315" s="75"/>
      <c r="P315" s="75"/>
      <c r="Q315" s="120">
        <v>0.19980000000000001</v>
      </c>
      <c r="R315" s="75"/>
      <c r="S315" s="75"/>
      <c r="T315" s="120">
        <v>0.63549999999999995</v>
      </c>
      <c r="U315" s="75"/>
      <c r="V315" s="75"/>
      <c r="W315" s="75"/>
      <c r="X315" s="75"/>
      <c r="Y315" s="75"/>
      <c r="Z315" s="75"/>
      <c r="AA315" s="75"/>
      <c r="AB315" s="75"/>
      <c r="AC315" s="32"/>
      <c r="AD315" s="30"/>
    </row>
    <row r="316" spans="1:30" s="27" customFormat="1">
      <c r="A316" s="76"/>
      <c r="B316" s="77"/>
      <c r="C316" s="87"/>
      <c r="D316" s="78">
        <f t="shared" ref="D316:AB316" si="279">$C315*D315</f>
        <v>2027.8493583333334</v>
      </c>
      <c r="E316" s="78">
        <f t="shared" si="279"/>
        <v>0</v>
      </c>
      <c r="F316" s="78">
        <f t="shared" si="279"/>
        <v>0</v>
      </c>
      <c r="G316" s="78">
        <f t="shared" si="279"/>
        <v>0</v>
      </c>
      <c r="H316" s="78">
        <f t="shared" si="279"/>
        <v>0</v>
      </c>
      <c r="I316" s="78">
        <f t="shared" si="279"/>
        <v>0</v>
      </c>
      <c r="J316" s="78">
        <f t="shared" si="279"/>
        <v>0</v>
      </c>
      <c r="K316" s="78">
        <f t="shared" si="279"/>
        <v>0</v>
      </c>
      <c r="L316" s="78">
        <f t="shared" si="279"/>
        <v>0</v>
      </c>
      <c r="M316" s="78">
        <f t="shared" si="279"/>
        <v>2131.388366666667</v>
      </c>
      <c r="N316" s="78">
        <f t="shared" si="279"/>
        <v>0</v>
      </c>
      <c r="O316" s="78">
        <f t="shared" si="279"/>
        <v>0</v>
      </c>
      <c r="P316" s="78">
        <f t="shared" si="279"/>
        <v>0</v>
      </c>
      <c r="Q316" s="78">
        <f t="shared" si="279"/>
        <v>5045.6326500000005</v>
      </c>
      <c r="R316" s="78">
        <f t="shared" si="279"/>
        <v>0</v>
      </c>
      <c r="S316" s="78">
        <f t="shared" si="279"/>
        <v>0</v>
      </c>
      <c r="T316" s="78">
        <f t="shared" si="279"/>
        <v>16048.546291666666</v>
      </c>
      <c r="U316" s="78">
        <f t="shared" si="279"/>
        <v>0</v>
      </c>
      <c r="V316" s="78">
        <f t="shared" si="279"/>
        <v>0</v>
      </c>
      <c r="W316" s="78">
        <f t="shared" si="279"/>
        <v>0</v>
      </c>
      <c r="X316" s="78">
        <f t="shared" si="279"/>
        <v>0</v>
      </c>
      <c r="Y316" s="78">
        <f t="shared" si="279"/>
        <v>0</v>
      </c>
      <c r="Z316" s="78">
        <f t="shared" si="279"/>
        <v>0</v>
      </c>
      <c r="AA316" s="78">
        <f t="shared" si="279"/>
        <v>0</v>
      </c>
      <c r="AB316" s="78">
        <f t="shared" si="279"/>
        <v>0</v>
      </c>
      <c r="AC316" s="32"/>
      <c r="AD316" s="30"/>
    </row>
    <row r="317" spans="1:30" s="27" customFormat="1">
      <c r="A317" s="71" t="s">
        <v>79</v>
      </c>
      <c r="B317" s="93">
        <f xml:space="preserve"> 747580/2</f>
        <v>373790</v>
      </c>
      <c r="C317" s="89">
        <f>B317/12</f>
        <v>31149.166666666668</v>
      </c>
      <c r="D317" s="74">
        <v>1.67E-2</v>
      </c>
      <c r="E317" s="74">
        <v>0.1394</v>
      </c>
      <c r="F317" s="74">
        <v>5.6399999999999999E-2</v>
      </c>
      <c r="G317" s="74">
        <v>8.0199999999999994E-2</v>
      </c>
      <c r="H317" s="74">
        <v>4.1200000000000001E-2</v>
      </c>
      <c r="I317" s="74">
        <v>0.1346</v>
      </c>
      <c r="J317" s="74">
        <v>2.12E-2</v>
      </c>
      <c r="K317" s="74">
        <v>3.3700000000000001E-2</v>
      </c>
      <c r="L317" s="74">
        <v>1.7600000000000001E-2</v>
      </c>
      <c r="M317" s="74">
        <v>2.5499999999999998E-2</v>
      </c>
      <c r="N317" s="74">
        <v>0.12970000000000001</v>
      </c>
      <c r="O317" s="74">
        <v>1.8100000000000002E-2</v>
      </c>
      <c r="P317" s="74">
        <v>0</v>
      </c>
      <c r="Q317" s="74">
        <v>3.9199999999999999E-2</v>
      </c>
      <c r="R317" s="74">
        <v>1.95E-2</v>
      </c>
      <c r="S317" s="74">
        <v>2.3999999999999998E-3</v>
      </c>
      <c r="T317" s="74">
        <v>5.3900000000000003E-2</v>
      </c>
      <c r="U317" s="74">
        <v>1.84E-2</v>
      </c>
      <c r="V317" s="74">
        <v>3.7100000000000001E-2</v>
      </c>
      <c r="W317" s="74">
        <v>4.7800000000000002E-2</v>
      </c>
      <c r="X317" s="74">
        <v>6.4000000000000001E-2</v>
      </c>
      <c r="Y317" s="74">
        <v>2.7000000000000001E-3</v>
      </c>
      <c r="Z317" s="75">
        <v>0</v>
      </c>
      <c r="AA317" s="75">
        <v>6.9999999999999999E-4</v>
      </c>
      <c r="AB317" s="75">
        <v>0</v>
      </c>
      <c r="AC317" s="32"/>
      <c r="AD317" s="30"/>
    </row>
    <row r="318" spans="1:30" s="27" customFormat="1">
      <c r="A318" s="76"/>
      <c r="B318" s="16"/>
      <c r="C318" s="84"/>
      <c r="D318" s="78">
        <f t="shared" ref="D318:AB318" si="280">$C317*D317</f>
        <v>520.19108333333338</v>
      </c>
      <c r="E318" s="78">
        <f t="shared" si="280"/>
        <v>4342.1938333333337</v>
      </c>
      <c r="F318" s="78">
        <f t="shared" si="280"/>
        <v>1756.8130000000001</v>
      </c>
      <c r="G318" s="78">
        <f t="shared" si="280"/>
        <v>2498.1631666666667</v>
      </c>
      <c r="H318" s="78">
        <f t="shared" si="280"/>
        <v>1283.3456666666668</v>
      </c>
      <c r="I318" s="78">
        <f t="shared" si="280"/>
        <v>4192.6778333333332</v>
      </c>
      <c r="J318" s="78">
        <f t="shared" si="280"/>
        <v>660.36233333333337</v>
      </c>
      <c r="K318" s="78">
        <f t="shared" si="280"/>
        <v>1049.7269166666667</v>
      </c>
      <c r="L318" s="78">
        <f t="shared" si="280"/>
        <v>548.22533333333342</v>
      </c>
      <c r="M318" s="78">
        <f t="shared" si="280"/>
        <v>794.30375000000004</v>
      </c>
      <c r="N318" s="78">
        <f t="shared" si="280"/>
        <v>4040.0469166666671</v>
      </c>
      <c r="O318" s="78">
        <f t="shared" si="280"/>
        <v>563.79991666666672</v>
      </c>
      <c r="P318" s="78">
        <f t="shared" si="280"/>
        <v>0</v>
      </c>
      <c r="Q318" s="78">
        <f t="shared" si="280"/>
        <v>1221.0473333333334</v>
      </c>
      <c r="R318" s="78">
        <f t="shared" si="280"/>
        <v>607.40875000000005</v>
      </c>
      <c r="S318" s="78">
        <f t="shared" si="280"/>
        <v>74.757999999999996</v>
      </c>
      <c r="T318" s="78">
        <f t="shared" si="280"/>
        <v>1678.9400833333334</v>
      </c>
      <c r="U318" s="78">
        <f t="shared" si="280"/>
        <v>573.14466666666669</v>
      </c>
      <c r="V318" s="78">
        <f t="shared" si="280"/>
        <v>1155.6340833333334</v>
      </c>
      <c r="W318" s="78">
        <f t="shared" si="280"/>
        <v>1488.9301666666668</v>
      </c>
      <c r="X318" s="78">
        <f t="shared" si="280"/>
        <v>1993.5466666666669</v>
      </c>
      <c r="Y318" s="78">
        <f t="shared" si="280"/>
        <v>84.102750000000015</v>
      </c>
      <c r="Z318" s="78">
        <f t="shared" si="280"/>
        <v>0</v>
      </c>
      <c r="AA318" s="78">
        <f t="shared" si="280"/>
        <v>21.804416666666668</v>
      </c>
      <c r="AB318" s="78">
        <f t="shared" si="280"/>
        <v>0</v>
      </c>
      <c r="AC318" s="32"/>
      <c r="AD318" s="30"/>
    </row>
    <row r="319" spans="1:30" s="27" customFormat="1">
      <c r="A319" s="125" t="s">
        <v>110</v>
      </c>
      <c r="B319" s="93">
        <f xml:space="preserve"> 747580/2</f>
        <v>373790</v>
      </c>
      <c r="C319" s="89">
        <f>B319/12</f>
        <v>31149.166666666668</v>
      </c>
      <c r="D319" s="120">
        <v>8.0299999999999996E-2</v>
      </c>
      <c r="E319" s="75"/>
      <c r="F319" s="75"/>
      <c r="G319" s="75"/>
      <c r="H319" s="75"/>
      <c r="I319" s="75"/>
      <c r="J319" s="75"/>
      <c r="K319" s="75"/>
      <c r="L319" s="75"/>
      <c r="M319" s="120">
        <v>8.4400000000000003E-2</v>
      </c>
      <c r="N319" s="75"/>
      <c r="O319" s="75"/>
      <c r="P319" s="75"/>
      <c r="Q319" s="120">
        <v>0.19980000000000001</v>
      </c>
      <c r="R319" s="75"/>
      <c r="S319" s="75"/>
      <c r="T319" s="120">
        <v>0.63549999999999995</v>
      </c>
      <c r="U319" s="75"/>
      <c r="V319" s="75"/>
      <c r="W319" s="75"/>
      <c r="X319" s="75"/>
      <c r="Y319" s="75"/>
      <c r="Z319" s="75"/>
      <c r="AA319" s="75"/>
      <c r="AB319" s="75"/>
      <c r="AC319" s="32"/>
      <c r="AD319" s="30"/>
    </row>
    <row r="320" spans="1:30" s="27" customFormat="1">
      <c r="A320" s="76"/>
      <c r="B320" s="77"/>
      <c r="C320" s="87"/>
      <c r="D320" s="78">
        <f t="shared" ref="D320:AB320" si="281">$C319*D319</f>
        <v>2501.2780833333331</v>
      </c>
      <c r="E320" s="78">
        <f t="shared" si="281"/>
        <v>0</v>
      </c>
      <c r="F320" s="78">
        <f t="shared" si="281"/>
        <v>0</v>
      </c>
      <c r="G320" s="78">
        <f t="shared" si="281"/>
        <v>0</v>
      </c>
      <c r="H320" s="78">
        <f t="shared" si="281"/>
        <v>0</v>
      </c>
      <c r="I320" s="78">
        <f t="shared" si="281"/>
        <v>0</v>
      </c>
      <c r="J320" s="78">
        <f t="shared" si="281"/>
        <v>0</v>
      </c>
      <c r="K320" s="78">
        <f t="shared" si="281"/>
        <v>0</v>
      </c>
      <c r="L320" s="78">
        <f t="shared" si="281"/>
        <v>0</v>
      </c>
      <c r="M320" s="78">
        <f t="shared" si="281"/>
        <v>2628.9896666666668</v>
      </c>
      <c r="N320" s="78">
        <f t="shared" si="281"/>
        <v>0</v>
      </c>
      <c r="O320" s="78">
        <f t="shared" si="281"/>
        <v>0</v>
      </c>
      <c r="P320" s="78">
        <f t="shared" si="281"/>
        <v>0</v>
      </c>
      <c r="Q320" s="78">
        <f t="shared" si="281"/>
        <v>6223.6035000000002</v>
      </c>
      <c r="R320" s="78">
        <f t="shared" si="281"/>
        <v>0</v>
      </c>
      <c r="S320" s="78">
        <f t="shared" si="281"/>
        <v>0</v>
      </c>
      <c r="T320" s="78">
        <f t="shared" si="281"/>
        <v>19795.295416666668</v>
      </c>
      <c r="U320" s="78">
        <f t="shared" si="281"/>
        <v>0</v>
      </c>
      <c r="V320" s="78">
        <f t="shared" si="281"/>
        <v>0</v>
      </c>
      <c r="W320" s="78">
        <f t="shared" si="281"/>
        <v>0</v>
      </c>
      <c r="X320" s="78">
        <f t="shared" si="281"/>
        <v>0</v>
      </c>
      <c r="Y320" s="78">
        <f t="shared" si="281"/>
        <v>0</v>
      </c>
      <c r="Z320" s="78">
        <f t="shared" si="281"/>
        <v>0</v>
      </c>
      <c r="AA320" s="78">
        <f t="shared" si="281"/>
        <v>0</v>
      </c>
      <c r="AB320" s="78">
        <f t="shared" si="281"/>
        <v>0</v>
      </c>
      <c r="AC320" s="32"/>
      <c r="AD320" s="30"/>
    </row>
    <row r="321" spans="1:30" s="27" customFormat="1">
      <c r="A321" s="71" t="s">
        <v>117</v>
      </c>
      <c r="B321" s="93">
        <f xml:space="preserve"> 106501/2</f>
        <v>53250.5</v>
      </c>
      <c r="C321" s="89">
        <f>B321/12</f>
        <v>4437.541666666667</v>
      </c>
      <c r="D321" s="74">
        <v>1.67E-2</v>
      </c>
      <c r="E321" s="74">
        <v>0.1394</v>
      </c>
      <c r="F321" s="74">
        <v>5.6399999999999999E-2</v>
      </c>
      <c r="G321" s="74">
        <v>8.0199999999999994E-2</v>
      </c>
      <c r="H321" s="74">
        <v>4.1200000000000001E-2</v>
      </c>
      <c r="I321" s="74">
        <v>0.1346</v>
      </c>
      <c r="J321" s="74">
        <v>2.12E-2</v>
      </c>
      <c r="K321" s="74">
        <v>3.3700000000000001E-2</v>
      </c>
      <c r="L321" s="74">
        <v>1.7600000000000001E-2</v>
      </c>
      <c r="M321" s="74">
        <v>2.5499999999999998E-2</v>
      </c>
      <c r="N321" s="74">
        <v>0.12970000000000001</v>
      </c>
      <c r="O321" s="74">
        <v>1.8100000000000002E-2</v>
      </c>
      <c r="P321" s="74">
        <v>0</v>
      </c>
      <c r="Q321" s="74">
        <v>3.9199999999999999E-2</v>
      </c>
      <c r="R321" s="74">
        <v>1.95E-2</v>
      </c>
      <c r="S321" s="74">
        <v>2.3999999999999998E-3</v>
      </c>
      <c r="T321" s="74">
        <v>5.3900000000000003E-2</v>
      </c>
      <c r="U321" s="74">
        <v>1.84E-2</v>
      </c>
      <c r="V321" s="74">
        <v>3.7100000000000001E-2</v>
      </c>
      <c r="W321" s="74">
        <v>4.7800000000000002E-2</v>
      </c>
      <c r="X321" s="74">
        <v>6.4000000000000001E-2</v>
      </c>
      <c r="Y321" s="74">
        <v>2.7000000000000001E-3</v>
      </c>
      <c r="Z321" s="75">
        <v>0</v>
      </c>
      <c r="AA321" s="75">
        <v>6.9999999999999999E-4</v>
      </c>
      <c r="AB321" s="75">
        <v>0</v>
      </c>
      <c r="AC321" s="32"/>
      <c r="AD321" s="30"/>
    </row>
    <row r="322" spans="1:30" s="27" customFormat="1">
      <c r="A322" s="112"/>
      <c r="B322" s="14"/>
      <c r="C322" s="113"/>
      <c r="D322" s="16">
        <f t="shared" ref="D322:AB322" si="282">$C321*D321</f>
        <v>74.106945833333342</v>
      </c>
      <c r="E322" s="16">
        <f t="shared" si="282"/>
        <v>618.59330833333331</v>
      </c>
      <c r="F322" s="16">
        <f t="shared" si="282"/>
        <v>250.27735000000001</v>
      </c>
      <c r="G322" s="16">
        <f t="shared" si="282"/>
        <v>355.89084166666669</v>
      </c>
      <c r="H322" s="16">
        <f t="shared" si="282"/>
        <v>182.82671666666667</v>
      </c>
      <c r="I322" s="16">
        <f t="shared" si="282"/>
        <v>597.29310833333341</v>
      </c>
      <c r="J322" s="16">
        <f t="shared" si="282"/>
        <v>94.075883333333337</v>
      </c>
      <c r="K322" s="16">
        <f t="shared" si="282"/>
        <v>149.54515416666669</v>
      </c>
      <c r="L322" s="16">
        <f t="shared" si="282"/>
        <v>78.100733333333338</v>
      </c>
      <c r="M322" s="16">
        <f t="shared" si="282"/>
        <v>113.1573125</v>
      </c>
      <c r="N322" s="16">
        <f t="shared" si="282"/>
        <v>575.54915416666677</v>
      </c>
      <c r="O322" s="16">
        <f t="shared" si="282"/>
        <v>80.319504166666675</v>
      </c>
      <c r="P322" s="16">
        <f t="shared" si="282"/>
        <v>0</v>
      </c>
      <c r="Q322" s="16">
        <f t="shared" si="282"/>
        <v>173.95163333333335</v>
      </c>
      <c r="R322" s="16">
        <f t="shared" si="282"/>
        <v>86.532062500000009</v>
      </c>
      <c r="S322" s="16">
        <f t="shared" si="282"/>
        <v>10.6501</v>
      </c>
      <c r="T322" s="16">
        <f t="shared" si="282"/>
        <v>239.18349583333335</v>
      </c>
      <c r="U322" s="16">
        <f t="shared" si="282"/>
        <v>81.650766666666669</v>
      </c>
      <c r="V322" s="16">
        <f t="shared" si="282"/>
        <v>164.63279583333335</v>
      </c>
      <c r="W322" s="16">
        <f t="shared" si="282"/>
        <v>212.11449166666668</v>
      </c>
      <c r="X322" s="16">
        <f t="shared" si="282"/>
        <v>284.0026666666667</v>
      </c>
      <c r="Y322" s="16">
        <f t="shared" si="282"/>
        <v>11.981362500000001</v>
      </c>
      <c r="Z322" s="16">
        <f t="shared" si="282"/>
        <v>0</v>
      </c>
      <c r="AA322" s="16">
        <f t="shared" si="282"/>
        <v>3.1062791666666669</v>
      </c>
      <c r="AB322" s="16">
        <f t="shared" si="282"/>
        <v>0</v>
      </c>
      <c r="AC322" s="32"/>
      <c r="AD322" s="30"/>
    </row>
    <row r="323" spans="1:30" s="27" customFormat="1">
      <c r="A323" s="125" t="s">
        <v>118</v>
      </c>
      <c r="B323" s="93">
        <f xml:space="preserve"> 106501/2</f>
        <v>53250.5</v>
      </c>
      <c r="C323" s="89">
        <f>B323/12</f>
        <v>4437.541666666667</v>
      </c>
      <c r="D323" s="123">
        <v>5.1999999999999998E-3</v>
      </c>
      <c r="E323" s="74"/>
      <c r="F323" s="123">
        <v>8.3799999999999999E-2</v>
      </c>
      <c r="G323" s="123">
        <v>2.5399999999999999E-2</v>
      </c>
      <c r="H323" s="123">
        <v>0.17960000000000001</v>
      </c>
      <c r="I323" s="74"/>
      <c r="J323" s="74"/>
      <c r="K323" s="74"/>
      <c r="L323" s="74"/>
      <c r="M323" s="123">
        <v>2.7199999999999998E-2</v>
      </c>
      <c r="N323" s="74"/>
      <c r="O323" s="74"/>
      <c r="P323" s="74"/>
      <c r="Q323" s="123">
        <v>0.1273</v>
      </c>
      <c r="R323" s="74"/>
      <c r="S323" s="123">
        <v>1.3899999999999999E-2</v>
      </c>
      <c r="T323" s="123">
        <v>0</v>
      </c>
      <c r="U323" s="74">
        <v>0</v>
      </c>
      <c r="V323" s="123">
        <v>0.26390000000000002</v>
      </c>
      <c r="W323" s="74"/>
      <c r="X323" s="123">
        <v>0.26350000000000001</v>
      </c>
      <c r="Y323" s="123">
        <v>1.0200000000000001E-2</v>
      </c>
      <c r="Z323" s="75"/>
      <c r="AA323" s="75"/>
      <c r="AB323" s="75"/>
      <c r="AC323" s="32"/>
      <c r="AD323" s="30"/>
    </row>
    <row r="324" spans="1:30" s="27" customFormat="1">
      <c r="A324" s="112"/>
      <c r="B324" s="14"/>
      <c r="C324" s="113"/>
      <c r="D324" s="16">
        <f>$C323*D323</f>
        <v>23.075216666666666</v>
      </c>
      <c r="E324" s="16">
        <f t="shared" ref="E324:AB324" si="283">$C323*E323</f>
        <v>0</v>
      </c>
      <c r="F324" s="16">
        <f t="shared" si="283"/>
        <v>371.86599166666667</v>
      </c>
      <c r="G324" s="16">
        <f t="shared" si="283"/>
        <v>112.71355833333334</v>
      </c>
      <c r="H324" s="16">
        <f t="shared" si="283"/>
        <v>796.98248333333345</v>
      </c>
      <c r="I324" s="16">
        <f t="shared" si="283"/>
        <v>0</v>
      </c>
      <c r="J324" s="16">
        <f t="shared" si="283"/>
        <v>0</v>
      </c>
      <c r="K324" s="16">
        <f t="shared" si="283"/>
        <v>0</v>
      </c>
      <c r="L324" s="16">
        <f t="shared" si="283"/>
        <v>0</v>
      </c>
      <c r="M324" s="16">
        <f t="shared" si="283"/>
        <v>120.70113333333333</v>
      </c>
      <c r="N324" s="16">
        <f t="shared" si="283"/>
        <v>0</v>
      </c>
      <c r="O324" s="16">
        <f t="shared" si="283"/>
        <v>0</v>
      </c>
      <c r="P324" s="16">
        <f t="shared" si="283"/>
        <v>0</v>
      </c>
      <c r="Q324" s="16">
        <f t="shared" si="283"/>
        <v>564.8990541666667</v>
      </c>
      <c r="R324" s="16">
        <f t="shared" si="283"/>
        <v>0</v>
      </c>
      <c r="S324" s="16">
        <f t="shared" si="283"/>
        <v>61.681829166666667</v>
      </c>
      <c r="T324" s="16">
        <f t="shared" si="283"/>
        <v>0</v>
      </c>
      <c r="U324" s="16">
        <f t="shared" si="283"/>
        <v>0</v>
      </c>
      <c r="V324" s="16">
        <f t="shared" si="283"/>
        <v>1171.0672458333336</v>
      </c>
      <c r="W324" s="16">
        <f t="shared" si="283"/>
        <v>0</v>
      </c>
      <c r="X324" s="16">
        <f t="shared" si="283"/>
        <v>1169.2922291666669</v>
      </c>
      <c r="Y324" s="16">
        <f t="shared" si="283"/>
        <v>45.26292500000001</v>
      </c>
      <c r="Z324" s="16">
        <f t="shared" si="283"/>
        <v>0</v>
      </c>
      <c r="AA324" s="16">
        <f t="shared" si="283"/>
        <v>0</v>
      </c>
      <c r="AB324" s="16">
        <f t="shared" si="283"/>
        <v>0</v>
      </c>
      <c r="AC324" s="32"/>
      <c r="AD324" s="30"/>
    </row>
    <row r="325" spans="1:30" s="27" customFormat="1">
      <c r="A325" s="25" t="s">
        <v>40</v>
      </c>
      <c r="B325" s="17">
        <f>SUM(B313:B323)</f>
        <v>1460163</v>
      </c>
      <c r="C325" s="26">
        <f>SUM(C313:C323)</f>
        <v>121680.25000000001</v>
      </c>
      <c r="D325" s="26">
        <f>D314+D316+D318+D320+D322+D324</f>
        <v>5568.2327458333339</v>
      </c>
      <c r="E325" s="26">
        <f t="shared" ref="E325:AB325" si="284">E314+E316+E318+E320+E322+E324</f>
        <v>8481.1134249999996</v>
      </c>
      <c r="F325" s="26">
        <f t="shared" si="284"/>
        <v>3803.2490416666665</v>
      </c>
      <c r="G325" s="26">
        <f t="shared" si="284"/>
        <v>4992.0915833333329</v>
      </c>
      <c r="H325" s="26">
        <f t="shared" si="284"/>
        <v>3303.5956333333334</v>
      </c>
      <c r="I325" s="26">
        <f t="shared" si="284"/>
        <v>8189.080825</v>
      </c>
      <c r="J325" s="26">
        <f t="shared" si="284"/>
        <v>1289.8106500000001</v>
      </c>
      <c r="K325" s="26">
        <f t="shared" si="284"/>
        <v>2050.3122125</v>
      </c>
      <c r="L325" s="26">
        <f t="shared" si="284"/>
        <v>1070.7862000000002</v>
      </c>
      <c r="M325" s="26">
        <f t="shared" si="284"/>
        <v>6432.5023541666669</v>
      </c>
      <c r="N325" s="26">
        <f t="shared" si="284"/>
        <v>7890.9642125000009</v>
      </c>
      <c r="O325" s="26">
        <f t="shared" si="284"/>
        <v>1101.2062625000001</v>
      </c>
      <c r="P325" s="26">
        <f t="shared" si="284"/>
        <v>0</v>
      </c>
      <c r="Q325" s="26">
        <f t="shared" si="284"/>
        <v>14219.068104166667</v>
      </c>
      <c r="R325" s="26">
        <f t="shared" si="284"/>
        <v>1186.3824374999999</v>
      </c>
      <c r="S325" s="26">
        <f t="shared" si="284"/>
        <v>207.69812916666666</v>
      </c>
      <c r="T325" s="26">
        <f t="shared" si="284"/>
        <v>39123.124445833339</v>
      </c>
      <c r="U325" s="26">
        <f t="shared" si="284"/>
        <v>1119.4583</v>
      </c>
      <c r="V325" s="26">
        <f t="shared" si="284"/>
        <v>3428.2358833333337</v>
      </c>
      <c r="W325" s="26">
        <f t="shared" si="284"/>
        <v>2908.1579750000005</v>
      </c>
      <c r="X325" s="26">
        <f t="shared" si="284"/>
        <v>5063.0602291666673</v>
      </c>
      <c r="Y325" s="26">
        <f t="shared" si="284"/>
        <v>209.53126250000003</v>
      </c>
      <c r="Z325" s="26">
        <f t="shared" si="284"/>
        <v>0</v>
      </c>
      <c r="AA325" s="26">
        <f t="shared" si="284"/>
        <v>42.5880875</v>
      </c>
      <c r="AB325" s="26">
        <f t="shared" si="284"/>
        <v>0</v>
      </c>
      <c r="AC325" s="32"/>
      <c r="AD325" s="30"/>
    </row>
    <row r="326" spans="1:30" s="27" customFormat="1">
      <c r="A326" s="29"/>
      <c r="B326" s="3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32"/>
      <c r="AD326" s="30"/>
    </row>
    <row r="327" spans="1:30" s="27" customFormat="1">
      <c r="A327" s="29"/>
      <c r="B327" s="3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32"/>
      <c r="AD327" s="30"/>
    </row>
    <row r="328" spans="1:30" s="27" customFormat="1">
      <c r="A328" s="29"/>
      <c r="B328" s="3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32"/>
      <c r="AD328" s="30"/>
    </row>
    <row r="329" spans="1:30" ht="13.8" thickBot="1">
      <c r="A329" s="68" t="s">
        <v>120</v>
      </c>
      <c r="B329" s="69"/>
      <c r="C329" s="70"/>
      <c r="D329" s="69"/>
      <c r="E329" s="69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30" ht="13.8" thickBot="1">
      <c r="A330" s="40" t="s">
        <v>1</v>
      </c>
      <c r="B330" s="41" t="s">
        <v>2</v>
      </c>
      <c r="C330" s="58" t="s">
        <v>3</v>
      </c>
      <c r="D330" s="137" t="s">
        <v>4</v>
      </c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50"/>
      <c r="AA330" s="50"/>
      <c r="AB330" s="50"/>
    </row>
    <row r="331" spans="1:30">
      <c r="A331" s="42" t="s">
        <v>5</v>
      </c>
      <c r="B331" s="43" t="s">
        <v>6</v>
      </c>
      <c r="C331" s="59" t="s">
        <v>6</v>
      </c>
      <c r="D331" s="44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6"/>
      <c r="Z331" s="43" t="s">
        <v>7</v>
      </c>
      <c r="AA331" s="43"/>
      <c r="AB331" s="43"/>
    </row>
    <row r="332" spans="1:30">
      <c r="A332" s="42" t="s">
        <v>8</v>
      </c>
      <c r="B332" s="43" t="s">
        <v>9</v>
      </c>
      <c r="C332" s="59" t="s">
        <v>9</v>
      </c>
      <c r="D332" s="47" t="s">
        <v>10</v>
      </c>
      <c r="E332" s="43" t="s">
        <v>11</v>
      </c>
      <c r="F332" s="43" t="s">
        <v>12</v>
      </c>
      <c r="G332" s="43" t="s">
        <v>13</v>
      </c>
      <c r="H332" s="43" t="s">
        <v>14</v>
      </c>
      <c r="I332" s="43" t="s">
        <v>15</v>
      </c>
      <c r="J332" s="43" t="s">
        <v>16</v>
      </c>
      <c r="K332" s="43" t="s">
        <v>17</v>
      </c>
      <c r="L332" s="43" t="s">
        <v>18</v>
      </c>
      <c r="M332" s="43" t="s">
        <v>19</v>
      </c>
      <c r="N332" s="43" t="s">
        <v>20</v>
      </c>
      <c r="O332" s="43" t="s">
        <v>57</v>
      </c>
      <c r="P332" s="43" t="s">
        <v>21</v>
      </c>
      <c r="Q332" s="43" t="s">
        <v>22</v>
      </c>
      <c r="R332" s="43" t="s">
        <v>23</v>
      </c>
      <c r="S332" s="43" t="s">
        <v>24</v>
      </c>
      <c r="T332" s="43" t="s">
        <v>25</v>
      </c>
      <c r="U332" s="43" t="s">
        <v>26</v>
      </c>
      <c r="V332" s="43" t="s">
        <v>27</v>
      </c>
      <c r="W332" s="43" t="s">
        <v>28</v>
      </c>
      <c r="X332" s="43" t="s">
        <v>29</v>
      </c>
      <c r="Y332" s="43" t="s">
        <v>30</v>
      </c>
      <c r="Z332" s="43" t="s">
        <v>31</v>
      </c>
      <c r="AA332" s="43" t="s">
        <v>115</v>
      </c>
      <c r="AB332" s="43" t="s">
        <v>113</v>
      </c>
    </row>
    <row r="333" spans="1:30">
      <c r="A333" s="42"/>
      <c r="B333" s="43"/>
      <c r="C333" s="132" t="s">
        <v>134</v>
      </c>
      <c r="D333" s="48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</row>
    <row r="334" spans="1:30">
      <c r="A334" s="114" t="s">
        <v>121</v>
      </c>
      <c r="B334" s="115">
        <f>18749.9/2</f>
        <v>9374.9500000000007</v>
      </c>
      <c r="C334" s="89">
        <f>B334/12</f>
        <v>781.24583333333339</v>
      </c>
      <c r="D334" s="74">
        <v>1.67E-2</v>
      </c>
      <c r="E334" s="74">
        <v>0.1394</v>
      </c>
      <c r="F334" s="74">
        <v>5.6399999999999999E-2</v>
      </c>
      <c r="G334" s="74">
        <v>8.0199999999999994E-2</v>
      </c>
      <c r="H334" s="74">
        <v>4.1200000000000001E-2</v>
      </c>
      <c r="I334" s="74">
        <v>0.1346</v>
      </c>
      <c r="J334" s="74">
        <v>2.12E-2</v>
      </c>
      <c r="K334" s="74">
        <v>3.3700000000000001E-2</v>
      </c>
      <c r="L334" s="74">
        <v>1.7600000000000001E-2</v>
      </c>
      <c r="M334" s="74">
        <v>2.5499999999999998E-2</v>
      </c>
      <c r="N334" s="74">
        <v>0.12970000000000001</v>
      </c>
      <c r="O334" s="74">
        <v>1.8100000000000002E-2</v>
      </c>
      <c r="P334" s="74">
        <v>0</v>
      </c>
      <c r="Q334" s="74">
        <v>3.9199999999999999E-2</v>
      </c>
      <c r="R334" s="74">
        <v>1.95E-2</v>
      </c>
      <c r="S334" s="74">
        <v>2.3999999999999998E-3</v>
      </c>
      <c r="T334" s="74">
        <v>5.3900000000000003E-2</v>
      </c>
      <c r="U334" s="74">
        <v>1.84E-2</v>
      </c>
      <c r="V334" s="74">
        <v>3.7100000000000001E-2</v>
      </c>
      <c r="W334" s="74">
        <v>4.7800000000000002E-2</v>
      </c>
      <c r="X334" s="74">
        <v>6.4000000000000001E-2</v>
      </c>
      <c r="Y334" s="74">
        <v>2.7000000000000001E-3</v>
      </c>
      <c r="Z334" s="75">
        <v>0</v>
      </c>
      <c r="AA334" s="75">
        <v>6.9999999999999999E-4</v>
      </c>
      <c r="AB334" s="75">
        <v>0</v>
      </c>
    </row>
    <row r="335" spans="1:30">
      <c r="A335" s="112"/>
      <c r="B335" s="10"/>
      <c r="C335" s="89"/>
      <c r="D335" s="16">
        <f t="shared" ref="D335" si="285">$C334*D334</f>
        <v>13.046805416666666</v>
      </c>
      <c r="E335" s="16">
        <f t="shared" ref="E335" si="286">$C334*E334</f>
        <v>108.90566916666667</v>
      </c>
      <c r="F335" s="16">
        <f t="shared" ref="F335:AB335" si="287">$C334*F334</f>
        <v>44.062265000000004</v>
      </c>
      <c r="G335" s="16">
        <f t="shared" si="287"/>
        <v>62.655915833333331</v>
      </c>
      <c r="H335" s="16">
        <f t="shared" si="287"/>
        <v>32.187328333333333</v>
      </c>
      <c r="I335" s="16">
        <f t="shared" si="287"/>
        <v>105.15568916666668</v>
      </c>
      <c r="J335" s="16">
        <f t="shared" si="287"/>
        <v>16.562411666666669</v>
      </c>
      <c r="K335" s="16">
        <f t="shared" si="287"/>
        <v>26.327984583333336</v>
      </c>
      <c r="L335" s="16">
        <f t="shared" si="287"/>
        <v>13.749926666666669</v>
      </c>
      <c r="M335" s="16">
        <f t="shared" si="287"/>
        <v>19.921768750000002</v>
      </c>
      <c r="N335" s="16">
        <f t="shared" si="287"/>
        <v>101.32758458333335</v>
      </c>
      <c r="O335" s="16">
        <f t="shared" si="287"/>
        <v>14.140549583333335</v>
      </c>
      <c r="P335" s="16">
        <f t="shared" si="287"/>
        <v>0</v>
      </c>
      <c r="Q335" s="16">
        <f t="shared" si="287"/>
        <v>30.624836666666667</v>
      </c>
      <c r="R335" s="16">
        <f t="shared" si="287"/>
        <v>15.234293750000001</v>
      </c>
      <c r="S335" s="16">
        <f t="shared" si="287"/>
        <v>1.8749899999999999</v>
      </c>
      <c r="T335" s="16">
        <f t="shared" si="287"/>
        <v>42.109150416666672</v>
      </c>
      <c r="U335" s="16">
        <f t="shared" si="287"/>
        <v>14.374923333333335</v>
      </c>
      <c r="V335" s="16">
        <f t="shared" si="287"/>
        <v>28.98422041666667</v>
      </c>
      <c r="W335" s="16">
        <f t="shared" si="287"/>
        <v>37.343550833333339</v>
      </c>
      <c r="X335" s="16">
        <f t="shared" si="287"/>
        <v>49.999733333333339</v>
      </c>
      <c r="Y335" s="16">
        <f t="shared" si="287"/>
        <v>2.1093637500000004</v>
      </c>
      <c r="Z335" s="16">
        <f t="shared" si="287"/>
        <v>0</v>
      </c>
      <c r="AA335" s="16">
        <f t="shared" si="287"/>
        <v>0.54687208333333337</v>
      </c>
      <c r="AB335" s="16">
        <f t="shared" si="287"/>
        <v>0</v>
      </c>
    </row>
    <row r="336" spans="1:30">
      <c r="A336" s="129" t="s">
        <v>123</v>
      </c>
      <c r="B336" s="115">
        <f>18749.9/2</f>
        <v>9374.9500000000007</v>
      </c>
      <c r="C336" s="89">
        <f>B336/12</f>
        <v>781.24583333333339</v>
      </c>
      <c r="D336" s="116"/>
      <c r="E336" s="116"/>
      <c r="F336" s="122">
        <v>0.20369999999999999</v>
      </c>
      <c r="G336" s="116"/>
      <c r="H336" s="122">
        <v>0.12889999999999999</v>
      </c>
      <c r="I336" s="116"/>
      <c r="J336" s="116"/>
      <c r="K336" s="116"/>
      <c r="L336" s="116"/>
      <c r="M336" s="116"/>
      <c r="N336" s="122">
        <v>0.53520000000000001</v>
      </c>
      <c r="O336" s="116"/>
      <c r="P336" s="116"/>
      <c r="Q336" s="116"/>
      <c r="R336" s="116"/>
      <c r="S336" s="116"/>
      <c r="T336" s="116"/>
      <c r="U336" s="116"/>
      <c r="V336" s="122">
        <v>0.13220000000000001</v>
      </c>
      <c r="W336" s="116"/>
      <c r="X336" s="116"/>
      <c r="Y336" s="116"/>
      <c r="Z336" s="117"/>
      <c r="AA336" s="117"/>
      <c r="AB336" s="117"/>
    </row>
    <row r="337" spans="1:28">
      <c r="A337" s="112"/>
      <c r="B337" s="10"/>
      <c r="C337" s="89"/>
      <c r="D337" s="16">
        <f t="shared" ref="D337" si="288">$C336*D336</f>
        <v>0</v>
      </c>
      <c r="E337" s="16">
        <f t="shared" ref="E337" si="289">$C336*E336</f>
        <v>0</v>
      </c>
      <c r="F337" s="16">
        <f t="shared" ref="F337:AB337" si="290">$C336*F336</f>
        <v>159.13977625000001</v>
      </c>
      <c r="G337" s="16">
        <f t="shared" si="290"/>
        <v>0</v>
      </c>
      <c r="H337" s="16">
        <f t="shared" si="290"/>
        <v>100.70258791666666</v>
      </c>
      <c r="I337" s="16">
        <f t="shared" si="290"/>
        <v>0</v>
      </c>
      <c r="J337" s="16">
        <f t="shared" si="290"/>
        <v>0</v>
      </c>
      <c r="K337" s="16">
        <f t="shared" si="290"/>
        <v>0</v>
      </c>
      <c r="L337" s="16">
        <f t="shared" si="290"/>
        <v>0</v>
      </c>
      <c r="M337" s="16">
        <f t="shared" si="290"/>
        <v>0</v>
      </c>
      <c r="N337" s="16">
        <f t="shared" si="290"/>
        <v>418.12277000000006</v>
      </c>
      <c r="O337" s="16">
        <f t="shared" si="290"/>
        <v>0</v>
      </c>
      <c r="P337" s="16">
        <f t="shared" si="290"/>
        <v>0</v>
      </c>
      <c r="Q337" s="16">
        <f t="shared" si="290"/>
        <v>0</v>
      </c>
      <c r="R337" s="16">
        <f t="shared" si="290"/>
        <v>0</v>
      </c>
      <c r="S337" s="16">
        <f t="shared" si="290"/>
        <v>0</v>
      </c>
      <c r="T337" s="16">
        <f t="shared" si="290"/>
        <v>0</v>
      </c>
      <c r="U337" s="16">
        <f t="shared" si="290"/>
        <v>0</v>
      </c>
      <c r="V337" s="16">
        <f t="shared" si="290"/>
        <v>103.28069916666668</v>
      </c>
      <c r="W337" s="16">
        <f t="shared" si="290"/>
        <v>0</v>
      </c>
      <c r="X337" s="16">
        <f t="shared" si="290"/>
        <v>0</v>
      </c>
      <c r="Y337" s="16">
        <f t="shared" si="290"/>
        <v>0</v>
      </c>
      <c r="Z337" s="16">
        <f t="shared" si="290"/>
        <v>0</v>
      </c>
      <c r="AA337" s="16">
        <f t="shared" si="290"/>
        <v>0</v>
      </c>
      <c r="AB337" s="16">
        <f t="shared" si="290"/>
        <v>0</v>
      </c>
    </row>
    <row r="338" spans="1:28">
      <c r="A338" s="114" t="s">
        <v>122</v>
      </c>
      <c r="B338" s="115">
        <f>2381443.72/2</f>
        <v>1190721.8600000001</v>
      </c>
      <c r="C338" s="89">
        <f>B338/12</f>
        <v>99226.82166666667</v>
      </c>
      <c r="D338" s="74">
        <v>1.67E-2</v>
      </c>
      <c r="E338" s="74">
        <v>0.1394</v>
      </c>
      <c r="F338" s="74">
        <v>5.6399999999999999E-2</v>
      </c>
      <c r="G338" s="74">
        <v>8.0199999999999994E-2</v>
      </c>
      <c r="H338" s="74">
        <v>4.1200000000000001E-2</v>
      </c>
      <c r="I338" s="74">
        <v>0.1346</v>
      </c>
      <c r="J338" s="74">
        <v>2.12E-2</v>
      </c>
      <c r="K338" s="74">
        <v>3.3700000000000001E-2</v>
      </c>
      <c r="L338" s="74">
        <v>1.7600000000000001E-2</v>
      </c>
      <c r="M338" s="74">
        <v>2.5499999999999998E-2</v>
      </c>
      <c r="N338" s="74">
        <v>0.12970000000000001</v>
      </c>
      <c r="O338" s="74">
        <v>1.8100000000000002E-2</v>
      </c>
      <c r="P338" s="74">
        <v>0</v>
      </c>
      <c r="Q338" s="74">
        <v>3.9199999999999999E-2</v>
      </c>
      <c r="R338" s="74">
        <v>1.95E-2</v>
      </c>
      <c r="S338" s="74">
        <v>2.3999999999999998E-3</v>
      </c>
      <c r="T338" s="74">
        <v>5.3900000000000003E-2</v>
      </c>
      <c r="U338" s="74">
        <v>1.84E-2</v>
      </c>
      <c r="V338" s="74">
        <v>3.7100000000000001E-2</v>
      </c>
      <c r="W338" s="74">
        <v>4.7800000000000002E-2</v>
      </c>
      <c r="X338" s="74">
        <v>6.4000000000000001E-2</v>
      </c>
      <c r="Y338" s="74">
        <v>2.7000000000000001E-3</v>
      </c>
      <c r="Z338" s="75">
        <v>0</v>
      </c>
      <c r="AA338" s="75">
        <v>6.9999999999999999E-4</v>
      </c>
      <c r="AB338" s="75">
        <v>0</v>
      </c>
    </row>
    <row r="339" spans="1:28">
      <c r="A339" s="112"/>
      <c r="B339" s="10"/>
      <c r="C339" s="89"/>
      <c r="D339" s="16">
        <f t="shared" ref="D339" si="291">$C338*D338</f>
        <v>1657.0879218333334</v>
      </c>
      <c r="E339" s="16">
        <f t="shared" ref="E339" si="292">$C338*E338</f>
        <v>13832.218940333334</v>
      </c>
      <c r="F339" s="16">
        <f t="shared" ref="F339:AB339" si="293">$C338*F338</f>
        <v>5596.392742</v>
      </c>
      <c r="G339" s="16">
        <f t="shared" si="293"/>
        <v>7957.9910976666661</v>
      </c>
      <c r="H339" s="16">
        <f t="shared" si="293"/>
        <v>4088.1450526666667</v>
      </c>
      <c r="I339" s="16">
        <f t="shared" si="293"/>
        <v>13355.930196333333</v>
      </c>
      <c r="J339" s="16">
        <f t="shared" si="293"/>
        <v>2103.6086193333335</v>
      </c>
      <c r="K339" s="16">
        <f t="shared" si="293"/>
        <v>3343.9438901666667</v>
      </c>
      <c r="L339" s="16">
        <f t="shared" si="293"/>
        <v>1746.3920613333335</v>
      </c>
      <c r="M339" s="16">
        <f t="shared" si="293"/>
        <v>2530.2839524999999</v>
      </c>
      <c r="N339" s="16">
        <f t="shared" si="293"/>
        <v>12869.718770166668</v>
      </c>
      <c r="O339" s="16">
        <f t="shared" si="293"/>
        <v>1796.0054721666668</v>
      </c>
      <c r="P339" s="16">
        <f t="shared" si="293"/>
        <v>0</v>
      </c>
      <c r="Q339" s="16">
        <f t="shared" si="293"/>
        <v>3889.6914093333335</v>
      </c>
      <c r="R339" s="16">
        <f t="shared" si="293"/>
        <v>1934.9230225000001</v>
      </c>
      <c r="S339" s="16">
        <f t="shared" si="293"/>
        <v>238.14437199999998</v>
      </c>
      <c r="T339" s="16">
        <f t="shared" si="293"/>
        <v>5348.3256878333341</v>
      </c>
      <c r="U339" s="16">
        <f t="shared" si="293"/>
        <v>1825.7735186666666</v>
      </c>
      <c r="V339" s="16">
        <f t="shared" si="293"/>
        <v>3681.3150838333336</v>
      </c>
      <c r="W339" s="16">
        <f t="shared" si="293"/>
        <v>4743.0420756666672</v>
      </c>
      <c r="X339" s="16">
        <f t="shared" si="293"/>
        <v>6350.5165866666666</v>
      </c>
      <c r="Y339" s="16">
        <f t="shared" si="293"/>
        <v>267.9124185</v>
      </c>
      <c r="Z339" s="16">
        <f t="shared" si="293"/>
        <v>0</v>
      </c>
      <c r="AA339" s="16">
        <f t="shared" si="293"/>
        <v>69.458775166666669</v>
      </c>
      <c r="AB339" s="16">
        <f t="shared" si="293"/>
        <v>0</v>
      </c>
    </row>
    <row r="340" spans="1:28">
      <c r="A340" s="129" t="s">
        <v>124</v>
      </c>
      <c r="B340" s="115">
        <f>2381443.72/2</f>
        <v>1190721.8600000001</v>
      </c>
      <c r="C340" s="89">
        <f>B340/12</f>
        <v>99226.82166666667</v>
      </c>
      <c r="D340" s="116"/>
      <c r="E340" s="116"/>
      <c r="F340" s="122">
        <v>0.20369999999999999</v>
      </c>
      <c r="G340" s="116"/>
      <c r="H340" s="122">
        <v>0.12889999999999999</v>
      </c>
      <c r="I340" s="116"/>
      <c r="J340" s="116"/>
      <c r="K340" s="116"/>
      <c r="L340" s="116"/>
      <c r="M340" s="116"/>
      <c r="N340" s="122">
        <v>0.53520000000000001</v>
      </c>
      <c r="O340" s="116"/>
      <c r="P340" s="116"/>
      <c r="Q340" s="116"/>
      <c r="R340" s="116"/>
      <c r="S340" s="116"/>
      <c r="T340" s="116"/>
      <c r="U340" s="116"/>
      <c r="V340" s="122">
        <v>0.13220000000000001</v>
      </c>
      <c r="W340" s="116"/>
      <c r="X340" s="116"/>
      <c r="Y340" s="116"/>
      <c r="Z340" s="117"/>
      <c r="AA340" s="117"/>
      <c r="AB340" s="117"/>
    </row>
    <row r="341" spans="1:28">
      <c r="A341" s="112"/>
      <c r="B341" s="10"/>
      <c r="C341" s="89"/>
      <c r="D341" s="16">
        <f t="shared" ref="D341" si="294">$C340*D340</f>
        <v>0</v>
      </c>
      <c r="E341" s="16">
        <f t="shared" ref="E341" si="295">$C340*E340</f>
        <v>0</v>
      </c>
      <c r="F341" s="16">
        <f t="shared" ref="F341:AB341" si="296">$C340*F340</f>
        <v>20212.503573499998</v>
      </c>
      <c r="G341" s="16">
        <f t="shared" si="296"/>
        <v>0</v>
      </c>
      <c r="H341" s="16">
        <f t="shared" si="296"/>
        <v>12790.337312833333</v>
      </c>
      <c r="I341" s="16">
        <f t="shared" si="296"/>
        <v>0</v>
      </c>
      <c r="J341" s="16">
        <f t="shared" si="296"/>
        <v>0</v>
      </c>
      <c r="K341" s="16">
        <f t="shared" si="296"/>
        <v>0</v>
      </c>
      <c r="L341" s="16">
        <f t="shared" si="296"/>
        <v>0</v>
      </c>
      <c r="M341" s="16">
        <f t="shared" si="296"/>
        <v>0</v>
      </c>
      <c r="N341" s="16">
        <f t="shared" si="296"/>
        <v>53106.194955999999</v>
      </c>
      <c r="O341" s="16">
        <f t="shared" si="296"/>
        <v>0</v>
      </c>
      <c r="P341" s="16">
        <f t="shared" si="296"/>
        <v>0</v>
      </c>
      <c r="Q341" s="16">
        <f t="shared" si="296"/>
        <v>0</v>
      </c>
      <c r="R341" s="16">
        <f t="shared" si="296"/>
        <v>0</v>
      </c>
      <c r="S341" s="16">
        <f t="shared" si="296"/>
        <v>0</v>
      </c>
      <c r="T341" s="16">
        <f t="shared" si="296"/>
        <v>0</v>
      </c>
      <c r="U341" s="16">
        <f t="shared" si="296"/>
        <v>0</v>
      </c>
      <c r="V341" s="16">
        <f t="shared" si="296"/>
        <v>13117.785824333336</v>
      </c>
      <c r="W341" s="16">
        <f t="shared" si="296"/>
        <v>0</v>
      </c>
      <c r="X341" s="16">
        <f t="shared" si="296"/>
        <v>0</v>
      </c>
      <c r="Y341" s="16">
        <f t="shared" si="296"/>
        <v>0</v>
      </c>
      <c r="Z341" s="16">
        <f t="shared" si="296"/>
        <v>0</v>
      </c>
      <c r="AA341" s="16">
        <f t="shared" si="296"/>
        <v>0</v>
      </c>
      <c r="AB341" s="16">
        <f t="shared" si="296"/>
        <v>0</v>
      </c>
    </row>
    <row r="342" spans="1:28">
      <c r="A342" s="114" t="s">
        <v>126</v>
      </c>
      <c r="B342" s="115">
        <f>191360.91/2</f>
        <v>95680.455000000002</v>
      </c>
      <c r="C342" s="89">
        <f>B342/12</f>
        <v>7973.3712500000001</v>
      </c>
      <c r="D342" s="74">
        <v>1.67E-2</v>
      </c>
      <c r="E342" s="74">
        <v>0.1394</v>
      </c>
      <c r="F342" s="74">
        <v>5.6399999999999999E-2</v>
      </c>
      <c r="G342" s="74">
        <v>8.0199999999999994E-2</v>
      </c>
      <c r="H342" s="74">
        <v>4.1200000000000001E-2</v>
      </c>
      <c r="I342" s="74">
        <v>0.1346</v>
      </c>
      <c r="J342" s="74">
        <v>2.12E-2</v>
      </c>
      <c r="K342" s="74">
        <v>3.3700000000000001E-2</v>
      </c>
      <c r="L342" s="74">
        <v>1.7600000000000001E-2</v>
      </c>
      <c r="M342" s="74">
        <v>2.5499999999999998E-2</v>
      </c>
      <c r="N342" s="74">
        <v>0.12970000000000001</v>
      </c>
      <c r="O342" s="74">
        <v>1.8100000000000002E-2</v>
      </c>
      <c r="P342" s="74">
        <v>0</v>
      </c>
      <c r="Q342" s="74">
        <v>3.9199999999999999E-2</v>
      </c>
      <c r="R342" s="74">
        <v>1.95E-2</v>
      </c>
      <c r="S342" s="74">
        <v>2.3999999999999998E-3</v>
      </c>
      <c r="T342" s="74">
        <v>5.3900000000000003E-2</v>
      </c>
      <c r="U342" s="74">
        <v>1.84E-2</v>
      </c>
      <c r="V342" s="74">
        <v>3.7100000000000001E-2</v>
      </c>
      <c r="W342" s="74">
        <v>4.7800000000000002E-2</v>
      </c>
      <c r="X342" s="74">
        <v>6.4000000000000001E-2</v>
      </c>
      <c r="Y342" s="74">
        <v>2.7000000000000001E-3</v>
      </c>
      <c r="Z342" s="75">
        <v>0</v>
      </c>
      <c r="AA342" s="75">
        <v>6.9999999999999999E-4</v>
      </c>
      <c r="AB342" s="75">
        <v>0</v>
      </c>
    </row>
    <row r="343" spans="1:28">
      <c r="A343" s="112"/>
      <c r="B343" s="10"/>
      <c r="C343" s="89"/>
      <c r="D343" s="16">
        <f t="shared" ref="D343" si="297">$C342*D342</f>
        <v>133.155299875</v>
      </c>
      <c r="E343" s="16">
        <f t="shared" ref="E343" si="298">$C342*E342</f>
        <v>1111.48795225</v>
      </c>
      <c r="F343" s="16">
        <f t="shared" ref="F343:AB343" si="299">$C342*F342</f>
        <v>449.69813849999997</v>
      </c>
      <c r="G343" s="16">
        <f t="shared" si="299"/>
        <v>639.46437424999999</v>
      </c>
      <c r="H343" s="16">
        <f t="shared" si="299"/>
        <v>328.50289550000002</v>
      </c>
      <c r="I343" s="16">
        <f t="shared" si="299"/>
        <v>1073.2157702500001</v>
      </c>
      <c r="J343" s="16">
        <f t="shared" si="299"/>
        <v>169.0354705</v>
      </c>
      <c r="K343" s="16">
        <f t="shared" si="299"/>
        <v>268.70261112500003</v>
      </c>
      <c r="L343" s="16">
        <f t="shared" si="299"/>
        <v>140.331334</v>
      </c>
      <c r="M343" s="16">
        <f t="shared" si="299"/>
        <v>203.32096687499998</v>
      </c>
      <c r="N343" s="16">
        <f t="shared" si="299"/>
        <v>1034.1462511250002</v>
      </c>
      <c r="O343" s="16">
        <f t="shared" si="299"/>
        <v>144.31801962500001</v>
      </c>
      <c r="P343" s="16">
        <f t="shared" si="299"/>
        <v>0</v>
      </c>
      <c r="Q343" s="16">
        <f t="shared" si="299"/>
        <v>312.55615299999999</v>
      </c>
      <c r="R343" s="16">
        <f t="shared" si="299"/>
        <v>155.48073937500001</v>
      </c>
      <c r="S343" s="16">
        <f t="shared" si="299"/>
        <v>19.136091</v>
      </c>
      <c r="T343" s="16">
        <f t="shared" si="299"/>
        <v>429.76471037500005</v>
      </c>
      <c r="U343" s="16">
        <f t="shared" si="299"/>
        <v>146.71003099999999</v>
      </c>
      <c r="V343" s="16">
        <f t="shared" si="299"/>
        <v>295.81207337500001</v>
      </c>
      <c r="W343" s="16">
        <f t="shared" si="299"/>
        <v>381.12714575000001</v>
      </c>
      <c r="X343" s="16">
        <f t="shared" si="299"/>
        <v>510.29576000000003</v>
      </c>
      <c r="Y343" s="16">
        <f t="shared" si="299"/>
        <v>21.528102375000003</v>
      </c>
      <c r="Z343" s="16">
        <f t="shared" si="299"/>
        <v>0</v>
      </c>
      <c r="AA343" s="16">
        <f t="shared" si="299"/>
        <v>5.5813598750000004</v>
      </c>
      <c r="AB343" s="16">
        <f t="shared" si="299"/>
        <v>0</v>
      </c>
    </row>
    <row r="344" spans="1:28">
      <c r="A344" s="130" t="s">
        <v>125</v>
      </c>
      <c r="B344" s="115">
        <f>191360.91/2</f>
        <v>95680.455000000002</v>
      </c>
      <c r="C344" s="89">
        <f>B344/12</f>
        <v>7973.3712500000001</v>
      </c>
      <c r="D344" s="116"/>
      <c r="E344" s="116"/>
      <c r="F344" s="122">
        <v>0.33169999999999999</v>
      </c>
      <c r="G344" s="116"/>
      <c r="H344" s="122">
        <v>0</v>
      </c>
      <c r="I344" s="116"/>
      <c r="J344" s="116"/>
      <c r="K344" s="116"/>
      <c r="L344" s="116"/>
      <c r="M344" s="116"/>
      <c r="N344" s="122">
        <v>0.5131</v>
      </c>
      <c r="O344" s="116"/>
      <c r="P344" s="116"/>
      <c r="Q344" s="116"/>
      <c r="R344" s="116"/>
      <c r="S344" s="116"/>
      <c r="T344" s="116"/>
      <c r="U344" s="116"/>
      <c r="V344" s="122">
        <v>0.1552</v>
      </c>
      <c r="W344" s="116"/>
      <c r="X344" s="116"/>
      <c r="Y344" s="116"/>
      <c r="Z344" s="117"/>
      <c r="AA344" s="117"/>
      <c r="AB344" s="117"/>
    </row>
    <row r="345" spans="1:28">
      <c r="A345" s="118"/>
      <c r="B345" s="10"/>
      <c r="C345" s="89"/>
      <c r="D345" s="16">
        <f t="shared" ref="D345" si="300">$C344*D344</f>
        <v>0</v>
      </c>
      <c r="E345" s="16">
        <f t="shared" ref="E345" si="301">$C344*E344</f>
        <v>0</v>
      </c>
      <c r="F345" s="16">
        <f t="shared" ref="F345:AB345" si="302">$C344*F344</f>
        <v>2644.767243625</v>
      </c>
      <c r="G345" s="16">
        <f t="shared" si="302"/>
        <v>0</v>
      </c>
      <c r="H345" s="16">
        <f t="shared" si="302"/>
        <v>0</v>
      </c>
      <c r="I345" s="16">
        <f t="shared" si="302"/>
        <v>0</v>
      </c>
      <c r="J345" s="16">
        <f t="shared" si="302"/>
        <v>0</v>
      </c>
      <c r="K345" s="16">
        <f t="shared" si="302"/>
        <v>0</v>
      </c>
      <c r="L345" s="16">
        <f t="shared" si="302"/>
        <v>0</v>
      </c>
      <c r="M345" s="16">
        <f t="shared" si="302"/>
        <v>0</v>
      </c>
      <c r="N345" s="16">
        <f t="shared" si="302"/>
        <v>4091.1367883749999</v>
      </c>
      <c r="O345" s="16">
        <f t="shared" si="302"/>
        <v>0</v>
      </c>
      <c r="P345" s="16">
        <f t="shared" si="302"/>
        <v>0</v>
      </c>
      <c r="Q345" s="16">
        <f t="shared" si="302"/>
        <v>0</v>
      </c>
      <c r="R345" s="16">
        <f t="shared" si="302"/>
        <v>0</v>
      </c>
      <c r="S345" s="16">
        <f t="shared" si="302"/>
        <v>0</v>
      </c>
      <c r="T345" s="16">
        <f t="shared" si="302"/>
        <v>0</v>
      </c>
      <c r="U345" s="16">
        <f t="shared" si="302"/>
        <v>0</v>
      </c>
      <c r="V345" s="16">
        <f t="shared" si="302"/>
        <v>1237.467218</v>
      </c>
      <c r="W345" s="16">
        <f t="shared" si="302"/>
        <v>0</v>
      </c>
      <c r="X345" s="16">
        <f t="shared" si="302"/>
        <v>0</v>
      </c>
      <c r="Y345" s="16">
        <f t="shared" si="302"/>
        <v>0</v>
      </c>
      <c r="Z345" s="16">
        <f t="shared" si="302"/>
        <v>0</v>
      </c>
      <c r="AA345" s="16">
        <f t="shared" si="302"/>
        <v>0</v>
      </c>
      <c r="AB345" s="16">
        <f t="shared" si="302"/>
        <v>0</v>
      </c>
    </row>
    <row r="346" spans="1:28">
      <c r="A346" s="25" t="s">
        <v>40</v>
      </c>
      <c r="B346" s="17">
        <f>SUM(B334:B345)</f>
        <v>2591554.5300000003</v>
      </c>
      <c r="C346" s="26">
        <f>SUM(C334:C345)</f>
        <v>215962.8775</v>
      </c>
      <c r="D346" s="53">
        <f>D335+D337+D339+D341+D343+D345</f>
        <v>1803.2900271250003</v>
      </c>
      <c r="E346" s="53">
        <f t="shared" ref="E346:AB346" si="303">E335+E337+E339+E341+E343+E345</f>
        <v>15052.61256175</v>
      </c>
      <c r="F346" s="53">
        <f t="shared" si="303"/>
        <v>29106.563738874996</v>
      </c>
      <c r="G346" s="53">
        <f t="shared" si="303"/>
        <v>8660.1113877499993</v>
      </c>
      <c r="H346" s="53">
        <f t="shared" si="303"/>
        <v>17339.875177250004</v>
      </c>
      <c r="I346" s="53">
        <f t="shared" si="303"/>
        <v>14534.30165575</v>
      </c>
      <c r="J346" s="53">
        <f t="shared" si="303"/>
        <v>2289.2065015000003</v>
      </c>
      <c r="K346" s="53">
        <f t="shared" si="303"/>
        <v>3638.9744858750005</v>
      </c>
      <c r="L346" s="53">
        <f t="shared" si="303"/>
        <v>1900.4733220000001</v>
      </c>
      <c r="M346" s="53">
        <f t="shared" si="303"/>
        <v>2753.526688125</v>
      </c>
      <c r="N346" s="53">
        <f t="shared" si="303"/>
        <v>71620.647120250011</v>
      </c>
      <c r="O346" s="53">
        <f t="shared" si="303"/>
        <v>1954.4640413750001</v>
      </c>
      <c r="P346" s="53">
        <f t="shared" si="303"/>
        <v>0</v>
      </c>
      <c r="Q346" s="53">
        <f t="shared" si="303"/>
        <v>4232.8723989999999</v>
      </c>
      <c r="R346" s="53">
        <f t="shared" si="303"/>
        <v>2105.6380556250001</v>
      </c>
      <c r="S346" s="53">
        <f t="shared" si="303"/>
        <v>259.15545299999997</v>
      </c>
      <c r="T346" s="53">
        <f t="shared" si="303"/>
        <v>5820.1995486250016</v>
      </c>
      <c r="U346" s="53">
        <f t="shared" si="303"/>
        <v>1986.858473</v>
      </c>
      <c r="V346" s="53">
        <f t="shared" si="303"/>
        <v>18464.645119125005</v>
      </c>
      <c r="W346" s="53">
        <f t="shared" si="303"/>
        <v>5161.5127722500001</v>
      </c>
      <c r="X346" s="53">
        <f t="shared" si="303"/>
        <v>6910.8120799999997</v>
      </c>
      <c r="Y346" s="53">
        <f t="shared" si="303"/>
        <v>291.549884625</v>
      </c>
      <c r="Z346" s="53">
        <f t="shared" si="303"/>
        <v>0</v>
      </c>
      <c r="AA346" s="53">
        <f t="shared" si="303"/>
        <v>75.587007125</v>
      </c>
      <c r="AB346" s="53">
        <f t="shared" si="303"/>
        <v>0</v>
      </c>
    </row>
    <row r="347" spans="1:28">
      <c r="A347" s="29"/>
      <c r="B347" s="3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67"/>
      <c r="B348" s="65"/>
      <c r="C348" s="66"/>
      <c r="D348" s="66"/>
      <c r="E348" s="66"/>
      <c r="F348" s="66"/>
      <c r="G348" s="64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36" t="s">
        <v>136</v>
      </c>
      <c r="B349" s="133" t="s">
        <v>137</v>
      </c>
      <c r="C349" s="134"/>
      <c r="D349" s="135"/>
    </row>
    <row r="350" spans="1:28">
      <c r="A350" s="38"/>
      <c r="B350" s="27"/>
      <c r="C350" s="62"/>
      <c r="D350" s="24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88" spans="1:28">
      <c r="A388" s="38"/>
      <c r="B388" s="27"/>
      <c r="C388" s="62"/>
      <c r="D388" s="19"/>
      <c r="E388" s="19"/>
      <c r="F388" s="19"/>
      <c r="G388" s="3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</sheetData>
  <mergeCells count="14">
    <mergeCell ref="D330:Y330"/>
    <mergeCell ref="D273:Y273"/>
    <mergeCell ref="D290:Y290"/>
    <mergeCell ref="A1:Y1"/>
    <mergeCell ref="D4:Y4"/>
    <mergeCell ref="D96:Y96"/>
    <mergeCell ref="D183:Y183"/>
    <mergeCell ref="D204:Y204"/>
    <mergeCell ref="D252:Y252"/>
    <mergeCell ref="D309:Y309"/>
    <mergeCell ref="D49:Y49"/>
    <mergeCell ref="D107:Y107"/>
    <mergeCell ref="D120:Y120"/>
    <mergeCell ref="D227:Y2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Re-Settlement (ER23-1399)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2023-06-15T16:40:58Z</dcterms:modified>
  <cp:category/>
</cp:coreProperties>
</file>