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720"/>
  </bookViews>
  <sheets>
    <sheet name="Sheet1" sheetId="1" r:id="rId1"/>
    <sheet name="Sheet2" sheetId="2" r:id="rId2"/>
    <sheet name="Sheet3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R19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AB8" i="1"/>
  <c r="AB6" i="1"/>
  <c r="AB5" i="1"/>
  <c r="F7" i="1" l="1"/>
  <c r="AB7" i="1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E30" i="1"/>
  <c r="E29" i="1"/>
  <c r="D30" i="1"/>
  <c r="D29" i="1"/>
  <c r="D35" i="1" l="1"/>
  <c r="F9" i="1"/>
  <c r="F10" i="1"/>
  <c r="F11" i="1"/>
  <c r="F12" i="1"/>
  <c r="F13" i="1"/>
  <c r="F14" i="1"/>
  <c r="F15" i="1"/>
  <c r="F16" i="1"/>
  <c r="F17" i="1"/>
  <c r="F18" i="1"/>
  <c r="F4" i="1"/>
  <c r="AB4" i="1" l="1"/>
  <c r="AB16" i="1"/>
  <c r="AB12" i="1"/>
  <c r="D36" i="1"/>
  <c r="H15" i="1" s="1"/>
  <c r="AG3" i="1"/>
  <c r="AB19" i="1"/>
  <c r="AB15" i="1"/>
  <c r="AB11" i="1"/>
  <c r="AB18" i="1"/>
  <c r="AB14" i="1"/>
  <c r="AB10" i="1"/>
  <c r="AB17" i="1"/>
  <c r="AB13" i="1"/>
  <c r="AB9" i="1"/>
  <c r="W3" i="1"/>
  <c r="H18" i="1"/>
  <c r="I19" i="1" s="1"/>
  <c r="H7" i="1"/>
  <c r="I8" i="1" s="1"/>
  <c r="J8" i="1" s="1"/>
  <c r="H12" i="1"/>
  <c r="H5" i="1"/>
  <c r="I6" i="1" s="1"/>
  <c r="J6" i="1" s="1"/>
  <c r="H19" i="1"/>
  <c r="H16" i="1"/>
  <c r="I17" i="1" s="1"/>
  <c r="H9" i="1"/>
  <c r="I10" i="1" s="1"/>
  <c r="H14" i="1"/>
  <c r="D37" i="1"/>
  <c r="I16" i="1"/>
  <c r="S17" i="1"/>
  <c r="S13" i="1"/>
  <c r="S9" i="1"/>
  <c r="S5" i="1"/>
  <c r="S19" i="1"/>
  <c r="S11" i="1"/>
  <c r="S18" i="1"/>
  <c r="S14" i="1"/>
  <c r="S10" i="1"/>
  <c r="S6" i="1"/>
  <c r="S16" i="1"/>
  <c r="S12" i="1"/>
  <c r="S8" i="1"/>
  <c r="S4" i="1"/>
  <c r="S15" i="1"/>
  <c r="S7" i="1"/>
  <c r="I13" i="1"/>
  <c r="I15" i="1"/>
  <c r="H6" i="1"/>
  <c r="H8" i="1"/>
  <c r="H13" i="1"/>
  <c r="H11" i="1"/>
  <c r="H4" i="1"/>
  <c r="H10" i="1"/>
  <c r="H3" i="1"/>
  <c r="H17" i="1"/>
  <c r="T18" i="1" l="1"/>
  <c r="T14" i="1"/>
  <c r="T10" i="1"/>
  <c r="T6" i="1"/>
  <c r="T16" i="1"/>
  <c r="T12" i="1"/>
  <c r="T8" i="1"/>
  <c r="T4" i="1"/>
  <c r="T15" i="1"/>
  <c r="T11" i="1"/>
  <c r="T17" i="1"/>
  <c r="T13" i="1"/>
  <c r="T9" i="1"/>
  <c r="T5" i="1"/>
  <c r="T19" i="1"/>
  <c r="T7" i="1"/>
  <c r="AC15" i="1"/>
  <c r="AC7" i="1"/>
  <c r="AC19" i="1"/>
  <c r="AC14" i="1"/>
  <c r="AC6" i="1"/>
  <c r="AC11" i="1"/>
  <c r="AC18" i="1"/>
  <c r="AC10" i="1"/>
  <c r="AC17" i="1"/>
  <c r="AC16" i="1"/>
  <c r="AC5" i="1"/>
  <c r="AC8" i="1"/>
  <c r="AC9" i="1"/>
  <c r="AC12" i="1"/>
  <c r="AC13" i="1"/>
  <c r="AC4" i="1"/>
  <c r="I12" i="1"/>
  <c r="I18" i="1"/>
  <c r="I4" i="1"/>
  <c r="I14" i="1"/>
  <c r="I11" i="1"/>
  <c r="I9" i="1"/>
  <c r="J9" i="1" s="1"/>
  <c r="I5" i="1"/>
  <c r="J5" i="1" s="1"/>
  <c r="I7" i="1"/>
  <c r="J7" i="1" s="1"/>
  <c r="U19" i="1" l="1"/>
  <c r="X19" i="1"/>
  <c r="AD17" i="1"/>
  <c r="AD16" i="1"/>
  <c r="AD19" i="1"/>
  <c r="AD18" i="1"/>
  <c r="AD13" i="1"/>
  <c r="AD12" i="1"/>
  <c r="AD15" i="1"/>
  <c r="AD14" i="1"/>
  <c r="AD9" i="1"/>
  <c r="AD8" i="1"/>
  <c r="AD11" i="1"/>
  <c r="AD10" i="1"/>
  <c r="AD5" i="1"/>
  <c r="AD4" i="1"/>
  <c r="AD7" i="1"/>
  <c r="AD6" i="1"/>
  <c r="J4" i="1"/>
  <c r="L20" i="1" a="1"/>
  <c r="L20" i="1" s="1"/>
  <c r="X14" i="1"/>
  <c r="U14" i="1"/>
  <c r="U13" i="1"/>
  <c r="X13" i="1"/>
  <c r="U11" i="1"/>
  <c r="X11" i="1"/>
  <c r="X16" i="1"/>
  <c r="U16" i="1"/>
  <c r="U17" i="1"/>
  <c r="X17" i="1"/>
  <c r="X4" i="1"/>
  <c r="U4" i="1"/>
  <c r="V4" i="1" s="1"/>
  <c r="U5" i="1"/>
  <c r="X5" i="1"/>
  <c r="U10" i="1"/>
  <c r="X10" i="1"/>
  <c r="X6" i="1"/>
  <c r="U6" i="1"/>
  <c r="X8" i="1"/>
  <c r="U8" i="1"/>
  <c r="U9" i="1"/>
  <c r="X9" i="1"/>
  <c r="U7" i="1"/>
  <c r="X7" i="1"/>
  <c r="X12" i="1"/>
  <c r="U12" i="1"/>
  <c r="X18" i="1"/>
  <c r="U18" i="1"/>
  <c r="U15" i="1"/>
  <c r="X15" i="1"/>
  <c r="K5" i="1"/>
  <c r="I21" i="1"/>
  <c r="I22" i="1"/>
  <c r="K6" i="1"/>
  <c r="K8" i="1"/>
  <c r="I20" i="1"/>
  <c r="K7" i="1"/>
  <c r="K9" i="1"/>
  <c r="AH8" i="1" l="1"/>
  <c r="AE8" i="1"/>
  <c r="AH16" i="1"/>
  <c r="AE16" i="1"/>
  <c r="AH6" i="1"/>
  <c r="AE6" i="1"/>
  <c r="AH10" i="1"/>
  <c r="AE10" i="1"/>
  <c r="AH14" i="1"/>
  <c r="AE14" i="1"/>
  <c r="AH18" i="1"/>
  <c r="AE18" i="1"/>
  <c r="AH7" i="1"/>
  <c r="AE7" i="1"/>
  <c r="AH11" i="1"/>
  <c r="AE11" i="1"/>
  <c r="AH15" i="1"/>
  <c r="AE15" i="1"/>
  <c r="AH19" i="1"/>
  <c r="AE19" i="1"/>
  <c r="AH4" i="1"/>
  <c r="AE4" i="1"/>
  <c r="AF4" i="1" s="1"/>
  <c r="AG4" i="1" s="1"/>
  <c r="AH12" i="1"/>
  <c r="AE12" i="1"/>
  <c r="AH5" i="1"/>
  <c r="AE5" i="1"/>
  <c r="AH9" i="1"/>
  <c r="AE9" i="1"/>
  <c r="AH13" i="1"/>
  <c r="AE13" i="1"/>
  <c r="AH17" i="1"/>
  <c r="AE17" i="1"/>
  <c r="J20" i="1"/>
  <c r="K20" i="1" s="1"/>
  <c r="M20" i="1" s="1"/>
  <c r="Y4" i="1"/>
  <c r="V5" i="1"/>
  <c r="W4" i="1"/>
  <c r="Y5" i="1" s="1"/>
  <c r="K4" i="1"/>
  <c r="AI5" i="1" l="1"/>
  <c r="N7" i="1" s="1"/>
  <c r="AF5" i="1"/>
  <c r="AG5" i="1" s="1"/>
  <c r="AI6" i="1" s="1"/>
  <c r="N9" i="1" s="1"/>
  <c r="AI4" i="1"/>
  <c r="N4" i="1" s="1"/>
  <c r="V6" i="1"/>
  <c r="W5" i="1"/>
  <c r="Y6" i="1" s="1"/>
  <c r="AF6" i="1" l="1"/>
  <c r="AF7" i="1" s="1"/>
  <c r="W6" i="1"/>
  <c r="Y7" i="1" s="1"/>
  <c r="J10" i="1" s="1"/>
  <c r="K10" i="1" s="1"/>
  <c r="V7" i="1"/>
  <c r="AG6" i="1" l="1"/>
  <c r="AI7" i="1" s="1"/>
  <c r="AG7" i="1"/>
  <c r="AI8" i="1" s="1"/>
  <c r="AF8" i="1"/>
  <c r="V8" i="1"/>
  <c r="W7" i="1"/>
  <c r="Y8" i="1" s="1"/>
  <c r="J11" i="1" l="1"/>
  <c r="K11" i="1" s="1"/>
  <c r="N10" i="1"/>
  <c r="AG8" i="1"/>
  <c r="AI9" i="1" s="1"/>
  <c r="N11" i="1" s="1"/>
  <c r="AF9" i="1"/>
  <c r="V9" i="1"/>
  <c r="W8" i="1"/>
  <c r="Y9" i="1" s="1"/>
  <c r="J12" i="1" s="1"/>
  <c r="K12" i="1" s="1"/>
  <c r="AG9" i="1" l="1"/>
  <c r="AI10" i="1" s="1"/>
  <c r="N12" i="1" s="1"/>
  <c r="AF10" i="1"/>
  <c r="V10" i="1"/>
  <c r="W9" i="1"/>
  <c r="Y10" i="1" s="1"/>
  <c r="J13" i="1" l="1"/>
  <c r="K13" i="1" s="1"/>
  <c r="AF11" i="1"/>
  <c r="AG10" i="1"/>
  <c r="AI11" i="1" s="1"/>
  <c r="N13" i="1" s="1"/>
  <c r="V11" i="1"/>
  <c r="W10" i="1"/>
  <c r="Y11" i="1" s="1"/>
  <c r="AG11" i="1" l="1"/>
  <c r="AI12" i="1" s="1"/>
  <c r="N14" i="1" s="1"/>
  <c r="AF12" i="1"/>
  <c r="V12" i="1"/>
  <c r="W11" i="1"/>
  <c r="Y12" i="1" s="1"/>
  <c r="J14" i="1" s="1"/>
  <c r="K14" i="1" s="1"/>
  <c r="AG12" i="1" l="1"/>
  <c r="AI13" i="1" s="1"/>
  <c r="N5" i="1" s="1"/>
  <c r="AF13" i="1"/>
  <c r="V13" i="1"/>
  <c r="W12" i="1"/>
  <c r="Y13" i="1" s="1"/>
  <c r="AG13" i="1" l="1"/>
  <c r="AI14" i="1" s="1"/>
  <c r="N15" i="1" s="1"/>
  <c r="AF14" i="1"/>
  <c r="V14" i="1"/>
  <c r="W13" i="1"/>
  <c r="Y14" i="1" s="1"/>
  <c r="J15" i="1" l="1"/>
  <c r="K15" i="1" s="1"/>
  <c r="AG14" i="1"/>
  <c r="AI15" i="1" s="1"/>
  <c r="AF15" i="1"/>
  <c r="V15" i="1"/>
  <c r="W14" i="1"/>
  <c r="Y15" i="1" s="1"/>
  <c r="J16" i="1" s="1"/>
  <c r="K16" i="1" s="1"/>
  <c r="N16" i="1" l="1"/>
  <c r="AG15" i="1"/>
  <c r="AI16" i="1" s="1"/>
  <c r="AF16" i="1"/>
  <c r="V16" i="1"/>
  <c r="W15" i="1"/>
  <c r="Y16" i="1" s="1"/>
  <c r="N8" i="1" l="1"/>
  <c r="N6" i="1"/>
  <c r="AG16" i="1"/>
  <c r="AI17" i="1" s="1"/>
  <c r="AF17" i="1"/>
  <c r="V17" i="1"/>
  <c r="W16" i="1"/>
  <c r="Y17" i="1" s="1"/>
  <c r="N17" i="1" l="1"/>
  <c r="AG17" i="1"/>
  <c r="AI18" i="1" s="1"/>
  <c r="AF18" i="1"/>
  <c r="V18" i="1"/>
  <c r="W17" i="1"/>
  <c r="Y18" i="1" s="1"/>
  <c r="J17" i="1" l="1"/>
  <c r="K17" i="1" s="1"/>
  <c r="AG18" i="1"/>
  <c r="AI19" i="1" s="1"/>
  <c r="N19" i="1" s="1"/>
  <c r="AF19" i="1"/>
  <c r="AG19" i="1" s="1"/>
  <c r="V19" i="1"/>
  <c r="W19" i="1" s="1"/>
  <c r="W18" i="1"/>
  <c r="Y19" i="1" s="1"/>
  <c r="J18" i="1" s="1"/>
  <c r="K18" i="1" s="1"/>
  <c r="L21" i="1" l="1" a="1"/>
  <c r="L21" i="1" s="1"/>
  <c r="N18" i="1"/>
  <c r="N22" i="1" s="1"/>
  <c r="Y20" i="1"/>
  <c r="J19" i="1"/>
  <c r="O22" i="1" l="1" a="1"/>
  <c r="O22" i="1" s="1"/>
  <c r="P22" i="1" s="1"/>
  <c r="P23" i="1" s="1"/>
  <c r="K19" i="1"/>
  <c r="J22" i="1"/>
  <c r="J21" i="1" s="1"/>
  <c r="K21" i="1" s="1"/>
  <c r="K22" i="1" l="1"/>
  <c r="M21" i="1"/>
  <c r="M22" i="1" s="1"/>
  <c r="M23" i="1" l="1"/>
</calcChain>
</file>

<file path=xl/sharedStrings.xml><?xml version="1.0" encoding="utf-8"?>
<sst xmlns="http://schemas.openxmlformats.org/spreadsheetml/2006/main" count="70" uniqueCount="60">
  <si>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</si>
  <si>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</si>
  <si>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</si>
  <si>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</si>
  <si>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</si>
  <si>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</si>
  <si>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</si>
  <si>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</si>
  <si>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</si>
  <si>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</si>
  <si>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</si>
  <si>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</si>
  <si>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</si>
  <si>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</si>
  <si>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</si>
  <si>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</si>
  <si>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Unit</t>
  </si>
  <si>
    <t>Round 1 Capacity MW</t>
  </si>
  <si>
    <t>Total</t>
  </si>
  <si>
    <t>Add'l Round 2 Capacity MW</t>
  </si>
  <si>
    <t>Tier 1</t>
  </si>
  <si>
    <t>Tier 2</t>
  </si>
  <si>
    <t>Total Capacity MW</t>
  </si>
  <si>
    <t>Qualified MW</t>
  </si>
  <si>
    <r>
      <t xml:space="preserve">Offer
</t>
    </r>
    <r>
      <rPr>
        <sz val="10"/>
        <color theme="1"/>
        <rFont val="Arial"/>
        <family val="2"/>
      </rPr>
      <t>$/MW-day</t>
    </r>
  </si>
  <si>
    <r>
      <t xml:space="preserve">Mitigated Offer
</t>
    </r>
    <r>
      <rPr>
        <sz val="10"/>
        <color theme="1"/>
        <rFont val="Arial"/>
        <family val="2"/>
      </rPr>
      <t>($/MW-day)</t>
    </r>
  </si>
  <si>
    <t>MOPR MW</t>
  </si>
  <si>
    <r>
      <t xml:space="preserve">APR Cost
</t>
    </r>
    <r>
      <rPr>
        <sz val="10"/>
        <color theme="1"/>
        <rFont val="Arial"/>
        <family val="2"/>
      </rPr>
      <t>($/day)</t>
    </r>
  </si>
  <si>
    <t>APR Prices</t>
  </si>
  <si>
    <t>MOPR Price</t>
  </si>
  <si>
    <t>MOPR Cost</t>
  </si>
  <si>
    <t>Example of APR and MOPR Clearing</t>
  </si>
  <si>
    <t>Tier</t>
  </si>
  <si>
    <t>VRR Point 1</t>
  </si>
  <si>
    <t>VRR Point 2</t>
  </si>
  <si>
    <t>Q</t>
  </si>
  <si>
    <t>1.06*RR</t>
  </si>
  <si>
    <t>0.2*CONE</t>
  </si>
  <si>
    <t>CONE</t>
  </si>
  <si>
    <t>1.01*RR</t>
  </si>
  <si>
    <t>RR</t>
  </si>
  <si>
    <t>VRR P</t>
  </si>
  <si>
    <t>m</t>
  </si>
  <si>
    <t>b</t>
  </si>
  <si>
    <t>Cumulative Q</t>
  </si>
  <si>
    <t>Rank</t>
  </si>
  <si>
    <t>Round 2 Stack</t>
  </si>
  <si>
    <t>Cumulative Round 2 stack</t>
  </si>
  <si>
    <t>VRR P*</t>
  </si>
  <si>
    <t>Round 2 Capacity</t>
  </si>
  <si>
    <t>INPUTS</t>
  </si>
  <si>
    <t>CALCULATIONS</t>
  </si>
  <si>
    <t>Round 2</t>
  </si>
  <si>
    <t>MOPR</t>
  </si>
  <si>
    <t>MOPR Stack</t>
  </si>
  <si>
    <t>Unsorted MOPR</t>
  </si>
  <si>
    <t>Unsorted Tier 2 Mitigated Offers</t>
  </si>
  <si>
    <t>Cumulative MOPR stack</t>
  </si>
  <si>
    <t>MOPR Capacity</t>
  </si>
  <si>
    <t>$/MW-day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</si>
</sst>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5" fillId="0" borderId="1" xfId="0" applyFont="1" applyBorder="1"/>
    <xf numFmtId="0" fontId="6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NumberFormat="1"/>
    <xf numFmtId="0" fontId="0" fillId="0" borderId="1" xfId="0" applyNumberFormat="1" applyBorder="1"/>
    <xf numFmtId="0" fontId="0" fillId="0" borderId="0" xfId="0" applyFont="1" applyBorder="1" applyAlignment="1">
      <alignment horizontal="center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7" fillId="0" borderId="0" xfId="2" applyNumberFormat="1" applyFont="1" applyFill="1"/>
    <xf numFmtId="164" fontId="7" fillId="0" borderId="0" xfId="0" applyNumberFormat="1" applyFont="1" applyFill="1"/>
    <xf numFmtId="0" fontId="0" fillId="4" borderId="0" xfId="0" applyFill="1" applyBorder="1" applyAlignment="1">
      <alignment horizontal="right"/>
    </xf>
    <xf numFmtId="0" fontId="0" fillId="4" borderId="0" xfId="0" applyFill="1"/>
    <xf numFmtId="0" fontId="0" fillId="0" borderId="2" xfId="0" applyFill="1" applyBorder="1" applyAlignment="1">
      <alignment horizontal="right"/>
    </xf>
    <xf numFmtId="2" fontId="0" fillId="0" borderId="8" xfId="0" applyNumberFormat="1" applyBorder="1"/>
    <xf numFmtId="0" fontId="0" fillId="0" borderId="3" xfId="0" applyFill="1" applyBorder="1" applyAlignment="1">
      <alignment horizontal="right"/>
    </xf>
    <xf numFmtId="0" fontId="0" fillId="0" borderId="9" xfId="0" applyBorder="1"/>
    <xf numFmtId="0" fontId="0" fillId="0" borderId="3" xfId="0" applyBorder="1"/>
    <xf numFmtId="164" fontId="0" fillId="0" borderId="0" xfId="0" applyNumberFormat="1" applyBorder="1"/>
    <xf numFmtId="165" fontId="0" fillId="0" borderId="0" xfId="4" applyNumberFormat="1" applyFont="1" applyBorder="1"/>
    <xf numFmtId="165" fontId="0" fillId="0" borderId="1" xfId="4" applyNumberFormat="1" applyFont="1" applyBorder="1"/>
    <xf numFmtId="164" fontId="0" fillId="0" borderId="6" xfId="0" applyNumberFormat="1" applyBorder="1"/>
    <xf numFmtId="0" fontId="4" fillId="0" borderId="1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7" fillId="0" borderId="0" xfId="3" applyNumberFormat="1" applyFont="1" applyFill="1"/>
    <xf numFmtId="164" fontId="0" fillId="0" borderId="3" xfId="0" applyNumberFormat="1" applyBorder="1"/>
    <xf numFmtId="0" fontId="0" fillId="0" borderId="0" xfId="0" applyNumberFormat="1" applyBorder="1"/>
    <xf numFmtId="0" fontId="4" fillId="0" borderId="11" xfId="0" applyFont="1" applyFill="1" applyBorder="1" applyAlignment="1">
      <alignment horizontal="center" wrapText="1"/>
    </xf>
    <xf numFmtId="164" fontId="0" fillId="0" borderId="4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5">
    <cellStyle name="Bad" xfId="2" builtinId="27"/>
    <cellStyle name="Comma" xfId="1" builtinId="3"/>
    <cellStyle name="Currency" xfId="4" builtinId="4"/>
    <cellStyle name="Neutral" xfId="3" builtinId="28"/>
    <cellStyle name="Normal" xfId="0" builtinId="0"/>
  </cellStyles>
  <dxfs count="1"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Round 1 - As-Submitted</a:t>
            </a:r>
            <a:r>
              <a:rPr lang="en-US" baseline="0"/>
              <a:t> Offers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646456304046874E-2"/>
          <c:y val="0.13629005705010969"/>
          <c:w val="0.66487173372647168"/>
          <c:h val="0.7566549747394693"/>
        </c:manualLayout>
      </c:layout>
      <c:scatterChart>
        <c:scatterStyle val="lineMarker"/>
        <c:varyColors val="0"/>
        <c:ser>
          <c:idx val="12"/>
          <c:order val="0"/>
          <c:tx>
            <c:v>Clearing Price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(Sheet1!$D$39,Sheet1!$I$22)</c:f>
              <c:numCache>
                <c:formatCode>General</c:formatCode>
                <c:ptCount val="2"/>
                <c:pt idx="0">
                  <c:v>0</c:v>
                </c:pt>
                <c:pt idx="1">
                  <c:v>2860</c:v>
                </c:pt>
              </c:numCache>
            </c:numRef>
          </c:xVal>
          <c:yVal>
            <c:numRef>
              <c:f>(Sheet1!$L$20,Sheet1!$L$20)</c:f>
              <c:numCache>
                <c:formatCode>"$"#,##0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0"/>
        </c:ser>
        <c:ser>
          <c:idx val="13"/>
          <c:order val="1"/>
          <c:tx>
            <c:v>Clearing Quantity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(Sheet1!$I$22,Sheet1!$I$22)</c:f>
              <c:numCache>
                <c:formatCode>General</c:formatCode>
                <c:ptCount val="2"/>
                <c:pt idx="0">
                  <c:v>2860</c:v>
                </c:pt>
                <c:pt idx="1">
                  <c:v>2860</c:v>
                </c:pt>
              </c:numCache>
            </c:numRef>
          </c:xVal>
          <c:yVal>
            <c:numRef>
              <c:f>(Sheet1!$D$39,Sheet1!$L$20)</c:f>
              <c:numCache>
                <c:formatCode>"$"#,##0</c:formatCode>
                <c:ptCount val="2"/>
                <c:pt idx="0" formatCode="General">
                  <c:v>0</c:v>
                </c:pt>
                <c:pt idx="1">
                  <c:v>80</c:v>
                </c:pt>
              </c:numCache>
            </c:numRef>
          </c:yVal>
          <c:smooth val="0"/>
        </c:ser>
        <c:ser>
          <c:idx val="0"/>
          <c:order val="2"/>
          <c:tx>
            <c:v>VRR</c:v>
          </c:tx>
          <c:marker>
            <c:symbol val="none"/>
          </c:marker>
          <c:xVal>
            <c:numRef>
              <c:f>Sheet1!$G$4:$G$19</c:f>
              <c:numCache>
                <c:formatCode>General</c:formatCode>
                <c:ptCount val="16"/>
                <c:pt idx="0">
                  <c:v>500</c:v>
                </c:pt>
                <c:pt idx="1">
                  <c:v>900</c:v>
                </c:pt>
                <c:pt idx="2">
                  <c:v>1350</c:v>
                </c:pt>
                <c:pt idx="3">
                  <c:v>1450</c:v>
                </c:pt>
                <c:pt idx="4">
                  <c:v>2200</c:v>
                </c:pt>
                <c:pt idx="5">
                  <c:v>2350</c:v>
                </c:pt>
                <c:pt idx="6">
                  <c:v>2510</c:v>
                </c:pt>
                <c:pt idx="7">
                  <c:v>2680</c:v>
                </c:pt>
                <c:pt idx="8">
                  <c:v>2860</c:v>
                </c:pt>
                <c:pt idx="9">
                  <c:v>3110</c:v>
                </c:pt>
                <c:pt idx="10">
                  <c:v>3360</c:v>
                </c:pt>
                <c:pt idx="11">
                  <c:v>3410</c:v>
                </c:pt>
                <c:pt idx="12">
                  <c:v>3510</c:v>
                </c:pt>
                <c:pt idx="13">
                  <c:v>3960</c:v>
                </c:pt>
                <c:pt idx="14">
                  <c:v>4340</c:v>
                </c:pt>
                <c:pt idx="15">
                  <c:v>5140</c:v>
                </c:pt>
              </c:numCache>
            </c:numRef>
          </c:xVal>
          <c:yVal>
            <c:numRef>
              <c:f>Sheet1!$H$4:$H$19</c:f>
              <c:numCache>
                <c:formatCode>"$"#,##0</c:formatCode>
                <c:ptCount val="16"/>
                <c:pt idx="0">
                  <c:v>4245.7443609022421</c:v>
                </c:pt>
                <c:pt idx="1">
                  <c:v>3523.9398496240492</c:v>
                </c:pt>
                <c:pt idx="2">
                  <c:v>2711.909774436082</c:v>
                </c:pt>
                <c:pt idx="3">
                  <c:v>2531.4586466165338</c:v>
                </c:pt>
                <c:pt idx="4">
                  <c:v>1178.0751879699219</c:v>
                </c:pt>
                <c:pt idx="5">
                  <c:v>907.39849624059934</c:v>
                </c:pt>
                <c:pt idx="6">
                  <c:v>618.67669172932256</c:v>
                </c:pt>
                <c:pt idx="7">
                  <c:v>311.90977443609063</c:v>
                </c:pt>
                <c:pt idx="8">
                  <c:v>-12.902255639096438</c:v>
                </c:pt>
                <c:pt idx="9">
                  <c:v>-464.03007518796767</c:v>
                </c:pt>
                <c:pt idx="10">
                  <c:v>-915.15789473683799</c:v>
                </c:pt>
                <c:pt idx="11">
                  <c:v>-1005.3834586466119</c:v>
                </c:pt>
                <c:pt idx="12">
                  <c:v>-1185.8345864661605</c:v>
                </c:pt>
                <c:pt idx="13">
                  <c:v>-1997.8646616541273</c:v>
                </c:pt>
                <c:pt idx="14">
                  <c:v>-2683.5789473684108</c:v>
                </c:pt>
                <c:pt idx="15">
                  <c:v>-4127.1879699247966</c:v>
                </c:pt>
              </c:numCache>
            </c:numRef>
          </c:yVal>
          <c:smooth val="0"/>
        </c:ser>
        <c:ser>
          <c:idx val="19"/>
          <c:order val="3"/>
          <c:tx>
            <c:v>RR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(Sheet1!$D$33,Sheet1!$D$33)</c:f>
              <c:numCache>
                <c:formatCode>General</c:formatCode>
                <c:ptCount val="2"/>
                <c:pt idx="0">
                  <c:v>2660</c:v>
                </c:pt>
                <c:pt idx="1">
                  <c:v>2660</c:v>
                </c:pt>
              </c:numCache>
            </c:numRef>
          </c:xVal>
          <c:yVal>
            <c:numRef>
              <c:f>(Sheet1!$D$39,Sheet1!$D$36)</c:f>
              <c:numCache>
                <c:formatCode>General</c:formatCode>
                <c:ptCount val="2"/>
                <c:pt idx="0">
                  <c:v>0</c:v>
                </c:pt>
                <c:pt idx="1">
                  <c:v>5147.9999999999836</c:v>
                </c:pt>
              </c:numCache>
            </c:numRef>
          </c:yVal>
          <c:smooth val="0"/>
        </c:ser>
        <c:ser>
          <c:idx val="1"/>
          <c:order val="4"/>
          <c:tx>
            <c:strRef>
              <c:f>Sheet1!$B$4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Sheet1!$G$3:$G$4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(Sheet1!$E$4,Sheet1!$E$4)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Sheet1!$B$5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Sheet1!$G$4:$G$5</c:f>
              <c:numCache>
                <c:formatCode>General</c:formatCode>
                <c:ptCount val="2"/>
                <c:pt idx="0">
                  <c:v>500</c:v>
                </c:pt>
                <c:pt idx="1">
                  <c:v>900</c:v>
                </c:pt>
              </c:numCache>
            </c:numRef>
          </c:xVal>
          <c:yVal>
            <c:numRef>
              <c:f>(Sheet1!$E$5,Sheet1!$E$5)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6"/>
          <c:tx>
            <c:strRef>
              <c:f>Sheet1!$B$6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Sheet1!$G$5:$G$6</c:f>
              <c:numCache>
                <c:formatCode>General</c:formatCode>
                <c:ptCount val="2"/>
                <c:pt idx="0">
                  <c:v>900</c:v>
                </c:pt>
                <c:pt idx="1">
                  <c:v>1350</c:v>
                </c:pt>
              </c:numCache>
            </c:numRef>
          </c:xVal>
          <c:yVal>
            <c:numRef>
              <c:f>(Sheet1!$E$6,Sheet1!$E$6)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</c:ser>
        <c:ser>
          <c:idx val="4"/>
          <c:order val="7"/>
          <c:tx>
            <c:strRef>
              <c:f>Sheet1!$B$7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Sheet1!$G$6:$G$7</c:f>
              <c:numCache>
                <c:formatCode>General</c:formatCode>
                <c:ptCount val="2"/>
                <c:pt idx="0">
                  <c:v>1350</c:v>
                </c:pt>
                <c:pt idx="1">
                  <c:v>1450</c:v>
                </c:pt>
              </c:numCache>
            </c:numRef>
          </c:xVal>
          <c:yVal>
            <c:numRef>
              <c:f>(Sheet1!$F$7,Sheet1!$F$7)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0"/>
        </c:ser>
        <c:ser>
          <c:idx val="5"/>
          <c:order val="8"/>
          <c:tx>
            <c:strRef>
              <c:f>Sheet1!$B$8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Sheet1!$G$7:$G$8</c:f>
              <c:numCache>
                <c:formatCode>General</c:formatCode>
                <c:ptCount val="2"/>
                <c:pt idx="0">
                  <c:v>1450</c:v>
                </c:pt>
                <c:pt idx="1">
                  <c:v>2200</c:v>
                </c:pt>
              </c:numCache>
            </c:numRef>
          </c:xVal>
          <c:yVal>
            <c:numRef>
              <c:f>(Sheet1!$E$8,Sheet1!$E$8)</c:f>
              <c:numCache>
                <c:formatCode>"$"#,##0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yVal>
          <c:smooth val="0"/>
        </c:ser>
        <c:ser>
          <c:idx val="6"/>
          <c:order val="9"/>
          <c:tx>
            <c:strRef>
              <c:f>Sheet1!$B$9</c:f>
              <c:strCache>
                <c:ptCount val="1"/>
                <c:pt idx="0">
                  <c:v>F</c:v>
                </c:pt>
              </c:strCache>
            </c:strRef>
          </c:tx>
          <c:marker>
            <c:symbol val="none"/>
          </c:marker>
          <c:xVal>
            <c:numRef>
              <c:f>Sheet1!$G$8:$G$9</c:f>
              <c:numCache>
                <c:formatCode>General</c:formatCode>
                <c:ptCount val="2"/>
                <c:pt idx="0">
                  <c:v>2200</c:v>
                </c:pt>
                <c:pt idx="1">
                  <c:v>2350</c:v>
                </c:pt>
              </c:numCache>
            </c:numRef>
          </c:xVal>
          <c:yVal>
            <c:numRef>
              <c:f>(Sheet1!$E$9,Sheet1!$E$9)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</c:ser>
        <c:ser>
          <c:idx val="7"/>
          <c:order val="10"/>
          <c:tx>
            <c:strRef>
              <c:f>Sheet1!$B$10</c:f>
              <c:strCache>
                <c:ptCount val="1"/>
                <c:pt idx="0">
                  <c:v>G</c:v>
                </c:pt>
              </c:strCache>
            </c:strRef>
          </c:tx>
          <c:marker>
            <c:symbol val="none"/>
          </c:marker>
          <c:xVal>
            <c:numRef>
              <c:f>Sheet1!$G$9:$G$10</c:f>
              <c:numCache>
                <c:formatCode>General</c:formatCode>
                <c:ptCount val="2"/>
                <c:pt idx="0">
                  <c:v>2350</c:v>
                </c:pt>
                <c:pt idx="1">
                  <c:v>2510</c:v>
                </c:pt>
              </c:numCache>
            </c:numRef>
          </c:xVal>
          <c:yVal>
            <c:numRef>
              <c:f>(Sheet1!$E$10,Sheet1!$E$10)</c:f>
              <c:numCache>
                <c:formatCode>"$"#,##0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yVal>
          <c:smooth val="0"/>
        </c:ser>
        <c:ser>
          <c:idx val="8"/>
          <c:order val="11"/>
          <c:tx>
            <c:strRef>
              <c:f>Sheet1!$B$11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Sheet1!$G$10:$G$11</c:f>
              <c:numCache>
                <c:formatCode>General</c:formatCode>
                <c:ptCount val="2"/>
                <c:pt idx="0">
                  <c:v>2510</c:v>
                </c:pt>
                <c:pt idx="1">
                  <c:v>2680</c:v>
                </c:pt>
              </c:numCache>
            </c:numRef>
          </c:xVal>
          <c:yVal>
            <c:numRef>
              <c:f>(Sheet1!$E$11,Sheet1!$E$11)</c:f>
              <c:numCache>
                <c:formatCode>"$"#,##0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0"/>
        </c:ser>
        <c:ser>
          <c:idx val="9"/>
          <c:order val="12"/>
          <c:tx>
            <c:strRef>
              <c:f>Sheet1!$B$12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xVal>
            <c:numRef>
              <c:f>Sheet1!$G$11:$G$12</c:f>
              <c:numCache>
                <c:formatCode>General</c:formatCode>
                <c:ptCount val="2"/>
                <c:pt idx="0">
                  <c:v>2680</c:v>
                </c:pt>
                <c:pt idx="1">
                  <c:v>2860</c:v>
                </c:pt>
              </c:numCache>
            </c:numRef>
          </c:xVal>
          <c:yVal>
            <c:numRef>
              <c:f>(Sheet1!$E$12,Sheet1!$E$12)</c:f>
              <c:numCache>
                <c:formatCode>"$"#,##0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0"/>
        </c:ser>
        <c:ser>
          <c:idx val="10"/>
          <c:order val="13"/>
          <c:tx>
            <c:strRef>
              <c:f>Sheet1!$B$13</c:f>
              <c:strCache>
                <c:ptCount val="1"/>
                <c:pt idx="0">
                  <c:v>J</c:v>
                </c:pt>
              </c:strCache>
            </c:strRef>
          </c:tx>
          <c:marker>
            <c:symbol val="none"/>
          </c:marker>
          <c:xVal>
            <c:numRef>
              <c:f>Sheet1!$G$12:$G$13</c:f>
              <c:numCache>
                <c:formatCode>General</c:formatCode>
                <c:ptCount val="2"/>
                <c:pt idx="0">
                  <c:v>2860</c:v>
                </c:pt>
                <c:pt idx="1">
                  <c:v>3110</c:v>
                </c:pt>
              </c:numCache>
            </c:numRef>
          </c:xVal>
          <c:yVal>
            <c:numRef>
              <c:f>(Sheet1!$E$13,Sheet1!$E$13)</c:f>
              <c:numCache>
                <c:formatCode>"$"#,##0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0"/>
        </c:ser>
        <c:ser>
          <c:idx val="11"/>
          <c:order val="14"/>
          <c:tx>
            <c:strRef>
              <c:f>Sheet1!$B$14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xVal>
            <c:numRef>
              <c:f>Sheet1!$G$13:$G$14</c:f>
              <c:numCache>
                <c:formatCode>General</c:formatCode>
                <c:ptCount val="2"/>
                <c:pt idx="0">
                  <c:v>3110</c:v>
                </c:pt>
                <c:pt idx="1">
                  <c:v>3360</c:v>
                </c:pt>
              </c:numCache>
            </c:numRef>
          </c:xVal>
          <c:yVal>
            <c:numRef>
              <c:f>(Sheet1!$E$14,Sheet1!$E$14)</c:f>
              <c:numCache>
                <c:formatCode>"$"#,##0</c:formatCode>
                <c:ptCount val="2"/>
                <c:pt idx="0">
                  <c:v>110</c:v>
                </c:pt>
                <c:pt idx="1">
                  <c:v>110</c:v>
                </c:pt>
              </c:numCache>
            </c:numRef>
          </c:yVal>
          <c:smooth val="0"/>
        </c:ser>
        <c:ser>
          <c:idx val="14"/>
          <c:order val="15"/>
          <c:tx>
            <c:strRef>
              <c:f>Sheet1!$B$15</c:f>
              <c:strCache>
                <c:ptCount val="1"/>
                <c:pt idx="0">
                  <c:v>L</c:v>
                </c:pt>
              </c:strCache>
            </c:strRef>
          </c:tx>
          <c:marker>
            <c:symbol val="none"/>
          </c:marker>
          <c:xVal>
            <c:numRef>
              <c:f>Sheet1!$G$14:$G$15</c:f>
              <c:numCache>
                <c:formatCode>General</c:formatCode>
                <c:ptCount val="2"/>
                <c:pt idx="0">
                  <c:v>3360</c:v>
                </c:pt>
                <c:pt idx="1">
                  <c:v>3410</c:v>
                </c:pt>
              </c:numCache>
            </c:numRef>
          </c:xVal>
          <c:yVal>
            <c:numRef>
              <c:f>(Sheet1!$E$15,Sheet1!$E$15)</c:f>
              <c:numCache>
                <c:formatCode>"$"#,##0</c:formatCode>
                <c:ptCount val="2"/>
                <c:pt idx="0">
                  <c:v>160</c:v>
                </c:pt>
                <c:pt idx="1">
                  <c:v>160</c:v>
                </c:pt>
              </c:numCache>
            </c:numRef>
          </c:yVal>
          <c:smooth val="0"/>
        </c:ser>
        <c:ser>
          <c:idx val="15"/>
          <c:order val="16"/>
          <c:tx>
            <c:strRef>
              <c:f>Sheet1!$B$16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xVal>
            <c:numRef>
              <c:f>Sheet1!$G$15:$G$16</c:f>
              <c:numCache>
                <c:formatCode>General</c:formatCode>
                <c:ptCount val="2"/>
                <c:pt idx="0">
                  <c:v>3410</c:v>
                </c:pt>
                <c:pt idx="1">
                  <c:v>3510</c:v>
                </c:pt>
              </c:numCache>
            </c:numRef>
          </c:xVal>
          <c:yVal>
            <c:numRef>
              <c:f>(Sheet1!$E$16,Sheet1!$E$16)</c:f>
              <c:numCache>
                <c:formatCode>"$"#,##0</c:formatCode>
                <c:ptCount val="2"/>
                <c:pt idx="0">
                  <c:v>240</c:v>
                </c:pt>
                <c:pt idx="1">
                  <c:v>240</c:v>
                </c:pt>
              </c:numCache>
            </c:numRef>
          </c:yVal>
          <c:smooth val="0"/>
        </c:ser>
        <c:ser>
          <c:idx val="16"/>
          <c:order val="17"/>
          <c:tx>
            <c:strRef>
              <c:f>Sheet1!$B$17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xVal>
            <c:numRef>
              <c:f>Sheet1!$G$16:$G$17</c:f>
              <c:numCache>
                <c:formatCode>General</c:formatCode>
                <c:ptCount val="2"/>
                <c:pt idx="0">
                  <c:v>3510</c:v>
                </c:pt>
                <c:pt idx="1">
                  <c:v>3960</c:v>
                </c:pt>
              </c:numCache>
            </c:numRef>
          </c:xVal>
          <c:yVal>
            <c:numRef>
              <c:f>(Sheet1!$E$17,Sheet1!$E$17)</c:f>
              <c:numCache>
                <c:formatCode>"$"#,##0</c:formatCode>
                <c:ptCount val="2"/>
                <c:pt idx="0">
                  <c:v>340</c:v>
                </c:pt>
                <c:pt idx="1">
                  <c:v>340</c:v>
                </c:pt>
              </c:numCache>
            </c:numRef>
          </c:yVal>
          <c:smooth val="0"/>
        </c:ser>
        <c:ser>
          <c:idx val="17"/>
          <c:order val="18"/>
          <c:tx>
            <c:strRef>
              <c:f>Sheet1!$B$18</c:f>
              <c:strCache>
                <c:ptCount val="1"/>
                <c:pt idx="0">
                  <c:v>O</c:v>
                </c:pt>
              </c:strCache>
            </c:strRef>
          </c:tx>
          <c:marker>
            <c:symbol val="none"/>
          </c:marker>
          <c:xVal>
            <c:numRef>
              <c:f>Sheet1!$G$17:$G$18</c:f>
              <c:numCache>
                <c:formatCode>General</c:formatCode>
                <c:ptCount val="2"/>
                <c:pt idx="0">
                  <c:v>3960</c:v>
                </c:pt>
                <c:pt idx="1">
                  <c:v>4340</c:v>
                </c:pt>
              </c:numCache>
            </c:numRef>
          </c:xVal>
          <c:yVal>
            <c:numRef>
              <c:f>(Sheet1!$F$18,Sheet1!$F$18)</c:f>
              <c:numCache>
                <c:formatCode>"$"#,##0</c:formatCode>
                <c:ptCount val="2"/>
                <c:pt idx="0">
                  <c:v>400</c:v>
                </c:pt>
                <c:pt idx="1">
                  <c:v>400</c:v>
                </c:pt>
              </c:numCache>
            </c:numRef>
          </c:yVal>
          <c:smooth val="0"/>
        </c:ser>
        <c:ser>
          <c:idx val="18"/>
          <c:order val="19"/>
          <c:tx>
            <c:strRef>
              <c:f>Sheet1!$B$19</c:f>
              <c:strCache>
                <c:ptCount val="1"/>
                <c:pt idx="0">
                  <c:v>P</c:v>
                </c:pt>
              </c:strCache>
            </c:strRef>
          </c:tx>
          <c:marker>
            <c:symbol val="none"/>
          </c:marker>
          <c:xVal>
            <c:numRef>
              <c:f>Sheet1!$G$18:$G$19</c:f>
              <c:numCache>
                <c:formatCode>General</c:formatCode>
                <c:ptCount val="2"/>
                <c:pt idx="0">
                  <c:v>4340</c:v>
                </c:pt>
                <c:pt idx="1">
                  <c:v>5140</c:v>
                </c:pt>
              </c:numCache>
            </c:numRef>
          </c:xVal>
          <c:yVal>
            <c:numRef>
              <c:f>(Sheet1!$F$19,Sheet1!$F$19)</c:f>
              <c:numCache>
                <c:formatCode>"$"#,##0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96736"/>
        <c:axId val="203003008"/>
      </c:scatterChart>
      <c:valAx>
        <c:axId val="20299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Quantity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003008"/>
        <c:crosses val="autoZero"/>
        <c:crossBetween val="midCat"/>
      </c:valAx>
      <c:valAx>
        <c:axId val="203003008"/>
        <c:scaling>
          <c:orientation val="minMax"/>
          <c:max val="5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$/MW-day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20299673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957726532330528"/>
          <c:y val="0.13706308616379903"/>
          <c:w val="0.220363563782074"/>
          <c:h val="0.835919406040236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Round 2 - Replacement Offers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79925518773009"/>
          <c:y val="0.13395477996858593"/>
          <c:w val="0.64856355055099213"/>
          <c:h val="0.76400811772709654"/>
        </c:manualLayout>
      </c:layout>
      <c:scatterChart>
        <c:scatterStyle val="lineMarker"/>
        <c:varyColors val="0"/>
        <c:ser>
          <c:idx val="14"/>
          <c:order val="0"/>
          <c:tx>
            <c:v>Clearing Price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(Sheet1!$D$39,Sheet1!$Y$20)</c:f>
              <c:numCache>
                <c:formatCode>General</c:formatCode>
                <c:ptCount val="2"/>
                <c:pt idx="0">
                  <c:v>0</c:v>
                </c:pt>
                <c:pt idx="1">
                  <c:v>2760</c:v>
                </c:pt>
              </c:numCache>
            </c:numRef>
          </c:xVal>
          <c:yVal>
            <c:numRef>
              <c:f>(Sheet1!$L$21,Sheet1!$L$21)</c:f>
              <c:numCache>
                <c:formatCode>"$"#,##0</c:formatCode>
                <c:ptCount val="2"/>
                <c:pt idx="0">
                  <c:v>299</c:v>
                </c:pt>
                <c:pt idx="1">
                  <c:v>299</c:v>
                </c:pt>
              </c:numCache>
            </c:numRef>
          </c:yVal>
          <c:smooth val="0"/>
        </c:ser>
        <c:ser>
          <c:idx val="15"/>
          <c:order val="1"/>
          <c:tx>
            <c:v>Clearing Quantity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(Sheet1!$Y$20,Sheet1!$Y$20)</c:f>
              <c:numCache>
                <c:formatCode>General</c:formatCode>
                <c:ptCount val="2"/>
                <c:pt idx="0">
                  <c:v>2760</c:v>
                </c:pt>
                <c:pt idx="1">
                  <c:v>2760</c:v>
                </c:pt>
              </c:numCache>
            </c:numRef>
          </c:xVal>
          <c:yVal>
            <c:numRef>
              <c:f>(Sheet1!$D$39,Sheet1!$L$21)</c:f>
              <c:numCache>
                <c:formatCode>"$"#,##0</c:formatCode>
                <c:ptCount val="2"/>
                <c:pt idx="0" formatCode="General">
                  <c:v>0</c:v>
                </c:pt>
                <c:pt idx="1">
                  <c:v>299</c:v>
                </c:pt>
              </c:numCache>
            </c:numRef>
          </c:yVal>
          <c:smooth val="0"/>
        </c:ser>
        <c:ser>
          <c:idx val="0"/>
          <c:order val="2"/>
          <c:tx>
            <c:v>VRR</c:v>
          </c:tx>
          <c:marker>
            <c:symbol val="none"/>
          </c:marker>
          <c:xVal>
            <c:numRef>
              <c:f>Sheet1!$G$4:$G$19</c:f>
              <c:numCache>
                <c:formatCode>General</c:formatCode>
                <c:ptCount val="16"/>
                <c:pt idx="0">
                  <c:v>500</c:v>
                </c:pt>
                <c:pt idx="1">
                  <c:v>900</c:v>
                </c:pt>
                <c:pt idx="2">
                  <c:v>1350</c:v>
                </c:pt>
                <c:pt idx="3">
                  <c:v>1450</c:v>
                </c:pt>
                <c:pt idx="4">
                  <c:v>2200</c:v>
                </c:pt>
                <c:pt idx="5">
                  <c:v>2350</c:v>
                </c:pt>
                <c:pt idx="6">
                  <c:v>2510</c:v>
                </c:pt>
                <c:pt idx="7">
                  <c:v>2680</c:v>
                </c:pt>
                <c:pt idx="8">
                  <c:v>2860</c:v>
                </c:pt>
                <c:pt idx="9">
                  <c:v>3110</c:v>
                </c:pt>
                <c:pt idx="10">
                  <c:v>3360</c:v>
                </c:pt>
                <c:pt idx="11">
                  <c:v>3410</c:v>
                </c:pt>
                <c:pt idx="12">
                  <c:v>3510</c:v>
                </c:pt>
                <c:pt idx="13">
                  <c:v>3960</c:v>
                </c:pt>
                <c:pt idx="14">
                  <c:v>4340</c:v>
                </c:pt>
                <c:pt idx="15">
                  <c:v>5140</c:v>
                </c:pt>
              </c:numCache>
            </c:numRef>
          </c:xVal>
          <c:yVal>
            <c:numRef>
              <c:f>Sheet1!$H$4:$H$19</c:f>
              <c:numCache>
                <c:formatCode>"$"#,##0</c:formatCode>
                <c:ptCount val="16"/>
                <c:pt idx="0">
                  <c:v>4245.7443609022421</c:v>
                </c:pt>
                <c:pt idx="1">
                  <c:v>3523.9398496240492</c:v>
                </c:pt>
                <c:pt idx="2">
                  <c:v>2711.909774436082</c:v>
                </c:pt>
                <c:pt idx="3">
                  <c:v>2531.4586466165338</c:v>
                </c:pt>
                <c:pt idx="4">
                  <c:v>1178.0751879699219</c:v>
                </c:pt>
                <c:pt idx="5">
                  <c:v>907.39849624059934</c:v>
                </c:pt>
                <c:pt idx="6">
                  <c:v>618.67669172932256</c:v>
                </c:pt>
                <c:pt idx="7">
                  <c:v>311.90977443609063</c:v>
                </c:pt>
                <c:pt idx="8">
                  <c:v>-12.902255639096438</c:v>
                </c:pt>
                <c:pt idx="9">
                  <c:v>-464.03007518796767</c:v>
                </c:pt>
                <c:pt idx="10">
                  <c:v>-915.15789473683799</c:v>
                </c:pt>
                <c:pt idx="11">
                  <c:v>-1005.3834586466119</c:v>
                </c:pt>
                <c:pt idx="12">
                  <c:v>-1185.8345864661605</c:v>
                </c:pt>
                <c:pt idx="13">
                  <c:v>-1997.8646616541273</c:v>
                </c:pt>
                <c:pt idx="14">
                  <c:v>-2683.5789473684108</c:v>
                </c:pt>
                <c:pt idx="15">
                  <c:v>-4127.1879699247966</c:v>
                </c:pt>
              </c:numCache>
            </c:numRef>
          </c:yVal>
          <c:smooth val="0"/>
        </c:ser>
        <c:ser>
          <c:idx val="16"/>
          <c:order val="3"/>
          <c:tx>
            <c:v>RR</c:v>
          </c:tx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(Sheet1!$D$33,Sheet1!$D$33)</c:f>
              <c:numCache>
                <c:formatCode>General</c:formatCode>
                <c:ptCount val="2"/>
                <c:pt idx="0">
                  <c:v>2660</c:v>
                </c:pt>
                <c:pt idx="1">
                  <c:v>2660</c:v>
                </c:pt>
              </c:numCache>
            </c:numRef>
          </c:xVal>
          <c:yVal>
            <c:numRef>
              <c:f>(Sheet1!$D$39,Sheet1!$D$36)</c:f>
              <c:numCache>
                <c:formatCode>General</c:formatCode>
                <c:ptCount val="2"/>
                <c:pt idx="0">
                  <c:v>0</c:v>
                </c:pt>
                <c:pt idx="1">
                  <c:v>5147.9999999999836</c:v>
                </c:pt>
              </c:numCache>
            </c:numRef>
          </c:yVal>
          <c:smooth val="0"/>
        </c:ser>
        <c:ser>
          <c:idx val="1"/>
          <c:order val="4"/>
          <c:tx>
            <c:strRef>
              <c:f>Sheet1!$T$4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Sheet1!$V$3:$V$4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(Sheet1!$X$4,Sheet1!$X$4)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Sheet1!$T$5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Sheet1!$V$4:$V$5</c:f>
              <c:numCache>
                <c:formatCode>General</c:formatCode>
                <c:ptCount val="2"/>
                <c:pt idx="0">
                  <c:v>500</c:v>
                </c:pt>
                <c:pt idx="1">
                  <c:v>600</c:v>
                </c:pt>
              </c:numCache>
            </c:numRef>
          </c:xVal>
          <c:yVal>
            <c:numRef>
              <c:f>(Sheet1!$X$5,Sheet1!$X$5)</c:f>
              <c:numCache>
                <c:formatCode>_("$"* #,##0_);_("$"* \(#,##0\);_("$"* "-"??_);_(@_)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0"/>
        </c:ser>
        <c:ser>
          <c:idx val="3"/>
          <c:order val="6"/>
          <c:tx>
            <c:strRef>
              <c:f>Sheet1!$T$6</c:f>
              <c:strCache>
                <c:ptCount val="1"/>
                <c:pt idx="0">
                  <c:v>F</c:v>
                </c:pt>
              </c:strCache>
            </c:strRef>
          </c:tx>
          <c:marker>
            <c:symbol val="none"/>
          </c:marker>
          <c:xVal>
            <c:numRef>
              <c:f>Sheet1!$V$5:$V$6</c:f>
              <c:numCache>
                <c:formatCode>General</c:formatCode>
                <c:ptCount val="2"/>
                <c:pt idx="0">
                  <c:v>600</c:v>
                </c:pt>
                <c:pt idx="1">
                  <c:v>750</c:v>
                </c:pt>
              </c:numCache>
            </c:numRef>
          </c:xVal>
          <c:yVal>
            <c:numRef>
              <c:f>(Sheet1!$X$6,Sheet1!$X$6)</c:f>
              <c:numCache>
                <c:formatCode>_("$"* #,##0_);_("$"* \(#,##0\);_("$"* "-"??_);_(@_)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</c:ser>
        <c:ser>
          <c:idx val="4"/>
          <c:order val="7"/>
          <c:tx>
            <c:strRef>
              <c:f>Sheet1!$T$7</c:f>
              <c:strCache>
                <c:ptCount val="1"/>
                <c:pt idx="0">
                  <c:v>G</c:v>
                </c:pt>
              </c:strCache>
            </c:strRef>
          </c:tx>
          <c:marker>
            <c:symbol val="none"/>
          </c:marker>
          <c:xVal>
            <c:numRef>
              <c:f>Sheet1!$V$6:$V$7</c:f>
              <c:numCache>
                <c:formatCode>General</c:formatCode>
                <c:ptCount val="2"/>
                <c:pt idx="0">
                  <c:v>750</c:v>
                </c:pt>
                <c:pt idx="1">
                  <c:v>910</c:v>
                </c:pt>
              </c:numCache>
            </c:numRef>
          </c:xVal>
          <c:yVal>
            <c:numRef>
              <c:f>(Sheet1!$X$7,Sheet1!$X$7)</c:f>
              <c:numCache>
                <c:formatCode>_("$"* #,##0_);_("$"* \(#,##0\);_("$"* "-"??_);_(@_)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yVal>
          <c:smooth val="0"/>
        </c:ser>
        <c:ser>
          <c:idx val="5"/>
          <c:order val="8"/>
          <c:tx>
            <c:strRef>
              <c:f>Sheet1!$T$8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Sheet1!$V$7:$V$8</c:f>
              <c:numCache>
                <c:formatCode>General</c:formatCode>
                <c:ptCount val="2"/>
                <c:pt idx="0">
                  <c:v>910</c:v>
                </c:pt>
                <c:pt idx="1">
                  <c:v>1080</c:v>
                </c:pt>
              </c:numCache>
            </c:numRef>
          </c:xVal>
          <c:yVal>
            <c:numRef>
              <c:f>(Sheet1!$X$8,Sheet1!$X$8)</c:f>
              <c:numCache>
                <c:formatCode>_("$"* #,##0_);_("$"* \(#,##0\);_("$"* "-"??_);_(@_)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0"/>
        </c:ser>
        <c:ser>
          <c:idx val="6"/>
          <c:order val="9"/>
          <c:tx>
            <c:strRef>
              <c:f>Sheet1!$T$9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xVal>
            <c:numRef>
              <c:f>Sheet1!$V$8:$V$9</c:f>
              <c:numCache>
                <c:formatCode>General</c:formatCode>
                <c:ptCount val="2"/>
                <c:pt idx="0">
                  <c:v>1080</c:v>
                </c:pt>
                <c:pt idx="1">
                  <c:v>1260</c:v>
                </c:pt>
              </c:numCache>
            </c:numRef>
          </c:xVal>
          <c:yVal>
            <c:numRef>
              <c:f>(Sheet1!$X$9,Sheet1!$X$9)</c:f>
              <c:numCache>
                <c:formatCode>_("$"* #,##0_);_("$"* \(#,##0\);_("$"* "-"??_);_(@_)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0"/>
        </c:ser>
        <c:ser>
          <c:idx val="7"/>
          <c:order val="10"/>
          <c:tx>
            <c:strRef>
              <c:f>Sheet1!$T$10</c:f>
              <c:strCache>
                <c:ptCount val="1"/>
                <c:pt idx="0">
                  <c:v>J</c:v>
                </c:pt>
              </c:strCache>
            </c:strRef>
          </c:tx>
          <c:marker>
            <c:symbol val="none"/>
          </c:marker>
          <c:xVal>
            <c:numRef>
              <c:f>Sheet1!$V$9:$V$10</c:f>
              <c:numCache>
                <c:formatCode>General</c:formatCode>
                <c:ptCount val="2"/>
                <c:pt idx="0">
                  <c:v>1260</c:v>
                </c:pt>
                <c:pt idx="1">
                  <c:v>1510</c:v>
                </c:pt>
              </c:numCache>
            </c:numRef>
          </c:xVal>
          <c:yVal>
            <c:numRef>
              <c:f>(Sheet1!$X$10,Sheet1!$X$10)</c:f>
              <c:numCache>
                <c:formatCode>_("$"* #,##0_);_("$"* \(#,##0\);_("$"* "-"??_);_(@_)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0"/>
        </c:ser>
        <c:ser>
          <c:idx val="8"/>
          <c:order val="11"/>
          <c:tx>
            <c:strRef>
              <c:f>Sheet1!$T$11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xVal>
            <c:numRef>
              <c:f>Sheet1!$V$10:$V$11</c:f>
              <c:numCache>
                <c:formatCode>General</c:formatCode>
                <c:ptCount val="2"/>
                <c:pt idx="0">
                  <c:v>1510</c:v>
                </c:pt>
                <c:pt idx="1">
                  <c:v>1760</c:v>
                </c:pt>
              </c:numCache>
            </c:numRef>
          </c:xVal>
          <c:yVal>
            <c:numRef>
              <c:f>(Sheet1!$X$11,Sheet1!$X$11)</c:f>
              <c:numCache>
                <c:formatCode>_("$"* #,##0_);_("$"* \(#,##0\);_("$"* "-"??_);_(@_)</c:formatCode>
                <c:ptCount val="2"/>
                <c:pt idx="0">
                  <c:v>110</c:v>
                </c:pt>
                <c:pt idx="1">
                  <c:v>110</c:v>
                </c:pt>
              </c:numCache>
            </c:numRef>
          </c:yVal>
          <c:smooth val="0"/>
        </c:ser>
        <c:ser>
          <c:idx val="9"/>
          <c:order val="12"/>
          <c:tx>
            <c:strRef>
              <c:f>Sheet1!$T$12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Sheet1!$V$11:$V$12</c:f>
              <c:numCache>
                <c:formatCode>General</c:formatCode>
                <c:ptCount val="2"/>
                <c:pt idx="0">
                  <c:v>1760</c:v>
                </c:pt>
                <c:pt idx="1">
                  <c:v>2160</c:v>
                </c:pt>
              </c:numCache>
            </c:numRef>
          </c:xVal>
          <c:yVal>
            <c:numRef>
              <c:f>(Sheet1!$X$12,Sheet1!$X$12)</c:f>
              <c:numCache>
                <c:formatCode>_("$"* #,##0_);_("$"* \(#,##0\);_("$"* "-"??_);_(@_)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yVal>
          <c:smooth val="0"/>
        </c:ser>
        <c:ser>
          <c:idx val="10"/>
          <c:order val="13"/>
          <c:tx>
            <c:strRef>
              <c:f>Sheet1!$T$13</c:f>
              <c:strCache>
                <c:ptCount val="1"/>
                <c:pt idx="0">
                  <c:v>L</c:v>
                </c:pt>
              </c:strCache>
            </c:strRef>
          </c:tx>
          <c:marker>
            <c:symbol val="none"/>
          </c:marker>
          <c:xVal>
            <c:numRef>
              <c:f>Sheet1!$V$12:$V$13</c:f>
              <c:numCache>
                <c:formatCode>General</c:formatCode>
                <c:ptCount val="2"/>
                <c:pt idx="0">
                  <c:v>2160</c:v>
                </c:pt>
                <c:pt idx="1">
                  <c:v>2210</c:v>
                </c:pt>
              </c:numCache>
            </c:numRef>
          </c:xVal>
          <c:yVal>
            <c:numRef>
              <c:f>(Sheet1!$X$13,Sheet1!$X$13)</c:f>
              <c:numCache>
                <c:formatCode>_("$"* #,##0_);_("$"* \(#,##0\);_("$"* "-"??_);_(@_)</c:formatCode>
                <c:ptCount val="2"/>
                <c:pt idx="0">
                  <c:v>160</c:v>
                </c:pt>
                <c:pt idx="1">
                  <c:v>160</c:v>
                </c:pt>
              </c:numCache>
            </c:numRef>
          </c:yVal>
          <c:smooth val="0"/>
        </c:ser>
        <c:ser>
          <c:idx val="11"/>
          <c:order val="14"/>
          <c:tx>
            <c:strRef>
              <c:f>Sheet1!$T$14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xVal>
            <c:numRef>
              <c:f>Sheet1!$V$13:$V$14</c:f>
              <c:numCache>
                <c:formatCode>General</c:formatCode>
                <c:ptCount val="2"/>
                <c:pt idx="0">
                  <c:v>2210</c:v>
                </c:pt>
                <c:pt idx="1">
                  <c:v>2310</c:v>
                </c:pt>
              </c:numCache>
            </c:numRef>
          </c:xVal>
          <c:yVal>
            <c:numRef>
              <c:f>(Sheet1!$X$14,Sheet1!$X$14)</c:f>
              <c:numCache>
                <c:formatCode>_("$"* #,##0_);_("$"* \(#,##0\);_("$"* "-"??_);_(@_)</c:formatCode>
                <c:ptCount val="2"/>
                <c:pt idx="0">
                  <c:v>240</c:v>
                </c:pt>
                <c:pt idx="1">
                  <c:v>240</c:v>
                </c:pt>
              </c:numCache>
            </c:numRef>
          </c:yVal>
          <c:smooth val="0"/>
        </c:ser>
        <c:ser>
          <c:idx val="12"/>
          <c:order val="15"/>
          <c:tx>
            <c:strRef>
              <c:f>Sheet1!$T$15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Sheet1!$V$14:$V$15</c:f>
              <c:numCache>
                <c:formatCode>General</c:formatCode>
                <c:ptCount val="2"/>
                <c:pt idx="0">
                  <c:v>2310</c:v>
                </c:pt>
                <c:pt idx="1">
                  <c:v>2760</c:v>
                </c:pt>
              </c:numCache>
            </c:numRef>
          </c:xVal>
          <c:yVal>
            <c:numRef>
              <c:f>(Sheet1!$X$15,Sheet1!$X$15)</c:f>
              <c:numCache>
                <c:formatCode>_("$"* #,##0_);_("$"* \(#,##0\);_("$"* "-"??_);_(@_)</c:formatCode>
                <c:ptCount val="2"/>
                <c:pt idx="0">
                  <c:v>299</c:v>
                </c:pt>
                <c:pt idx="1">
                  <c:v>299</c:v>
                </c:pt>
              </c:numCache>
            </c:numRef>
          </c:yVal>
          <c:smooth val="0"/>
        </c:ser>
        <c:ser>
          <c:idx val="13"/>
          <c:order val="16"/>
          <c:tx>
            <c:strRef>
              <c:f>Sheet1!$T$16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Sheet1!$V$15:$V$16</c:f>
              <c:numCache>
                <c:formatCode>General</c:formatCode>
                <c:ptCount val="2"/>
                <c:pt idx="0">
                  <c:v>2760</c:v>
                </c:pt>
                <c:pt idx="1">
                  <c:v>3510</c:v>
                </c:pt>
              </c:numCache>
            </c:numRef>
          </c:xVal>
          <c:yVal>
            <c:numRef>
              <c:f>(Sheet1!$X$16,Sheet1!$X$16)</c:f>
              <c:numCache>
                <c:formatCode>_("$"* #,##0_);_("$"* \(#,##0\);_("$"* "-"??_);_(@_)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Sheet1!$T$17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xVal>
            <c:numRef>
              <c:f>Sheet1!$V$16:$V$17</c:f>
              <c:numCache>
                <c:formatCode>General</c:formatCode>
                <c:ptCount val="2"/>
                <c:pt idx="0">
                  <c:v>3510</c:v>
                </c:pt>
                <c:pt idx="1">
                  <c:v>3960</c:v>
                </c:pt>
              </c:numCache>
            </c:numRef>
          </c:xVal>
          <c:yVal>
            <c:numRef>
              <c:f>(Sheet1!$X$17,Sheet1!$X$17)</c:f>
              <c:numCache>
                <c:formatCode>_("$"* #,##0_);_("$"* \(#,##0\);_("$"* "-"??_);_(@_)</c:formatCode>
                <c:ptCount val="2"/>
                <c:pt idx="0">
                  <c:v>340</c:v>
                </c:pt>
                <c:pt idx="1">
                  <c:v>340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Sheet1!$T$18</c:f>
              <c:strCache>
                <c:ptCount val="1"/>
                <c:pt idx="0">
                  <c:v>O</c:v>
                </c:pt>
              </c:strCache>
            </c:strRef>
          </c:tx>
          <c:marker>
            <c:symbol val="none"/>
          </c:marker>
          <c:xVal>
            <c:numRef>
              <c:f>Sheet1!$V$17:$V$18</c:f>
              <c:numCache>
                <c:formatCode>General</c:formatCode>
                <c:ptCount val="2"/>
                <c:pt idx="0">
                  <c:v>3960</c:v>
                </c:pt>
                <c:pt idx="1">
                  <c:v>4340</c:v>
                </c:pt>
              </c:numCache>
            </c:numRef>
          </c:xVal>
          <c:yVal>
            <c:numRef>
              <c:f>(Sheet1!$X$18,Sheet1!$X$18)</c:f>
              <c:numCache>
                <c:formatCode>_("$"* #,##0_);_("$"* \(#,##0\);_("$"* "-"??_);_(@_)</c:formatCode>
                <c:ptCount val="2"/>
                <c:pt idx="0">
                  <c:v>400</c:v>
                </c:pt>
                <c:pt idx="1">
                  <c:v>400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Sheet1!$T$19</c:f>
              <c:strCache>
                <c:ptCount val="1"/>
                <c:pt idx="0">
                  <c:v>P</c:v>
                </c:pt>
              </c:strCache>
            </c:strRef>
          </c:tx>
          <c:marker>
            <c:symbol val="none"/>
          </c:marker>
          <c:xVal>
            <c:numRef>
              <c:f>Sheet1!$V$18:$V$19</c:f>
              <c:numCache>
                <c:formatCode>General</c:formatCode>
                <c:ptCount val="2"/>
                <c:pt idx="0">
                  <c:v>4340</c:v>
                </c:pt>
                <c:pt idx="1">
                  <c:v>5140</c:v>
                </c:pt>
              </c:numCache>
            </c:numRef>
          </c:xVal>
          <c:yVal>
            <c:numRef>
              <c:f>(Sheet1!$X$19,Sheet1!$X$19)</c:f>
              <c:numCache>
                <c:formatCode>_("$"* #,##0_);_("$"* \(#,##0\);_("$"* "-"??_);_(@_)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87968"/>
        <c:axId val="212789888"/>
      </c:scatterChart>
      <c:valAx>
        <c:axId val="2127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Quantity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789888"/>
        <c:crosses val="autoZero"/>
        <c:crossBetween val="midCat"/>
      </c:valAx>
      <c:valAx>
        <c:axId val="212789888"/>
        <c:scaling>
          <c:orientation val="minMax"/>
          <c:max val="5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$/MW-day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21278796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462285395369259"/>
          <c:y val="7.6295956126572778E-2"/>
          <c:w val="0.1911339329406824"/>
          <c:h val="0.87916358132541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481852</xdr:colOff>
      <xdr:row>23</xdr:row>
      <xdr:rowOff>68355</xdr:rowOff>
    </xdr:from>
    <xdr:to>
      <xdr:col>15</xdr:col>
      <xdr:colOff>324971</xdr:colOff>
      <xdr:row>48</xdr:row>
      <xdr:rowOff>67236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380999</xdr:colOff>
      <xdr:row>23</xdr:row>
      <xdr:rowOff>78439</xdr:rowOff>
    </xdr:from>
    <xdr:to>
      <xdr:col>26</xdr:col>
      <xdr:colOff>291351</xdr:colOff>
      <xdr:row>48</xdr:row>
      <xdr:rowOff>145675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abSelected="1" zoomScale="85" zoomScaleNormal="85" workbookViewId="0">
      <selection activeCell="D4" sqref="D4"/>
    </sheetView>
  </sheetViews>
  <sheetFormatPr defaultRowHeight="12.75" x14ac:dyDescent="0.2"/>
  <cols>
    <col min="5" max="5" width="12.85546875" customWidth="1"/>
    <col min="6" max="8" width="12" customWidth="1"/>
    <col min="9" max="9" width="13.7109375" customWidth="1"/>
    <col min="10" max="10" width="13.7109375" style="1" customWidth="1"/>
    <col min="11" max="11" width="11.28515625" customWidth="1"/>
    <col min="13" max="13" width="11.28515625" bestFit="1" customWidth="1"/>
    <col min="16" max="16" width="10.28515625" bestFit="1" customWidth="1"/>
    <col min="18" max="18" width="9.7109375" bestFit="1" customWidth="1"/>
    <col min="22" max="23" width="11.42578125" customWidth="1"/>
    <col min="28" max="28" width="9.7109375" bestFit="1" customWidth="1"/>
    <col min="32" max="32" width="10.42578125" bestFit="1" customWidth="1"/>
    <col min="34" max="34" width="10.7109375" bestFit="1" customWidth="1"/>
  </cols>
  <sheetData>
    <row r="1" spans="1:35" ht="15.75" x14ac:dyDescent="0.25">
      <c r="A1" s="11" t="s">
        <v>31</v>
      </c>
      <c r="R1" s="64" t="s">
        <v>52</v>
      </c>
      <c r="S1" s="65"/>
      <c r="T1" s="65"/>
      <c r="U1" s="65"/>
      <c r="V1" s="65"/>
      <c r="W1" s="65"/>
      <c r="X1" s="65"/>
      <c r="Y1" s="65"/>
      <c r="Z1" s="66"/>
      <c r="AB1" s="64" t="s">
        <v>53</v>
      </c>
      <c r="AC1" s="65"/>
      <c r="AD1" s="65"/>
      <c r="AE1" s="65"/>
      <c r="AF1" s="65"/>
      <c r="AG1" s="65"/>
      <c r="AH1" s="65"/>
      <c r="AI1" s="65"/>
    </row>
    <row r="2" spans="1:35" ht="65.25" customHeight="1" x14ac:dyDescent="0.2">
      <c r="B2" s="5" t="s">
        <v>16</v>
      </c>
      <c r="C2" s="5" t="s">
        <v>32</v>
      </c>
      <c r="D2" s="6" t="s">
        <v>23</v>
      </c>
      <c r="E2" s="6" t="s">
        <v>24</v>
      </c>
      <c r="F2" s="6" t="s">
        <v>25</v>
      </c>
      <c r="G2" s="6" t="s">
        <v>44</v>
      </c>
      <c r="H2" s="6" t="s">
        <v>41</v>
      </c>
      <c r="I2" s="6" t="s">
        <v>17</v>
      </c>
      <c r="J2" s="6" t="s">
        <v>19</v>
      </c>
      <c r="K2" s="8" t="s">
        <v>22</v>
      </c>
      <c r="L2" s="8" t="s">
        <v>28</v>
      </c>
      <c r="M2" s="8" t="s">
        <v>27</v>
      </c>
      <c r="N2" s="8" t="s">
        <v>26</v>
      </c>
      <c r="O2" s="8" t="s">
        <v>29</v>
      </c>
      <c r="P2" s="8" t="s">
        <v>30</v>
      </c>
      <c r="R2" s="50" t="s">
        <v>56</v>
      </c>
      <c r="S2" s="51" t="s">
        <v>45</v>
      </c>
      <c r="T2" s="51" t="s">
        <v>46</v>
      </c>
      <c r="U2" s="51" t="s">
        <v>23</v>
      </c>
      <c r="V2" s="51" t="s">
        <v>47</v>
      </c>
      <c r="W2" s="51" t="s">
        <v>48</v>
      </c>
      <c r="X2" s="52" t="s">
        <v>25</v>
      </c>
      <c r="Y2" s="51" t="s">
        <v>49</v>
      </c>
      <c r="Z2" s="53"/>
      <c r="AB2" s="50" t="s">
        <v>55</v>
      </c>
      <c r="AC2" s="51" t="s">
        <v>45</v>
      </c>
      <c r="AD2" s="51" t="s">
        <v>54</v>
      </c>
      <c r="AE2" s="51" t="s">
        <v>23</v>
      </c>
      <c r="AF2" s="51" t="s">
        <v>57</v>
      </c>
      <c r="AG2" s="51" t="s">
        <v>48</v>
      </c>
      <c r="AH2" s="52" t="s">
        <v>25</v>
      </c>
      <c r="AI2" s="59" t="s">
        <v>58</v>
      </c>
    </row>
    <row r="3" spans="1:35" x14ac:dyDescent="0.2">
      <c r="B3" s="25"/>
      <c r="C3" s="25"/>
      <c r="D3" s="26"/>
      <c r="E3" s="26"/>
      <c r="F3" s="26"/>
      <c r="G3" s="30">
        <v>0</v>
      </c>
      <c r="H3" s="12">
        <f>$D$35*G3+$D$36</f>
        <v>5147.9999999999836</v>
      </c>
      <c r="I3" s="48"/>
      <c r="J3" s="26"/>
      <c r="K3" s="27"/>
      <c r="L3" s="27"/>
      <c r="M3" s="27"/>
      <c r="N3" s="49"/>
      <c r="O3" s="27"/>
      <c r="P3" s="27"/>
      <c r="R3" s="43"/>
      <c r="S3" s="19"/>
      <c r="T3" s="19"/>
      <c r="U3" s="19"/>
      <c r="V3" s="19">
        <v>0</v>
      </c>
      <c r="W3" s="44">
        <f>$D$35*V3+$D$36</f>
        <v>5147.9999999999836</v>
      </c>
      <c r="X3" s="19"/>
      <c r="Y3" s="19"/>
      <c r="Z3" s="42"/>
      <c r="AB3" s="43"/>
      <c r="AC3" s="19"/>
      <c r="AD3" s="19"/>
      <c r="AE3" s="19"/>
      <c r="AF3" s="19">
        <v>0</v>
      </c>
      <c r="AG3" s="44">
        <f>$D$35*AF3+$D$36</f>
        <v>5147.9999999999836</v>
      </c>
      <c r="AH3" s="19"/>
      <c r="AI3" s="42"/>
    </row>
    <row r="4" spans="1:35" x14ac:dyDescent="0.2">
      <c r="B4" t="s">
        <v>0</v>
      </c>
      <c r="C4" s="1">
        <v>2</v>
      </c>
      <c r="D4" s="1">
        <v>500</v>
      </c>
      <c r="E4" s="12">
        <v>0</v>
      </c>
      <c r="F4" s="12">
        <f>E4</f>
        <v>0</v>
      </c>
      <c r="G4" s="28">
        <f>SUM(D4:$D$4)</f>
        <v>500</v>
      </c>
      <c r="H4" s="12">
        <f>$D$35*G4+$D$36</f>
        <v>4245.7443609022421</v>
      </c>
      <c r="I4" s="17">
        <f>IF($H3&gt;$E4,$D4,0)</f>
        <v>500</v>
      </c>
      <c r="J4" s="17">
        <f>IFERROR(IF(I4=0,VLOOKUP(B4,$T$4:$Y$19,6,FALSE),0),0)</f>
        <v>0</v>
      </c>
      <c r="K4" s="1">
        <f>SUM(I4:J4)</f>
        <v>500</v>
      </c>
      <c r="N4" s="17">
        <f>VLOOKUP(B4,$AD$4:$AI$19,6,FALSE)</f>
        <v>500</v>
      </c>
      <c r="R4" s="61">
        <f>F4</f>
        <v>0</v>
      </c>
      <c r="S4" s="19">
        <f>COUNT($R$4:$R$19)-RANK(R4,$R$4:$R$19)+1</f>
        <v>1</v>
      </c>
      <c r="T4" s="20" t="str">
        <f>IFERROR(INDEX($B$4:$B$19,MATCH($Z4,$S$4:$S$19,0)),"")</f>
        <v>A</v>
      </c>
      <c r="U4" s="19">
        <f>IFERROR(VLOOKUP($T4,$B$4:$F$19,3),0)</f>
        <v>500</v>
      </c>
      <c r="V4" s="19">
        <f>V3+U4</f>
        <v>500</v>
      </c>
      <c r="W4" s="44">
        <f t="shared" ref="W4:W19" si="0">$D$35*V4+$D$36</f>
        <v>4245.7443609022421</v>
      </c>
      <c r="X4" s="45">
        <f>IFERROR(VLOOKUP($T4,$B$4:$F$19,5),"")</f>
        <v>0</v>
      </c>
      <c r="Y4" s="19">
        <f>IF(W3&gt;X4,U4,0)</f>
        <v>500</v>
      </c>
      <c r="Z4" s="42">
        <v>1</v>
      </c>
      <c r="AB4" s="57">
        <f>F4</f>
        <v>0</v>
      </c>
      <c r="AC4" s="58">
        <f>COUNT($AB$4:$AB$19)-RANK(AB4,$AB$4:$AB$19)+1</f>
        <v>1</v>
      </c>
      <c r="AD4" s="20" t="str">
        <f>IFERROR(INDEX($B$4:$B$19,MATCH($Z4,$AC$4:$AC$19,0)),"")</f>
        <v>A</v>
      </c>
      <c r="AE4" s="19">
        <f>IFERROR(VLOOKUP($AD4,$B$4:$F$19,3),0)</f>
        <v>500</v>
      </c>
      <c r="AF4" s="19">
        <f>AF3+AE4</f>
        <v>500</v>
      </c>
      <c r="AG4" s="44">
        <f t="shared" ref="AG4:AG19" si="1">$D$35*AF4+$D$36</f>
        <v>4245.7443609022421</v>
      </c>
      <c r="AH4" s="45">
        <f>IFERROR(VLOOKUP($AD4,$B$4:$F$19,5),"")</f>
        <v>0</v>
      </c>
      <c r="AI4" s="42">
        <f>IF(AG3&gt;AH4,AE4,0)</f>
        <v>500</v>
      </c>
    </row>
    <row r="5" spans="1:35" x14ac:dyDescent="0.2">
      <c r="B5" s="32" t="s">
        <v>1</v>
      </c>
      <c r="C5" s="31">
        <v>1</v>
      </c>
      <c r="D5" s="31">
        <v>400</v>
      </c>
      <c r="E5" s="35">
        <v>0</v>
      </c>
      <c r="F5" s="35">
        <v>150</v>
      </c>
      <c r="G5" s="28">
        <f>SUM(D$4:$D5)</f>
        <v>900</v>
      </c>
      <c r="H5" s="12">
        <f t="shared" ref="H5:H19" si="2">$D$35*G5+$D$36</f>
        <v>3523.9398496240492</v>
      </c>
      <c r="I5" s="17">
        <f t="shared" ref="I5:I19" si="3">IF($H4&gt;$E5,$D5,0)</f>
        <v>400</v>
      </c>
      <c r="J5" s="17">
        <f t="shared" ref="J5:J19" si="4">IFERROR(IF(I5=0,VLOOKUP(B5,$T$4:$Y$19,6,FALSE),0),0)</f>
        <v>0</v>
      </c>
      <c r="K5" s="31">
        <f t="shared" ref="K5:K19" si="5">SUM(I5:J5)</f>
        <v>400</v>
      </c>
      <c r="L5" s="32"/>
      <c r="M5" s="32"/>
      <c r="N5" s="17">
        <f t="shared" ref="N5:N19" si="6">VLOOKUP(B5,$AD$4:$AI$19,6,FALSE)</f>
        <v>400</v>
      </c>
      <c r="R5" s="61">
        <f t="shared" ref="R5:R19" si="7">F5</f>
        <v>150</v>
      </c>
      <c r="S5" s="19">
        <f t="shared" ref="S5:S19" si="8">COUNT($R$4:$R$19)-RANK(R5,$R$4:$R$19)+1</f>
        <v>9</v>
      </c>
      <c r="T5" s="20" t="str">
        <f t="shared" ref="T5:T19" si="9">IFERROR(INDEX($B$4:$B$19,MATCH($Z5,$S$4:$S$19,0)),"")</f>
        <v>D</v>
      </c>
      <c r="U5" s="19">
        <f t="shared" ref="U5:U19" si="10">IFERROR(VLOOKUP($T5,$B$4:$F$19,3),0)</f>
        <v>100</v>
      </c>
      <c r="V5" s="19">
        <f t="shared" ref="V5:V19" si="11">V4+U5</f>
        <v>600</v>
      </c>
      <c r="W5" s="44">
        <f t="shared" si="0"/>
        <v>4065.2932330826943</v>
      </c>
      <c r="X5" s="45">
        <f t="shared" ref="X5:X19" si="12">IFERROR(VLOOKUP($T5,$B$4:$F$19,5),"")</f>
        <v>25</v>
      </c>
      <c r="Y5" s="19">
        <f t="shared" ref="Y5:Y19" si="13">IF(W4&gt;X5,U5,0)</f>
        <v>100</v>
      </c>
      <c r="Z5" s="42">
        <v>2</v>
      </c>
      <c r="AB5" s="57">
        <f t="shared" ref="AB5:AB19" si="14">F5</f>
        <v>150</v>
      </c>
      <c r="AC5" s="58">
        <f t="shared" ref="AC5:AC19" si="15">COUNT($AB$4:$AB$19)-RANK(AB5,$AB$4:$AB$19)+1</f>
        <v>9</v>
      </c>
      <c r="AD5" s="20" t="str">
        <f t="shared" ref="AD5:AD19" si="16">IFERROR(INDEX($B$4:$B$19,MATCH($Z5,$AC$4:$AC$19,0)),"")</f>
        <v>D</v>
      </c>
      <c r="AE5" s="19">
        <f t="shared" ref="AE5:AE19" si="17">IFERROR(VLOOKUP($AD5,$B$4:$F$19,3),0)</f>
        <v>100</v>
      </c>
      <c r="AF5" s="19">
        <f t="shared" ref="AF5:AF19" si="18">AF4+AE5</f>
        <v>600</v>
      </c>
      <c r="AG5" s="44">
        <f t="shared" si="1"/>
        <v>4065.2932330826943</v>
      </c>
      <c r="AH5" s="45">
        <f t="shared" ref="AH5:AH19" si="19">IFERROR(VLOOKUP($AD5,$B$4:$F$19,5),"")</f>
        <v>25</v>
      </c>
      <c r="AI5" s="42">
        <f t="shared" ref="AI5:AI19" si="20">IF(AG4&gt;AH5,AE5,0)</f>
        <v>100</v>
      </c>
    </row>
    <row r="6" spans="1:35" x14ac:dyDescent="0.2">
      <c r="B6" s="32" t="s">
        <v>2</v>
      </c>
      <c r="C6" s="31">
        <v>1</v>
      </c>
      <c r="D6" s="31">
        <v>450</v>
      </c>
      <c r="E6" s="35">
        <v>10</v>
      </c>
      <c r="F6" s="35">
        <v>299</v>
      </c>
      <c r="G6" s="28">
        <f>SUM(D$4:$D6)</f>
        <v>1350</v>
      </c>
      <c r="H6" s="12">
        <f t="shared" si="2"/>
        <v>2711.909774436082</v>
      </c>
      <c r="I6" s="17">
        <f t="shared" si="3"/>
        <v>450</v>
      </c>
      <c r="J6" s="17">
        <f t="shared" si="4"/>
        <v>0</v>
      </c>
      <c r="K6" s="31">
        <f t="shared" si="5"/>
        <v>450</v>
      </c>
      <c r="L6" s="32"/>
      <c r="M6" s="32"/>
      <c r="N6" s="17">
        <f t="shared" si="6"/>
        <v>450</v>
      </c>
      <c r="R6" s="61">
        <f t="shared" si="7"/>
        <v>299</v>
      </c>
      <c r="S6" s="19">
        <f t="shared" si="8"/>
        <v>12</v>
      </c>
      <c r="T6" s="20" t="str">
        <f t="shared" si="9"/>
        <v>F</v>
      </c>
      <c r="U6" s="19">
        <f t="shared" si="10"/>
        <v>150</v>
      </c>
      <c r="V6" s="19">
        <f t="shared" si="11"/>
        <v>750</v>
      </c>
      <c r="W6" s="44">
        <f t="shared" si="0"/>
        <v>3794.6165413533718</v>
      </c>
      <c r="X6" s="45">
        <f t="shared" si="12"/>
        <v>50</v>
      </c>
      <c r="Y6" s="19">
        <f t="shared" si="13"/>
        <v>150</v>
      </c>
      <c r="Z6" s="42">
        <v>3</v>
      </c>
      <c r="AB6" s="57">
        <f t="shared" si="14"/>
        <v>299</v>
      </c>
      <c r="AC6" s="58">
        <f t="shared" si="15"/>
        <v>12</v>
      </c>
      <c r="AD6" s="20" t="str">
        <f t="shared" si="16"/>
        <v>F</v>
      </c>
      <c r="AE6" s="19">
        <f t="shared" si="17"/>
        <v>150</v>
      </c>
      <c r="AF6" s="19">
        <f t="shared" si="18"/>
        <v>750</v>
      </c>
      <c r="AG6" s="44">
        <f t="shared" si="1"/>
        <v>3794.6165413533718</v>
      </c>
      <c r="AH6" s="45">
        <f t="shared" si="19"/>
        <v>50</v>
      </c>
      <c r="AI6" s="42">
        <f t="shared" si="20"/>
        <v>150</v>
      </c>
    </row>
    <row r="7" spans="1:35" x14ac:dyDescent="0.2">
      <c r="B7" s="34" t="s">
        <v>3</v>
      </c>
      <c r="C7" s="33">
        <v>2</v>
      </c>
      <c r="D7" s="33">
        <v>100</v>
      </c>
      <c r="E7" s="36">
        <v>25</v>
      </c>
      <c r="F7" s="36">
        <f t="shared" ref="F7:F18" si="21">E7</f>
        <v>25</v>
      </c>
      <c r="G7" s="28">
        <f>SUM(D$4:$D7)</f>
        <v>1450</v>
      </c>
      <c r="H7" s="12">
        <f t="shared" si="2"/>
        <v>2531.4586466165338</v>
      </c>
      <c r="I7" s="17">
        <f t="shared" si="3"/>
        <v>100</v>
      </c>
      <c r="J7" s="17">
        <f t="shared" si="4"/>
        <v>0</v>
      </c>
      <c r="K7" s="33">
        <f t="shared" si="5"/>
        <v>100</v>
      </c>
      <c r="L7" s="34"/>
      <c r="M7" s="34"/>
      <c r="N7" s="17">
        <f t="shared" si="6"/>
        <v>100</v>
      </c>
      <c r="R7" s="61">
        <f t="shared" si="7"/>
        <v>25</v>
      </c>
      <c r="S7" s="19">
        <f t="shared" si="8"/>
        <v>2</v>
      </c>
      <c r="T7" s="20" t="str">
        <f t="shared" si="9"/>
        <v>G</v>
      </c>
      <c r="U7" s="19">
        <f t="shared" si="10"/>
        <v>160</v>
      </c>
      <c r="V7" s="19">
        <f t="shared" si="11"/>
        <v>910</v>
      </c>
      <c r="W7" s="44">
        <f t="shared" si="0"/>
        <v>3505.8947368420945</v>
      </c>
      <c r="X7" s="45">
        <f t="shared" si="12"/>
        <v>60</v>
      </c>
      <c r="Y7" s="19">
        <f t="shared" si="13"/>
        <v>160</v>
      </c>
      <c r="Z7" s="42">
        <v>4</v>
      </c>
      <c r="AB7" s="57">
        <f t="shared" si="14"/>
        <v>25</v>
      </c>
      <c r="AC7" s="58">
        <f t="shared" si="15"/>
        <v>2</v>
      </c>
      <c r="AD7" s="20" t="str">
        <f t="shared" si="16"/>
        <v>G</v>
      </c>
      <c r="AE7" s="19">
        <f t="shared" si="17"/>
        <v>160</v>
      </c>
      <c r="AF7" s="19">
        <f t="shared" si="18"/>
        <v>910</v>
      </c>
      <c r="AG7" s="44">
        <f t="shared" si="1"/>
        <v>3505.8947368420945</v>
      </c>
      <c r="AH7" s="45">
        <f t="shared" si="19"/>
        <v>60</v>
      </c>
      <c r="AI7" s="42">
        <f t="shared" si="20"/>
        <v>160</v>
      </c>
    </row>
    <row r="8" spans="1:35" x14ac:dyDescent="0.2">
      <c r="B8" s="32" t="s">
        <v>4</v>
      </c>
      <c r="C8" s="31">
        <v>1</v>
      </c>
      <c r="D8" s="31">
        <v>750</v>
      </c>
      <c r="E8" s="35">
        <v>40</v>
      </c>
      <c r="F8" s="35">
        <v>300</v>
      </c>
      <c r="G8" s="28">
        <f>SUM(D$4:$D8)</f>
        <v>2200</v>
      </c>
      <c r="H8" s="12">
        <f t="shared" si="2"/>
        <v>1178.0751879699219</v>
      </c>
      <c r="I8" s="17">
        <f t="shared" si="3"/>
        <v>750</v>
      </c>
      <c r="J8" s="17">
        <f t="shared" si="4"/>
        <v>0</v>
      </c>
      <c r="K8" s="31">
        <f t="shared" si="5"/>
        <v>750</v>
      </c>
      <c r="L8" s="32"/>
      <c r="M8" s="32"/>
      <c r="N8" s="17">
        <f t="shared" si="6"/>
        <v>0</v>
      </c>
      <c r="R8" s="61">
        <f t="shared" si="7"/>
        <v>300</v>
      </c>
      <c r="S8" s="19">
        <f t="shared" si="8"/>
        <v>13</v>
      </c>
      <c r="T8" s="20" t="str">
        <f t="shared" si="9"/>
        <v>H</v>
      </c>
      <c r="U8" s="19">
        <f t="shared" si="10"/>
        <v>170</v>
      </c>
      <c r="V8" s="19">
        <f t="shared" si="11"/>
        <v>1080</v>
      </c>
      <c r="W8" s="44">
        <f t="shared" si="0"/>
        <v>3199.1278195488621</v>
      </c>
      <c r="X8" s="45">
        <f t="shared" si="12"/>
        <v>70</v>
      </c>
      <c r="Y8" s="19">
        <f t="shared" si="13"/>
        <v>170</v>
      </c>
      <c r="Z8" s="42">
        <v>5</v>
      </c>
      <c r="AB8" s="57">
        <f t="shared" si="14"/>
        <v>300</v>
      </c>
      <c r="AC8" s="58">
        <f t="shared" si="15"/>
        <v>13</v>
      </c>
      <c r="AD8" s="20" t="str">
        <f t="shared" si="16"/>
        <v>H</v>
      </c>
      <c r="AE8" s="19">
        <f t="shared" si="17"/>
        <v>170</v>
      </c>
      <c r="AF8" s="19">
        <f t="shared" si="18"/>
        <v>1080</v>
      </c>
      <c r="AG8" s="44">
        <f t="shared" si="1"/>
        <v>3199.1278195488621</v>
      </c>
      <c r="AH8" s="45">
        <f t="shared" si="19"/>
        <v>70</v>
      </c>
      <c r="AI8" s="42">
        <f t="shared" si="20"/>
        <v>170</v>
      </c>
    </row>
    <row r="9" spans="1:35" x14ac:dyDescent="0.2">
      <c r="B9" t="s">
        <v>5</v>
      </c>
      <c r="C9" s="20">
        <v>2</v>
      </c>
      <c r="D9" s="1">
        <v>150</v>
      </c>
      <c r="E9" s="12">
        <v>50</v>
      </c>
      <c r="F9" s="12">
        <f t="shared" si="21"/>
        <v>50</v>
      </c>
      <c r="G9" s="28">
        <f>SUM(D$4:$D9)</f>
        <v>2350</v>
      </c>
      <c r="H9" s="12">
        <f t="shared" si="2"/>
        <v>907.39849624059934</v>
      </c>
      <c r="I9" s="17">
        <f t="shared" si="3"/>
        <v>150</v>
      </c>
      <c r="J9" s="17">
        <f t="shared" si="4"/>
        <v>0</v>
      </c>
      <c r="K9" s="1">
        <f t="shared" si="5"/>
        <v>150</v>
      </c>
      <c r="N9" s="17">
        <f t="shared" si="6"/>
        <v>150</v>
      </c>
      <c r="R9" s="61">
        <f t="shared" si="7"/>
        <v>50</v>
      </c>
      <c r="S9" s="19">
        <f t="shared" si="8"/>
        <v>3</v>
      </c>
      <c r="T9" s="20" t="str">
        <f t="shared" si="9"/>
        <v>I</v>
      </c>
      <c r="U9" s="19">
        <f t="shared" si="10"/>
        <v>180</v>
      </c>
      <c r="V9" s="19">
        <f t="shared" si="11"/>
        <v>1260</v>
      </c>
      <c r="W9" s="44">
        <f t="shared" si="0"/>
        <v>2874.3157894736755</v>
      </c>
      <c r="X9" s="45">
        <f t="shared" si="12"/>
        <v>80</v>
      </c>
      <c r="Y9" s="19">
        <f t="shared" si="13"/>
        <v>180</v>
      </c>
      <c r="Z9" s="42">
        <v>6</v>
      </c>
      <c r="AB9" s="57">
        <f t="shared" si="14"/>
        <v>50</v>
      </c>
      <c r="AC9" s="58">
        <f t="shared" si="15"/>
        <v>3</v>
      </c>
      <c r="AD9" s="20" t="str">
        <f t="shared" si="16"/>
        <v>I</v>
      </c>
      <c r="AE9" s="19">
        <f t="shared" si="17"/>
        <v>180</v>
      </c>
      <c r="AF9" s="19">
        <f t="shared" si="18"/>
        <v>1260</v>
      </c>
      <c r="AG9" s="44">
        <f t="shared" si="1"/>
        <v>2874.3157894736755</v>
      </c>
      <c r="AH9" s="45">
        <f t="shared" si="19"/>
        <v>80</v>
      </c>
      <c r="AI9" s="42">
        <f t="shared" si="20"/>
        <v>180</v>
      </c>
    </row>
    <row r="10" spans="1:35" x14ac:dyDescent="0.2">
      <c r="B10" t="s">
        <v>6</v>
      </c>
      <c r="C10" s="20">
        <v>2</v>
      </c>
      <c r="D10" s="1">
        <v>160</v>
      </c>
      <c r="E10" s="12">
        <v>60</v>
      </c>
      <c r="F10" s="12">
        <f t="shared" si="21"/>
        <v>60</v>
      </c>
      <c r="G10" s="28">
        <f>SUM(D$4:$D10)</f>
        <v>2510</v>
      </c>
      <c r="H10" s="12">
        <f t="shared" si="2"/>
        <v>618.67669172932256</v>
      </c>
      <c r="I10" s="17">
        <f t="shared" si="3"/>
        <v>160</v>
      </c>
      <c r="J10" s="17">
        <f t="shared" si="4"/>
        <v>0</v>
      </c>
      <c r="K10" s="1">
        <f t="shared" si="5"/>
        <v>160</v>
      </c>
      <c r="N10" s="17">
        <f t="shared" si="6"/>
        <v>160</v>
      </c>
      <c r="R10" s="61">
        <f t="shared" si="7"/>
        <v>60</v>
      </c>
      <c r="S10" s="19">
        <f t="shared" si="8"/>
        <v>4</v>
      </c>
      <c r="T10" s="20" t="str">
        <f t="shared" si="9"/>
        <v>J</v>
      </c>
      <c r="U10" s="19">
        <f t="shared" si="10"/>
        <v>250</v>
      </c>
      <c r="V10" s="19">
        <f t="shared" si="11"/>
        <v>1510</v>
      </c>
      <c r="W10" s="44">
        <f t="shared" si="0"/>
        <v>2423.1879699248047</v>
      </c>
      <c r="X10" s="45">
        <f t="shared" si="12"/>
        <v>90</v>
      </c>
      <c r="Y10" s="19">
        <f t="shared" si="13"/>
        <v>250</v>
      </c>
      <c r="Z10" s="42">
        <v>7</v>
      </c>
      <c r="AB10" s="57">
        <f t="shared" si="14"/>
        <v>60</v>
      </c>
      <c r="AC10" s="58">
        <f t="shared" si="15"/>
        <v>4</v>
      </c>
      <c r="AD10" s="20" t="str">
        <f t="shared" si="16"/>
        <v>J</v>
      </c>
      <c r="AE10" s="19">
        <f t="shared" si="17"/>
        <v>250</v>
      </c>
      <c r="AF10" s="19">
        <f t="shared" si="18"/>
        <v>1510</v>
      </c>
      <c r="AG10" s="44">
        <f t="shared" si="1"/>
        <v>2423.1879699248047</v>
      </c>
      <c r="AH10" s="45">
        <f t="shared" si="19"/>
        <v>90</v>
      </c>
      <c r="AI10" s="42">
        <f t="shared" si="20"/>
        <v>250</v>
      </c>
    </row>
    <row r="11" spans="1:35" x14ac:dyDescent="0.2">
      <c r="B11" t="s">
        <v>7</v>
      </c>
      <c r="C11" s="20">
        <v>2</v>
      </c>
      <c r="D11" s="1">
        <v>170</v>
      </c>
      <c r="E11" s="12">
        <v>70</v>
      </c>
      <c r="F11" s="12">
        <f t="shared" si="21"/>
        <v>70</v>
      </c>
      <c r="G11" s="28">
        <f>SUM(D$4:$D11)</f>
        <v>2680</v>
      </c>
      <c r="H11" s="12">
        <f t="shared" si="2"/>
        <v>311.90977443609063</v>
      </c>
      <c r="I11" s="17">
        <f t="shared" si="3"/>
        <v>170</v>
      </c>
      <c r="J11" s="17">
        <f t="shared" si="4"/>
        <v>0</v>
      </c>
      <c r="K11" s="1">
        <f t="shared" si="5"/>
        <v>170</v>
      </c>
      <c r="N11" s="17">
        <f t="shared" si="6"/>
        <v>170</v>
      </c>
      <c r="R11" s="61">
        <f t="shared" si="7"/>
        <v>70</v>
      </c>
      <c r="S11" s="19">
        <f t="shared" si="8"/>
        <v>5</v>
      </c>
      <c r="T11" s="20" t="str">
        <f t="shared" si="9"/>
        <v>K</v>
      </c>
      <c r="U11" s="19">
        <f t="shared" si="10"/>
        <v>250</v>
      </c>
      <c r="V11" s="19">
        <f t="shared" si="11"/>
        <v>1760</v>
      </c>
      <c r="W11" s="44">
        <f t="shared" si="0"/>
        <v>1972.0601503759344</v>
      </c>
      <c r="X11" s="45">
        <f t="shared" si="12"/>
        <v>110</v>
      </c>
      <c r="Y11" s="19">
        <f t="shared" si="13"/>
        <v>250</v>
      </c>
      <c r="Z11" s="42">
        <v>8</v>
      </c>
      <c r="AB11" s="57">
        <f t="shared" si="14"/>
        <v>70</v>
      </c>
      <c r="AC11" s="58">
        <f t="shared" si="15"/>
        <v>5</v>
      </c>
      <c r="AD11" s="20" t="str">
        <f t="shared" si="16"/>
        <v>K</v>
      </c>
      <c r="AE11" s="19">
        <f t="shared" si="17"/>
        <v>250</v>
      </c>
      <c r="AF11" s="19">
        <f t="shared" si="18"/>
        <v>1760</v>
      </c>
      <c r="AG11" s="44">
        <f t="shared" si="1"/>
        <v>1972.0601503759344</v>
      </c>
      <c r="AH11" s="45">
        <f t="shared" si="19"/>
        <v>110</v>
      </c>
      <c r="AI11" s="42">
        <f t="shared" si="20"/>
        <v>250</v>
      </c>
    </row>
    <row r="12" spans="1:35" x14ac:dyDescent="0.2">
      <c r="B12" t="s">
        <v>8</v>
      </c>
      <c r="C12" s="20">
        <v>2</v>
      </c>
      <c r="D12" s="1">
        <v>180</v>
      </c>
      <c r="E12" s="12">
        <v>80</v>
      </c>
      <c r="F12" s="12">
        <f t="shared" si="21"/>
        <v>80</v>
      </c>
      <c r="G12" s="28">
        <f>SUM(D$4:$D12)</f>
        <v>2860</v>
      </c>
      <c r="H12" s="12">
        <f t="shared" si="2"/>
        <v>-12.902255639096438</v>
      </c>
      <c r="I12" s="17">
        <f t="shared" si="3"/>
        <v>180</v>
      </c>
      <c r="J12" s="17">
        <f t="shared" si="4"/>
        <v>0</v>
      </c>
      <c r="K12" s="1">
        <f t="shared" si="5"/>
        <v>180</v>
      </c>
      <c r="N12" s="17">
        <f t="shared" si="6"/>
        <v>180</v>
      </c>
      <c r="R12" s="61">
        <f t="shared" si="7"/>
        <v>80</v>
      </c>
      <c r="S12" s="19">
        <f t="shared" si="8"/>
        <v>6</v>
      </c>
      <c r="T12" s="20" t="str">
        <f t="shared" si="9"/>
        <v>B</v>
      </c>
      <c r="U12" s="19">
        <f t="shared" si="10"/>
        <v>400</v>
      </c>
      <c r="V12" s="19">
        <f t="shared" si="11"/>
        <v>2160</v>
      </c>
      <c r="W12" s="44">
        <f t="shared" si="0"/>
        <v>1250.2556390977411</v>
      </c>
      <c r="X12" s="45">
        <f t="shared" si="12"/>
        <v>150</v>
      </c>
      <c r="Y12" s="19">
        <f t="shared" si="13"/>
        <v>400</v>
      </c>
      <c r="Z12" s="42">
        <v>9</v>
      </c>
      <c r="AB12" s="57">
        <f t="shared" si="14"/>
        <v>80</v>
      </c>
      <c r="AC12" s="58">
        <f t="shared" si="15"/>
        <v>6</v>
      </c>
      <c r="AD12" s="20" t="str">
        <f t="shared" si="16"/>
        <v>B</v>
      </c>
      <c r="AE12" s="19">
        <f t="shared" si="17"/>
        <v>400</v>
      </c>
      <c r="AF12" s="19">
        <f t="shared" si="18"/>
        <v>2160</v>
      </c>
      <c r="AG12" s="44">
        <f t="shared" si="1"/>
        <v>1250.2556390977411</v>
      </c>
      <c r="AH12" s="45">
        <f t="shared" si="19"/>
        <v>150</v>
      </c>
      <c r="AI12" s="42">
        <f t="shared" si="20"/>
        <v>400</v>
      </c>
    </row>
    <row r="13" spans="1:35" x14ac:dyDescent="0.2">
      <c r="B13" t="s">
        <v>9</v>
      </c>
      <c r="C13" s="20">
        <v>2</v>
      </c>
      <c r="D13" s="1">
        <v>250</v>
      </c>
      <c r="E13" s="12">
        <v>90</v>
      </c>
      <c r="F13" s="12">
        <f t="shared" si="21"/>
        <v>90</v>
      </c>
      <c r="G13" s="28">
        <f>SUM(D$4:$D13)</f>
        <v>3110</v>
      </c>
      <c r="H13" s="12">
        <f t="shared" si="2"/>
        <v>-464.03007518796767</v>
      </c>
      <c r="I13" s="17">
        <f t="shared" si="3"/>
        <v>0</v>
      </c>
      <c r="J13" s="17">
        <f t="shared" si="4"/>
        <v>250</v>
      </c>
      <c r="K13" s="1">
        <f t="shared" si="5"/>
        <v>250</v>
      </c>
      <c r="N13" s="17">
        <f t="shared" si="6"/>
        <v>250</v>
      </c>
      <c r="R13" s="61">
        <f t="shared" si="7"/>
        <v>90</v>
      </c>
      <c r="S13" s="19">
        <f t="shared" si="8"/>
        <v>7</v>
      </c>
      <c r="T13" s="20" t="str">
        <f t="shared" si="9"/>
        <v>L</v>
      </c>
      <c r="U13" s="19">
        <f t="shared" si="10"/>
        <v>50</v>
      </c>
      <c r="V13" s="19">
        <f t="shared" si="11"/>
        <v>2210</v>
      </c>
      <c r="W13" s="44">
        <f t="shared" si="0"/>
        <v>1160.0300751879672</v>
      </c>
      <c r="X13" s="45">
        <f t="shared" si="12"/>
        <v>160</v>
      </c>
      <c r="Y13" s="19">
        <f t="shared" si="13"/>
        <v>50</v>
      </c>
      <c r="Z13" s="42">
        <v>10</v>
      </c>
      <c r="AB13" s="57">
        <f t="shared" si="14"/>
        <v>90</v>
      </c>
      <c r="AC13" s="58">
        <f t="shared" si="15"/>
        <v>7</v>
      </c>
      <c r="AD13" s="20" t="str">
        <f t="shared" si="16"/>
        <v>L</v>
      </c>
      <c r="AE13" s="19">
        <f t="shared" si="17"/>
        <v>50</v>
      </c>
      <c r="AF13" s="19">
        <f t="shared" si="18"/>
        <v>2210</v>
      </c>
      <c r="AG13" s="44">
        <f t="shared" si="1"/>
        <v>1160.0300751879672</v>
      </c>
      <c r="AH13" s="45">
        <f t="shared" si="19"/>
        <v>160</v>
      </c>
      <c r="AI13" s="42">
        <f t="shared" si="20"/>
        <v>50</v>
      </c>
    </row>
    <row r="14" spans="1:35" x14ac:dyDescent="0.2">
      <c r="B14" t="s">
        <v>10</v>
      </c>
      <c r="C14" s="20">
        <v>2</v>
      </c>
      <c r="D14" s="1">
        <v>250</v>
      </c>
      <c r="E14" s="12">
        <v>110</v>
      </c>
      <c r="F14" s="12">
        <f t="shared" si="21"/>
        <v>110</v>
      </c>
      <c r="G14" s="28">
        <f>SUM(D$4:$D14)</f>
        <v>3360</v>
      </c>
      <c r="H14" s="12">
        <f t="shared" si="2"/>
        <v>-915.15789473683799</v>
      </c>
      <c r="I14" s="17">
        <f t="shared" si="3"/>
        <v>0</v>
      </c>
      <c r="J14" s="17">
        <f t="shared" si="4"/>
        <v>250</v>
      </c>
      <c r="K14" s="1">
        <f t="shared" si="5"/>
        <v>250</v>
      </c>
      <c r="N14" s="17">
        <f t="shared" si="6"/>
        <v>250</v>
      </c>
      <c r="R14" s="61">
        <f t="shared" si="7"/>
        <v>110</v>
      </c>
      <c r="S14" s="19">
        <f t="shared" si="8"/>
        <v>8</v>
      </c>
      <c r="T14" s="20" t="str">
        <f t="shared" si="9"/>
        <v>M</v>
      </c>
      <c r="U14" s="19">
        <f t="shared" si="10"/>
        <v>100</v>
      </c>
      <c r="V14" s="19">
        <f t="shared" si="11"/>
        <v>2310</v>
      </c>
      <c r="W14" s="44">
        <f t="shared" si="0"/>
        <v>979.57894736841899</v>
      </c>
      <c r="X14" s="45">
        <f t="shared" si="12"/>
        <v>240</v>
      </c>
      <c r="Y14" s="19">
        <f t="shared" si="13"/>
        <v>100</v>
      </c>
      <c r="Z14" s="42">
        <v>11</v>
      </c>
      <c r="AB14" s="57">
        <f t="shared" si="14"/>
        <v>110</v>
      </c>
      <c r="AC14" s="58">
        <f t="shared" si="15"/>
        <v>8</v>
      </c>
      <c r="AD14" s="20" t="str">
        <f t="shared" si="16"/>
        <v>M</v>
      </c>
      <c r="AE14" s="19">
        <f t="shared" si="17"/>
        <v>100</v>
      </c>
      <c r="AF14" s="19">
        <f t="shared" si="18"/>
        <v>2310</v>
      </c>
      <c r="AG14" s="44">
        <f t="shared" si="1"/>
        <v>979.57894736841899</v>
      </c>
      <c r="AH14" s="45">
        <f t="shared" si="19"/>
        <v>240</v>
      </c>
      <c r="AI14" s="42">
        <f t="shared" si="20"/>
        <v>100</v>
      </c>
    </row>
    <row r="15" spans="1:35" x14ac:dyDescent="0.2">
      <c r="B15" t="s">
        <v>11</v>
      </c>
      <c r="C15" s="20">
        <v>2</v>
      </c>
      <c r="D15" s="1">
        <v>50</v>
      </c>
      <c r="E15" s="56">
        <v>160</v>
      </c>
      <c r="F15" s="12">
        <f t="shared" si="21"/>
        <v>160</v>
      </c>
      <c r="G15" s="28">
        <f>SUM(D$4:$D15)</f>
        <v>3410</v>
      </c>
      <c r="H15" s="12">
        <f t="shared" si="2"/>
        <v>-1005.3834586466119</v>
      </c>
      <c r="I15" s="17">
        <f t="shared" si="3"/>
        <v>0</v>
      </c>
      <c r="J15" s="17">
        <f t="shared" si="4"/>
        <v>50</v>
      </c>
      <c r="K15" s="1">
        <f t="shared" si="5"/>
        <v>50</v>
      </c>
      <c r="N15" s="17">
        <f t="shared" si="6"/>
        <v>50</v>
      </c>
      <c r="R15" s="61">
        <f t="shared" si="7"/>
        <v>160</v>
      </c>
      <c r="S15" s="19">
        <f t="shared" si="8"/>
        <v>10</v>
      </c>
      <c r="T15" s="20" t="str">
        <f t="shared" si="9"/>
        <v>C</v>
      </c>
      <c r="U15" s="19">
        <f t="shared" si="10"/>
        <v>450</v>
      </c>
      <c r="V15" s="19">
        <f t="shared" si="11"/>
        <v>2760</v>
      </c>
      <c r="W15" s="44">
        <f t="shared" si="0"/>
        <v>167.54887218045133</v>
      </c>
      <c r="X15" s="45">
        <f t="shared" si="12"/>
        <v>299</v>
      </c>
      <c r="Y15" s="19">
        <f t="shared" si="13"/>
        <v>450</v>
      </c>
      <c r="Z15" s="42">
        <v>12</v>
      </c>
      <c r="AB15" s="57">
        <f t="shared" si="14"/>
        <v>160</v>
      </c>
      <c r="AC15" s="58">
        <f t="shared" si="15"/>
        <v>10</v>
      </c>
      <c r="AD15" s="20" t="str">
        <f t="shared" si="16"/>
        <v>C</v>
      </c>
      <c r="AE15" s="19">
        <f t="shared" si="17"/>
        <v>450</v>
      </c>
      <c r="AF15" s="19">
        <f t="shared" si="18"/>
        <v>2760</v>
      </c>
      <c r="AG15" s="44">
        <f t="shared" si="1"/>
        <v>167.54887218045133</v>
      </c>
      <c r="AH15" s="45">
        <f t="shared" si="19"/>
        <v>299</v>
      </c>
      <c r="AI15" s="42">
        <f t="shared" si="20"/>
        <v>450</v>
      </c>
    </row>
    <row r="16" spans="1:35" x14ac:dyDescent="0.2">
      <c r="B16" t="s">
        <v>12</v>
      </c>
      <c r="C16" s="20">
        <v>2</v>
      </c>
      <c r="D16" s="1">
        <v>100</v>
      </c>
      <c r="E16" s="12">
        <v>240</v>
      </c>
      <c r="F16" s="12">
        <f t="shared" si="21"/>
        <v>240</v>
      </c>
      <c r="G16" s="28">
        <f>SUM(D$4:$D16)</f>
        <v>3510</v>
      </c>
      <c r="H16" s="12">
        <f t="shared" si="2"/>
        <v>-1185.8345864661605</v>
      </c>
      <c r="I16" s="17">
        <f t="shared" si="3"/>
        <v>0</v>
      </c>
      <c r="J16" s="17">
        <f t="shared" si="4"/>
        <v>100</v>
      </c>
      <c r="K16" s="1">
        <f t="shared" si="5"/>
        <v>100</v>
      </c>
      <c r="N16" s="17">
        <f t="shared" si="6"/>
        <v>100</v>
      </c>
      <c r="R16" s="61">
        <f t="shared" si="7"/>
        <v>240</v>
      </c>
      <c r="S16" s="19">
        <f t="shared" si="8"/>
        <v>11</v>
      </c>
      <c r="T16" s="20" t="str">
        <f t="shared" si="9"/>
        <v>E</v>
      </c>
      <c r="U16" s="19">
        <f t="shared" si="10"/>
        <v>750</v>
      </c>
      <c r="V16" s="19">
        <f t="shared" si="11"/>
        <v>3510</v>
      </c>
      <c r="W16" s="44">
        <f t="shared" si="0"/>
        <v>-1185.8345864661605</v>
      </c>
      <c r="X16" s="45">
        <f t="shared" si="12"/>
        <v>300</v>
      </c>
      <c r="Y16" s="19">
        <f t="shared" si="13"/>
        <v>0</v>
      </c>
      <c r="Z16" s="42">
        <v>13</v>
      </c>
      <c r="AB16" s="57">
        <f t="shared" si="14"/>
        <v>240</v>
      </c>
      <c r="AC16" s="58">
        <f t="shared" si="15"/>
        <v>11</v>
      </c>
      <c r="AD16" s="20" t="str">
        <f t="shared" si="16"/>
        <v>E</v>
      </c>
      <c r="AE16" s="19">
        <f t="shared" si="17"/>
        <v>750</v>
      </c>
      <c r="AF16" s="19">
        <f t="shared" si="18"/>
        <v>3510</v>
      </c>
      <c r="AG16" s="44">
        <f t="shared" si="1"/>
        <v>-1185.8345864661605</v>
      </c>
      <c r="AH16" s="45">
        <f t="shared" si="19"/>
        <v>300</v>
      </c>
      <c r="AI16" s="42">
        <f t="shared" si="20"/>
        <v>0</v>
      </c>
    </row>
    <row r="17" spans="2:35" x14ac:dyDescent="0.2">
      <c r="B17" t="s">
        <v>13</v>
      </c>
      <c r="C17" s="20">
        <v>2</v>
      </c>
      <c r="D17" s="1">
        <v>450</v>
      </c>
      <c r="E17" s="12">
        <v>340</v>
      </c>
      <c r="F17" s="12">
        <f t="shared" si="21"/>
        <v>340</v>
      </c>
      <c r="G17" s="28">
        <f>SUM(D$4:$D17)</f>
        <v>3960</v>
      </c>
      <c r="H17" s="12">
        <f t="shared" si="2"/>
        <v>-1997.8646616541273</v>
      </c>
      <c r="I17" s="17">
        <f t="shared" si="3"/>
        <v>0</v>
      </c>
      <c r="J17" s="17">
        <f t="shared" si="4"/>
        <v>0</v>
      </c>
      <c r="K17" s="1">
        <f t="shared" si="5"/>
        <v>0</v>
      </c>
      <c r="N17" s="17">
        <f t="shared" si="6"/>
        <v>0</v>
      </c>
      <c r="R17" s="61">
        <f t="shared" si="7"/>
        <v>340</v>
      </c>
      <c r="S17" s="19">
        <f t="shared" si="8"/>
        <v>14</v>
      </c>
      <c r="T17" s="20" t="str">
        <f t="shared" si="9"/>
        <v>N</v>
      </c>
      <c r="U17" s="19">
        <f t="shared" si="10"/>
        <v>450</v>
      </c>
      <c r="V17" s="19">
        <f t="shared" si="11"/>
        <v>3960</v>
      </c>
      <c r="W17" s="44">
        <f t="shared" si="0"/>
        <v>-1997.8646616541273</v>
      </c>
      <c r="X17" s="45">
        <f t="shared" si="12"/>
        <v>340</v>
      </c>
      <c r="Y17" s="19">
        <f t="shared" si="13"/>
        <v>0</v>
      </c>
      <c r="Z17" s="42">
        <v>14</v>
      </c>
      <c r="AB17" s="57">
        <f t="shared" si="14"/>
        <v>340</v>
      </c>
      <c r="AC17" s="58">
        <f t="shared" si="15"/>
        <v>14</v>
      </c>
      <c r="AD17" s="20" t="str">
        <f t="shared" si="16"/>
        <v>N</v>
      </c>
      <c r="AE17" s="19">
        <f t="shared" si="17"/>
        <v>450</v>
      </c>
      <c r="AF17" s="19">
        <f t="shared" si="18"/>
        <v>3960</v>
      </c>
      <c r="AG17" s="44">
        <f t="shared" si="1"/>
        <v>-1997.8646616541273</v>
      </c>
      <c r="AH17" s="45">
        <f t="shared" si="19"/>
        <v>340</v>
      </c>
      <c r="AI17" s="42">
        <f t="shared" si="20"/>
        <v>0</v>
      </c>
    </row>
    <row r="18" spans="2:35" x14ac:dyDescent="0.2">
      <c r="B18" t="s">
        <v>14</v>
      </c>
      <c r="C18" s="20">
        <v>2</v>
      </c>
      <c r="D18" s="1">
        <v>380</v>
      </c>
      <c r="E18" s="12">
        <v>400</v>
      </c>
      <c r="F18" s="12">
        <f t="shared" si="21"/>
        <v>400</v>
      </c>
      <c r="G18" s="28">
        <f>SUM(D$4:$D18)</f>
        <v>4340</v>
      </c>
      <c r="H18" s="12">
        <f t="shared" si="2"/>
        <v>-2683.5789473684108</v>
      </c>
      <c r="I18" s="17">
        <f t="shared" si="3"/>
        <v>0</v>
      </c>
      <c r="J18" s="17">
        <f t="shared" si="4"/>
        <v>0</v>
      </c>
      <c r="K18" s="1">
        <f t="shared" si="5"/>
        <v>0</v>
      </c>
      <c r="N18" s="17">
        <f t="shared" si="6"/>
        <v>0</v>
      </c>
      <c r="R18" s="61">
        <f t="shared" si="7"/>
        <v>400</v>
      </c>
      <c r="S18" s="19">
        <f t="shared" si="8"/>
        <v>15</v>
      </c>
      <c r="T18" s="20" t="str">
        <f t="shared" si="9"/>
        <v>O</v>
      </c>
      <c r="U18" s="19">
        <f t="shared" si="10"/>
        <v>380</v>
      </c>
      <c r="V18" s="19">
        <f t="shared" si="11"/>
        <v>4340</v>
      </c>
      <c r="W18" s="44">
        <f t="shared" si="0"/>
        <v>-2683.5789473684108</v>
      </c>
      <c r="X18" s="45">
        <f t="shared" si="12"/>
        <v>400</v>
      </c>
      <c r="Y18" s="19">
        <f t="shared" si="13"/>
        <v>0</v>
      </c>
      <c r="Z18" s="42">
        <v>15</v>
      </c>
      <c r="AB18" s="57">
        <f t="shared" si="14"/>
        <v>400</v>
      </c>
      <c r="AC18" s="58">
        <f t="shared" si="15"/>
        <v>15</v>
      </c>
      <c r="AD18" s="20" t="str">
        <f t="shared" si="16"/>
        <v>O</v>
      </c>
      <c r="AE18" s="19">
        <f t="shared" si="17"/>
        <v>380</v>
      </c>
      <c r="AF18" s="19">
        <f t="shared" si="18"/>
        <v>4340</v>
      </c>
      <c r="AG18" s="44">
        <f t="shared" si="1"/>
        <v>-2683.5789473684108</v>
      </c>
      <c r="AH18" s="45">
        <f t="shared" si="19"/>
        <v>400</v>
      </c>
      <c r="AI18" s="42">
        <f t="shared" si="20"/>
        <v>0</v>
      </c>
    </row>
    <row r="19" spans="2:35" x14ac:dyDescent="0.2">
      <c r="B19" s="3" t="s">
        <v>15</v>
      </c>
      <c r="C19" s="4">
        <v>2</v>
      </c>
      <c r="D19" s="4">
        <v>800</v>
      </c>
      <c r="E19" s="13">
        <v>450</v>
      </c>
      <c r="F19" s="13">
        <v>450</v>
      </c>
      <c r="G19" s="29">
        <f>SUM(D$4:$D19)</f>
        <v>5140</v>
      </c>
      <c r="H19" s="47">
        <f t="shared" si="2"/>
        <v>-4127.1879699247966</v>
      </c>
      <c r="I19" s="18">
        <f t="shared" si="3"/>
        <v>0</v>
      </c>
      <c r="J19" s="18">
        <f t="shared" si="4"/>
        <v>0</v>
      </c>
      <c r="K19" s="4">
        <f t="shared" si="5"/>
        <v>0</v>
      </c>
      <c r="L19" s="10"/>
      <c r="M19" s="3"/>
      <c r="N19" s="18">
        <f t="shared" si="6"/>
        <v>0</v>
      </c>
      <c r="O19" s="3"/>
      <c r="P19" s="3"/>
      <c r="R19" s="62">
        <f t="shared" si="7"/>
        <v>450</v>
      </c>
      <c r="S19" s="3">
        <f t="shared" si="8"/>
        <v>16</v>
      </c>
      <c r="T19" s="4" t="str">
        <f t="shared" si="9"/>
        <v>P</v>
      </c>
      <c r="U19" s="3">
        <f t="shared" si="10"/>
        <v>800</v>
      </c>
      <c r="V19" s="3">
        <f t="shared" si="11"/>
        <v>5140</v>
      </c>
      <c r="W19" s="13">
        <f t="shared" si="0"/>
        <v>-4127.1879699247966</v>
      </c>
      <c r="X19" s="46">
        <f t="shared" si="12"/>
        <v>450</v>
      </c>
      <c r="Y19" s="3">
        <f t="shared" si="13"/>
        <v>0</v>
      </c>
      <c r="Z19" s="24">
        <v>16</v>
      </c>
      <c r="AB19" s="60">
        <f t="shared" si="14"/>
        <v>450</v>
      </c>
      <c r="AC19" s="29">
        <f t="shared" si="15"/>
        <v>16</v>
      </c>
      <c r="AD19" s="4" t="str">
        <f t="shared" si="16"/>
        <v>P</v>
      </c>
      <c r="AE19" s="3">
        <f t="shared" si="17"/>
        <v>800</v>
      </c>
      <c r="AF19" s="3">
        <f t="shared" si="18"/>
        <v>5140</v>
      </c>
      <c r="AG19" s="13">
        <f t="shared" si="1"/>
        <v>-4127.1879699247966</v>
      </c>
      <c r="AH19" s="46">
        <f t="shared" si="19"/>
        <v>450</v>
      </c>
      <c r="AI19" s="24">
        <f t="shared" si="20"/>
        <v>0</v>
      </c>
    </row>
    <row r="20" spans="2:35" x14ac:dyDescent="0.2">
      <c r="B20" s="7" t="s">
        <v>20</v>
      </c>
      <c r="C20" s="7"/>
      <c r="I20" s="17">
        <f>SUMIF($C$4:$C$19,1,$I$4:$I$19)</f>
        <v>1600</v>
      </c>
      <c r="J20" s="1">
        <f t="shared" ref="J20" si="22">IF(I20=0,VLOOKUP(B20,$T$4:$Y$19,6,FALSE),0)</f>
        <v>0</v>
      </c>
      <c r="K20" s="1">
        <f>SUM(I20:J20)</f>
        <v>1600</v>
      </c>
      <c r="L20" s="12">
        <f t="array" ref="L20">MAX(IF(I4:I19&lt;&gt;0,E4:E19))</f>
        <v>80</v>
      </c>
      <c r="M20" s="14">
        <f>IF(ISNUMBER(K20),K20*L20,0)</f>
        <v>128000</v>
      </c>
      <c r="N20" s="17"/>
      <c r="Y20">
        <f>SUM($Y$4:$Y$19)</f>
        <v>2760</v>
      </c>
    </row>
    <row r="21" spans="2:35" x14ac:dyDescent="0.2">
      <c r="B21" s="9" t="s">
        <v>21</v>
      </c>
      <c r="C21" s="9"/>
      <c r="D21" s="3"/>
      <c r="E21" s="3"/>
      <c r="F21" s="3"/>
      <c r="G21" s="3"/>
      <c r="H21" s="3"/>
      <c r="I21" s="18">
        <f>SUMIF($C$4:$C$19,2,$I$4:$I$19)</f>
        <v>1260</v>
      </c>
      <c r="J21" s="4">
        <f>J22</f>
        <v>650</v>
      </c>
      <c r="K21" s="4">
        <f>SUM(I21:J21)</f>
        <v>1910</v>
      </c>
      <c r="L21" s="13">
        <f t="array" ref="L21">MAX(IF(Y4:Y19&lt;&gt;0,X4:X19))</f>
        <v>299</v>
      </c>
      <c r="M21" s="15">
        <f>K21*L21</f>
        <v>571090</v>
      </c>
      <c r="N21" s="18"/>
      <c r="O21" s="3"/>
      <c r="P21" s="3"/>
    </row>
    <row r="22" spans="2:35" x14ac:dyDescent="0.2">
      <c r="B22" s="2" t="s">
        <v>18</v>
      </c>
      <c r="C22" s="2"/>
      <c r="I22" s="17">
        <f>SUM(I4:I19)</f>
        <v>2860</v>
      </c>
      <c r="J22" s="1">
        <f>SUM(J4:J19)</f>
        <v>650</v>
      </c>
      <c r="K22" s="1">
        <f>SUM(K4:K19)</f>
        <v>3510</v>
      </c>
      <c r="M22" s="12">
        <f>SUM(M20:M21)</f>
        <v>699090</v>
      </c>
      <c r="N22" s="17">
        <f>SUM(N4:N19)</f>
        <v>2760</v>
      </c>
      <c r="O22">
        <f t="array" ref="O22">MAX(IF($N$4:$N$19&lt;&gt;0,$F$4:$F$19))</f>
        <v>299</v>
      </c>
      <c r="P22" s="12">
        <f>PRODUCT(N22:O22)</f>
        <v>825240</v>
      </c>
    </row>
    <row r="23" spans="2:35" x14ac:dyDescent="0.2">
      <c r="I23" s="1"/>
      <c r="L23" t="s">
        <v>59</v>
      </c>
      <c r="M23" s="12">
        <f>M22/K22</f>
        <v>199.17094017094018</v>
      </c>
      <c r="P23" s="12">
        <f>P22/N22</f>
        <v>299</v>
      </c>
    </row>
    <row r="24" spans="2:35" x14ac:dyDescent="0.2">
      <c r="B24" s="2"/>
      <c r="C24" s="2"/>
    </row>
    <row r="26" spans="2:35" x14ac:dyDescent="0.2">
      <c r="D26" s="1" t="s">
        <v>15</v>
      </c>
      <c r="E26" s="1" t="s">
        <v>35</v>
      </c>
    </row>
    <row r="27" spans="2:35" x14ac:dyDescent="0.2">
      <c r="C27" s="21" t="s">
        <v>33</v>
      </c>
      <c r="D27" s="16" t="s">
        <v>38</v>
      </c>
      <c r="E27" s="54" t="s">
        <v>39</v>
      </c>
    </row>
    <row r="28" spans="2:35" x14ac:dyDescent="0.2">
      <c r="C28" s="21" t="s">
        <v>34</v>
      </c>
      <c r="D28" s="18" t="s">
        <v>37</v>
      </c>
      <c r="E28" s="55" t="s">
        <v>36</v>
      </c>
    </row>
    <row r="29" spans="2:35" x14ac:dyDescent="0.2">
      <c r="C29" s="21" t="s">
        <v>33</v>
      </c>
      <c r="D29" s="16">
        <f>D32</f>
        <v>300</v>
      </c>
      <c r="E29" s="54">
        <f>1.01*D33</f>
        <v>2686.6</v>
      </c>
    </row>
    <row r="30" spans="2:35" x14ac:dyDescent="0.2">
      <c r="C30" s="21" t="s">
        <v>34</v>
      </c>
      <c r="D30" s="18">
        <f>D32*0.2</f>
        <v>60</v>
      </c>
      <c r="E30" s="55">
        <f>1.06*D33</f>
        <v>2819.6000000000004</v>
      </c>
    </row>
    <row r="31" spans="2:35" x14ac:dyDescent="0.2">
      <c r="C31" s="63" t="s">
        <v>50</v>
      </c>
      <c r="D31" s="63"/>
    </row>
    <row r="32" spans="2:35" x14ac:dyDescent="0.2">
      <c r="C32" s="37" t="s">
        <v>38</v>
      </c>
      <c r="D32" s="38">
        <v>300</v>
      </c>
    </row>
    <row r="33" spans="3:5" x14ac:dyDescent="0.2">
      <c r="C33" s="37" t="s">
        <v>40</v>
      </c>
      <c r="D33" s="38">
        <v>2660</v>
      </c>
    </row>
    <row r="34" spans="3:5" x14ac:dyDescent="0.2">
      <c r="C34" s="63" t="s">
        <v>51</v>
      </c>
      <c r="D34" s="63"/>
      <c r="E34" s="63"/>
    </row>
    <row r="35" spans="3:5" x14ac:dyDescent="0.2">
      <c r="C35" s="39" t="s">
        <v>42</v>
      </c>
      <c r="D35" s="40">
        <f>(D29-D30)/(E29-E30)</f>
        <v>-1.8045112781954826</v>
      </c>
      <c r="E35" s="22"/>
    </row>
    <row r="36" spans="3:5" x14ac:dyDescent="0.2">
      <c r="C36" s="41" t="s">
        <v>43</v>
      </c>
      <c r="D36" s="19">
        <f>D29-(D35*E29)</f>
        <v>5147.9999999999836</v>
      </c>
      <c r="E36" s="42"/>
    </row>
    <row r="37" spans="3:5" x14ac:dyDescent="0.2">
      <c r="C37" s="43"/>
      <c r="D37" s="19" t="str">
        <f>"P="&amp;ROUND(D35,2)&amp;"*Q + "&amp;ROUND(D36,2)</f>
        <v>P=-1.8*Q + 5148</v>
      </c>
      <c r="E37" s="42"/>
    </row>
    <row r="38" spans="3:5" x14ac:dyDescent="0.2">
      <c r="C38" s="43"/>
      <c r="D38" s="19"/>
      <c r="E38" s="42"/>
    </row>
    <row r="39" spans="3:5" x14ac:dyDescent="0.2">
      <c r="C39" s="23"/>
      <c r="D39" s="3">
        <v>0</v>
      </c>
      <c r="E39" s="24"/>
    </row>
  </sheetData>
  <sortState ref="Z4:Z19">
    <sortCondition ref="Z4"/>
  </sortState>
  <mergeCells count="4">
    <mergeCell ref="C31:D31"/>
    <mergeCell ref="C34:E34"/>
    <mergeCell ref="R1:Z1"/>
    <mergeCell ref="AB1:AI1"/>
  </mergeCells>
  <conditionalFormatting sqref="B4:K19">
    <cfRule type="expression" dxfId="0" priority="1">
      <formula>$C4=1</formula>
    </cfRule>
  </conditionalFormatting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Charles River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Stoddard</dc:creator>
  <cp:lastModifiedBy>Robert Stoddard</cp:lastModifiedBy>
  <cp:lastPrinted>2012-11-14T15:15:32Z</cp:lastPrinted>
  <dcterms:created xsi:type="dcterms:W3CDTF">2012-11-14T14:45:54Z</dcterms:created>
  <dcterms:modified xsi:type="dcterms:W3CDTF">2012-11-16T20:04:30Z</dcterms:modified>
</cp:coreProperties>
</file>