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455" tabRatio="831"/>
  </bookViews>
  <sheets>
    <sheet name="RT=DA" sheetId="40" r:id="rId1"/>
    <sheet name="RT&gt;DA" sheetId="39" r:id="rId2"/>
    <sheet name="RT&lt;DA" sheetId="41" r:id="rId3"/>
    <sheet name="Self Schedule - Profit" sheetId="45" r:id="rId4"/>
    <sheet name="Self Schedule - Loss" sheetId="4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46" l="1"/>
  <c r="I23" i="46"/>
  <c r="H23" i="46"/>
  <c r="G23" i="46"/>
  <c r="F23" i="46"/>
  <c r="J22" i="46"/>
  <c r="I22" i="46"/>
  <c r="H22" i="46"/>
  <c r="G22" i="46"/>
  <c r="F22" i="46"/>
  <c r="J21" i="46"/>
  <c r="I21" i="46"/>
  <c r="G21" i="46"/>
  <c r="F21" i="46"/>
  <c r="I20" i="46"/>
  <c r="H20" i="46"/>
  <c r="H17" i="46"/>
  <c r="G17" i="46"/>
  <c r="F17" i="46"/>
  <c r="I13" i="46"/>
  <c r="H13" i="46"/>
  <c r="G13" i="46"/>
  <c r="F13" i="46"/>
  <c r="J12" i="46"/>
  <c r="I12" i="46"/>
  <c r="H12" i="46"/>
  <c r="G12" i="46"/>
  <c r="F12" i="46"/>
  <c r="J10" i="46"/>
  <c r="I10" i="46"/>
  <c r="H10" i="46"/>
  <c r="G10" i="46"/>
  <c r="F10" i="46"/>
  <c r="J4" i="46"/>
  <c r="J18" i="46" s="1"/>
  <c r="I4" i="46"/>
  <c r="I11" i="46" s="1"/>
  <c r="I19" i="46" s="1"/>
  <c r="H4" i="46"/>
  <c r="H18" i="46" s="1"/>
  <c r="G4" i="46"/>
  <c r="G18" i="46" s="1"/>
  <c r="F4" i="46"/>
  <c r="F18" i="46" s="1"/>
  <c r="C3" i="46"/>
  <c r="C4" i="46" s="1"/>
  <c r="J23" i="45"/>
  <c r="I23" i="45"/>
  <c r="H23" i="45"/>
  <c r="G23" i="45"/>
  <c r="F23" i="45"/>
  <c r="J22" i="45"/>
  <c r="I22" i="45"/>
  <c r="H22" i="45"/>
  <c r="G22" i="45"/>
  <c r="F22" i="45"/>
  <c r="G21" i="45"/>
  <c r="F21" i="45"/>
  <c r="I20" i="45"/>
  <c r="H20" i="45"/>
  <c r="J13" i="45"/>
  <c r="I13" i="45"/>
  <c r="H13" i="45"/>
  <c r="G13" i="45"/>
  <c r="F13" i="45"/>
  <c r="J12" i="45"/>
  <c r="I12" i="45"/>
  <c r="H12" i="45"/>
  <c r="G12" i="45"/>
  <c r="F12" i="45"/>
  <c r="J4" i="45"/>
  <c r="J10" i="45" s="1"/>
  <c r="I4" i="45"/>
  <c r="I17" i="45" s="1"/>
  <c r="H4" i="45"/>
  <c r="H10" i="45" s="1"/>
  <c r="G4" i="45"/>
  <c r="G17" i="45" s="1"/>
  <c r="F4" i="45"/>
  <c r="F10" i="45" s="1"/>
  <c r="C3" i="45"/>
  <c r="C4" i="45" s="1"/>
  <c r="I23" i="41"/>
  <c r="H23" i="41"/>
  <c r="G23" i="41"/>
  <c r="J23" i="41" s="1"/>
  <c r="F23" i="41"/>
  <c r="I22" i="41"/>
  <c r="H22" i="41"/>
  <c r="G22" i="41"/>
  <c r="F22" i="41"/>
  <c r="J22" i="41" s="1"/>
  <c r="I21" i="41"/>
  <c r="H21" i="41"/>
  <c r="G21" i="41"/>
  <c r="F21" i="41"/>
  <c r="J21" i="41" s="1"/>
  <c r="I18" i="41"/>
  <c r="H18" i="41"/>
  <c r="G18" i="41"/>
  <c r="I13" i="41"/>
  <c r="I12" i="41"/>
  <c r="H12" i="41"/>
  <c r="G12" i="41"/>
  <c r="F12" i="41"/>
  <c r="J12" i="41" s="1"/>
  <c r="I10" i="41"/>
  <c r="I4" i="41"/>
  <c r="I17" i="41" s="1"/>
  <c r="H4" i="41"/>
  <c r="H17" i="41" s="1"/>
  <c r="G4" i="41"/>
  <c r="G13" i="41" s="1"/>
  <c r="F4" i="41"/>
  <c r="F17" i="41" s="1"/>
  <c r="C4" i="41"/>
  <c r="C5" i="41" s="1"/>
  <c r="C3" i="41"/>
  <c r="H2" i="41"/>
  <c r="I2" i="41" s="1"/>
  <c r="G2" i="41"/>
  <c r="I23" i="39"/>
  <c r="J23" i="39" s="1"/>
  <c r="H23" i="39"/>
  <c r="G23" i="39"/>
  <c r="F23" i="39"/>
  <c r="I22" i="39"/>
  <c r="H22" i="39"/>
  <c r="G22" i="39"/>
  <c r="F22" i="39"/>
  <c r="J22" i="39" s="1"/>
  <c r="I21" i="39"/>
  <c r="H21" i="39"/>
  <c r="G21" i="39"/>
  <c r="J21" i="39" s="1"/>
  <c r="F21" i="39"/>
  <c r="I18" i="39"/>
  <c r="H18" i="39"/>
  <c r="I12" i="39"/>
  <c r="H12" i="39"/>
  <c r="G12" i="39"/>
  <c r="F12" i="39"/>
  <c r="J12" i="39" s="1"/>
  <c r="F11" i="39"/>
  <c r="F10" i="39"/>
  <c r="I5" i="39"/>
  <c r="H5" i="39"/>
  <c r="G5" i="39"/>
  <c r="G17" i="39" s="1"/>
  <c r="F5" i="39"/>
  <c r="F18" i="39" s="1"/>
  <c r="I4" i="39"/>
  <c r="I13" i="39" s="1"/>
  <c r="H4" i="39"/>
  <c r="H17" i="39" s="1"/>
  <c r="G4" i="39"/>
  <c r="G13" i="39" s="1"/>
  <c r="F4" i="39"/>
  <c r="F13" i="39" s="1"/>
  <c r="C4" i="39"/>
  <c r="G11" i="39" s="1"/>
  <c r="C3" i="39"/>
  <c r="G2" i="39"/>
  <c r="H2" i="39" s="1"/>
  <c r="I2" i="39" s="1"/>
  <c r="I23" i="40"/>
  <c r="H23" i="40"/>
  <c r="G23" i="40"/>
  <c r="F23" i="40"/>
  <c r="J23" i="40" s="1"/>
  <c r="I22" i="40"/>
  <c r="H22" i="40"/>
  <c r="G22" i="40"/>
  <c r="J22" i="40" s="1"/>
  <c r="F22" i="40"/>
  <c r="I21" i="40"/>
  <c r="H21" i="40"/>
  <c r="G21" i="40"/>
  <c r="F21" i="40"/>
  <c r="J21" i="40" s="1"/>
  <c r="G18" i="40"/>
  <c r="I17" i="40"/>
  <c r="H17" i="40"/>
  <c r="G17" i="40"/>
  <c r="F17" i="40"/>
  <c r="J17" i="40" s="1"/>
  <c r="H13" i="40"/>
  <c r="G13" i="40"/>
  <c r="F13" i="40"/>
  <c r="I12" i="40"/>
  <c r="J12" i="40" s="1"/>
  <c r="H12" i="40"/>
  <c r="G12" i="40"/>
  <c r="F12" i="40"/>
  <c r="I10" i="40"/>
  <c r="H10" i="40"/>
  <c r="G10" i="40"/>
  <c r="I4" i="40"/>
  <c r="I18" i="40" s="1"/>
  <c r="H4" i="40"/>
  <c r="H18" i="40" s="1"/>
  <c r="G4" i="40"/>
  <c r="F4" i="40"/>
  <c r="F18" i="40" s="1"/>
  <c r="C3" i="40"/>
  <c r="C4" i="40" s="1"/>
  <c r="G2" i="40"/>
  <c r="H2" i="40" s="1"/>
  <c r="I2" i="40" s="1"/>
  <c r="J17" i="41" l="1"/>
  <c r="H14" i="40"/>
  <c r="I11" i="41"/>
  <c r="I19" i="41" s="1"/>
  <c r="I20" i="41" s="1"/>
  <c r="I26" i="41" s="1"/>
  <c r="H11" i="41"/>
  <c r="H19" i="41" s="1"/>
  <c r="H20" i="41" s="1"/>
  <c r="C5" i="40"/>
  <c r="H11" i="40" s="1"/>
  <c r="H19" i="40" s="1"/>
  <c r="H20" i="40" s="1"/>
  <c r="H26" i="40" s="1"/>
  <c r="F11" i="40"/>
  <c r="F14" i="39"/>
  <c r="J14" i="45"/>
  <c r="G11" i="46"/>
  <c r="G19" i="46" s="1"/>
  <c r="G20" i="46" s="1"/>
  <c r="C5" i="46"/>
  <c r="J11" i="46"/>
  <c r="J11" i="45"/>
  <c r="J19" i="45" s="1"/>
  <c r="C5" i="45"/>
  <c r="H11" i="45"/>
  <c r="H14" i="45" s="1"/>
  <c r="I11" i="45"/>
  <c r="F14" i="46"/>
  <c r="H14" i="46"/>
  <c r="G11" i="40"/>
  <c r="G19" i="40" s="1"/>
  <c r="G20" i="40" s="1"/>
  <c r="G26" i="40" s="1"/>
  <c r="F19" i="39"/>
  <c r="F20" i="39" s="1"/>
  <c r="H18" i="45"/>
  <c r="G19" i="39"/>
  <c r="H13" i="39"/>
  <c r="J13" i="39" s="1"/>
  <c r="F13" i="41"/>
  <c r="I10" i="45"/>
  <c r="H17" i="45"/>
  <c r="G14" i="46"/>
  <c r="I18" i="46"/>
  <c r="F10" i="40"/>
  <c r="C5" i="39"/>
  <c r="I11" i="39" s="1"/>
  <c r="I19" i="39" s="1"/>
  <c r="I20" i="39" s="1"/>
  <c r="G18" i="39"/>
  <c r="G20" i="39" s="1"/>
  <c r="F11" i="41"/>
  <c r="H13" i="41"/>
  <c r="F11" i="45"/>
  <c r="F19" i="45" s="1"/>
  <c r="J17" i="45"/>
  <c r="I14" i="46"/>
  <c r="F19" i="46"/>
  <c r="F20" i="46" s="1"/>
  <c r="H21" i="46"/>
  <c r="H26" i="46" s="1"/>
  <c r="F18" i="41"/>
  <c r="F20" i="41" s="1"/>
  <c r="G11" i="45"/>
  <c r="F18" i="45"/>
  <c r="G18" i="45"/>
  <c r="G11" i="41"/>
  <c r="G19" i="41" s="1"/>
  <c r="G20" i="41" s="1"/>
  <c r="F19" i="41"/>
  <c r="J18" i="45"/>
  <c r="I17" i="46"/>
  <c r="I26" i="46" s="1"/>
  <c r="I13" i="40"/>
  <c r="J13" i="40" s="1"/>
  <c r="G10" i="39"/>
  <c r="J10" i="39" s="1"/>
  <c r="F17" i="39"/>
  <c r="F11" i="46"/>
  <c r="J17" i="46"/>
  <c r="H10" i="39"/>
  <c r="F10" i="41"/>
  <c r="G19" i="45"/>
  <c r="I11" i="40"/>
  <c r="I19" i="40" s="1"/>
  <c r="I20" i="40" s="1"/>
  <c r="I26" i="40" s="1"/>
  <c r="I10" i="39"/>
  <c r="G10" i="41"/>
  <c r="G10" i="45"/>
  <c r="F17" i="45"/>
  <c r="H19" i="45"/>
  <c r="H11" i="46"/>
  <c r="H19" i="46" s="1"/>
  <c r="J13" i="46"/>
  <c r="I18" i="45"/>
  <c r="I17" i="39"/>
  <c r="H10" i="41"/>
  <c r="G17" i="41"/>
  <c r="I19" i="45"/>
  <c r="F27" i="46" l="1"/>
  <c r="F26" i="46"/>
  <c r="G26" i="46"/>
  <c r="G27" i="46"/>
  <c r="J26" i="46"/>
  <c r="H26" i="45"/>
  <c r="F20" i="45"/>
  <c r="F27" i="45" s="1"/>
  <c r="J20" i="41"/>
  <c r="I14" i="40"/>
  <c r="J10" i="41"/>
  <c r="F26" i="41"/>
  <c r="F14" i="41"/>
  <c r="J19" i="46"/>
  <c r="J20" i="46" s="1"/>
  <c r="J14" i="46"/>
  <c r="G26" i="41"/>
  <c r="G14" i="41"/>
  <c r="I14" i="41"/>
  <c r="I26" i="39"/>
  <c r="I14" i="39"/>
  <c r="J21" i="45"/>
  <c r="I21" i="45"/>
  <c r="I26" i="45" s="1"/>
  <c r="H21" i="45"/>
  <c r="J20" i="45"/>
  <c r="J26" i="45" s="1"/>
  <c r="I14" i="45"/>
  <c r="I27" i="46"/>
  <c r="H26" i="41"/>
  <c r="H14" i="41"/>
  <c r="F14" i="40"/>
  <c r="J10" i="40"/>
  <c r="F26" i="40"/>
  <c r="J26" i="40" s="1"/>
  <c r="J28" i="40" s="1"/>
  <c r="G26" i="39"/>
  <c r="G14" i="39"/>
  <c r="J14" i="39" s="1"/>
  <c r="J13" i="41"/>
  <c r="G14" i="40"/>
  <c r="H27" i="46"/>
  <c r="J27" i="46" s="1"/>
  <c r="J11" i="41"/>
  <c r="H27" i="45"/>
  <c r="J27" i="45" s="1"/>
  <c r="F14" i="45"/>
  <c r="G14" i="45"/>
  <c r="G27" i="45"/>
  <c r="J17" i="39"/>
  <c r="F26" i="39"/>
  <c r="G20" i="45"/>
  <c r="G26" i="45" s="1"/>
  <c r="H11" i="39"/>
  <c r="H14" i="39" s="1"/>
  <c r="J11" i="40"/>
  <c r="F19" i="40"/>
  <c r="F20" i="40" s="1"/>
  <c r="J20" i="40" s="1"/>
  <c r="J14" i="40" l="1"/>
  <c r="F26" i="45"/>
  <c r="J26" i="41"/>
  <c r="J28" i="41" s="1"/>
  <c r="H19" i="39"/>
  <c r="H20" i="39" s="1"/>
  <c r="J11" i="39"/>
  <c r="I27" i="45"/>
  <c r="J14" i="41"/>
  <c r="H26" i="39" l="1"/>
  <c r="J26" i="39" s="1"/>
  <c r="J28" i="39" s="1"/>
  <c r="J20" i="39"/>
</calcChain>
</file>

<file path=xl/sharedStrings.xml><?xml version="1.0" encoding="utf-8"?>
<sst xmlns="http://schemas.openxmlformats.org/spreadsheetml/2006/main" count="189" uniqueCount="40">
  <si>
    <t>Hour</t>
  </si>
  <si>
    <t>Commitment Status</t>
  </si>
  <si>
    <t>MW</t>
  </si>
  <si>
    <t>Offline</t>
  </si>
  <si>
    <t>DA Revenues</t>
  </si>
  <si>
    <t>DA Start Cost</t>
  </si>
  <si>
    <t>DA Incremental Offer</t>
  </si>
  <si>
    <t>DA No Load Cost</t>
  </si>
  <si>
    <t>DA Net Revenue</t>
  </si>
  <si>
    <t>Balancing Revenues</t>
  </si>
  <si>
    <t>LOC Credit</t>
  </si>
  <si>
    <t>RT Incremental Offer</t>
  </si>
  <si>
    <t>RT No Load Cost</t>
  </si>
  <si>
    <t>RT Start Cost</t>
  </si>
  <si>
    <t>LOC Credit (A)</t>
  </si>
  <si>
    <t>LOC Credit (B)</t>
  </si>
  <si>
    <t>Self</t>
  </si>
  <si>
    <t>DA LMP ($/MWh)</t>
  </si>
  <si>
    <t>DA Generation (MWh)</t>
  </si>
  <si>
    <t>RT LMP ($/MWh)</t>
  </si>
  <si>
    <t>RT Generation (MWh)</t>
  </si>
  <si>
    <t>Area Under Curve</t>
  </si>
  <si>
    <t>Start Cost ($/start)</t>
  </si>
  <si>
    <t>No Load Cost ($/hour)</t>
  </si>
  <si>
    <t>Price ($/MWh)</t>
  </si>
  <si>
    <t>Incremental Offer (Stepped Curve)</t>
  </si>
  <si>
    <t>Day-Ahead</t>
  </si>
  <si>
    <t>Real-Time / Balancing</t>
  </si>
  <si>
    <t>Total</t>
  </si>
  <si>
    <t>Net Revenue</t>
  </si>
  <si>
    <t>BOR Credit</t>
  </si>
  <si>
    <t>Status Quo</t>
  </si>
  <si>
    <t>Actual Net Revenue</t>
  </si>
  <si>
    <t>Proposal</t>
  </si>
  <si>
    <t>Option A</t>
  </si>
  <si>
    <t>Step 1</t>
  </si>
  <si>
    <t>Net Revenue Used in BOR</t>
  </si>
  <si>
    <t>Option B</t>
  </si>
  <si>
    <t>Step 2</t>
  </si>
  <si>
    <t>Self Sched.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</si>
</sst>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0" xfId="0" applyFont="1" applyFill="1" applyAlignment="1">
      <alignment horizontal="center"/>
    </xf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0" fillId="0" borderId="0" xfId="0" applyAlignment="1">
      <alignment vertical="center" wrapText="1"/>
    </xf>
    <xf numFmtId="5" fontId="0" fillId="0" borderId="0" xfId="0" applyNumberFormat="1" applyAlignment="1">
      <alignment vertical="center"/>
    </xf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5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4" fontId="3" fillId="2" borderId="0" xfId="0" applyNumberFormat="1" applyFont="1" applyFill="1"/>
    <xf numFmtId="165" fontId="3" fillId="2" borderId="0" xfId="0" applyNumberFormat="1" applyFont="1" applyFill="1"/>
    <xf numFmtId="3" fontId="3" fillId="2" borderId="0" xfId="0" applyNumberFormat="1" applyFont="1" applyFill="1"/>
    <xf numFmtId="5" fontId="3" fillId="2" borderId="0" xfId="0" applyNumberFormat="1" applyFont="1" applyFill="1"/>
    <xf numFmtId="0" fontId="5" fillId="2" borderId="0" xfId="0" applyFont="1" applyFill="1"/>
    <xf numFmtId="5" fontId="5" fillId="2" borderId="0" xfId="0" applyNumberFormat="1" applyFont="1" applyFill="1"/>
    <xf numFmtId="0" fontId="3" fillId="2" borderId="0" xfId="0" applyFont="1" applyFill="1" applyAlignment="1">
      <alignment vertical="center" wrapText="1"/>
    </xf>
    <xf numFmtId="5" fontId="3" fillId="2" borderId="0" xfId="0" applyNumberFormat="1" applyFont="1" applyFill="1" applyAlignment="1">
      <alignment vertical="center"/>
    </xf>
    <xf numFmtId="5" fontId="3" fillId="2" borderId="0" xfId="0" applyNumberFormat="1" applyFont="1" applyFill="1" applyAlignment="1">
      <alignment horizontal="right" vertical="center"/>
    </xf>
    <xf numFmtId="5" fontId="4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1</xdr:row>
      <xdr:rowOff>7844</xdr:rowOff>
    </xdr:from>
    <xdr:to>
      <xdr:col>21</xdr:col>
      <xdr:colOff>187138</xdr:colOff>
      <xdr:row>23</xdr:row>
      <xdr:rowOff>38100</xdr:rowOff>
    </xdr:to>
    <xdr:sp macro="" textlink="" fLocksText="0">
      <xdr:nvSpPr>
        <xdr:cNvPr id="2" name="Rectangle 1"/>
        <xdr:cNvSpPr/>
      </xdr:nvSpPr>
      <xdr:spPr>
        <a:xfrm>
          <a:off x="10429875" y="217394"/>
          <a:ext cx="6264088" cy="441175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r>
            <a:rPr lang="en-US" sz="1100"/>
            <a:t>Scenario:</a:t>
          </a:r>
        </a:p>
        <a:p>
          <a:pPr rtl="0" eaLnBrk="0" fontAlgn="base" hangingPunct="0"/>
          <a:r>
            <a:rPr lang="en-US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Unit is not committed by PJM.</a:t>
          </a:r>
          <a:endParaRPr lang="en-US" sz="1100" b="0">
            <a:effectLst/>
          </a:endParaRPr>
        </a:p>
        <a:p>
          <a:pPr rtl="0" eaLnBrk="0" fontAlgn="base" hangingPunct="0"/>
          <a:r>
            <a:rPr lang="en-US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RT LMP = DA LMP.</a:t>
          </a:r>
          <a:endParaRPr lang="en-US" b="0">
            <a:effectLst/>
          </a:endParaRPr>
        </a:p>
        <a:p>
          <a:pPr rtl="0" eaLnBrk="0" fontAlgn="base" hangingPunct="0"/>
          <a:r>
            <a:rPr lang="en-US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Unit is expected to make $7,300.</a:t>
          </a:r>
          <a:endParaRPr lang="en-US" b="0">
            <a:effectLst/>
          </a:endParaRPr>
        </a:p>
        <a:p>
          <a:pPr rtl="0" eaLnBrk="0" fontAlgn="base" hangingPunct="0"/>
          <a:r>
            <a:rPr lang="en-US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Because it did not run:</a:t>
          </a:r>
          <a:endParaRPr lang="en-US" b="0">
            <a:effectLst/>
          </a:endParaRPr>
        </a:p>
        <a:p>
          <a:pPr rtl="0" eaLnBrk="0" fontAlgn="base" hangingPunct="0"/>
          <a:r>
            <a:rPr lang="en-US" sz="11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It incurs a buy back of $28,000</a:t>
          </a:r>
          <a:endParaRPr lang="en-US" b="0">
            <a:effectLst/>
          </a:endParaRPr>
        </a:p>
        <a:p>
          <a:pPr rtl="0" eaLnBrk="0" fontAlgn="base" hangingPunct="0"/>
          <a:r>
            <a:rPr lang="en-US" sz="11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Without LOC, the unit net revenue would be zero = $28,000 (DA Rev) - $28,000 (Bal Rev)</a:t>
          </a:r>
          <a:endParaRPr lang="en-US" b="0">
            <a:effectLst/>
          </a:endParaRPr>
        </a:p>
        <a:p>
          <a:pPr rtl="0" eaLnBrk="0" fontAlgn="base" hangingPunct="0"/>
          <a:r>
            <a:rPr lang="en-US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The LOC makes the unit whole to its DA net revenue ($7,300).</a:t>
          </a:r>
          <a:endParaRPr lang="en-US" b="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1</xdr:row>
      <xdr:rowOff>7844</xdr:rowOff>
    </xdr:from>
    <xdr:to>
      <xdr:col>21</xdr:col>
      <xdr:colOff>187138</xdr:colOff>
      <xdr:row>23</xdr:row>
      <xdr:rowOff>38100</xdr:rowOff>
    </xdr:to>
    <xdr:sp macro="" textlink="" fLocksText="0">
      <xdr:nvSpPr>
        <xdr:cNvPr id="2" name="Rectangle 1"/>
        <xdr:cNvSpPr/>
      </xdr:nvSpPr>
      <xdr:spPr>
        <a:xfrm>
          <a:off x="10429875" y="217394"/>
          <a:ext cx="6264088" cy="441175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r>
            <a:rPr lang="en-US" sz="1100"/>
            <a:t>Scenario:</a:t>
          </a:r>
        </a:p>
        <a:p>
          <a:pPr rtl="0" eaLnBrk="0" fontAlgn="base" hangingPunct="0"/>
          <a:r>
            <a:rPr lang="en-US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Unit is not committed by PJM.</a:t>
          </a:r>
          <a:endParaRPr lang="en-US" sz="1100" b="0">
            <a:effectLst/>
          </a:endParaRPr>
        </a:p>
        <a:p>
          <a:pPr rtl="0" eaLnBrk="0" fontAlgn="base" hangingPunct="0"/>
          <a:r>
            <a:rPr lang="en-US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RT LMP &gt; DA LMP.</a:t>
          </a:r>
          <a:endParaRPr lang="en-US" b="0">
            <a:effectLst/>
          </a:endParaRPr>
        </a:p>
        <a:p>
          <a:pPr rtl="0" eaLnBrk="0" fontAlgn="base" hangingPunct="0"/>
          <a:r>
            <a:rPr lang="en-US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Unit is expected to make $7,300.</a:t>
          </a:r>
          <a:endParaRPr lang="en-US" b="0">
            <a:effectLst/>
          </a:endParaRPr>
        </a:p>
        <a:p>
          <a:pPr rtl="0" eaLnBrk="0" fontAlgn="base" hangingPunct="0"/>
          <a:r>
            <a:rPr lang="en-US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Because it did not run:</a:t>
          </a:r>
          <a:endParaRPr lang="en-US" b="0">
            <a:effectLst/>
          </a:endParaRPr>
        </a:p>
        <a:p>
          <a:pPr rtl="0" eaLnBrk="0" fontAlgn="base" hangingPunct="0"/>
          <a:r>
            <a:rPr lang="en-US" sz="11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It incurs a buy back of $33,000</a:t>
          </a:r>
          <a:endParaRPr lang="en-US" b="0">
            <a:effectLst/>
          </a:endParaRPr>
        </a:p>
        <a:p>
          <a:pPr rtl="0" eaLnBrk="0" fontAlgn="base" hangingPunct="0"/>
          <a:r>
            <a:rPr lang="en-US" sz="11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Without LOC, the unit net revenue would be negative = $28,000 (DA Rev) - $33,000 (Bal Rev)</a:t>
          </a:r>
          <a:endParaRPr lang="en-US" b="0">
            <a:effectLst/>
          </a:endParaRPr>
        </a:p>
        <a:p>
          <a:pPr rtl="0" eaLnBrk="0" fontAlgn="base" hangingPunct="0"/>
          <a:r>
            <a:rPr lang="en-US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The LOC makes the unit whole to its DA net revenue ($7,300) + buy back loss ($5,000) for a total LOC of $12,300.</a:t>
          </a:r>
          <a:endParaRPr lang="en-US" b="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1</xdr:row>
      <xdr:rowOff>7844</xdr:rowOff>
    </xdr:from>
    <xdr:to>
      <xdr:col>21</xdr:col>
      <xdr:colOff>187138</xdr:colOff>
      <xdr:row>23</xdr:row>
      <xdr:rowOff>38100</xdr:rowOff>
    </xdr:to>
    <xdr:sp macro="" textlink="" fLocksText="0">
      <xdr:nvSpPr>
        <xdr:cNvPr id="2" name="Rectangle 1"/>
        <xdr:cNvSpPr/>
      </xdr:nvSpPr>
      <xdr:spPr>
        <a:xfrm>
          <a:off x="10429875" y="217394"/>
          <a:ext cx="6264088" cy="441175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r>
            <a:rPr lang="en-US" sz="1100"/>
            <a:t>Scenario:</a:t>
          </a:r>
        </a:p>
        <a:p>
          <a:pPr rtl="0" eaLnBrk="0" fontAlgn="base" hangingPunct="0"/>
          <a:r>
            <a:rPr lang="en-US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Unit is not committed by PJM.</a:t>
          </a:r>
          <a:endParaRPr lang="en-US" sz="1100" b="0">
            <a:effectLst/>
          </a:endParaRPr>
        </a:p>
        <a:p>
          <a:pPr rtl="0" eaLnBrk="0" fontAlgn="base" hangingPunct="0"/>
          <a:r>
            <a:rPr lang="en-US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RT LMP &lt; DA LMP.</a:t>
          </a:r>
          <a:endParaRPr lang="en-US" b="0">
            <a:effectLst/>
          </a:endParaRPr>
        </a:p>
        <a:p>
          <a:pPr rtl="0" eaLnBrk="0" fontAlgn="base" hangingPunct="0"/>
          <a:r>
            <a:rPr lang="en-US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Unit is expected to make $7,300.</a:t>
          </a:r>
          <a:endParaRPr lang="en-US" b="0">
            <a:effectLst/>
          </a:endParaRPr>
        </a:p>
        <a:p>
          <a:pPr rtl="0" eaLnBrk="0" fontAlgn="base" hangingPunct="0"/>
          <a:r>
            <a:rPr lang="en-US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Because it did not run:</a:t>
          </a:r>
          <a:endParaRPr lang="en-US" b="0">
            <a:effectLst/>
          </a:endParaRPr>
        </a:p>
        <a:p>
          <a:pPr rtl="0" eaLnBrk="0" fontAlgn="base" hangingPunct="0"/>
          <a:r>
            <a:rPr lang="en-US" sz="11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It incurs a buy back of $15,000</a:t>
          </a:r>
          <a:endParaRPr lang="en-US" b="0">
            <a:effectLst/>
          </a:endParaRPr>
        </a:p>
        <a:p>
          <a:pPr rtl="0" eaLnBrk="0" fontAlgn="base" hangingPunct="0"/>
          <a:r>
            <a:rPr lang="en-US" sz="11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Without LOC, the unit net revenue is positive = $28,000 (DA Rev) - $15,000 (Bal Rev)</a:t>
          </a:r>
          <a:endParaRPr lang="en-US" b="0">
            <a:effectLst/>
          </a:endParaRPr>
        </a:p>
        <a:p>
          <a:pPr rtl="0" eaLnBrk="0" fontAlgn="base" hangingPunct="0"/>
          <a:r>
            <a:rPr lang="en-US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There is no need for LOC because the buy back results in a profit of $13,000. Higher than the expected DA net revenue of $7,300.</a:t>
          </a:r>
          <a:endParaRPr lang="en-US" b="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1</xdr:row>
      <xdr:rowOff>9525</xdr:rowOff>
    </xdr:from>
    <xdr:to>
      <xdr:col>21</xdr:col>
      <xdr:colOff>187138</xdr:colOff>
      <xdr:row>23</xdr:row>
      <xdr:rowOff>39781</xdr:rowOff>
    </xdr:to>
    <xdr:sp macro="" textlink="" fLocksText="0">
      <xdr:nvSpPr>
        <xdr:cNvPr id="2" name="Rectangle 1"/>
        <xdr:cNvSpPr/>
      </xdr:nvSpPr>
      <xdr:spPr>
        <a:xfrm>
          <a:off x="10572750" y="219075"/>
          <a:ext cx="6264088" cy="441175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r>
            <a:rPr lang="en-US" sz="1100">
              <a:solidFill>
                <a:schemeClr val="bg1"/>
              </a:solidFill>
              <a:latin typeface="+mn-lt"/>
              <a:ea typeface="+mn-ea"/>
              <a:cs typeface="+mn-cs"/>
            </a:rPr>
            <a:t>Status</a:t>
          </a:r>
          <a:r>
            <a:rPr lang="en-US" sz="1100" baseline="0">
              <a:solidFill>
                <a:schemeClr val="bg1"/>
              </a:solidFill>
              <a:latin typeface="+mn-lt"/>
              <a:ea typeface="+mn-ea"/>
              <a:cs typeface="+mn-cs"/>
            </a:rPr>
            <a:t> quo when unit remains offline: All DA profit is used and balancing revenues (buy back) are excluded. Net revenue of $5,000 is used to offset BOR if unit runs for PJM in other hours when actual net revenue was only $450.</a:t>
          </a:r>
          <a:endParaRPr lang="en-US">
            <a:solidFill>
              <a:srgbClr val="000000"/>
            </a:solidFill>
          </a:endParaRPr>
        </a:p>
        <a:p>
          <a:endParaRPr lang="en-US" sz="1100" baseline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bg1"/>
              </a:solidFill>
              <a:latin typeface="+mn-lt"/>
              <a:ea typeface="+mn-ea"/>
              <a:cs typeface="+mn-cs"/>
            </a:rPr>
            <a:t>Proposal  </a:t>
          </a:r>
          <a:r>
            <a:rPr lang="en-US" sz="1100" b="0" i="0" baseline="0">
              <a:solidFill>
                <a:schemeClr val="bg1"/>
              </a:solidFill>
              <a:latin typeface="+mn-lt"/>
              <a:ea typeface="+mn-ea"/>
              <a:cs typeface="+mn-cs"/>
            </a:rPr>
            <a:t>when unit remains offline: Include balancing revenues (buy back) and LOC credit. Net revenue of $450 is used to offset BOR if unit runs for PJM in other hours.</a:t>
          </a:r>
          <a:endParaRPr lang="en-US">
            <a:solidFill>
              <a:srgbClr val="000000"/>
            </a:solidFill>
          </a:endParaRPr>
        </a:p>
        <a:p>
          <a:endParaRPr lang="en-US" sz="1100" baseline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bg1"/>
              </a:solidFill>
              <a:latin typeface="+mn-lt"/>
              <a:ea typeface="+mn-ea"/>
              <a:cs typeface="+mn-cs"/>
            </a:rPr>
            <a:t>Self Scheduled - Step 2 (Actual): Unit stays online, it generates above DA MWh resulting additional profit.</a:t>
          </a:r>
        </a:p>
        <a:p>
          <a:endParaRPr lang="en-US" sz="1100" baseline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bg1"/>
              </a:solidFill>
              <a:latin typeface="+mn-lt"/>
              <a:ea typeface="+mn-ea"/>
              <a:cs typeface="+mn-cs"/>
            </a:rPr>
            <a:t>Step 1 Solutions:</a:t>
          </a:r>
        </a:p>
        <a:p>
          <a:endParaRPr lang="en-US" sz="1100" baseline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en-US" sz="1100" b="0" i="0" u="none" baseline="0">
              <a:solidFill>
                <a:schemeClr val="bg1"/>
              </a:solidFill>
              <a:latin typeface="+mn-lt"/>
              <a:ea typeface="+mn-ea"/>
              <a:cs typeface="+mn-cs"/>
            </a:rPr>
            <a:t>Option A when unit self-schedules : Floor net revenues during self scheduled hour at zero.</a:t>
          </a:r>
        </a:p>
        <a:p>
          <a:r>
            <a:rPr lang="en-US">
              <a:solidFill>
                <a:schemeClr val="bg1"/>
              </a:solidFill>
            </a:rPr>
            <a:t>In this case, step 1 and step 2 result in the same outcome because the unit profited (the floor is not applied). Net revenue of $2,700 is used to offset BOR if unit runs for PJM in other hours.</a:t>
          </a:r>
        </a:p>
        <a:p>
          <a:endParaRPr lang="en-US">
            <a:solidFill>
              <a:srgbClr val="000000"/>
            </a:solidFill>
          </a:endParaRPr>
        </a:p>
        <a:p>
          <a:r>
            <a:rPr lang="en-US">
              <a:solidFill>
                <a:schemeClr val="bg1"/>
              </a:solidFill>
            </a:rPr>
            <a:t>Option B when unit self schedules: Balancing revenues and LOC assume the unit is offline.</a:t>
          </a:r>
        </a:p>
        <a:p>
          <a:r>
            <a:rPr lang="en-US">
              <a:solidFill>
                <a:schemeClr val="bg1"/>
              </a:solidFill>
            </a:rPr>
            <a:t>In this case, step 1 is less than step 2.</a:t>
          </a:r>
          <a:r>
            <a:rPr lang="en-US" baseline="0">
              <a:solidFill>
                <a:schemeClr val="bg1"/>
              </a:solidFill>
            </a:rPr>
            <a:t> </a:t>
          </a:r>
          <a:r>
            <a:rPr lang="en-US">
              <a:solidFill>
                <a:schemeClr val="bg1"/>
              </a:solidFill>
            </a:rPr>
            <a:t>Net revenue of $1,450 is used to offset BOR if unit runs for PJM in other hours in step 1.</a:t>
          </a:r>
        </a:p>
        <a:p>
          <a:endParaRPr lang="en-US">
            <a:solidFill>
              <a:srgbClr val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1</xdr:row>
      <xdr:rowOff>19050</xdr:rowOff>
    </xdr:from>
    <xdr:to>
      <xdr:col>21</xdr:col>
      <xdr:colOff>187138</xdr:colOff>
      <xdr:row>23</xdr:row>
      <xdr:rowOff>49306</xdr:rowOff>
    </xdr:to>
    <xdr:sp macro="" textlink="" fLocksText="0">
      <xdr:nvSpPr>
        <xdr:cNvPr id="2" name="Rectangle 1"/>
        <xdr:cNvSpPr/>
      </xdr:nvSpPr>
      <xdr:spPr>
        <a:xfrm>
          <a:off x="10572750" y="228600"/>
          <a:ext cx="6264088" cy="441175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r>
            <a:rPr lang="en-US" sz="1100"/>
            <a:t>Status quo when unit remains offline: All DA profit is used and balancing revenues (buy back) are excluded.</a:t>
          </a:r>
        </a:p>
        <a:p>
          <a:pPr algn="l"/>
          <a:r>
            <a:rPr lang="en-US" sz="1100"/>
            <a:t>Net revenue of $5,000 is used in BOR to offset unit runs for PJM in other hours.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Proposal when unit remains offline: Include balancing revenues (buy back) and LOC credit.</a:t>
          </a:r>
        </a:p>
        <a:p>
          <a:pPr algn="l"/>
          <a:r>
            <a:rPr lang="en-US" sz="1100" baseline="0"/>
            <a:t>Net revenue of $450 is used to offset BOR if unit runs for PJM in other hours.</a:t>
          </a:r>
        </a:p>
        <a:p>
          <a:pPr algn="l"/>
          <a:endParaRPr lang="en-US" sz="1100" baseline="0"/>
        </a:p>
        <a:p>
          <a:r>
            <a:rPr lang="en-US" sz="1100" baseline="0">
              <a:solidFill>
                <a:schemeClr val="bg1"/>
              </a:solidFill>
              <a:latin typeface="+mn-lt"/>
              <a:ea typeface="+mn-ea"/>
              <a:cs typeface="+mn-cs"/>
            </a:rPr>
            <a:t>Self Scheduled - Step 2 (Actual): Unit stays online, it generates below DA MWh resulting additional loss.</a:t>
          </a:r>
        </a:p>
        <a:p>
          <a:endParaRPr lang="en-US" sz="1100" baseline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bg1"/>
              </a:solidFill>
              <a:latin typeface="+mn-lt"/>
              <a:ea typeface="+mn-ea"/>
              <a:cs typeface="+mn-cs"/>
            </a:rPr>
            <a:t>Step 1 Solutions:</a:t>
          </a:r>
          <a:endParaRPr lang="en-US">
            <a:solidFill>
              <a:srgbClr val="000000"/>
            </a:solidFill>
          </a:endParaRPr>
        </a:p>
        <a:p>
          <a:pPr rtl="0" eaLnBrk="1" fontAlgn="auto" latinLnBrk="0" hangingPunct="1"/>
          <a:endParaRPr lang="en-US" sz="1100" b="0" i="0" baseline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en-US" sz="1100" b="0" i="0" baseline="0">
              <a:solidFill>
                <a:schemeClr val="bg1"/>
              </a:solidFill>
              <a:latin typeface="+mn-lt"/>
              <a:ea typeface="+mn-ea"/>
              <a:cs typeface="+mn-cs"/>
            </a:rPr>
            <a:t>Option A when unit self schedules: Floor net revenues during self scheduled hour at zero.</a:t>
          </a:r>
        </a:p>
        <a:p>
          <a:pPr rtl="0" eaLnBrk="1" fontAlgn="auto" latinLnBrk="0" hangingPunct="1"/>
          <a:r>
            <a:rPr lang="en-US" sz="1100" b="0" i="0" baseline="0">
              <a:solidFill>
                <a:schemeClr val="bg1"/>
              </a:solidFill>
              <a:latin typeface="+mn-lt"/>
              <a:ea typeface="+mn-ea"/>
              <a:cs typeface="+mn-cs"/>
            </a:rPr>
            <a:t>In this case, step 1 is higher than step 2 because the floor is applied. No net revenues are used to offset BOR if unit runs for PJM in other hours in step 1.</a:t>
          </a:r>
        </a:p>
        <a:p>
          <a:endParaRPr lang="en-US" sz="110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latin typeface="+mn-lt"/>
              <a:ea typeface="+mn-ea"/>
              <a:cs typeface="+mn-cs"/>
            </a:rPr>
            <a:t>Option B when unit self schedules: Balancing revenues and LOC assume unit is offline.</a:t>
          </a:r>
        </a:p>
        <a:p>
          <a:r>
            <a:rPr lang="en-US" sz="1100">
              <a:solidFill>
                <a:schemeClr val="bg1"/>
              </a:solidFill>
              <a:latin typeface="+mn-lt"/>
              <a:ea typeface="+mn-ea"/>
              <a:cs typeface="+mn-cs"/>
            </a:rPr>
            <a:t>In this case, step 1 is more than step 2.</a:t>
          </a:r>
          <a:r>
            <a:rPr lang="en-US" sz="1100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bg1"/>
              </a:solidFill>
              <a:latin typeface="+mn-lt"/>
              <a:ea typeface="+mn-ea"/>
              <a:cs typeface="+mn-cs"/>
            </a:rPr>
            <a:t>Net revenue of $1,450 is used to offset BOR if unit runs for PJM in other hours in step 1.</a:t>
          </a:r>
        </a:p>
        <a:p>
          <a:endParaRPr lang="en-US"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abSelected="1" workbookViewId="0">
      <selection activeCell="B33" sqref="B33"/>
    </sheetView>
  </sheetViews>
  <sheetFormatPr defaultRowHeight="15" x14ac:dyDescent="0.25"/>
  <cols>
    <col min="1" max="1" width="20.5703125" bestFit="1" customWidth="1"/>
    <col min="2" max="2" width="15.28515625" customWidth="1"/>
    <col min="3" max="3" width="18.5703125" customWidth="1"/>
    <col min="4" max="4" width="9.140625" customWidth="1"/>
    <col min="5" max="5" width="28.42578125" customWidth="1"/>
    <col min="6" max="10" width="11" customWidth="1"/>
    <col min="11" max="24" width="9.140625" customWidth="1"/>
  </cols>
  <sheetData>
    <row r="1" spans="1:24" ht="16.5" x14ac:dyDescent="0.3">
      <c r="A1" s="1" t="s">
        <v>25</v>
      </c>
      <c r="B1" s="1"/>
      <c r="C1" s="1"/>
      <c r="D1" s="8"/>
      <c r="E1" s="8"/>
      <c r="F1" s="8"/>
      <c r="G1" s="8"/>
      <c r="H1" s="8"/>
      <c r="I1" s="8"/>
      <c r="J1" s="8"/>
    </row>
    <row r="2" spans="1:24" ht="16.5" x14ac:dyDescent="0.3">
      <c r="A2" s="9" t="s">
        <v>2</v>
      </c>
      <c r="B2" s="10" t="s">
        <v>24</v>
      </c>
      <c r="C2" s="10" t="s">
        <v>21</v>
      </c>
      <c r="D2" s="8"/>
      <c r="E2" s="11" t="s">
        <v>0</v>
      </c>
      <c r="F2" s="12">
        <v>14</v>
      </c>
      <c r="G2" s="12">
        <f>+F2+1</f>
        <v>15</v>
      </c>
      <c r="H2" s="12">
        <f>+G2+1</f>
        <v>16</v>
      </c>
      <c r="I2" s="12">
        <f>+H2+1</f>
        <v>17</v>
      </c>
      <c r="J2" s="8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6.5" x14ac:dyDescent="0.3">
      <c r="A3" s="26">
        <v>50</v>
      </c>
      <c r="B3" s="26">
        <v>25</v>
      </c>
      <c r="C3" s="13">
        <f>+A3*B3</f>
        <v>1250</v>
      </c>
      <c r="D3" s="8"/>
      <c r="E3" s="8" t="s">
        <v>17</v>
      </c>
      <c r="F3" s="14">
        <v>50</v>
      </c>
      <c r="G3" s="14">
        <v>50</v>
      </c>
      <c r="H3" s="14">
        <v>60</v>
      </c>
      <c r="I3" s="14">
        <v>60</v>
      </c>
      <c r="J3" s="15"/>
    </row>
    <row r="4" spans="1:24" ht="16.5" x14ac:dyDescent="0.3">
      <c r="A4" s="26">
        <v>100</v>
      </c>
      <c r="B4" s="26">
        <v>30</v>
      </c>
      <c r="C4" s="13">
        <f>+C3+(A4-A3)*B4</f>
        <v>2750</v>
      </c>
      <c r="D4" s="8"/>
      <c r="E4" s="8" t="s">
        <v>18</v>
      </c>
      <c r="F4" s="14">
        <f>IF(F$3&gt;=$B$5,$A$5,IF(F$3&gt;=$B$4,$A$4,IF(F$3&gt;=$B$3,$A$3,0)))</f>
        <v>100</v>
      </c>
      <c r="G4" s="14">
        <f>IF(G$3&gt;=$B$5,$A$5,IF(G$3&gt;=$B$4,$A$4,IF(G$3&gt;=$B$3,$A$3,0)))</f>
        <v>100</v>
      </c>
      <c r="H4" s="14">
        <f>IF(H$3&gt;=$B$5,$A$5,IF(H$3&gt;=$B$4,$A$4,IF(H$3&gt;=$B$3,$A$3,0)))</f>
        <v>150</v>
      </c>
      <c r="I4" s="14">
        <f>IF(I$3&gt;=$B$5,$A$5,IF(I$3&gt;=$B$4,$A$4,IF(I$3&gt;=$B$3,$A$3,0)))</f>
        <v>150</v>
      </c>
      <c r="J4" s="15"/>
    </row>
    <row r="5" spans="1:24" ht="16.5" x14ac:dyDescent="0.3">
      <c r="A5" s="26">
        <v>150</v>
      </c>
      <c r="B5" s="26">
        <v>55</v>
      </c>
      <c r="C5" s="13">
        <f>+C4+(A5-A4)*B5</f>
        <v>5500</v>
      </c>
      <c r="D5" s="8"/>
      <c r="E5" s="8" t="s">
        <v>19</v>
      </c>
      <c r="F5" s="14">
        <v>50</v>
      </c>
      <c r="G5" s="14">
        <v>50</v>
      </c>
      <c r="H5" s="14">
        <v>60</v>
      </c>
      <c r="I5" s="14">
        <v>60</v>
      </c>
      <c r="J5" s="15"/>
    </row>
    <row r="6" spans="1:24" ht="16.5" x14ac:dyDescent="0.3">
      <c r="A6" s="26"/>
      <c r="B6" s="26"/>
      <c r="C6" s="26"/>
      <c r="D6" s="8"/>
      <c r="E6" s="8" t="s">
        <v>20</v>
      </c>
      <c r="F6" s="14">
        <v>0</v>
      </c>
      <c r="G6" s="14">
        <v>0</v>
      </c>
      <c r="H6" s="14">
        <v>0</v>
      </c>
      <c r="I6" s="14">
        <v>0</v>
      </c>
      <c r="J6" s="8"/>
    </row>
    <row r="7" spans="1:24" ht="16.5" x14ac:dyDescent="0.3">
      <c r="A7" s="26" t="s">
        <v>23</v>
      </c>
      <c r="B7" s="13">
        <v>800</v>
      </c>
      <c r="C7" s="26"/>
      <c r="D7" s="8"/>
      <c r="E7" s="8" t="s">
        <v>1</v>
      </c>
      <c r="F7" s="14" t="s">
        <v>3</v>
      </c>
      <c r="G7" s="14" t="s">
        <v>3</v>
      </c>
      <c r="H7" s="14" t="s">
        <v>3</v>
      </c>
      <c r="I7" s="14" t="s">
        <v>3</v>
      </c>
      <c r="J7" s="8"/>
    </row>
    <row r="8" spans="1:24" ht="8.1" customHeight="1" x14ac:dyDescent="0.3">
      <c r="A8" s="26"/>
      <c r="B8" s="26"/>
      <c r="C8" s="26"/>
      <c r="D8" s="8"/>
      <c r="E8" s="8"/>
      <c r="F8" s="8"/>
      <c r="G8" s="8"/>
      <c r="H8" s="8"/>
      <c r="I8" s="8"/>
      <c r="J8" s="8"/>
      <c r="M8" s="2"/>
      <c r="N8" s="2"/>
      <c r="O8" s="2"/>
      <c r="P8" s="2"/>
      <c r="Q8" s="2"/>
      <c r="R8" s="2"/>
      <c r="S8" s="2"/>
      <c r="T8" s="3"/>
      <c r="U8" s="3"/>
      <c r="V8" s="3"/>
      <c r="W8" s="3"/>
      <c r="X8" s="3"/>
    </row>
    <row r="9" spans="1:24" ht="16.5" x14ac:dyDescent="0.3">
      <c r="A9" s="26" t="s">
        <v>22</v>
      </c>
      <c r="B9" s="13">
        <v>1000</v>
      </c>
      <c r="C9" s="26"/>
      <c r="D9" s="8"/>
      <c r="E9" s="11" t="s">
        <v>26</v>
      </c>
      <c r="F9" s="8"/>
      <c r="G9" s="8"/>
      <c r="H9" s="8"/>
      <c r="I9" s="8"/>
      <c r="J9" s="12" t="s">
        <v>28</v>
      </c>
      <c r="M9" s="2"/>
      <c r="N9" s="2"/>
      <c r="O9" s="2"/>
      <c r="P9" s="2"/>
      <c r="Q9" s="2"/>
      <c r="R9" s="2"/>
      <c r="S9" s="2"/>
      <c r="T9" s="3"/>
      <c r="U9" s="3"/>
      <c r="V9" s="3"/>
      <c r="W9" s="3"/>
      <c r="X9" s="3"/>
    </row>
    <row r="10" spans="1:24" ht="16.5" x14ac:dyDescent="0.3">
      <c r="A10" s="8"/>
      <c r="B10" s="8"/>
      <c r="C10" s="8"/>
      <c r="D10" s="8"/>
      <c r="E10" s="8" t="s">
        <v>4</v>
      </c>
      <c r="F10" s="16">
        <f>F3*F4</f>
        <v>5000</v>
      </c>
      <c r="G10" s="16">
        <f t="shared" ref="G10" si="0">G3*G4</f>
        <v>5000</v>
      </c>
      <c r="H10" s="16">
        <f>H3*H4</f>
        <v>9000</v>
      </c>
      <c r="I10" s="16">
        <f>I3*I4</f>
        <v>9000</v>
      </c>
      <c r="J10" s="16">
        <f>SUM(F10:I10)</f>
        <v>28000</v>
      </c>
    </row>
    <row r="11" spans="1:24" ht="16.5" x14ac:dyDescent="0.3">
      <c r="A11" s="8"/>
      <c r="B11" s="8"/>
      <c r="C11" s="8"/>
      <c r="D11" s="8"/>
      <c r="E11" s="8" t="s">
        <v>6</v>
      </c>
      <c r="F11" s="16">
        <f>VLOOKUP(F4,$A$3:$C$5,3,0)</f>
        <v>2750</v>
      </c>
      <c r="G11" s="16">
        <f>VLOOKUP(G4,$A$3:$C$5,3,0)</f>
        <v>2750</v>
      </c>
      <c r="H11" s="16">
        <f>VLOOKUP(H4,$A$3:$C$5,3,0)</f>
        <v>5500</v>
      </c>
      <c r="I11" s="16">
        <f>VLOOKUP(I4,$A$3:$C$5,3,0)</f>
        <v>5500</v>
      </c>
      <c r="J11" s="16">
        <f>SUM(F11:I11)</f>
        <v>16500</v>
      </c>
    </row>
    <row r="12" spans="1:24" ht="16.5" x14ac:dyDescent="0.3">
      <c r="A12" s="8"/>
      <c r="B12" s="8"/>
      <c r="C12" s="8"/>
      <c r="D12" s="8"/>
      <c r="E12" s="8" t="s">
        <v>7</v>
      </c>
      <c r="F12" s="16">
        <f>+$B$7</f>
        <v>800</v>
      </c>
      <c r="G12" s="16">
        <f>+$B$7</f>
        <v>800</v>
      </c>
      <c r="H12" s="16">
        <f>+$B$7</f>
        <v>800</v>
      </c>
      <c r="I12" s="16">
        <f>+$B$7</f>
        <v>800</v>
      </c>
      <c r="J12" s="16">
        <f>SUM(F12:I12)</f>
        <v>3200</v>
      </c>
    </row>
    <row r="13" spans="1:24" ht="16.5" x14ac:dyDescent="0.3">
      <c r="A13" s="8"/>
      <c r="B13" s="8"/>
      <c r="C13" s="8"/>
      <c r="D13" s="8"/>
      <c r="E13" s="8" t="s">
        <v>5</v>
      </c>
      <c r="F13" s="16">
        <f>IF(F$4&gt;0,$B$9/COUNTIF($F$4:$I$4,"&gt;0"),0)</f>
        <v>250</v>
      </c>
      <c r="G13" s="16">
        <f>IF(G$4&gt;0,$B$9/COUNTIF($F$4:$I$4,"&gt;0"),0)</f>
        <v>250</v>
      </c>
      <c r="H13" s="16">
        <f>IF(H$4&gt;0,$B$9/COUNTIF($F$4:$I$4,"&gt;0"),0)</f>
        <v>250</v>
      </c>
      <c r="I13" s="16">
        <f>IF(I$4&gt;0,$B$9/COUNTIF($F$4:$I$4,"&gt;0"),0)</f>
        <v>250</v>
      </c>
      <c r="J13" s="16">
        <f>SUM(F13:I13)</f>
        <v>1000</v>
      </c>
    </row>
    <row r="14" spans="1:24" ht="16.5" x14ac:dyDescent="0.3">
      <c r="A14" s="8"/>
      <c r="B14" s="8"/>
      <c r="C14" s="8"/>
      <c r="D14" s="8"/>
      <c r="E14" s="8" t="s">
        <v>8</v>
      </c>
      <c r="F14" s="16">
        <f>F10-SUM(F11:F13)</f>
        <v>1200</v>
      </c>
      <c r="G14" s="16">
        <f t="shared" ref="G14" si="1">G10-SUM(G11:G13)</f>
        <v>1200</v>
      </c>
      <c r="H14" s="16">
        <f>H10-SUM(H11:H13)</f>
        <v>2450</v>
      </c>
      <c r="I14" s="16">
        <f>I10-SUM(I11:I13)</f>
        <v>2450</v>
      </c>
      <c r="J14" s="16">
        <f>SUM(F14:I14)</f>
        <v>7300</v>
      </c>
    </row>
    <row r="15" spans="1:24" ht="8.1" customHeight="1" x14ac:dyDescent="0.3">
      <c r="A15" s="8"/>
      <c r="B15" s="8"/>
      <c r="C15" s="8"/>
      <c r="D15" s="8"/>
      <c r="E15" s="8"/>
      <c r="F15" s="17"/>
      <c r="G15" s="17"/>
      <c r="H15" s="17"/>
      <c r="I15" s="17"/>
      <c r="J15" s="17"/>
    </row>
    <row r="16" spans="1:24" ht="16.5" x14ac:dyDescent="0.3">
      <c r="A16" s="8"/>
      <c r="B16" s="8"/>
      <c r="C16" s="8"/>
      <c r="D16" s="8"/>
      <c r="E16" s="11" t="s">
        <v>27</v>
      </c>
      <c r="F16" s="17"/>
      <c r="G16" s="17"/>
      <c r="H16" s="17"/>
      <c r="I16" s="17"/>
      <c r="J16" s="12" t="s">
        <v>28</v>
      </c>
    </row>
    <row r="17" spans="1:12" ht="16.5" x14ac:dyDescent="0.3">
      <c r="A17" s="8"/>
      <c r="B17" s="8"/>
      <c r="C17" s="8"/>
      <c r="D17" s="8"/>
      <c r="E17" s="8" t="s">
        <v>9</v>
      </c>
      <c r="F17" s="18">
        <f>(F6-F4)*F5</f>
        <v>-5000</v>
      </c>
      <c r="G17" s="18">
        <f t="shared" ref="G17" si="2">(G6-G4)*G5</f>
        <v>-5000</v>
      </c>
      <c r="H17" s="18">
        <f>(H6-H4)*H5</f>
        <v>-9000</v>
      </c>
      <c r="I17" s="18">
        <f>(I6-I4)*I5</f>
        <v>-9000</v>
      </c>
      <c r="J17" s="18">
        <f>SUM(F17:I17)</f>
        <v>-28000</v>
      </c>
    </row>
    <row r="18" spans="1:12" ht="16.5" x14ac:dyDescent="0.3">
      <c r="A18" s="8"/>
      <c r="B18" s="8"/>
      <c r="C18" s="8"/>
      <c r="D18" s="8"/>
      <c r="E18" s="19" t="s">
        <v>14</v>
      </c>
      <c r="F18" s="20">
        <f>F4*(F5-F3)</f>
        <v>0</v>
      </c>
      <c r="G18" s="20">
        <f t="shared" ref="G18" si="3">G4*(G5-G3)</f>
        <v>0</v>
      </c>
      <c r="H18" s="20">
        <f>H4*(H5-H3)</f>
        <v>0</v>
      </c>
      <c r="I18" s="20">
        <f>I4*(I5-I3)</f>
        <v>0</v>
      </c>
      <c r="J18" s="18"/>
    </row>
    <row r="19" spans="1:12" ht="16.5" x14ac:dyDescent="0.3">
      <c r="A19" s="8"/>
      <c r="B19" s="8"/>
      <c r="C19" s="8"/>
      <c r="D19" s="8"/>
      <c r="E19" s="19" t="s">
        <v>15</v>
      </c>
      <c r="F19" s="20">
        <f>F4*F5-SUM(F11:F12)-IF(SUM($F$6:$I$6)=0,F13,0)</f>
        <v>1200</v>
      </c>
      <c r="G19" s="20">
        <f>G4*G5-SUM(G11:G12)-IF(SUM($F$6:$I$6)=0,G13,0)</f>
        <v>1200</v>
      </c>
      <c r="H19" s="20">
        <f>H4*H5-SUM(H11:H12)-IF(SUM($F$6:$I$6)=0,H13,0)</f>
        <v>2450</v>
      </c>
      <c r="I19" s="20">
        <f>I4*I5-SUM(I11:I12)-IF(SUM($F$6:$I$6)=0,I13,0)</f>
        <v>2450</v>
      </c>
      <c r="J19" s="18"/>
    </row>
    <row r="20" spans="1:12" ht="16.5" x14ac:dyDescent="0.3">
      <c r="A20" s="8"/>
      <c r="B20" s="8"/>
      <c r="C20" s="8"/>
      <c r="D20" s="8"/>
      <c r="E20" s="8" t="s">
        <v>10</v>
      </c>
      <c r="F20" s="18">
        <f>IF(F6=0,MAX(F18,F19,0),0)</f>
        <v>1200</v>
      </c>
      <c r="G20" s="18">
        <f t="shared" ref="G20" si="4">IF(G6=0,MAX(G18,G19,0),0)</f>
        <v>1200</v>
      </c>
      <c r="H20" s="18">
        <f>IF(H6=0,MAX(H18,H19,0),0)</f>
        <v>2450</v>
      </c>
      <c r="I20" s="18">
        <f>IF(I6=0,MAX(I18,I19,0),0)</f>
        <v>2450</v>
      </c>
      <c r="J20" s="18">
        <f>SUM(F20:I20)</f>
        <v>7300</v>
      </c>
    </row>
    <row r="21" spans="1:12" ht="16.5" x14ac:dyDescent="0.3">
      <c r="A21" s="8"/>
      <c r="B21" s="8"/>
      <c r="C21" s="8"/>
      <c r="D21" s="8"/>
      <c r="E21" s="8" t="s">
        <v>11</v>
      </c>
      <c r="F21" s="18">
        <f>IF(F6=0,0,VLOOKUP(F6,$A$3:$C$5,3,0))</f>
        <v>0</v>
      </c>
      <c r="G21" s="18">
        <f>IF(G6=0,0,VLOOKUP(G6,$A$3:$C$5,3,0))</f>
        <v>0</v>
      </c>
      <c r="H21" s="18">
        <f>IF(H6=0,0,VLOOKUP(H6,$A$3:$C$5,3,0))</f>
        <v>0</v>
      </c>
      <c r="I21" s="18">
        <f>IF(I6=0,0,VLOOKUP(I6,$A$3:$C$5,3,0))</f>
        <v>0</v>
      </c>
      <c r="J21" s="18">
        <f>SUM(F21:I21)</f>
        <v>0</v>
      </c>
    </row>
    <row r="22" spans="1:12" ht="16.5" x14ac:dyDescent="0.3">
      <c r="A22" s="8"/>
      <c r="B22" s="8"/>
      <c r="C22" s="8"/>
      <c r="D22" s="8"/>
      <c r="E22" s="8" t="s">
        <v>12</v>
      </c>
      <c r="F22" s="18">
        <f>IF(F6=0,0,$B$7)</f>
        <v>0</v>
      </c>
      <c r="G22" s="18">
        <f>IF(G6=0,0,$B$7)</f>
        <v>0</v>
      </c>
      <c r="H22" s="18">
        <f>IF(H6=0,0,$B$7)</f>
        <v>0</v>
      </c>
      <c r="I22" s="18">
        <f>IF(I6=0,0,$B$7)</f>
        <v>0</v>
      </c>
      <c r="J22" s="18">
        <f>SUM(F22:I22)</f>
        <v>0</v>
      </c>
    </row>
    <row r="23" spans="1:12" ht="16.5" x14ac:dyDescent="0.3">
      <c r="A23" s="8"/>
      <c r="B23" s="8"/>
      <c r="C23" s="8"/>
      <c r="D23" s="8"/>
      <c r="E23" s="8" t="s">
        <v>13</v>
      </c>
      <c r="F23" s="18">
        <f>IF(F$6&gt;0,$B$9/COUNTIF($F$6:$I$6,"&gt;0"),0)</f>
        <v>0</v>
      </c>
      <c r="G23" s="18">
        <f>IF(G$6&gt;0,$B$9/COUNTIF($F$6:$I$6,"&gt;0"),0)</f>
        <v>0</v>
      </c>
      <c r="H23" s="18">
        <f>IF(H$6&gt;0,$B$9/COUNTIF($F$6:$I$6,"&gt;0"),0)</f>
        <v>0</v>
      </c>
      <c r="I23" s="18">
        <f>IF(I$6&gt;0,$B$9/COUNTIF($F$6:$I$6,"&gt;0"),0)</f>
        <v>0</v>
      </c>
      <c r="J23" s="18">
        <f>SUM(F23:I23)</f>
        <v>0</v>
      </c>
    </row>
    <row r="24" spans="1:12" ht="8.1" customHeight="1" x14ac:dyDescent="0.3">
      <c r="A24" s="8"/>
      <c r="B24" s="8"/>
      <c r="C24" s="8"/>
      <c r="D24" s="8"/>
      <c r="E24" s="8"/>
      <c r="F24" s="17"/>
      <c r="G24" s="17"/>
      <c r="H24" s="17"/>
      <c r="I24" s="17"/>
      <c r="J24" s="17"/>
      <c r="K24" s="7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12" t="s">
        <v>28</v>
      </c>
    </row>
    <row r="26" spans="1:12" ht="16.5" x14ac:dyDescent="0.3">
      <c r="A26" s="8"/>
      <c r="B26" s="8"/>
      <c r="C26" s="8"/>
      <c r="D26" s="8"/>
      <c r="E26" s="21" t="s">
        <v>29</v>
      </c>
      <c r="F26" s="22">
        <f>SUM(F10,F17,F20)-SUM(F21:F23)</f>
        <v>1200</v>
      </c>
      <c r="G26" s="22">
        <f>SUM(G10,G17,G20)-SUM(G21:G23)</f>
        <v>1200</v>
      </c>
      <c r="H26" s="22">
        <f>SUM(H10,H17,H20)-SUM(H21:H23)</f>
        <v>2450</v>
      </c>
      <c r="I26" s="22">
        <f>SUM(I10,I17,I20)-SUM(I21:I23)</f>
        <v>2450</v>
      </c>
      <c r="J26" s="22">
        <f>SUM(F26:I26)</f>
        <v>7300</v>
      </c>
      <c r="K26" s="6"/>
      <c r="L26" s="4"/>
    </row>
    <row r="27" spans="1:12" ht="8.1" customHeight="1" x14ac:dyDescent="0.3">
      <c r="A27" s="8"/>
      <c r="B27" s="8"/>
      <c r="C27" s="8"/>
      <c r="D27" s="8"/>
      <c r="E27" s="21"/>
      <c r="F27" s="22"/>
      <c r="G27" s="22"/>
      <c r="H27" s="22"/>
      <c r="I27" s="22"/>
      <c r="J27" s="22"/>
      <c r="K27" s="6"/>
    </row>
    <row r="28" spans="1:12" ht="16.5" x14ac:dyDescent="0.3">
      <c r="A28" s="8"/>
      <c r="B28" s="8"/>
      <c r="C28" s="8"/>
      <c r="D28" s="8"/>
      <c r="E28" s="21"/>
      <c r="F28" s="22"/>
      <c r="G28" s="22"/>
      <c r="H28" s="22"/>
      <c r="I28" s="23" t="s">
        <v>30</v>
      </c>
      <c r="J28" s="22">
        <f>MAX(-J26,0)</f>
        <v>0</v>
      </c>
      <c r="K28" s="6"/>
    </row>
    <row r="29" spans="1:12" x14ac:dyDescent="0.25">
      <c r="E29" s="5"/>
      <c r="F29" s="6"/>
      <c r="G29" s="6"/>
      <c r="H29" s="6"/>
      <c r="I29" s="6"/>
      <c r="J29" s="6"/>
      <c r="K29" s="6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selection activeCell="A39" sqref="A39"/>
    </sheetView>
  </sheetViews>
  <sheetFormatPr defaultRowHeight="15" x14ac:dyDescent="0.25"/>
  <cols>
    <col min="1" max="1" width="20.5703125" bestFit="1" customWidth="1"/>
    <col min="2" max="2" width="15.28515625" customWidth="1"/>
    <col min="3" max="3" width="18.5703125" customWidth="1"/>
    <col min="4" max="4" width="9.140625" customWidth="1"/>
    <col min="5" max="5" width="28.42578125" customWidth="1"/>
    <col min="6" max="10" width="11" customWidth="1"/>
    <col min="11" max="24" width="9.140625" customWidth="1"/>
  </cols>
  <sheetData>
    <row r="1" spans="1:24" ht="16.5" x14ac:dyDescent="0.3">
      <c r="A1" s="1" t="s">
        <v>25</v>
      </c>
      <c r="B1" s="1"/>
      <c r="C1" s="1"/>
      <c r="D1" s="8"/>
      <c r="E1" s="8"/>
      <c r="F1" s="8"/>
      <c r="G1" s="8"/>
      <c r="H1" s="8"/>
      <c r="I1" s="8"/>
      <c r="J1" s="8"/>
    </row>
    <row r="2" spans="1:24" ht="16.5" x14ac:dyDescent="0.3">
      <c r="A2" s="9" t="s">
        <v>2</v>
      </c>
      <c r="B2" s="10" t="s">
        <v>24</v>
      </c>
      <c r="C2" s="10" t="s">
        <v>21</v>
      </c>
      <c r="D2" s="8"/>
      <c r="E2" s="11" t="s">
        <v>0</v>
      </c>
      <c r="F2" s="12">
        <v>14</v>
      </c>
      <c r="G2" s="12">
        <f>+F2+1</f>
        <v>15</v>
      </c>
      <c r="H2" s="12">
        <f>+G2+1</f>
        <v>16</v>
      </c>
      <c r="I2" s="12">
        <f>+H2+1</f>
        <v>17</v>
      </c>
      <c r="J2" s="8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6.5" x14ac:dyDescent="0.3">
      <c r="A3" s="26">
        <v>50</v>
      </c>
      <c r="B3" s="26">
        <v>25</v>
      </c>
      <c r="C3" s="13">
        <f>+A3*B3</f>
        <v>1250</v>
      </c>
      <c r="D3" s="8"/>
      <c r="E3" s="8" t="s">
        <v>17</v>
      </c>
      <c r="F3" s="14">
        <v>50</v>
      </c>
      <c r="G3" s="14">
        <v>50</v>
      </c>
      <c r="H3" s="14">
        <v>60</v>
      </c>
      <c r="I3" s="14">
        <v>60</v>
      </c>
      <c r="J3" s="15"/>
    </row>
    <row r="4" spans="1:24" ht="16.5" x14ac:dyDescent="0.3">
      <c r="A4" s="26">
        <v>100</v>
      </c>
      <c r="B4" s="26">
        <v>30</v>
      </c>
      <c r="C4" s="13">
        <f>+C3+(A4-A3)*B4</f>
        <v>2750</v>
      </c>
      <c r="D4" s="8"/>
      <c r="E4" s="8" t="s">
        <v>18</v>
      </c>
      <c r="F4" s="14">
        <f>IF(F$3&gt;=$B$5,$A$5,IF(F$3&gt;=$B$4,$A$4,IF(F$3&gt;=$B$3,$A$3,0)))</f>
        <v>100</v>
      </c>
      <c r="G4" s="14">
        <f>IF(G$3&gt;=$B$5,$A$5,IF(G$3&gt;=$B$4,$A$4,IF(G$3&gt;=$B$3,$A$3,0)))</f>
        <v>100</v>
      </c>
      <c r="H4" s="14">
        <f>IF(H$3&gt;=$B$5,$A$5,IF(H$3&gt;=$B$4,$A$4,IF(H$3&gt;=$B$3,$A$3,0)))</f>
        <v>150</v>
      </c>
      <c r="I4" s="14">
        <f>IF(I$3&gt;=$B$5,$A$5,IF(I$3&gt;=$B$4,$A$4,IF(I$3&gt;=$B$3,$A$3,0)))</f>
        <v>150</v>
      </c>
      <c r="J4" s="15"/>
    </row>
    <row r="5" spans="1:24" ht="16.5" x14ac:dyDescent="0.3">
      <c r="A5" s="26">
        <v>150</v>
      </c>
      <c r="B5" s="26">
        <v>55</v>
      </c>
      <c r="C5" s="13">
        <f>+C4+(A5-A4)*B5</f>
        <v>5500</v>
      </c>
      <c r="D5" s="8"/>
      <c r="E5" s="8" t="s">
        <v>19</v>
      </c>
      <c r="F5" s="14">
        <f>+F3+10</f>
        <v>60</v>
      </c>
      <c r="G5" s="14">
        <f>+G3+10</f>
        <v>60</v>
      </c>
      <c r="H5" s="14">
        <f>+H3+10</f>
        <v>70</v>
      </c>
      <c r="I5" s="14">
        <f>+I3+10</f>
        <v>70</v>
      </c>
      <c r="J5" s="15"/>
    </row>
    <row r="6" spans="1:24" ht="16.5" x14ac:dyDescent="0.3">
      <c r="A6" s="26"/>
      <c r="B6" s="26"/>
      <c r="C6" s="26"/>
      <c r="D6" s="8"/>
      <c r="E6" s="8" t="s">
        <v>20</v>
      </c>
      <c r="F6" s="14">
        <v>0</v>
      </c>
      <c r="G6" s="14">
        <v>0</v>
      </c>
      <c r="H6" s="14">
        <v>0</v>
      </c>
      <c r="I6" s="14">
        <v>0</v>
      </c>
      <c r="J6" s="8"/>
    </row>
    <row r="7" spans="1:24" ht="16.5" x14ac:dyDescent="0.3">
      <c r="A7" s="26" t="s">
        <v>23</v>
      </c>
      <c r="B7" s="13">
        <v>800</v>
      </c>
      <c r="C7" s="26"/>
      <c r="D7" s="8"/>
      <c r="E7" s="8" t="s">
        <v>1</v>
      </c>
      <c r="F7" s="14" t="s">
        <v>3</v>
      </c>
      <c r="G7" s="14" t="s">
        <v>3</v>
      </c>
      <c r="H7" s="14" t="s">
        <v>3</v>
      </c>
      <c r="I7" s="14" t="s">
        <v>3</v>
      </c>
      <c r="J7" s="8"/>
    </row>
    <row r="8" spans="1:24" ht="8.1" customHeight="1" x14ac:dyDescent="0.3">
      <c r="A8" s="26"/>
      <c r="B8" s="26"/>
      <c r="C8" s="26"/>
      <c r="D8" s="8"/>
      <c r="E8" s="8"/>
      <c r="F8" s="8"/>
      <c r="G8" s="8"/>
      <c r="H8" s="8"/>
      <c r="I8" s="8"/>
      <c r="J8" s="8"/>
      <c r="M8" s="2"/>
      <c r="N8" s="2"/>
      <c r="O8" s="2"/>
      <c r="P8" s="2"/>
      <c r="Q8" s="2"/>
      <c r="R8" s="2"/>
      <c r="S8" s="2"/>
      <c r="T8" s="3"/>
      <c r="U8" s="3"/>
      <c r="V8" s="3"/>
      <c r="W8" s="3"/>
      <c r="X8" s="3"/>
    </row>
    <row r="9" spans="1:24" ht="16.5" x14ac:dyDescent="0.3">
      <c r="A9" s="26" t="s">
        <v>22</v>
      </c>
      <c r="B9" s="13">
        <v>1000</v>
      </c>
      <c r="C9" s="26"/>
      <c r="D9" s="8"/>
      <c r="E9" s="11" t="s">
        <v>26</v>
      </c>
      <c r="F9" s="8"/>
      <c r="G9" s="8"/>
      <c r="H9" s="8"/>
      <c r="I9" s="8"/>
      <c r="J9" s="12" t="s">
        <v>28</v>
      </c>
      <c r="M9" s="2"/>
      <c r="N9" s="2"/>
      <c r="O9" s="2"/>
      <c r="P9" s="2"/>
      <c r="Q9" s="2"/>
      <c r="R9" s="2"/>
      <c r="S9" s="2"/>
      <c r="T9" s="3"/>
      <c r="U9" s="3"/>
      <c r="V9" s="3"/>
      <c r="W9" s="3"/>
      <c r="X9" s="3"/>
    </row>
    <row r="10" spans="1:24" ht="16.5" x14ac:dyDescent="0.3">
      <c r="A10" s="8"/>
      <c r="B10" s="8"/>
      <c r="C10" s="8"/>
      <c r="D10" s="8"/>
      <c r="E10" s="8" t="s">
        <v>4</v>
      </c>
      <c r="F10" s="16">
        <f>F3*F4</f>
        <v>5000</v>
      </c>
      <c r="G10" s="16">
        <f t="shared" ref="G10" si="0">G3*G4</f>
        <v>5000</v>
      </c>
      <c r="H10" s="16">
        <f>H3*H4</f>
        <v>9000</v>
      </c>
      <c r="I10" s="16">
        <f>I3*I4</f>
        <v>9000</v>
      </c>
      <c r="J10" s="16">
        <f>SUM(F10:I10)</f>
        <v>28000</v>
      </c>
    </row>
    <row r="11" spans="1:24" ht="16.5" x14ac:dyDescent="0.3">
      <c r="A11" s="8"/>
      <c r="B11" s="8"/>
      <c r="C11" s="8"/>
      <c r="D11" s="8"/>
      <c r="E11" s="8" t="s">
        <v>6</v>
      </c>
      <c r="F11" s="16">
        <f>VLOOKUP(F4,$A$3:$C$5,3,0)</f>
        <v>2750</v>
      </c>
      <c r="G11" s="16">
        <f>VLOOKUP(G4,$A$3:$C$5,3,0)</f>
        <v>2750</v>
      </c>
      <c r="H11" s="16">
        <f>VLOOKUP(H4,$A$3:$C$5,3,0)</f>
        <v>5500</v>
      </c>
      <c r="I11" s="16">
        <f>VLOOKUP(I4,$A$3:$C$5,3,0)</f>
        <v>5500</v>
      </c>
      <c r="J11" s="16">
        <f>SUM(F11:I11)</f>
        <v>16500</v>
      </c>
    </row>
    <row r="12" spans="1:24" ht="16.5" x14ac:dyDescent="0.3">
      <c r="A12" s="8"/>
      <c r="B12" s="8"/>
      <c r="C12" s="8"/>
      <c r="D12" s="8"/>
      <c r="E12" s="8" t="s">
        <v>7</v>
      </c>
      <c r="F12" s="16">
        <f>+$B$7</f>
        <v>800</v>
      </c>
      <c r="G12" s="16">
        <f>+$B$7</f>
        <v>800</v>
      </c>
      <c r="H12" s="16">
        <f>+$B$7</f>
        <v>800</v>
      </c>
      <c r="I12" s="16">
        <f>+$B$7</f>
        <v>800</v>
      </c>
      <c r="J12" s="16">
        <f>SUM(F12:I12)</f>
        <v>3200</v>
      </c>
    </row>
    <row r="13" spans="1:24" ht="16.5" x14ac:dyDescent="0.3">
      <c r="A13" s="8"/>
      <c r="B13" s="8"/>
      <c r="C13" s="8"/>
      <c r="D13" s="8"/>
      <c r="E13" s="8" t="s">
        <v>5</v>
      </c>
      <c r="F13" s="16">
        <f>IF(F$4&gt;0,$B$9/COUNTIF($F$4:$I$4,"&gt;0"),0)</f>
        <v>250</v>
      </c>
      <c r="G13" s="16">
        <f>IF(G$4&gt;0,$B$9/COUNTIF($F$4:$I$4,"&gt;0"),0)</f>
        <v>250</v>
      </c>
      <c r="H13" s="16">
        <f>IF(H$4&gt;0,$B$9/COUNTIF($F$4:$I$4,"&gt;0"),0)</f>
        <v>250</v>
      </c>
      <c r="I13" s="16">
        <f>IF(I$4&gt;0,$B$9/COUNTIF($F$4:$I$4,"&gt;0"),0)</f>
        <v>250</v>
      </c>
      <c r="J13" s="16">
        <f>SUM(F13:I13)</f>
        <v>1000</v>
      </c>
    </row>
    <row r="14" spans="1:24" ht="16.5" x14ac:dyDescent="0.3">
      <c r="A14" s="8"/>
      <c r="B14" s="8"/>
      <c r="C14" s="8"/>
      <c r="D14" s="8"/>
      <c r="E14" s="8" t="s">
        <v>8</v>
      </c>
      <c r="F14" s="16">
        <f>F10-SUM(F11:F13)</f>
        <v>1200</v>
      </c>
      <c r="G14" s="16">
        <f t="shared" ref="G14" si="1">G10-SUM(G11:G13)</f>
        <v>1200</v>
      </c>
      <c r="H14" s="16">
        <f>H10-SUM(H11:H13)</f>
        <v>2450</v>
      </c>
      <c r="I14" s="16">
        <f>I10-SUM(I11:I13)</f>
        <v>2450</v>
      </c>
      <c r="J14" s="16">
        <f>SUM(F14:I14)</f>
        <v>7300</v>
      </c>
    </row>
    <row r="15" spans="1:24" ht="8.1" customHeight="1" x14ac:dyDescent="0.3">
      <c r="A15" s="8"/>
      <c r="B15" s="8"/>
      <c r="C15" s="8"/>
      <c r="D15" s="8"/>
      <c r="E15" s="8"/>
      <c r="F15" s="17"/>
      <c r="G15" s="17"/>
      <c r="H15" s="17"/>
      <c r="I15" s="17"/>
      <c r="J15" s="17"/>
    </row>
    <row r="16" spans="1:24" ht="16.5" x14ac:dyDescent="0.3">
      <c r="A16" s="8"/>
      <c r="B16" s="8"/>
      <c r="C16" s="8"/>
      <c r="D16" s="8"/>
      <c r="E16" s="11" t="s">
        <v>27</v>
      </c>
      <c r="F16" s="17"/>
      <c r="G16" s="17"/>
      <c r="H16" s="17"/>
      <c r="I16" s="17"/>
      <c r="J16" s="12" t="s">
        <v>28</v>
      </c>
    </row>
    <row r="17" spans="1:12" ht="16.5" x14ac:dyDescent="0.3">
      <c r="A17" s="8"/>
      <c r="B17" s="8"/>
      <c r="C17" s="8"/>
      <c r="D17" s="8"/>
      <c r="E17" s="8" t="s">
        <v>9</v>
      </c>
      <c r="F17" s="18">
        <f>(F6-F4)*F5</f>
        <v>-6000</v>
      </c>
      <c r="G17" s="18">
        <f t="shared" ref="G17" si="2">(G6-G4)*G5</f>
        <v>-6000</v>
      </c>
      <c r="H17" s="18">
        <f>(H6-H4)*H5</f>
        <v>-10500</v>
      </c>
      <c r="I17" s="18">
        <f>(I6-I4)*I5</f>
        <v>-10500</v>
      </c>
      <c r="J17" s="18">
        <f>SUM(F17:I17)</f>
        <v>-33000</v>
      </c>
    </row>
    <row r="18" spans="1:12" ht="16.5" x14ac:dyDescent="0.3">
      <c r="A18" s="8"/>
      <c r="B18" s="8"/>
      <c r="C18" s="8"/>
      <c r="D18" s="8"/>
      <c r="E18" s="19" t="s">
        <v>14</v>
      </c>
      <c r="F18" s="20">
        <f>F4*(F5-F3)</f>
        <v>1000</v>
      </c>
      <c r="G18" s="20">
        <f t="shared" ref="G18" si="3">G4*(G5-G3)</f>
        <v>1000</v>
      </c>
      <c r="H18" s="20">
        <f>H4*(H5-H3)</f>
        <v>1500</v>
      </c>
      <c r="I18" s="20">
        <f>I4*(I5-I3)</f>
        <v>1500</v>
      </c>
      <c r="J18" s="18"/>
    </row>
    <row r="19" spans="1:12" ht="16.5" x14ac:dyDescent="0.3">
      <c r="A19" s="8"/>
      <c r="B19" s="8"/>
      <c r="C19" s="8"/>
      <c r="D19" s="8"/>
      <c r="E19" s="19" t="s">
        <v>15</v>
      </c>
      <c r="F19" s="20">
        <f>F4*F5-SUM(F11:F12)-IF(SUM($F$6:$I$6)=0,F13,0)</f>
        <v>2200</v>
      </c>
      <c r="G19" s="20">
        <f>G4*G5-SUM(G11:G12)-IF(SUM($F$6:$I$6)=0,G13,0)</f>
        <v>2200</v>
      </c>
      <c r="H19" s="20">
        <f>H4*H5-SUM(H11:H12)-IF(SUM($F$6:$I$6)=0,H13,0)</f>
        <v>3950</v>
      </c>
      <c r="I19" s="20">
        <f>I4*I5-SUM(I11:I12)-IF(SUM($F$6:$I$6)=0,I13,0)</f>
        <v>3950</v>
      </c>
      <c r="J19" s="18"/>
    </row>
    <row r="20" spans="1:12" ht="16.5" x14ac:dyDescent="0.3">
      <c r="A20" s="8"/>
      <c r="B20" s="8"/>
      <c r="C20" s="8"/>
      <c r="D20" s="8"/>
      <c r="E20" s="8" t="s">
        <v>10</v>
      </c>
      <c r="F20" s="18">
        <f>IF(F6=0,MAX(F18,F19,0),0)</f>
        <v>2200</v>
      </c>
      <c r="G20" s="18">
        <f t="shared" ref="G20" si="4">IF(G6=0,MAX(G18,G19,0),0)</f>
        <v>2200</v>
      </c>
      <c r="H20" s="18">
        <f>IF(H6=0,MAX(H18,H19,0),0)</f>
        <v>3950</v>
      </c>
      <c r="I20" s="18">
        <f>IF(I6=0,MAX(I18,I19,0),0)</f>
        <v>3950</v>
      </c>
      <c r="J20" s="18">
        <f>SUM(F20:I20)</f>
        <v>12300</v>
      </c>
    </row>
    <row r="21" spans="1:12" ht="16.5" x14ac:dyDescent="0.3">
      <c r="A21" s="8"/>
      <c r="B21" s="8"/>
      <c r="C21" s="8"/>
      <c r="D21" s="8"/>
      <c r="E21" s="8" t="s">
        <v>11</v>
      </c>
      <c r="F21" s="18">
        <f>IF(F6=0,0,VLOOKUP(F6,$A$3:$C$5,3,0))</f>
        <v>0</v>
      </c>
      <c r="G21" s="18">
        <f>IF(G6=0,0,VLOOKUP(G6,$A$3:$C$5,3,0))</f>
        <v>0</v>
      </c>
      <c r="H21" s="18">
        <f>IF(H6=0,0,VLOOKUP(H6,$A$3:$C$5,3,0))</f>
        <v>0</v>
      </c>
      <c r="I21" s="18">
        <f>IF(I6=0,0,VLOOKUP(I6,$A$3:$C$5,3,0))</f>
        <v>0</v>
      </c>
      <c r="J21" s="18">
        <f>SUM(F21:I21)</f>
        <v>0</v>
      </c>
    </row>
    <row r="22" spans="1:12" ht="16.5" x14ac:dyDescent="0.3">
      <c r="A22" s="8"/>
      <c r="B22" s="8"/>
      <c r="C22" s="8"/>
      <c r="D22" s="8"/>
      <c r="E22" s="8" t="s">
        <v>12</v>
      </c>
      <c r="F22" s="18">
        <f>IF(F6=0,0,$B$7)</f>
        <v>0</v>
      </c>
      <c r="G22" s="18">
        <f>IF(G6=0,0,$B$7)</f>
        <v>0</v>
      </c>
      <c r="H22" s="18">
        <f>IF(H6=0,0,$B$7)</f>
        <v>0</v>
      </c>
      <c r="I22" s="18">
        <f>IF(I6=0,0,$B$7)</f>
        <v>0</v>
      </c>
      <c r="J22" s="18">
        <f>SUM(F22:I22)</f>
        <v>0</v>
      </c>
    </row>
    <row r="23" spans="1:12" ht="16.5" x14ac:dyDescent="0.3">
      <c r="A23" s="8"/>
      <c r="B23" s="8"/>
      <c r="C23" s="8"/>
      <c r="D23" s="8"/>
      <c r="E23" s="8" t="s">
        <v>13</v>
      </c>
      <c r="F23" s="18">
        <f>IF(F$6&gt;0,$B$9/COUNTIF($F$6:$I$6,"&gt;0"),0)</f>
        <v>0</v>
      </c>
      <c r="G23" s="18">
        <f>IF(G$6&gt;0,$B$9/COUNTIF($F$6:$I$6,"&gt;0"),0)</f>
        <v>0</v>
      </c>
      <c r="H23" s="18">
        <f>IF(H$6&gt;0,$B$9/COUNTIF($F$6:$I$6,"&gt;0"),0)</f>
        <v>0</v>
      </c>
      <c r="I23" s="18">
        <f>IF(I$6&gt;0,$B$9/COUNTIF($F$6:$I$6,"&gt;0"),0)</f>
        <v>0</v>
      </c>
      <c r="J23" s="18">
        <f>SUM(F23:I23)</f>
        <v>0</v>
      </c>
    </row>
    <row r="24" spans="1:12" ht="8.1" customHeight="1" x14ac:dyDescent="0.3">
      <c r="A24" s="8"/>
      <c r="B24" s="8"/>
      <c r="C24" s="8"/>
      <c r="D24" s="8"/>
      <c r="E24" s="8"/>
      <c r="F24" s="17"/>
      <c r="G24" s="17"/>
      <c r="H24" s="17"/>
      <c r="I24" s="17"/>
      <c r="J24" s="17"/>
      <c r="K24" s="7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12" t="s">
        <v>28</v>
      </c>
    </row>
    <row r="26" spans="1:12" ht="16.5" x14ac:dyDescent="0.3">
      <c r="A26" s="8"/>
      <c r="B26" s="8"/>
      <c r="C26" s="8"/>
      <c r="D26" s="8"/>
      <c r="E26" s="21" t="s">
        <v>29</v>
      </c>
      <c r="F26" s="22">
        <f>SUM(F10,F17,F20)-SUM(F21:F23)</f>
        <v>1200</v>
      </c>
      <c r="G26" s="22">
        <f>SUM(G10,G17,G20)-SUM(G21:G23)</f>
        <v>1200</v>
      </c>
      <c r="H26" s="22">
        <f>SUM(H10,H17,H20)-SUM(H21:H23)</f>
        <v>2450</v>
      </c>
      <c r="I26" s="22">
        <f>SUM(I10,I17,I20)-SUM(I21:I23)</f>
        <v>2450</v>
      </c>
      <c r="J26" s="22">
        <f>SUM(F26:I26)</f>
        <v>7300</v>
      </c>
      <c r="K26" s="6"/>
      <c r="L26" s="4"/>
    </row>
    <row r="27" spans="1:12" ht="8.1" customHeight="1" x14ac:dyDescent="0.3">
      <c r="A27" s="8"/>
      <c r="B27" s="8"/>
      <c r="C27" s="8"/>
      <c r="D27" s="8"/>
      <c r="E27" s="21"/>
      <c r="F27" s="22"/>
      <c r="G27" s="22"/>
      <c r="H27" s="22"/>
      <c r="I27" s="22"/>
      <c r="J27" s="22"/>
      <c r="K27" s="6"/>
    </row>
    <row r="28" spans="1:12" ht="16.5" x14ac:dyDescent="0.3">
      <c r="A28" s="8"/>
      <c r="B28" s="8"/>
      <c r="C28" s="8"/>
      <c r="D28" s="8"/>
      <c r="E28" s="21"/>
      <c r="F28" s="22"/>
      <c r="G28" s="22"/>
      <c r="H28" s="22"/>
      <c r="I28" s="23" t="s">
        <v>30</v>
      </c>
      <c r="J28" s="22">
        <f>MAX(-J26,0)</f>
        <v>0</v>
      </c>
      <c r="K28" s="6"/>
    </row>
    <row r="29" spans="1:12" x14ac:dyDescent="0.25">
      <c r="E29" s="5"/>
      <c r="F29" s="6"/>
      <c r="G29" s="6"/>
      <c r="H29" s="6"/>
      <c r="I29" s="6"/>
      <c r="J29" s="6"/>
      <c r="K29" s="6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selection activeCell="E2" sqref="E2:J28"/>
    </sheetView>
  </sheetViews>
  <sheetFormatPr defaultRowHeight="15" x14ac:dyDescent="0.25"/>
  <cols>
    <col min="1" max="1" width="20.5703125" bestFit="1" customWidth="1"/>
    <col min="2" max="2" width="15.28515625" customWidth="1"/>
    <col min="3" max="3" width="18.5703125" customWidth="1"/>
    <col min="4" max="4" width="9.140625" customWidth="1"/>
    <col min="5" max="5" width="28.42578125" customWidth="1"/>
    <col min="6" max="10" width="11" customWidth="1"/>
    <col min="11" max="24" width="9.140625" customWidth="1"/>
  </cols>
  <sheetData>
    <row r="1" spans="1:24" ht="16.5" x14ac:dyDescent="0.3">
      <c r="A1" s="1" t="s">
        <v>25</v>
      </c>
      <c r="B1" s="1"/>
      <c r="C1" s="1"/>
      <c r="D1" s="8"/>
      <c r="E1" s="8"/>
      <c r="F1" s="8"/>
      <c r="G1" s="8"/>
      <c r="H1" s="8"/>
      <c r="I1" s="8"/>
      <c r="J1" s="8"/>
    </row>
    <row r="2" spans="1:24" ht="16.5" x14ac:dyDescent="0.3">
      <c r="A2" s="9" t="s">
        <v>2</v>
      </c>
      <c r="B2" s="10" t="s">
        <v>24</v>
      </c>
      <c r="C2" s="10" t="s">
        <v>21</v>
      </c>
      <c r="D2" s="8"/>
      <c r="E2" s="11" t="s">
        <v>0</v>
      </c>
      <c r="F2" s="12">
        <v>14</v>
      </c>
      <c r="G2" s="12">
        <f>+F2+1</f>
        <v>15</v>
      </c>
      <c r="H2" s="12">
        <f>+G2+1</f>
        <v>16</v>
      </c>
      <c r="I2" s="12">
        <f>+H2+1</f>
        <v>17</v>
      </c>
      <c r="J2" s="8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6.5" x14ac:dyDescent="0.3">
      <c r="A3" s="26">
        <v>50</v>
      </c>
      <c r="B3" s="26">
        <v>25</v>
      </c>
      <c r="C3" s="13">
        <f>+A3*B3</f>
        <v>1250</v>
      </c>
      <c r="D3" s="8"/>
      <c r="E3" s="8" t="s">
        <v>17</v>
      </c>
      <c r="F3" s="14">
        <v>50</v>
      </c>
      <c r="G3" s="14">
        <v>50</v>
      </c>
      <c r="H3" s="14">
        <v>60</v>
      </c>
      <c r="I3" s="14">
        <v>60</v>
      </c>
      <c r="J3" s="15"/>
    </row>
    <row r="4" spans="1:24" ht="16.5" x14ac:dyDescent="0.3">
      <c r="A4" s="26">
        <v>100</v>
      </c>
      <c r="B4" s="26">
        <v>30</v>
      </c>
      <c r="C4" s="13">
        <f>+C3+(A4-A3)*B4</f>
        <v>2750</v>
      </c>
      <c r="D4" s="8"/>
      <c r="E4" s="8" t="s">
        <v>18</v>
      </c>
      <c r="F4" s="14">
        <f>IF(F$3&gt;=$B$5,$A$5,IF(F$3&gt;=$B$4,$A$4,IF(F$3&gt;=$B$3,$A$3,0)))</f>
        <v>100</v>
      </c>
      <c r="G4" s="14">
        <f>IF(G$3&gt;=$B$5,$A$5,IF(G$3&gt;=$B$4,$A$4,IF(G$3&gt;=$B$3,$A$3,0)))</f>
        <v>100</v>
      </c>
      <c r="H4" s="14">
        <f>IF(H$3&gt;=$B$5,$A$5,IF(H$3&gt;=$B$4,$A$4,IF(H$3&gt;=$B$3,$A$3,0)))</f>
        <v>150</v>
      </c>
      <c r="I4" s="14">
        <f>IF(I$3&gt;=$B$5,$A$5,IF(I$3&gt;=$B$4,$A$4,IF(I$3&gt;=$B$3,$A$3,0)))</f>
        <v>150</v>
      </c>
      <c r="J4" s="15"/>
    </row>
    <row r="5" spans="1:24" ht="16.5" x14ac:dyDescent="0.3">
      <c r="A5" s="26">
        <v>150</v>
      </c>
      <c r="B5" s="26">
        <v>55</v>
      </c>
      <c r="C5" s="13">
        <f>+C4+(A5-A4)*B5</f>
        <v>5500</v>
      </c>
      <c r="D5" s="8"/>
      <c r="E5" s="8" t="s">
        <v>19</v>
      </c>
      <c r="F5" s="14">
        <v>30</v>
      </c>
      <c r="G5" s="14">
        <v>30</v>
      </c>
      <c r="H5" s="14">
        <v>30</v>
      </c>
      <c r="I5" s="14">
        <v>30</v>
      </c>
      <c r="J5" s="15"/>
    </row>
    <row r="6" spans="1:24" ht="16.5" x14ac:dyDescent="0.3">
      <c r="A6" s="26"/>
      <c r="B6" s="26"/>
      <c r="C6" s="26"/>
      <c r="D6" s="8"/>
      <c r="E6" s="8" t="s">
        <v>20</v>
      </c>
      <c r="F6" s="14">
        <v>0</v>
      </c>
      <c r="G6" s="14">
        <v>0</v>
      </c>
      <c r="H6" s="14">
        <v>0</v>
      </c>
      <c r="I6" s="14">
        <v>0</v>
      </c>
      <c r="J6" s="8"/>
    </row>
    <row r="7" spans="1:24" ht="16.5" x14ac:dyDescent="0.3">
      <c r="A7" s="26" t="s">
        <v>23</v>
      </c>
      <c r="B7" s="13">
        <v>800</v>
      </c>
      <c r="C7" s="26"/>
      <c r="D7" s="8"/>
      <c r="E7" s="8" t="s">
        <v>1</v>
      </c>
      <c r="F7" s="14" t="s">
        <v>3</v>
      </c>
      <c r="G7" s="14" t="s">
        <v>3</v>
      </c>
      <c r="H7" s="14" t="s">
        <v>3</v>
      </c>
      <c r="I7" s="14" t="s">
        <v>3</v>
      </c>
      <c r="J7" s="8"/>
    </row>
    <row r="8" spans="1:24" ht="8.1" customHeight="1" x14ac:dyDescent="0.3">
      <c r="A8" s="26"/>
      <c r="B8" s="26"/>
      <c r="C8" s="26"/>
      <c r="D8" s="8"/>
      <c r="E8" s="8"/>
      <c r="F8" s="8"/>
      <c r="G8" s="8"/>
      <c r="H8" s="8"/>
      <c r="I8" s="8"/>
      <c r="J8" s="8"/>
      <c r="M8" s="2"/>
      <c r="N8" s="2"/>
      <c r="O8" s="2"/>
      <c r="P8" s="2"/>
      <c r="Q8" s="2"/>
      <c r="R8" s="2"/>
      <c r="S8" s="2"/>
      <c r="T8" s="3"/>
      <c r="U8" s="3"/>
      <c r="V8" s="3"/>
      <c r="W8" s="3"/>
      <c r="X8" s="3"/>
    </row>
    <row r="9" spans="1:24" ht="16.5" x14ac:dyDescent="0.3">
      <c r="A9" s="26" t="s">
        <v>22</v>
      </c>
      <c r="B9" s="13">
        <v>1000</v>
      </c>
      <c r="C9" s="26"/>
      <c r="D9" s="8"/>
      <c r="E9" s="11" t="s">
        <v>26</v>
      </c>
      <c r="F9" s="8"/>
      <c r="G9" s="8"/>
      <c r="H9" s="8"/>
      <c r="I9" s="8"/>
      <c r="J9" s="12" t="s">
        <v>28</v>
      </c>
      <c r="M9" s="2"/>
      <c r="N9" s="2"/>
      <c r="O9" s="2"/>
      <c r="P9" s="2"/>
      <c r="Q9" s="2"/>
      <c r="R9" s="2"/>
      <c r="S9" s="2"/>
      <c r="T9" s="3"/>
      <c r="U9" s="3"/>
      <c r="V9" s="3"/>
      <c r="W9" s="3"/>
      <c r="X9" s="3"/>
    </row>
    <row r="10" spans="1:24" ht="16.5" x14ac:dyDescent="0.3">
      <c r="A10" s="8"/>
      <c r="B10" s="8"/>
      <c r="C10" s="8"/>
      <c r="D10" s="8"/>
      <c r="E10" s="8" t="s">
        <v>4</v>
      </c>
      <c r="F10" s="16">
        <f>F3*F4</f>
        <v>5000</v>
      </c>
      <c r="G10" s="16">
        <f t="shared" ref="G10" si="0">G3*G4</f>
        <v>5000</v>
      </c>
      <c r="H10" s="16">
        <f>H3*H4</f>
        <v>9000</v>
      </c>
      <c r="I10" s="16">
        <f>I3*I4</f>
        <v>9000</v>
      </c>
      <c r="J10" s="16">
        <f>SUM(F10:I10)</f>
        <v>28000</v>
      </c>
    </row>
    <row r="11" spans="1:24" ht="16.5" x14ac:dyDescent="0.3">
      <c r="A11" s="8"/>
      <c r="B11" s="8"/>
      <c r="C11" s="8"/>
      <c r="D11" s="8"/>
      <c r="E11" s="8" t="s">
        <v>6</v>
      </c>
      <c r="F11" s="16">
        <f>VLOOKUP(F4,$A$3:$C$5,3,0)</f>
        <v>2750</v>
      </c>
      <c r="G11" s="16">
        <f>VLOOKUP(G4,$A$3:$C$5,3,0)</f>
        <v>2750</v>
      </c>
      <c r="H11" s="16">
        <f>VLOOKUP(H4,$A$3:$C$5,3,0)</f>
        <v>5500</v>
      </c>
      <c r="I11" s="16">
        <f>VLOOKUP(I4,$A$3:$C$5,3,0)</f>
        <v>5500</v>
      </c>
      <c r="J11" s="16">
        <f>SUM(F11:I11)</f>
        <v>16500</v>
      </c>
    </row>
    <row r="12" spans="1:24" ht="16.5" x14ac:dyDescent="0.3">
      <c r="A12" s="8"/>
      <c r="B12" s="8"/>
      <c r="C12" s="8"/>
      <c r="D12" s="8"/>
      <c r="E12" s="8" t="s">
        <v>7</v>
      </c>
      <c r="F12" s="16">
        <f>+$B$7</f>
        <v>800</v>
      </c>
      <c r="G12" s="16">
        <f>+$B$7</f>
        <v>800</v>
      </c>
      <c r="H12" s="16">
        <f>+$B$7</f>
        <v>800</v>
      </c>
      <c r="I12" s="16">
        <f>+$B$7</f>
        <v>800</v>
      </c>
      <c r="J12" s="16">
        <f>SUM(F12:I12)</f>
        <v>3200</v>
      </c>
    </row>
    <row r="13" spans="1:24" ht="16.5" x14ac:dyDescent="0.3">
      <c r="A13" s="8"/>
      <c r="B13" s="8"/>
      <c r="C13" s="8"/>
      <c r="D13" s="8"/>
      <c r="E13" s="8" t="s">
        <v>5</v>
      </c>
      <c r="F13" s="16">
        <f>IF(F$4&gt;0,$B$9/COUNTIF($F$4:$I$4,"&gt;0"),0)</f>
        <v>250</v>
      </c>
      <c r="G13" s="16">
        <f>IF(G$4&gt;0,$B$9/COUNTIF($F$4:$I$4,"&gt;0"),0)</f>
        <v>250</v>
      </c>
      <c r="H13" s="16">
        <f>IF(H$4&gt;0,$B$9/COUNTIF($F$4:$I$4,"&gt;0"),0)</f>
        <v>250</v>
      </c>
      <c r="I13" s="16">
        <f>IF(I$4&gt;0,$B$9/COUNTIF($F$4:$I$4,"&gt;0"),0)</f>
        <v>250</v>
      </c>
      <c r="J13" s="16">
        <f>SUM(F13:I13)</f>
        <v>1000</v>
      </c>
    </row>
    <row r="14" spans="1:24" ht="16.5" x14ac:dyDescent="0.3">
      <c r="A14" s="8"/>
      <c r="B14" s="8"/>
      <c r="C14" s="8"/>
      <c r="D14" s="8"/>
      <c r="E14" s="8" t="s">
        <v>8</v>
      </c>
      <c r="F14" s="16">
        <f>F10-SUM(F11:F13)</f>
        <v>1200</v>
      </c>
      <c r="G14" s="16">
        <f t="shared" ref="G14" si="1">G10-SUM(G11:G13)</f>
        <v>1200</v>
      </c>
      <c r="H14" s="16">
        <f>H10-SUM(H11:H13)</f>
        <v>2450</v>
      </c>
      <c r="I14" s="16">
        <f>I10-SUM(I11:I13)</f>
        <v>2450</v>
      </c>
      <c r="J14" s="16">
        <f>SUM(F14:I14)</f>
        <v>7300</v>
      </c>
    </row>
    <row r="15" spans="1:24" ht="8.1" customHeight="1" x14ac:dyDescent="0.3">
      <c r="A15" s="8"/>
      <c r="B15" s="8"/>
      <c r="C15" s="8"/>
      <c r="D15" s="8"/>
      <c r="E15" s="8"/>
      <c r="F15" s="17"/>
      <c r="G15" s="17"/>
      <c r="H15" s="17"/>
      <c r="I15" s="17"/>
      <c r="J15" s="17"/>
    </row>
    <row r="16" spans="1:24" ht="16.5" x14ac:dyDescent="0.3">
      <c r="A16" s="8"/>
      <c r="B16" s="8"/>
      <c r="C16" s="8"/>
      <c r="D16" s="8"/>
      <c r="E16" s="11" t="s">
        <v>27</v>
      </c>
      <c r="F16" s="17"/>
      <c r="G16" s="17"/>
      <c r="H16" s="17"/>
      <c r="I16" s="17"/>
      <c r="J16" s="12" t="s">
        <v>28</v>
      </c>
    </row>
    <row r="17" spans="1:12" ht="16.5" x14ac:dyDescent="0.3">
      <c r="A17" s="8"/>
      <c r="B17" s="8"/>
      <c r="C17" s="8"/>
      <c r="D17" s="8"/>
      <c r="E17" s="8" t="s">
        <v>9</v>
      </c>
      <c r="F17" s="18">
        <f>(F6-F4)*F5</f>
        <v>-3000</v>
      </c>
      <c r="G17" s="18">
        <f t="shared" ref="G17" si="2">(G6-G4)*G5</f>
        <v>-3000</v>
      </c>
      <c r="H17" s="18">
        <f>(H6-H4)*H5</f>
        <v>-4500</v>
      </c>
      <c r="I17" s="18">
        <f>(I6-I4)*I5</f>
        <v>-4500</v>
      </c>
      <c r="J17" s="18">
        <f>SUM(F17:I17)</f>
        <v>-15000</v>
      </c>
    </row>
    <row r="18" spans="1:12" ht="16.5" x14ac:dyDescent="0.3">
      <c r="A18" s="8"/>
      <c r="B18" s="8"/>
      <c r="C18" s="8"/>
      <c r="D18" s="8"/>
      <c r="E18" s="19" t="s">
        <v>14</v>
      </c>
      <c r="F18" s="20">
        <f>F4*(F5-F3)</f>
        <v>-2000</v>
      </c>
      <c r="G18" s="20">
        <f t="shared" ref="G18" si="3">G4*(G5-G3)</f>
        <v>-2000</v>
      </c>
      <c r="H18" s="20">
        <f>H4*(H5-H3)</f>
        <v>-4500</v>
      </c>
      <c r="I18" s="20">
        <f>I4*(I5-I3)</f>
        <v>-4500</v>
      </c>
      <c r="J18" s="18"/>
    </row>
    <row r="19" spans="1:12" ht="16.5" x14ac:dyDescent="0.3">
      <c r="A19" s="8"/>
      <c r="B19" s="8"/>
      <c r="C19" s="8"/>
      <c r="D19" s="8"/>
      <c r="E19" s="19" t="s">
        <v>15</v>
      </c>
      <c r="F19" s="20">
        <f>F4*F5-SUM(F11:F12)-IF(SUM($F$6:$I$6)=0,F13,0)</f>
        <v>-800</v>
      </c>
      <c r="G19" s="20">
        <f>G4*G5-SUM(G11:G12)-IF(SUM($F$6:$I$6)=0,G13,0)</f>
        <v>-800</v>
      </c>
      <c r="H19" s="20">
        <f>H4*H5-SUM(H11:H12)-IF(SUM($F$6:$I$6)=0,H13,0)</f>
        <v>-2050</v>
      </c>
      <c r="I19" s="20">
        <f>I4*I5-SUM(I11:I12)-IF(SUM($F$6:$I$6)=0,I13,0)</f>
        <v>-2050</v>
      </c>
      <c r="J19" s="18"/>
    </row>
    <row r="20" spans="1:12" ht="16.5" x14ac:dyDescent="0.3">
      <c r="A20" s="8"/>
      <c r="B20" s="8"/>
      <c r="C20" s="8"/>
      <c r="D20" s="8"/>
      <c r="E20" s="8" t="s">
        <v>10</v>
      </c>
      <c r="F20" s="18">
        <f>IF(F6=0,MAX(F18,F19,0),0)</f>
        <v>0</v>
      </c>
      <c r="G20" s="18">
        <f t="shared" ref="G20" si="4">IF(G6=0,MAX(G18,G19,0),0)</f>
        <v>0</v>
      </c>
      <c r="H20" s="18">
        <f>IF(H6=0,MAX(H18,H19,0),0)</f>
        <v>0</v>
      </c>
      <c r="I20" s="18">
        <f>IF(I6=0,MAX(I18,I19,0),0)</f>
        <v>0</v>
      </c>
      <c r="J20" s="18">
        <f>SUM(F20:I20)</f>
        <v>0</v>
      </c>
    </row>
    <row r="21" spans="1:12" ht="16.5" x14ac:dyDescent="0.3">
      <c r="A21" s="8"/>
      <c r="B21" s="8"/>
      <c r="C21" s="8"/>
      <c r="D21" s="8"/>
      <c r="E21" s="8" t="s">
        <v>11</v>
      </c>
      <c r="F21" s="18">
        <f>IF(F6=0,0,VLOOKUP(F6,$A$3:$C$5,3,0))</f>
        <v>0</v>
      </c>
      <c r="G21" s="18">
        <f>IF(G6=0,0,VLOOKUP(G6,$A$3:$C$5,3,0))</f>
        <v>0</v>
      </c>
      <c r="H21" s="18">
        <f>IF(H6=0,0,VLOOKUP(H6,$A$3:$C$5,3,0))</f>
        <v>0</v>
      </c>
      <c r="I21" s="18">
        <f>IF(I6=0,0,VLOOKUP(I6,$A$3:$C$5,3,0))</f>
        <v>0</v>
      </c>
      <c r="J21" s="18">
        <f>SUM(F21:I21)</f>
        <v>0</v>
      </c>
    </row>
    <row r="22" spans="1:12" ht="16.5" x14ac:dyDescent="0.3">
      <c r="A22" s="8"/>
      <c r="B22" s="8"/>
      <c r="C22" s="8"/>
      <c r="D22" s="8"/>
      <c r="E22" s="8" t="s">
        <v>12</v>
      </c>
      <c r="F22" s="18">
        <f>IF(F6=0,0,$B$7)</f>
        <v>0</v>
      </c>
      <c r="G22" s="18">
        <f>IF(G6=0,0,$B$7)</f>
        <v>0</v>
      </c>
      <c r="H22" s="18">
        <f>IF(H6=0,0,$B$7)</f>
        <v>0</v>
      </c>
      <c r="I22" s="18">
        <f>IF(I6=0,0,$B$7)</f>
        <v>0</v>
      </c>
      <c r="J22" s="18">
        <f>SUM(F22:I22)</f>
        <v>0</v>
      </c>
    </row>
    <row r="23" spans="1:12" ht="16.5" x14ac:dyDescent="0.3">
      <c r="A23" s="8"/>
      <c r="B23" s="8"/>
      <c r="C23" s="8"/>
      <c r="D23" s="8"/>
      <c r="E23" s="8" t="s">
        <v>13</v>
      </c>
      <c r="F23" s="18">
        <f>IF(F$6&gt;0,$B$9/COUNTIF($F$6:$I$6,"&gt;0"),0)</f>
        <v>0</v>
      </c>
      <c r="G23" s="18">
        <f>IF(G$6&gt;0,$B$9/COUNTIF($F$6:$I$6,"&gt;0"),0)</f>
        <v>0</v>
      </c>
      <c r="H23" s="18">
        <f>IF(H$6&gt;0,$B$9/COUNTIF($F$6:$I$6,"&gt;0"),0)</f>
        <v>0</v>
      </c>
      <c r="I23" s="18">
        <f>IF(I$6&gt;0,$B$9/COUNTIF($F$6:$I$6,"&gt;0"),0)</f>
        <v>0</v>
      </c>
      <c r="J23" s="18">
        <f>SUM(F23:I23)</f>
        <v>0</v>
      </c>
    </row>
    <row r="24" spans="1:12" ht="8.1" customHeight="1" x14ac:dyDescent="0.3">
      <c r="A24" s="8"/>
      <c r="B24" s="8"/>
      <c r="C24" s="8"/>
      <c r="D24" s="8"/>
      <c r="E24" s="8"/>
      <c r="F24" s="17"/>
      <c r="G24" s="17"/>
      <c r="H24" s="17"/>
      <c r="I24" s="17"/>
      <c r="J24" s="17"/>
      <c r="K24" s="7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12" t="s">
        <v>28</v>
      </c>
    </row>
    <row r="26" spans="1:12" ht="16.5" x14ac:dyDescent="0.3">
      <c r="A26" s="8"/>
      <c r="B26" s="8"/>
      <c r="C26" s="8"/>
      <c r="D26" s="8"/>
      <c r="E26" s="21" t="s">
        <v>29</v>
      </c>
      <c r="F26" s="22">
        <f>SUM(F10,F17,F20)-SUM(F21:F23)</f>
        <v>2000</v>
      </c>
      <c r="G26" s="22">
        <f>SUM(G10,G17,G20)-SUM(G21:G23)</f>
        <v>2000</v>
      </c>
      <c r="H26" s="22">
        <f>SUM(H10,H17,H20)-SUM(H21:H23)</f>
        <v>4500</v>
      </c>
      <c r="I26" s="22">
        <f>SUM(I10,I17,I20)-SUM(I21:I23)</f>
        <v>4500</v>
      </c>
      <c r="J26" s="22">
        <f>SUM(F26:I26)</f>
        <v>13000</v>
      </c>
      <c r="K26" s="6"/>
      <c r="L26" s="4"/>
    </row>
    <row r="27" spans="1:12" ht="8.1" customHeight="1" x14ac:dyDescent="0.3">
      <c r="A27" s="8"/>
      <c r="B27" s="8"/>
      <c r="C27" s="8"/>
      <c r="D27" s="8"/>
      <c r="E27" s="21"/>
      <c r="F27" s="22"/>
      <c r="G27" s="22"/>
      <c r="H27" s="22"/>
      <c r="I27" s="22"/>
      <c r="J27" s="22"/>
      <c r="K27" s="6"/>
    </row>
    <row r="28" spans="1:12" ht="16.5" x14ac:dyDescent="0.3">
      <c r="A28" s="8"/>
      <c r="B28" s="8"/>
      <c r="C28" s="8"/>
      <c r="D28" s="8"/>
      <c r="E28" s="21"/>
      <c r="F28" s="22"/>
      <c r="G28" s="22"/>
      <c r="H28" s="22"/>
      <c r="I28" s="23" t="s">
        <v>30</v>
      </c>
      <c r="J28" s="22">
        <f>MAX(-J26,0)</f>
        <v>0</v>
      </c>
      <c r="K28" s="6"/>
    </row>
    <row r="29" spans="1:12" x14ac:dyDescent="0.25">
      <c r="E29" s="5"/>
      <c r="F29" s="6"/>
      <c r="G29" s="6"/>
      <c r="H29" s="6"/>
      <c r="I29" s="6"/>
      <c r="J29" s="6"/>
      <c r="K29" s="6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E2" sqref="E2:J28"/>
    </sheetView>
  </sheetViews>
  <sheetFormatPr defaultRowHeight="15" x14ac:dyDescent="0.25"/>
  <cols>
    <col min="1" max="1" width="20.5703125" bestFit="1" customWidth="1"/>
    <col min="2" max="2" width="15.28515625" customWidth="1"/>
    <col min="3" max="3" width="18.5703125" customWidth="1"/>
    <col min="4" max="4" width="9.140625" customWidth="1"/>
    <col min="5" max="5" width="28.42578125" customWidth="1"/>
    <col min="6" max="10" width="11.42578125" customWidth="1"/>
    <col min="11" max="19" width="9.140625" customWidth="1"/>
  </cols>
  <sheetData>
    <row r="1" spans="1:19" ht="16.5" x14ac:dyDescent="0.3">
      <c r="A1" s="1" t="s">
        <v>25</v>
      </c>
      <c r="B1" s="1"/>
      <c r="C1" s="1"/>
      <c r="D1" s="8"/>
      <c r="E1" s="8"/>
      <c r="F1" s="12" t="s">
        <v>31</v>
      </c>
      <c r="G1" s="12" t="s">
        <v>33</v>
      </c>
      <c r="H1" s="12" t="s">
        <v>39</v>
      </c>
      <c r="I1" s="12" t="s">
        <v>34</v>
      </c>
      <c r="J1" s="12" t="s">
        <v>37</v>
      </c>
    </row>
    <row r="2" spans="1:19" ht="16.5" x14ac:dyDescent="0.3">
      <c r="A2" s="9" t="s">
        <v>2</v>
      </c>
      <c r="B2" s="10" t="s">
        <v>24</v>
      </c>
      <c r="C2" s="10" t="s">
        <v>21</v>
      </c>
      <c r="D2" s="8"/>
      <c r="E2" s="11"/>
      <c r="F2" s="12" t="s">
        <v>3</v>
      </c>
      <c r="G2" s="12" t="s">
        <v>3</v>
      </c>
      <c r="H2" s="12" t="s">
        <v>38</v>
      </c>
      <c r="I2" s="12" t="s">
        <v>35</v>
      </c>
      <c r="J2" s="12" t="s">
        <v>35</v>
      </c>
      <c r="K2" s="2"/>
      <c r="L2" s="2"/>
      <c r="M2" s="2"/>
      <c r="N2" s="2"/>
      <c r="O2" s="2"/>
      <c r="P2" s="2"/>
      <c r="Q2" s="2"/>
      <c r="R2" s="2"/>
      <c r="S2" s="2"/>
    </row>
    <row r="3" spans="1:19" ht="16.5" x14ac:dyDescent="0.3">
      <c r="A3" s="25">
        <v>50</v>
      </c>
      <c r="B3" s="25">
        <v>25</v>
      </c>
      <c r="C3" s="13">
        <f>+A3*B3</f>
        <v>1250</v>
      </c>
      <c r="D3" s="8"/>
      <c r="E3" s="8" t="s">
        <v>17</v>
      </c>
      <c r="F3" s="14">
        <v>50</v>
      </c>
      <c r="G3" s="14">
        <v>50</v>
      </c>
      <c r="H3" s="14">
        <v>50</v>
      </c>
      <c r="I3" s="14">
        <v>50</v>
      </c>
      <c r="J3" s="14">
        <v>50</v>
      </c>
    </row>
    <row r="4" spans="1:19" ht="16.5" x14ac:dyDescent="0.3">
      <c r="A4" s="25">
        <v>100</v>
      </c>
      <c r="B4" s="25">
        <v>30</v>
      </c>
      <c r="C4" s="13">
        <f>+C3+(A4-A3)*B4</f>
        <v>2750</v>
      </c>
      <c r="D4" s="8"/>
      <c r="E4" s="8" t="s">
        <v>18</v>
      </c>
      <c r="F4" s="14">
        <f t="shared" ref="F4" si="0">IF(F$3&gt;=$B$5,$A$5,IF(F$3&gt;=$B$4,$A$4,IF(F$3&gt;=$B$3,$A$3,0)))</f>
        <v>100</v>
      </c>
      <c r="G4" s="14">
        <f>IF(G$3&gt;=$B$5,$A$5,IF(G$3&gt;=$B$4,$A$4,IF(G$3&gt;=$B$3,$A$3,0)))</f>
        <v>100</v>
      </c>
      <c r="H4" s="14">
        <f>IF(H$3&gt;=$B$5,$A$5,IF(H$3&gt;=$B$4,$A$4,IF(H$3&gt;=$B$3,$A$3,0)))</f>
        <v>100</v>
      </c>
      <c r="I4" s="14">
        <f>IF(I$3&gt;=$B$5,$A$5,IF(I$3&gt;=$B$4,$A$4,IF(I$3&gt;=$B$3,$A$3,0)))</f>
        <v>100</v>
      </c>
      <c r="J4" s="14">
        <f>IF(J$3&gt;=$B$5,$A$5,IF(J$3&gt;=$B$4,$A$4,IF(J$3&gt;=$B$3,$A$3,0)))</f>
        <v>100</v>
      </c>
    </row>
    <row r="5" spans="1:19" ht="16.5" x14ac:dyDescent="0.3">
      <c r="A5" s="25">
        <v>150</v>
      </c>
      <c r="B5" s="25">
        <v>55</v>
      </c>
      <c r="C5" s="13">
        <f>+C4+(A5-A4)*B5</f>
        <v>5500</v>
      </c>
      <c r="D5" s="8"/>
      <c r="E5" s="8" t="s">
        <v>19</v>
      </c>
      <c r="F5" s="14">
        <v>100</v>
      </c>
      <c r="G5" s="14">
        <v>100</v>
      </c>
      <c r="H5" s="14">
        <v>100</v>
      </c>
      <c r="I5" s="14">
        <v>100</v>
      </c>
      <c r="J5" s="14">
        <v>100</v>
      </c>
    </row>
    <row r="6" spans="1:19" ht="16.5" x14ac:dyDescent="0.3">
      <c r="A6" s="25"/>
      <c r="B6" s="25"/>
      <c r="C6" s="25"/>
      <c r="D6" s="8"/>
      <c r="E6" s="8" t="s">
        <v>20</v>
      </c>
      <c r="F6" s="14">
        <v>0</v>
      </c>
      <c r="G6" s="14">
        <v>0</v>
      </c>
      <c r="H6" s="14">
        <v>150</v>
      </c>
      <c r="I6" s="14">
        <v>150</v>
      </c>
      <c r="J6" s="14">
        <v>150</v>
      </c>
    </row>
    <row r="7" spans="1:19" ht="16.5" x14ac:dyDescent="0.3">
      <c r="A7" s="25" t="s">
        <v>23</v>
      </c>
      <c r="B7" s="13">
        <v>800</v>
      </c>
      <c r="C7" s="25"/>
      <c r="D7" s="8"/>
      <c r="E7" s="8" t="s">
        <v>1</v>
      </c>
      <c r="F7" s="14" t="s">
        <v>3</v>
      </c>
      <c r="G7" s="14" t="s">
        <v>3</v>
      </c>
      <c r="H7" s="14" t="s">
        <v>16</v>
      </c>
      <c r="I7" s="14" t="s">
        <v>16</v>
      </c>
      <c r="J7" s="14" t="s">
        <v>16</v>
      </c>
    </row>
    <row r="8" spans="1:19" ht="8.1" customHeight="1" x14ac:dyDescent="0.3">
      <c r="A8" s="25"/>
      <c r="B8" s="25"/>
      <c r="C8" s="25"/>
      <c r="D8" s="8"/>
      <c r="E8" s="8"/>
      <c r="F8" s="8"/>
      <c r="G8" s="8"/>
      <c r="H8" s="8"/>
      <c r="I8" s="8"/>
      <c r="J8" s="8"/>
      <c r="K8" s="2"/>
      <c r="L8" s="2"/>
      <c r="M8" s="2"/>
      <c r="N8" s="2"/>
      <c r="O8" s="3"/>
      <c r="P8" s="3"/>
      <c r="Q8" s="3"/>
      <c r="R8" s="3"/>
      <c r="S8" s="3"/>
    </row>
    <row r="9" spans="1:19" ht="16.5" x14ac:dyDescent="0.3">
      <c r="A9" s="25" t="s">
        <v>22</v>
      </c>
      <c r="B9" s="13">
        <v>1000</v>
      </c>
      <c r="C9" s="25"/>
      <c r="D9" s="8"/>
      <c r="E9" s="11" t="s">
        <v>26</v>
      </c>
      <c r="F9" s="8"/>
      <c r="G9" s="8"/>
      <c r="H9" s="8"/>
      <c r="I9" s="8"/>
      <c r="J9" s="8"/>
      <c r="K9" s="2"/>
      <c r="L9" s="2"/>
      <c r="M9" s="2"/>
      <c r="N9" s="2"/>
      <c r="O9" s="3"/>
      <c r="P9" s="3"/>
      <c r="Q9" s="3"/>
      <c r="R9" s="3"/>
      <c r="S9" s="3"/>
    </row>
    <row r="10" spans="1:19" ht="16.5" x14ac:dyDescent="0.3">
      <c r="A10" s="8"/>
      <c r="B10" s="8"/>
      <c r="C10" s="8"/>
      <c r="D10" s="8"/>
      <c r="E10" s="8" t="s">
        <v>4</v>
      </c>
      <c r="F10" s="16">
        <f t="shared" ref="F10" si="1">F3*F4</f>
        <v>5000</v>
      </c>
      <c r="G10" s="16">
        <f>G3*G4</f>
        <v>5000</v>
      </c>
      <c r="H10" s="16">
        <f>H3*H4</f>
        <v>5000</v>
      </c>
      <c r="I10" s="16">
        <f>I3*I4</f>
        <v>5000</v>
      </c>
      <c r="J10" s="16">
        <f>J3*J4</f>
        <v>5000</v>
      </c>
    </row>
    <row r="11" spans="1:19" ht="16.5" x14ac:dyDescent="0.3">
      <c r="A11" s="8"/>
      <c r="B11" s="8"/>
      <c r="C11" s="8"/>
      <c r="D11" s="8"/>
      <c r="E11" s="8" t="s">
        <v>6</v>
      </c>
      <c r="F11" s="16">
        <f t="shared" ref="F11" si="2">VLOOKUP(F4,$A$3:$C$5,3,0)</f>
        <v>2750</v>
      </c>
      <c r="G11" s="16">
        <f>VLOOKUP(G4,$A$3:$C$5,3,0)</f>
        <v>2750</v>
      </c>
      <c r="H11" s="16">
        <f>VLOOKUP(H4,$A$3:$C$5,3,0)</f>
        <v>2750</v>
      </c>
      <c r="I11" s="16">
        <f>VLOOKUP(I4,$A$3:$C$5,3,0)</f>
        <v>2750</v>
      </c>
      <c r="J11" s="16">
        <f>VLOOKUP(J4,$A$3:$C$5,3,0)</f>
        <v>2750</v>
      </c>
    </row>
    <row r="12" spans="1:19" ht="16.5" x14ac:dyDescent="0.3">
      <c r="A12" s="8"/>
      <c r="B12" s="8"/>
      <c r="C12" s="8"/>
      <c r="D12" s="8"/>
      <c r="E12" s="8" t="s">
        <v>7</v>
      </c>
      <c r="F12" s="16">
        <f t="shared" ref="F12" si="3">+$B$7</f>
        <v>800</v>
      </c>
      <c r="G12" s="16">
        <f>+$B$7</f>
        <v>800</v>
      </c>
      <c r="H12" s="16">
        <f>+$B$7</f>
        <v>800</v>
      </c>
      <c r="I12" s="16">
        <f>+$B$7</f>
        <v>800</v>
      </c>
      <c r="J12" s="16">
        <f>+$B$7</f>
        <v>800</v>
      </c>
    </row>
    <row r="13" spans="1:19" ht="16.5" x14ac:dyDescent="0.3">
      <c r="A13" s="8"/>
      <c r="B13" s="8"/>
      <c r="C13" s="8"/>
      <c r="D13" s="8"/>
      <c r="E13" s="8" t="s">
        <v>5</v>
      </c>
      <c r="F13" s="16">
        <f t="shared" ref="F13" si="4">+$B$9</f>
        <v>1000</v>
      </c>
      <c r="G13" s="16">
        <f>+$B$9</f>
        <v>1000</v>
      </c>
      <c r="H13" s="16">
        <f>+$B$9</f>
        <v>1000</v>
      </c>
      <c r="I13" s="16">
        <f>+$B$9</f>
        <v>1000</v>
      </c>
      <c r="J13" s="16">
        <f>+$B$9</f>
        <v>1000</v>
      </c>
    </row>
    <row r="14" spans="1:19" ht="16.5" x14ac:dyDescent="0.3">
      <c r="A14" s="8"/>
      <c r="B14" s="8"/>
      <c r="C14" s="8"/>
      <c r="D14" s="8"/>
      <c r="E14" s="8" t="s">
        <v>8</v>
      </c>
      <c r="F14" s="16">
        <f t="shared" ref="F14" si="5">F10-SUM(F11:F13)</f>
        <v>450</v>
      </c>
      <c r="G14" s="16">
        <f>G10-SUM(G11:G13)</f>
        <v>450</v>
      </c>
      <c r="H14" s="16">
        <f>H10-SUM(H11:H13)</f>
        <v>450</v>
      </c>
      <c r="I14" s="16">
        <f>I10-SUM(I11:I13)</f>
        <v>450</v>
      </c>
      <c r="J14" s="16">
        <f>J10-SUM(J11:J13)</f>
        <v>450</v>
      </c>
    </row>
    <row r="15" spans="1:19" ht="8.1" customHeight="1" x14ac:dyDescent="0.3">
      <c r="A15" s="8"/>
      <c r="B15" s="8"/>
      <c r="C15" s="8"/>
      <c r="D15" s="8"/>
      <c r="E15" s="8"/>
      <c r="F15" s="17"/>
      <c r="G15" s="17"/>
      <c r="H15" s="17"/>
      <c r="I15" s="17"/>
      <c r="J15" s="17"/>
    </row>
    <row r="16" spans="1:19" ht="16.5" x14ac:dyDescent="0.3">
      <c r="A16" s="8"/>
      <c r="B16" s="8"/>
      <c r="C16" s="8"/>
      <c r="D16" s="8"/>
      <c r="E16" s="11" t="s">
        <v>27</v>
      </c>
      <c r="F16" s="17"/>
      <c r="G16" s="17"/>
      <c r="H16" s="17"/>
      <c r="I16" s="17"/>
      <c r="J16" s="17"/>
    </row>
    <row r="17" spans="1:10" ht="16.5" x14ac:dyDescent="0.3">
      <c r="A17" s="8"/>
      <c r="B17" s="8"/>
      <c r="C17" s="8"/>
      <c r="D17" s="8"/>
      <c r="E17" s="8" t="s">
        <v>9</v>
      </c>
      <c r="F17" s="18">
        <f>(F6-F4)*F5</f>
        <v>-10000</v>
      </c>
      <c r="G17" s="18">
        <f>(G6-G4)*G5</f>
        <v>-10000</v>
      </c>
      <c r="H17" s="18">
        <f>(H6-H4)*H5</f>
        <v>5000</v>
      </c>
      <c r="I17" s="18">
        <f>(I6-I4)*I5</f>
        <v>5000</v>
      </c>
      <c r="J17" s="18">
        <f>(IF(J7="Self",0,J6)-J4)*J5</f>
        <v>-10000</v>
      </c>
    </row>
    <row r="18" spans="1:10" ht="16.5" x14ac:dyDescent="0.3">
      <c r="A18" s="8"/>
      <c r="B18" s="8"/>
      <c r="C18" s="8"/>
      <c r="D18" s="8"/>
      <c r="E18" s="19" t="s">
        <v>14</v>
      </c>
      <c r="F18" s="20">
        <f t="shared" ref="F18" si="6">F4*(F5-F3)</f>
        <v>5000</v>
      </c>
      <c r="G18" s="20">
        <f>G4*(G5-G3)</f>
        <v>5000</v>
      </c>
      <c r="H18" s="20">
        <f>H4*(H5-H3)</f>
        <v>5000</v>
      </c>
      <c r="I18" s="20">
        <f>I4*(I5-I3)</f>
        <v>5000</v>
      </c>
      <c r="J18" s="20">
        <f>J4*(J5-J3)</f>
        <v>5000</v>
      </c>
    </row>
    <row r="19" spans="1:10" ht="16.5" x14ac:dyDescent="0.3">
      <c r="A19" s="8"/>
      <c r="B19" s="8"/>
      <c r="C19" s="8"/>
      <c r="D19" s="8"/>
      <c r="E19" s="19" t="s">
        <v>15</v>
      </c>
      <c r="F19" s="20">
        <f>F4*F5-SUM(F11:F12)-IF(SUM($F$6:$F$6)=0,F13,0)</f>
        <v>5450</v>
      </c>
      <c r="G19" s="20">
        <f>G4*G5-SUM(G11:G12)-IF(SUM($F$6:$F$6)=0,G13,0)</f>
        <v>5450</v>
      </c>
      <c r="H19" s="20">
        <f>H4*H5-SUM(H11:H12)-IF(SUM($F$6:$I$6)=0,H13,0)</f>
        <v>6450</v>
      </c>
      <c r="I19" s="20">
        <f>I4*I5-SUM(I11:I12)-IF(SUM($F$6:$I$6)=0,I13,0)</f>
        <v>6450</v>
      </c>
      <c r="J19" s="20">
        <f>J4*J5-SUM(J11:J12)-IF(SUM($F$6:$I$6)=0,J13,0)</f>
        <v>6450</v>
      </c>
    </row>
    <row r="20" spans="1:10" ht="16.5" x14ac:dyDescent="0.3">
      <c r="A20" s="8"/>
      <c r="B20" s="8"/>
      <c r="C20" s="8"/>
      <c r="D20" s="8"/>
      <c r="E20" s="8" t="s">
        <v>10</v>
      </c>
      <c r="F20" s="18">
        <f>IF(F6=0,MAX(F18,F19,0),0)</f>
        <v>5450</v>
      </c>
      <c r="G20" s="18">
        <f>IF(G6=0,MAX(G18,G19,0),0)</f>
        <v>5450</v>
      </c>
      <c r="H20" s="18">
        <f>IF(H6=0,MAX(H18,H19,0),0)</f>
        <v>0</v>
      </c>
      <c r="I20" s="18">
        <f>IF(I6=0,MAX(I18,I19,0),0)</f>
        <v>0</v>
      </c>
      <c r="J20" s="18">
        <f>IF(OR(J6=0,J7="Self"),MAX(J18,J19,0),0)</f>
        <v>6450</v>
      </c>
    </row>
    <row r="21" spans="1:10" ht="16.5" x14ac:dyDescent="0.3">
      <c r="A21" s="8"/>
      <c r="B21" s="8"/>
      <c r="C21" s="8"/>
      <c r="D21" s="8"/>
      <c r="E21" s="8" t="s">
        <v>11</v>
      </c>
      <c r="F21" s="18">
        <f t="shared" ref="F21" si="7">IF(F6=0,0,VLOOKUP(F6,$A$3:$C$5,3,0))</f>
        <v>0</v>
      </c>
      <c r="G21" s="18">
        <f>IF(G6=0,0,VLOOKUP(G6,$A$3:$C$5,3,0))</f>
        <v>0</v>
      </c>
      <c r="H21" s="18">
        <f>IF(H6=0,0,VLOOKUP(H6,$A$3:$C$5,3,0))</f>
        <v>5500</v>
      </c>
      <c r="I21" s="18">
        <f>IF(I6=0,0,VLOOKUP(I6,$A$3:$C$5,3,0))</f>
        <v>5500</v>
      </c>
      <c r="J21" s="18">
        <f>IF(J6=0,0,VLOOKUP(J6,$A$3:$C$5,3,0))</f>
        <v>5500</v>
      </c>
    </row>
    <row r="22" spans="1:10" ht="16.5" x14ac:dyDescent="0.3">
      <c r="A22" s="8"/>
      <c r="B22" s="8"/>
      <c r="C22" s="8"/>
      <c r="D22" s="8"/>
      <c r="E22" s="8" t="s">
        <v>12</v>
      </c>
      <c r="F22" s="18">
        <f t="shared" ref="F22" si="8">IF(F6=0,0,$B$7)</f>
        <v>0</v>
      </c>
      <c r="G22" s="18">
        <f>IF(G6=0,0,$B$7)</f>
        <v>0</v>
      </c>
      <c r="H22" s="18">
        <f>IF(H6=0,0,$B$7)</f>
        <v>800</v>
      </c>
      <c r="I22" s="18">
        <f>IF(I6=0,0,$B$7)</f>
        <v>800</v>
      </c>
      <c r="J22" s="18">
        <f>IF(J6=0,0,$B$7)</f>
        <v>800</v>
      </c>
    </row>
    <row r="23" spans="1:10" ht="16.5" x14ac:dyDescent="0.3">
      <c r="A23" s="8"/>
      <c r="B23" s="8"/>
      <c r="C23" s="8"/>
      <c r="D23" s="8"/>
      <c r="E23" s="8" t="s">
        <v>13</v>
      </c>
      <c r="F23" s="18">
        <f t="shared" ref="F23" si="9">IF(F$6&gt;0,$B$9,0)</f>
        <v>0</v>
      </c>
      <c r="G23" s="18">
        <f>IF(G$6&gt;0,$B$9,0)</f>
        <v>0</v>
      </c>
      <c r="H23" s="18">
        <f>IF(H$6&gt;0,$B$9,0)</f>
        <v>1000</v>
      </c>
      <c r="I23" s="18">
        <f>IF(I$6&gt;0,$B$9,0)</f>
        <v>1000</v>
      </c>
      <c r="J23" s="18">
        <f>IF(J$6&gt;0,$B$9,0)</f>
        <v>1000</v>
      </c>
    </row>
    <row r="24" spans="1:10" ht="8.1" customHeight="1" x14ac:dyDescent="0.3">
      <c r="A24" s="8"/>
      <c r="B24" s="8"/>
      <c r="C24" s="8"/>
      <c r="D24" s="8"/>
      <c r="E24" s="8"/>
      <c r="F24" s="17"/>
      <c r="G24" s="17"/>
      <c r="H24" s="17"/>
      <c r="I24" s="17"/>
      <c r="J24" s="17"/>
    </row>
    <row r="25" spans="1:10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6.5" x14ac:dyDescent="0.3">
      <c r="A26" s="8"/>
      <c r="B26" s="8"/>
      <c r="C26" s="8"/>
      <c r="D26" s="8"/>
      <c r="E26" s="21" t="s">
        <v>36</v>
      </c>
      <c r="F26" s="24">
        <f>SUM(F10,F17*0,F20*0)-SUM(F21:F23)*0</f>
        <v>5000</v>
      </c>
      <c r="G26" s="24">
        <f>SUM(G10,G17,G20)-SUM(G21:G23)</f>
        <v>450</v>
      </c>
      <c r="H26" s="24">
        <f>SUM(H10,H17,H20)-SUM(H21:H23)</f>
        <v>2700</v>
      </c>
      <c r="I26" s="24">
        <f>SUM(I10,I17,I20)-SUM(I21:I23)</f>
        <v>2700</v>
      </c>
      <c r="J26" s="24">
        <f>SUM(J10,J17,J20)-IF(J7="Self",0,SUM(J21:J23))</f>
        <v>1450</v>
      </c>
    </row>
    <row r="27" spans="1:10" ht="16.5" x14ac:dyDescent="0.3">
      <c r="A27" s="8"/>
      <c r="B27" s="8"/>
      <c r="C27" s="8"/>
      <c r="D27" s="8"/>
      <c r="E27" s="21" t="s">
        <v>32</v>
      </c>
      <c r="F27" s="24">
        <f>F10+F17+F20-SUM(F21:F23)</f>
        <v>450</v>
      </c>
      <c r="G27" s="24">
        <f>G10+G17+G20-SUM(G21:G23)</f>
        <v>450</v>
      </c>
      <c r="H27" s="24">
        <f>H10+H17+H20-SUM(H21:H23)</f>
        <v>2700</v>
      </c>
      <c r="I27" s="24">
        <f>I10+I17+I20-SUM(I21:I23)</f>
        <v>2700</v>
      </c>
      <c r="J27" s="24">
        <f>+H27</f>
        <v>2700</v>
      </c>
    </row>
    <row r="28" spans="1:10" ht="16.5" x14ac:dyDescent="0.3">
      <c r="A28" s="8"/>
      <c r="B28" s="8"/>
      <c r="C28" s="8"/>
      <c r="D28" s="8"/>
      <c r="E28" s="21"/>
      <c r="F28" s="22"/>
      <c r="G28" s="22"/>
    </row>
    <row r="29" spans="1:10" x14ac:dyDescent="0.25">
      <c r="E29" s="5"/>
      <c r="F29" s="6"/>
      <c r="G29" s="6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E2" sqref="E2:J28"/>
    </sheetView>
  </sheetViews>
  <sheetFormatPr defaultRowHeight="15" x14ac:dyDescent="0.25"/>
  <cols>
    <col min="1" max="1" width="20.5703125" bestFit="1" customWidth="1"/>
    <col min="2" max="2" width="15.28515625" customWidth="1"/>
    <col min="3" max="3" width="18.5703125" customWidth="1"/>
    <col min="4" max="4" width="9.140625" customWidth="1"/>
    <col min="5" max="5" width="28.42578125" customWidth="1"/>
    <col min="6" max="10" width="11.42578125" customWidth="1"/>
    <col min="11" max="19" width="9.140625" customWidth="1"/>
  </cols>
  <sheetData>
    <row r="1" spans="1:19" ht="16.5" x14ac:dyDescent="0.3">
      <c r="A1" s="1" t="s">
        <v>25</v>
      </c>
      <c r="B1" s="1"/>
      <c r="C1" s="1"/>
      <c r="D1" s="8"/>
      <c r="E1" s="8"/>
      <c r="F1" s="12" t="s">
        <v>31</v>
      </c>
      <c r="G1" s="12" t="s">
        <v>33</v>
      </c>
      <c r="H1" s="12" t="s">
        <v>39</v>
      </c>
      <c r="I1" s="12" t="s">
        <v>34</v>
      </c>
      <c r="J1" s="12" t="s">
        <v>37</v>
      </c>
    </row>
    <row r="2" spans="1:19" ht="16.5" x14ac:dyDescent="0.3">
      <c r="A2" s="9" t="s">
        <v>2</v>
      </c>
      <c r="B2" s="10" t="s">
        <v>24</v>
      </c>
      <c r="C2" s="10" t="s">
        <v>21</v>
      </c>
      <c r="D2" s="8"/>
      <c r="E2" s="11"/>
      <c r="F2" s="12" t="s">
        <v>3</v>
      </c>
      <c r="G2" s="12" t="s">
        <v>3</v>
      </c>
      <c r="H2" s="12" t="s">
        <v>38</v>
      </c>
      <c r="I2" s="12" t="s">
        <v>35</v>
      </c>
      <c r="J2" s="12" t="s">
        <v>35</v>
      </c>
      <c r="K2" s="2"/>
      <c r="L2" s="2"/>
      <c r="M2" s="2"/>
      <c r="N2" s="2"/>
      <c r="O2" s="2"/>
      <c r="P2" s="2"/>
      <c r="Q2" s="2"/>
      <c r="R2" s="2"/>
      <c r="S2" s="2"/>
    </row>
    <row r="3" spans="1:19" ht="16.5" x14ac:dyDescent="0.3">
      <c r="A3" s="25">
        <v>50</v>
      </c>
      <c r="B3" s="25">
        <v>25</v>
      </c>
      <c r="C3" s="13">
        <f>+A3*B3</f>
        <v>1250</v>
      </c>
      <c r="D3" s="8"/>
      <c r="E3" s="8" t="s">
        <v>17</v>
      </c>
      <c r="F3" s="14">
        <v>50</v>
      </c>
      <c r="G3" s="14">
        <v>50</v>
      </c>
      <c r="H3" s="14">
        <v>50</v>
      </c>
      <c r="I3" s="14">
        <v>50</v>
      </c>
      <c r="J3" s="14">
        <v>50</v>
      </c>
    </row>
    <row r="4" spans="1:19" ht="16.5" x14ac:dyDescent="0.3">
      <c r="A4" s="25">
        <v>100</v>
      </c>
      <c r="B4" s="25">
        <v>30</v>
      </c>
      <c r="C4" s="13">
        <f>+C3+(A4-A3)*B4</f>
        <v>2750</v>
      </c>
      <c r="D4" s="8"/>
      <c r="E4" s="8" t="s">
        <v>18</v>
      </c>
      <c r="F4" s="14">
        <f t="shared" ref="F4" si="0">IF(F$3&gt;=$B$5,$A$5,IF(F$3&gt;=$B$4,$A$4,IF(F$3&gt;=$B$3,$A$3,0)))</f>
        <v>100</v>
      </c>
      <c r="G4" s="14">
        <f>IF(G$3&gt;=$B$5,$A$5,IF(G$3&gt;=$B$4,$A$4,IF(G$3&gt;=$B$3,$A$3,0)))</f>
        <v>100</v>
      </c>
      <c r="H4" s="14">
        <f>IF(H$3&gt;=$B$5,$A$5,IF(H$3&gt;=$B$4,$A$4,IF(H$3&gt;=$B$3,$A$3,0)))</f>
        <v>100</v>
      </c>
      <c r="I4" s="14">
        <f>IF(I$3&gt;=$B$5,$A$5,IF(I$3&gt;=$B$4,$A$4,IF(I$3&gt;=$B$3,$A$3,0)))</f>
        <v>100</v>
      </c>
      <c r="J4" s="14">
        <f>IF(J$3&gt;=$B$5,$A$5,IF(J$3&gt;=$B$4,$A$4,IF(J$3&gt;=$B$3,$A$3,0)))</f>
        <v>100</v>
      </c>
    </row>
    <row r="5" spans="1:19" ht="16.5" x14ac:dyDescent="0.3">
      <c r="A5" s="25">
        <v>150</v>
      </c>
      <c r="B5" s="25">
        <v>55</v>
      </c>
      <c r="C5" s="13">
        <f>+C4+(A5-A4)*B5</f>
        <v>5500</v>
      </c>
      <c r="D5" s="8"/>
      <c r="E5" s="8" t="s">
        <v>19</v>
      </c>
      <c r="F5" s="14">
        <v>100</v>
      </c>
      <c r="G5" s="14">
        <v>100</v>
      </c>
      <c r="H5" s="14">
        <v>100</v>
      </c>
      <c r="I5" s="14">
        <v>100</v>
      </c>
      <c r="J5" s="14">
        <v>100</v>
      </c>
    </row>
    <row r="6" spans="1:19" ht="16.5" x14ac:dyDescent="0.3">
      <c r="A6" s="25"/>
      <c r="B6" s="25"/>
      <c r="C6" s="25"/>
      <c r="D6" s="8"/>
      <c r="E6" s="8" t="s">
        <v>20</v>
      </c>
      <c r="F6" s="14">
        <v>0</v>
      </c>
      <c r="G6" s="14">
        <v>0</v>
      </c>
      <c r="H6" s="14">
        <v>50</v>
      </c>
      <c r="I6" s="14">
        <v>50</v>
      </c>
      <c r="J6" s="14">
        <v>50</v>
      </c>
    </row>
    <row r="7" spans="1:19" ht="16.5" x14ac:dyDescent="0.3">
      <c r="A7" s="25" t="s">
        <v>23</v>
      </c>
      <c r="B7" s="13">
        <v>800</v>
      </c>
      <c r="C7" s="25"/>
      <c r="D7" s="8"/>
      <c r="E7" s="8" t="s">
        <v>1</v>
      </c>
      <c r="F7" s="14" t="s">
        <v>3</v>
      </c>
      <c r="G7" s="14" t="s">
        <v>3</v>
      </c>
      <c r="H7" s="14" t="s">
        <v>16</v>
      </c>
      <c r="I7" s="14" t="s">
        <v>16</v>
      </c>
      <c r="J7" s="14" t="s">
        <v>16</v>
      </c>
    </row>
    <row r="8" spans="1:19" ht="8.1" customHeight="1" x14ac:dyDescent="0.3">
      <c r="A8" s="25"/>
      <c r="B8" s="25"/>
      <c r="C8" s="25"/>
      <c r="D8" s="8"/>
      <c r="E8" s="8"/>
      <c r="F8" s="8"/>
      <c r="G8" s="8"/>
      <c r="H8" s="8"/>
      <c r="I8" s="8"/>
      <c r="J8" s="8"/>
      <c r="K8" s="2"/>
      <c r="L8" s="2"/>
      <c r="M8" s="2"/>
      <c r="N8" s="2"/>
      <c r="O8" s="3"/>
      <c r="P8" s="3"/>
      <c r="Q8" s="3"/>
      <c r="R8" s="3"/>
      <c r="S8" s="3"/>
    </row>
    <row r="9" spans="1:19" ht="16.5" x14ac:dyDescent="0.3">
      <c r="A9" s="25" t="s">
        <v>22</v>
      </c>
      <c r="B9" s="13">
        <v>1000</v>
      </c>
      <c r="C9" s="25"/>
      <c r="D9" s="8"/>
      <c r="E9" s="11" t="s">
        <v>26</v>
      </c>
      <c r="F9" s="8"/>
      <c r="G9" s="8"/>
      <c r="H9" s="8"/>
      <c r="I9" s="8"/>
      <c r="J9" s="8"/>
      <c r="K9" s="2"/>
      <c r="L9" s="2"/>
      <c r="M9" s="2"/>
      <c r="N9" s="2"/>
      <c r="O9" s="3"/>
      <c r="P9" s="3"/>
      <c r="Q9" s="3"/>
      <c r="R9" s="3"/>
      <c r="S9" s="3"/>
    </row>
    <row r="10" spans="1:19" ht="16.5" x14ac:dyDescent="0.3">
      <c r="A10" s="8"/>
      <c r="B10" s="8"/>
      <c r="C10" s="8"/>
      <c r="D10" s="8"/>
      <c r="E10" s="8" t="s">
        <v>4</v>
      </c>
      <c r="F10" s="16">
        <f t="shared" ref="F10" si="1">F3*F4</f>
        <v>5000</v>
      </c>
      <c r="G10" s="16">
        <f>G3*G4</f>
        <v>5000</v>
      </c>
      <c r="H10" s="16">
        <f>H3*H4</f>
        <v>5000</v>
      </c>
      <c r="I10" s="16">
        <f>I3*I4</f>
        <v>5000</v>
      </c>
      <c r="J10" s="16">
        <f>J3*J4</f>
        <v>5000</v>
      </c>
    </row>
    <row r="11" spans="1:19" ht="16.5" x14ac:dyDescent="0.3">
      <c r="A11" s="8"/>
      <c r="B11" s="8"/>
      <c r="C11" s="8"/>
      <c r="D11" s="8"/>
      <c r="E11" s="8" t="s">
        <v>6</v>
      </c>
      <c r="F11" s="16">
        <f t="shared" ref="F11" si="2">VLOOKUP(F4,$A$3:$C$5,3,0)</f>
        <v>2750</v>
      </c>
      <c r="G11" s="16">
        <f>VLOOKUP(G4,$A$3:$C$5,3,0)</f>
        <v>2750</v>
      </c>
      <c r="H11" s="16">
        <f>VLOOKUP(H4,$A$3:$C$5,3,0)</f>
        <v>2750</v>
      </c>
      <c r="I11" s="16">
        <f>VLOOKUP(I4,$A$3:$C$5,3,0)</f>
        <v>2750</v>
      </c>
      <c r="J11" s="16">
        <f>VLOOKUP(J4,$A$3:$C$5,3,0)</f>
        <v>2750</v>
      </c>
    </row>
    <row r="12" spans="1:19" ht="16.5" x14ac:dyDescent="0.3">
      <c r="A12" s="8"/>
      <c r="B12" s="8"/>
      <c r="C12" s="8"/>
      <c r="D12" s="8"/>
      <c r="E12" s="8" t="s">
        <v>7</v>
      </c>
      <c r="F12" s="16">
        <f t="shared" ref="F12" si="3">+$B$7</f>
        <v>800</v>
      </c>
      <c r="G12" s="16">
        <f>+$B$7</f>
        <v>800</v>
      </c>
      <c r="H12" s="16">
        <f>+$B$7</f>
        <v>800</v>
      </c>
      <c r="I12" s="16">
        <f>+$B$7</f>
        <v>800</v>
      </c>
      <c r="J12" s="16">
        <f>+$B$7</f>
        <v>800</v>
      </c>
    </row>
    <row r="13" spans="1:19" ht="16.5" x14ac:dyDescent="0.3">
      <c r="A13" s="8"/>
      <c r="B13" s="8"/>
      <c r="C13" s="8"/>
      <c r="D13" s="8"/>
      <c r="E13" s="8" t="s">
        <v>5</v>
      </c>
      <c r="F13" s="16">
        <f>+$B$9</f>
        <v>1000</v>
      </c>
      <c r="G13" s="16">
        <f>+$B$9</f>
        <v>1000</v>
      </c>
      <c r="H13" s="16">
        <f>+$B$9</f>
        <v>1000</v>
      </c>
      <c r="I13" s="16">
        <f>+$B$9</f>
        <v>1000</v>
      </c>
      <c r="J13" s="16">
        <f>IF(J$4&gt;0,$B$9/COUNTIF($F$4:$I$4,"&gt;0"),0)</f>
        <v>250</v>
      </c>
    </row>
    <row r="14" spans="1:19" ht="16.5" x14ac:dyDescent="0.3">
      <c r="A14" s="8"/>
      <c r="B14" s="8"/>
      <c r="C14" s="8"/>
      <c r="D14" s="8"/>
      <c r="E14" s="8" t="s">
        <v>8</v>
      </c>
      <c r="F14" s="16">
        <f t="shared" ref="F14" si="4">F10-SUM(F11:F13)</f>
        <v>450</v>
      </c>
      <c r="G14" s="16">
        <f>G10-SUM(G11:G13)</f>
        <v>450</v>
      </c>
      <c r="H14" s="16">
        <f>H10-SUM(H11:H13)</f>
        <v>450</v>
      </c>
      <c r="I14" s="16">
        <f>I10-SUM(I11:I13)</f>
        <v>450</v>
      </c>
      <c r="J14" s="16">
        <f>J10-SUM(J11:J13)</f>
        <v>1200</v>
      </c>
    </row>
    <row r="15" spans="1:19" ht="8.1" customHeight="1" x14ac:dyDescent="0.3">
      <c r="A15" s="8"/>
      <c r="B15" s="8"/>
      <c r="C15" s="8"/>
      <c r="D15" s="8"/>
      <c r="E15" s="8"/>
      <c r="F15" s="17"/>
      <c r="G15" s="17"/>
      <c r="H15" s="17"/>
      <c r="I15" s="17"/>
      <c r="J15" s="17"/>
    </row>
    <row r="16" spans="1:19" ht="16.5" x14ac:dyDescent="0.3">
      <c r="A16" s="8"/>
      <c r="B16" s="8"/>
      <c r="C16" s="8"/>
      <c r="D16" s="8"/>
      <c r="E16" s="11" t="s">
        <v>27</v>
      </c>
      <c r="F16" s="17"/>
      <c r="G16" s="17"/>
      <c r="H16" s="17"/>
      <c r="I16" s="17"/>
      <c r="J16" s="17"/>
    </row>
    <row r="17" spans="1:10" ht="16.5" x14ac:dyDescent="0.3">
      <c r="A17" s="8"/>
      <c r="B17" s="8"/>
      <c r="C17" s="8"/>
      <c r="D17" s="8"/>
      <c r="E17" s="8" t="s">
        <v>9</v>
      </c>
      <c r="F17" s="18">
        <f>(F6-F4)*F5</f>
        <v>-10000</v>
      </c>
      <c r="G17" s="18">
        <f>(G6-G4)*G5</f>
        <v>-10000</v>
      </c>
      <c r="H17" s="18">
        <f>(H6-H4)*H5</f>
        <v>-5000</v>
      </c>
      <c r="I17" s="18">
        <f>(I6-I4)*I5</f>
        <v>-5000</v>
      </c>
      <c r="J17" s="18">
        <f>(IF(J7="Self",0,J6)-J4)*J5</f>
        <v>-10000</v>
      </c>
    </row>
    <row r="18" spans="1:10" ht="16.5" x14ac:dyDescent="0.3">
      <c r="A18" s="8"/>
      <c r="B18" s="8"/>
      <c r="C18" s="8"/>
      <c r="D18" s="8"/>
      <c r="E18" s="19" t="s">
        <v>14</v>
      </c>
      <c r="F18" s="20">
        <f t="shared" ref="F18" si="5">F4*(F5-F3)</f>
        <v>5000</v>
      </c>
      <c r="G18" s="20">
        <f>G4*(G5-G3)</f>
        <v>5000</v>
      </c>
      <c r="H18" s="20">
        <f>H4*(H5-H3)</f>
        <v>5000</v>
      </c>
      <c r="I18" s="20">
        <f>I4*(I5-I3)</f>
        <v>5000</v>
      </c>
      <c r="J18" s="20">
        <f>J4*(J5-J3)</f>
        <v>5000</v>
      </c>
    </row>
    <row r="19" spans="1:10" ht="16.5" x14ac:dyDescent="0.3">
      <c r="A19" s="8"/>
      <c r="B19" s="8"/>
      <c r="C19" s="8"/>
      <c r="D19" s="8"/>
      <c r="E19" s="19" t="s">
        <v>15</v>
      </c>
      <c r="F19" s="20">
        <f>F4*F5-SUM(F11:F12)-IF(SUM($F$6:$F$6)=0,F13,0)</f>
        <v>5450</v>
      </c>
      <c r="G19" s="20">
        <f>G4*G5-SUM(G11:G12)-IF(SUM($F$6:$F$6)=0,G13,0)</f>
        <v>5450</v>
      </c>
      <c r="H19" s="20">
        <f>H4*H5-SUM(H11:H12)-IF(SUM($F$6:$I$6)=0,H13,0)</f>
        <v>6450</v>
      </c>
      <c r="I19" s="20">
        <f>I4*I5-SUM(I11:I12)-IF(SUM($F$6:$I$6)=0,I13,0)</f>
        <v>6450</v>
      </c>
      <c r="J19" s="20">
        <f>J4*J5-SUM(J11:J12)-IF(SUM($F$6:$I$6)=0,J13,0)</f>
        <v>6450</v>
      </c>
    </row>
    <row r="20" spans="1:10" ht="16.5" x14ac:dyDescent="0.3">
      <c r="A20" s="8"/>
      <c r="B20" s="8"/>
      <c r="C20" s="8"/>
      <c r="D20" s="8"/>
      <c r="E20" s="8" t="s">
        <v>10</v>
      </c>
      <c r="F20" s="18">
        <f>IF(F6=0,MAX(F18,F19,0),0)</f>
        <v>5450</v>
      </c>
      <c r="G20" s="18">
        <f>IF(G6=0,MAX(G18,G19,0),0)</f>
        <v>5450</v>
      </c>
      <c r="H20" s="18">
        <f>IF(H6=0,MAX(H18,H19,0),0)</f>
        <v>0</v>
      </c>
      <c r="I20" s="18">
        <f>IF(I6=0,MAX(I18,I19,0),0)</f>
        <v>0</v>
      </c>
      <c r="J20" s="18">
        <f>IF(OR(J6=0,J7="Self"),MAX(J18,J19,0),0)</f>
        <v>6450</v>
      </c>
    </row>
    <row r="21" spans="1:10" ht="16.5" x14ac:dyDescent="0.3">
      <c r="A21" s="8"/>
      <c r="B21" s="8"/>
      <c r="C21" s="8"/>
      <c r="D21" s="8"/>
      <c r="E21" s="8" t="s">
        <v>11</v>
      </c>
      <c r="F21" s="18">
        <f t="shared" ref="F21" si="6">IF(F6=0,0,VLOOKUP(F6,$A$3:$C$5,3,0))</f>
        <v>0</v>
      </c>
      <c r="G21" s="18">
        <f>IF(G6=0,0,VLOOKUP(G6,$A$3:$C$5,3,0))</f>
        <v>0</v>
      </c>
      <c r="H21" s="18">
        <f>IF(H6=0,0,VLOOKUP(H6,$A$3:$C$5,3,0))</f>
        <v>1250</v>
      </c>
      <c r="I21" s="18">
        <f>IF(I6=0,0,VLOOKUP(I6,$A$3:$C$5,3,0))</f>
        <v>1250</v>
      </c>
      <c r="J21" s="18">
        <f>IF(J6=0,0,VLOOKUP(J6,$A$3:$C$5,3,0))</f>
        <v>1250</v>
      </c>
    </row>
    <row r="22" spans="1:10" ht="16.5" x14ac:dyDescent="0.3">
      <c r="A22" s="8"/>
      <c r="B22" s="8"/>
      <c r="C22" s="8"/>
      <c r="D22" s="8"/>
      <c r="E22" s="8" t="s">
        <v>12</v>
      </c>
      <c r="F22" s="18">
        <f t="shared" ref="F22" si="7">IF(F6=0,0,$B$7)</f>
        <v>0</v>
      </c>
      <c r="G22" s="18">
        <f>IF(G6=0,0,$B$7)</f>
        <v>0</v>
      </c>
      <c r="H22" s="18">
        <f>IF(H6=0,0,$B$7)</f>
        <v>800</v>
      </c>
      <c r="I22" s="18">
        <f>IF(I6=0,0,$B$7)</f>
        <v>800</v>
      </c>
      <c r="J22" s="18">
        <f>IF(J6=0,0,$B$7)</f>
        <v>800</v>
      </c>
    </row>
    <row r="23" spans="1:10" ht="16.5" x14ac:dyDescent="0.3">
      <c r="A23" s="8"/>
      <c r="B23" s="8"/>
      <c r="C23" s="8"/>
      <c r="D23" s="8"/>
      <c r="E23" s="8" t="s">
        <v>13</v>
      </c>
      <c r="F23" s="18">
        <f t="shared" ref="F23" si="8">IF(F$6&gt;0,$B$9,0)</f>
        <v>0</v>
      </c>
      <c r="G23" s="18">
        <f>IF(G$6&gt;0,$B$9,0)</f>
        <v>0</v>
      </c>
      <c r="H23" s="18">
        <f>IF(H$6&gt;0,$B$9,0)</f>
        <v>1000</v>
      </c>
      <c r="I23" s="18">
        <f>IF(I$6&gt;0,$B$9,0)</f>
        <v>1000</v>
      </c>
      <c r="J23" s="18">
        <f>IF(J$6&gt;0,$B$9,0)</f>
        <v>1000</v>
      </c>
    </row>
    <row r="24" spans="1:10" ht="8.1" customHeight="1" x14ac:dyDescent="0.3">
      <c r="A24" s="8"/>
      <c r="B24" s="8"/>
      <c r="C24" s="8"/>
      <c r="D24" s="8"/>
      <c r="E24" s="8"/>
      <c r="F24" s="17"/>
      <c r="G24" s="17"/>
      <c r="H24" s="17"/>
      <c r="I24" s="17"/>
      <c r="J24" s="17"/>
    </row>
    <row r="25" spans="1:10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6.5" x14ac:dyDescent="0.3">
      <c r="A26" s="8"/>
      <c r="B26" s="8"/>
      <c r="C26" s="8"/>
      <c r="D26" s="8"/>
      <c r="E26" s="21" t="s">
        <v>36</v>
      </c>
      <c r="F26" s="24">
        <f>SUM(F10,F17*0,F20*0)-SUM(F21:F23)*0</f>
        <v>5000</v>
      </c>
      <c r="G26" s="24">
        <f>SUM(G10,G17,G20)-SUM(G21:G23)</f>
        <v>450</v>
      </c>
      <c r="H26" s="24">
        <f>SUM(H10,H17,H20)-SUM(H21:H23)</f>
        <v>-3050</v>
      </c>
      <c r="I26" s="24">
        <f>MAX(SUM(I10,I17,I20)-SUM(I21:I23),0)</f>
        <v>0</v>
      </c>
      <c r="J26" s="24">
        <f>SUM(J10,J17,J20)-IF(J7="Self",0,SUM(J21:J23))</f>
        <v>1450</v>
      </c>
    </row>
    <row r="27" spans="1:10" ht="16.5" x14ac:dyDescent="0.3">
      <c r="A27" s="8"/>
      <c r="B27" s="8"/>
      <c r="C27" s="8"/>
      <c r="D27" s="8"/>
      <c r="E27" s="21" t="s">
        <v>32</v>
      </c>
      <c r="F27" s="24">
        <f>F10+F17+F20-SUM(F21:F23)</f>
        <v>450</v>
      </c>
      <c r="G27" s="24">
        <f>G10+G17+G20-SUM(G21:G23)</f>
        <v>450</v>
      </c>
      <c r="H27" s="24">
        <f>H10+H17+H20-SUM(H21:H23)</f>
        <v>-3050</v>
      </c>
      <c r="I27" s="24">
        <f>I10+I17+I20-SUM(I21:I23)</f>
        <v>-3050</v>
      </c>
      <c r="J27" s="24">
        <f>+H27</f>
        <v>-3050</v>
      </c>
    </row>
    <row r="28" spans="1:10" ht="16.5" x14ac:dyDescent="0.3">
      <c r="A28" s="8"/>
      <c r="B28" s="8"/>
      <c r="C28" s="8"/>
      <c r="D28" s="8"/>
      <c r="E28" s="21"/>
      <c r="F28" s="22"/>
      <c r="G28" s="22"/>
    </row>
    <row r="29" spans="1:10" x14ac:dyDescent="0.25">
      <c r="E29" s="5"/>
      <c r="F29" s="6"/>
      <c r="G29" s="6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0DEF1FE2251C4D88A91A2B40398D99" ma:contentTypeVersion="40" ma:contentTypeDescription="Create a new document." ma:contentTypeScope="" ma:versionID="9b7cea461ba7dde5087c17b88b262032">
  <xsd:schema xmlns:xsd="http://www.w3.org/2001/XMLSchema" xmlns:xs="http://www.w3.org/2001/XMLSchema" xmlns:p="http://schemas.microsoft.com/office/2006/metadata/properties" xmlns:ns2="6afa1ab1-c51d-411d-a97a-ff65c9e22441" targetNamespace="http://schemas.microsoft.com/office/2006/metadata/properties" ma:root="true" ma:fieldsID="5896b7d520348192023daf0bc572a353" ns2:_="">
    <xsd:import namespace="6afa1ab1-c51d-411d-a97a-ff65c9e224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a1ab1-c51d-411d-a97a-ff65c9e22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B94C75-F801-43A5-B3C1-F2EB09E63BFA}"/>
</file>

<file path=customXml/itemProps2.xml><?xml version="1.0" encoding="utf-8"?>
<ds:datastoreItem xmlns:ds="http://schemas.openxmlformats.org/officeDocument/2006/customXml" ds:itemID="{0DFF39F7-10D5-48B9-82B9-E92CF002A4B8}"/>
</file>

<file path=customXml/itemProps3.xml><?xml version="1.0" encoding="utf-8"?>
<ds:datastoreItem xmlns:ds="http://schemas.openxmlformats.org/officeDocument/2006/customXml" ds:itemID="{5151C192-5BD8-44C4-ADC7-7903A449EE89}"/>
</file>

<file path=customXml/itemProps4.xml><?xml version="1.0" encoding="utf-8"?>
<ds:datastoreItem xmlns:ds="http://schemas.openxmlformats.org/officeDocument/2006/customXml" ds:itemID="{A6AFC8E5-5DDF-4C61-B53F-099B5BA85344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RT=DA</vt:lpstr>
      <vt:lpstr>RT&gt;DA</vt:lpstr>
      <vt:lpstr>RT&lt;DA</vt:lpstr>
      <vt:lpstr>Self Schedule - Profit</vt:lpstr>
      <vt:lpstr>Self Schedule - Loss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1899-12-30T05:00:00Z</dcterms:created>
  <dcterms:modified xsi:type="dcterms:W3CDTF">2024-11-06T20:33:35Z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0x010100360DEF1FE2251C4D88A91A2B40398D99</vt:lpwstr>
  </property>
  <property fmtid="{D5CDD505-2E9C-101B-9397-08002B2CF9AE}" pid="3" name="_dlc_DocId">
    <vt:lpwstr>MUPMUYPVAE2Q-900932003-191119</vt:lpwstr>
  </property>
  <property fmtid="{D5CDD505-2E9C-101B-9397-08002B2CF9AE}" pid="4" name="_dlc_DocIdUrl">
    <vt:lpwstr>http://portal.ma.corp/Docs/_layouts/15/DocIdRedir.aspx?ID=MUPMUYPVAE2Q-900932003-191119, MUPMUYPVAE2Q-900932003-191119</vt:lpwstr>
  </property>
  <property fmtid="{D5CDD505-2E9C-101B-9397-08002B2CF9AE}" pid="5" name="_dlc_DocIdItemGuid">
    <vt:lpwstr>0406e0fe-1989-4137-8c02-b723266cdd1e</vt:lpwstr>
  </property>
</Properties>
</file>