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087584_exelonds_com/Documents/Desktop/FERC/Formula Rate Filings/2023/Pepco/"/>
    </mc:Choice>
  </mc:AlternateContent>
  <xr:revisionPtr revIDLastSave="0" documentId="8_{AE49CE7B-3696-4F6D-B660-FE0916D3A76D}" xr6:coauthVersionLast="47" xr6:coauthVersionMax="47" xr10:uidLastSave="{00000000-0000-0000-0000-000000000000}"/>
  <bookViews>
    <workbookView xWindow="28680" yWindow="-120" windowWidth="29040" windowHeight="15840" xr2:uid="{04017C3B-A72C-40FB-B697-95FF0239F62B}"/>
  </bookViews>
  <sheets>
    <sheet name="1. AFUDC Equity Depreciation" sheetId="1" r:id="rId1"/>
    <sheet name="2. AFUDC Equity Incurred" sheetId="2" r:id="rId2"/>
    <sheet name="3. Depreciation Rate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localSheetId="2" hidden="1">{"'Metretek HTML'!$A$7:$W$42"}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localSheetId="2" hidden="1">{"'Metretek HTML'!$A$7:$W$42"}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localSheetId="2" hidden="1">{"'Metretek HTML'!$A$7:$W$42"}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localSheetId="2" hidden="1">{"'Metretek HTML'!$A$7:$W$42"}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localSheetId="2" hidden="1">{"'Metretek HTML'!$A$7:$W$42"}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hidden="1">'[9]10'!#REF!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hidden="1">[10]Depreciation!#REF!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hidden="1">[10]Depreciation!#REF!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hidden="1">[10]Depreciation!#REF!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hidden="1">[10]Depreciation!#REF!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hidden="1">[10]Depreciation!#REF!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'[11]Cost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localSheetId="2" hidden="1">{"'Metretek HTML'!$A$7:$W$42"}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hidden="1">'[12]10'!#REF!</definedName>
    <definedName name="_1__123Graph_ACONTRACT_BY_B_U" hidden="1">'[13]QRE Charts'!$D$275:$Q$275</definedName>
    <definedName name="_1_0_0_K" hidden="1">[14]Masterdata!#REF!</definedName>
    <definedName name="_1_0_0_L" hidden="1">[14]Masterdata!#REF!</definedName>
    <definedName name="_10__123Graph_ACHART_17" hidden="1">'[12]10'!#REF!</definedName>
    <definedName name="_10__123Graph_ASUPPLIES_BY_B_U" hidden="1">'[13]QRE Charts'!$D$249:$Q$249</definedName>
    <definedName name="_10__123Graph_AWAGES_BY_B_U" hidden="1">'[15]QRE Charts'!$D$223:$R$223</definedName>
    <definedName name="_10__123Graph_BQRE_S_BY_TYPE" hidden="1">'[13]QRE''s'!$D$100:$R$100</definedName>
    <definedName name="_102__123Graph_XQRE_S_BY_CO." hidden="1">'[13]QRE Charts'!$D$222:$R$222</definedName>
    <definedName name="_105__123Graph_XQRE_S_BY_TYPE" hidden="1">'[13]QRE Charts'!$D$222:$R$222</definedName>
    <definedName name="_108__123Graph_XSUPPLIES_BY_B_U" hidden="1">'[13]QRE Charts'!$D$222:$R$222</definedName>
    <definedName name="_11__123Graph_ACHART_17" hidden="1">'[16]10'!#REF!</definedName>
    <definedName name="_11__123Graph_BCONTRACT_BY_B_U" hidden="1">'[15]QRE Charts'!$D$276:$Q$276</definedName>
    <definedName name="_11__123Graph_BSENS_COMPARISON" hidden="1">'[13]QRE Charts'!$E$366:$O$366</definedName>
    <definedName name="_111__123Graph_XTAX_CREDIT" hidden="1">'[13]QRE Charts'!$C$332:$C$342</definedName>
    <definedName name="_113_0_0_K" hidden="1">[14]Masterdata!#REF!</definedName>
    <definedName name="_115_0_0_S" hidden="1">[14]Masterdata!#REF!</definedName>
    <definedName name="_12__123Graph_ASENS_COMPARISON" hidden="1">'[13]QRE Charts'!$E$365:$O$365</definedName>
    <definedName name="_12__123Graph_ATAX_CREDIT" hidden="1">'[13]QRE Charts'!$D$332:$D$342</definedName>
    <definedName name="_12__123Graph_BQRE_S_BY_CO." hidden="1">'[15]QRE Charts'!$D$302:$R$302</definedName>
    <definedName name="_12__123Graph_BSUPPLIES_BY_B_U" hidden="1">'[13]QRE Charts'!$D$250:$Q$250</definedName>
    <definedName name="_13__123Graph_BQRE_S_BY_TYPE" hidden="1">'[15]QRE''s'!$D$100:$R$100</definedName>
    <definedName name="_13__123Graph_BTAX_CREDIT" hidden="1">'[13]QRE Charts'!$E$332:$E$342</definedName>
    <definedName name="_14__123Graph_AWAGES_BY_B_U" hidden="1">'[13]QRE Charts'!$D$223:$R$223</definedName>
    <definedName name="_14__123Graph_BSENS_COMPARISON" hidden="1">'[15]QRE Charts'!$E$366:$O$366</definedName>
    <definedName name="_14__123Graph_BWAGES_BY_B_U" hidden="1">'[13]QRE Charts'!$D$224:$R$224</definedName>
    <definedName name="_15__123Graph_ASUPPLIES_BY_B_U" hidden="1">'[13]QRE Charts'!$D$249:$Q$249</definedName>
    <definedName name="_15__123Graph_BSUPPLIES_BY_B_U" hidden="1">'[15]QRE Charts'!$D$250:$Q$250</definedName>
    <definedName name="_15__123Graph_CCONTRACT_BY_B_U" hidden="1">'[13]QRE Charts'!$D$277:$Q$277</definedName>
    <definedName name="_16__123Graph_BCONTRACT_BY_B_U" hidden="1">'[13]QRE Charts'!$D$276:$Q$276</definedName>
    <definedName name="_16__123Graph_BTAX_CREDIT" hidden="1">'[15]QRE Charts'!$E$332:$E$342</definedName>
    <definedName name="_16__123Graph_CQRE_S_BY_CO." hidden="1">'[13]QRE Charts'!$D$303:$R$303</definedName>
    <definedName name="_17__123Graph_BWAGES_BY_B_U" hidden="1">'[15]QRE Charts'!$D$224:$R$224</definedName>
    <definedName name="_17__123Graph_CQRE_S_BY_TYPE" hidden="1">'[13]QRE''s'!$D$101:$R$101</definedName>
    <definedName name="_18__123Graph_ATAX_CREDIT" hidden="1">'[13]QRE Charts'!$D$332:$D$342</definedName>
    <definedName name="_18__123Graph_BQRE_S_BY_CO." hidden="1">'[13]QRE Charts'!$D$302:$R$302</definedName>
    <definedName name="_18__123Graph_CCONTRACT_BY_B_U" hidden="1">'[15]QRE Charts'!$D$277:$Q$277</definedName>
    <definedName name="_18__123Graph_CSENS_COMPARISON" hidden="1">'[13]QRE Charts'!$E$367:$O$367</definedName>
    <definedName name="_19__123Graph_CQRE_S_BY_CO." hidden="1">'[15]QRE Charts'!$D$303:$R$303</definedName>
    <definedName name="_19__123Graph_CSUPPLIES_BY_B_U" hidden="1">'[13]QRE Charts'!$D$251:$Q$251</definedName>
    <definedName name="_1JE220_WP">#REF!</definedName>
    <definedName name="_1K" hidden="1">#REF!</definedName>
    <definedName name="_2__123Graph_ACHART_17" hidden="1">'[12]10'!#REF!</definedName>
    <definedName name="_2__123Graph_ACONTRACT_BY_B_U" hidden="1">'[13]QRE Charts'!$D$275:$Q$275</definedName>
    <definedName name="_2__123Graph_AQRE_S_BY_CO." hidden="1">'[13]QRE Charts'!$D$301:$R$301</definedName>
    <definedName name="_2_0_0_S" hidden="1">[14]Masterdata!#REF!</definedName>
    <definedName name="_20__123Graph_BQRE_S_BY_TYPE" hidden="1">'[13]QRE''s'!$D$100:$R$100</definedName>
    <definedName name="_20__123Graph_CQRE_S_BY_TYPE" hidden="1">'[15]QRE''s'!$D$101:$R$101</definedName>
    <definedName name="_20__123Graph_CWAGES_BY_B_U" hidden="1">'[13]QRE Charts'!$D$225:$R$225</definedName>
    <definedName name="_21__123Graph_AWAGES_BY_B_U" hidden="1">'[13]QRE Charts'!$D$223:$R$223</definedName>
    <definedName name="_21__123Graph_CSENS_COMPARISON" hidden="1">'[15]QRE Charts'!$E$367:$O$367</definedName>
    <definedName name="_21__123Graph_DCONTRACT_BY_B_U" hidden="1">'[13]QRE Charts'!$D$278:$Q$278</definedName>
    <definedName name="_22__123Graph_BSENS_COMPARISON" hidden="1">'[13]QRE Charts'!$E$366:$O$366</definedName>
    <definedName name="_22__123Graph_CSUPPLIES_BY_B_U" hidden="1">'[15]QRE Charts'!$D$251:$Q$251</definedName>
    <definedName name="_22__123Graph_DQRE_S_BY_CO." hidden="1">'[13]QRE Charts'!$D$304:$R$304</definedName>
    <definedName name="_23__123Graph_CWAGES_BY_B_U" hidden="1">'[15]QRE Charts'!$D$225:$R$225</definedName>
    <definedName name="_23__123Graph_DSUPPLIES_BY_B_U" hidden="1">'[13]QRE Charts'!$D$252:$Q$252</definedName>
    <definedName name="_24__123Graph_BCONTRACT_BY_B_U" hidden="1">'[13]QRE Charts'!$D$276:$Q$276</definedName>
    <definedName name="_24__123Graph_BSUPPLIES_BY_B_U" hidden="1">'[13]QRE Charts'!$D$250:$Q$250</definedName>
    <definedName name="_24__123Graph_DCONTRACT_BY_B_U" hidden="1">'[15]QRE Charts'!$D$278:$Q$278</definedName>
    <definedName name="_24__123Graph_DWAGES_BY_B_U" hidden="1">'[13]QRE Charts'!$D$226:$R$226</definedName>
    <definedName name="_25__123Graph_DQRE_S_BY_CO." hidden="1">'[15]QRE Charts'!$D$304:$R$304</definedName>
    <definedName name="_25__123Graph_ECONTRACT_BY_B_U" hidden="1">'[13]QRE Charts'!$D$279:$Q$279</definedName>
    <definedName name="_26__123Graph_BTAX_CREDIT" hidden="1">'[13]QRE Charts'!$E$332:$E$342</definedName>
    <definedName name="_26__123Graph_DSUPPLIES_BY_B_U" hidden="1">'[15]QRE Charts'!$D$252:$Q$252</definedName>
    <definedName name="_26__123Graph_EQRE_S_BY_CO." hidden="1">'[13]QRE Charts'!$D$305:$R$305</definedName>
    <definedName name="_27__123Graph_BQRE_S_BY_CO." hidden="1">'[13]QRE Charts'!$D$302:$R$302</definedName>
    <definedName name="_27__123Graph_DWAGES_BY_B_U" hidden="1">'[15]QRE Charts'!$D$226:$R$226</definedName>
    <definedName name="_27__123Graph_ESUPPLIES_BY_B_U" hidden="1">'[13]QRE Charts'!$D$253:$Q$253</definedName>
    <definedName name="_28__123Graph_BWAGES_BY_B_U" hidden="1">'[13]QRE Charts'!$D$224:$R$224</definedName>
    <definedName name="_28__123Graph_ECONTRACT_BY_B_U" hidden="1">'[15]QRE Charts'!$D$279:$Q$279</definedName>
    <definedName name="_28__123Graph_EWAGES_BY_B_U" hidden="1">'[13]QRE Charts'!$D$227:$R$227</definedName>
    <definedName name="_29__123Graph_EQRE_S_BY_CO." hidden="1">'[15]QRE Charts'!$D$305:$R$305</definedName>
    <definedName name="_29__123Graph_FCONTRACT_BY_B_U" hidden="1">'[13]QRE Charts'!$D$280:$Q$280</definedName>
    <definedName name="_2JE220_WP">#REF!</definedName>
    <definedName name="_2QTR">#REF!</definedName>
    <definedName name="_2S" hidden="1">[14]Masterdata!#REF!</definedName>
    <definedName name="_3_">[1]IS!#REF!</definedName>
    <definedName name="_3__123Graph_ACHART_17" hidden="1">'[16]10'!#REF!</definedName>
    <definedName name="_3__123Graph_ACONTRACT_BY_B_U" hidden="1">'[13]QRE Charts'!$D$275:$Q$275</definedName>
    <definedName name="_3__123Graph_AQRE_S_BY_TYPE" hidden="1">'[13]QRE''s'!$D$99:$R$99</definedName>
    <definedName name="_3_0_0_K" hidden="1">[14]Masterdata!#REF!</definedName>
    <definedName name="_30__123Graph_BQRE_S_BY_TYPE" hidden="1">'[13]QRE''s'!$D$100:$R$100</definedName>
    <definedName name="_30__123Graph_CCONTRACT_BY_B_U" hidden="1">'[13]QRE Charts'!$D$277:$Q$277</definedName>
    <definedName name="_30__123Graph_ESUPPLIES_BY_B_U" hidden="1">'[15]QRE Charts'!$D$253:$Q$253</definedName>
    <definedName name="_30__123Graph_FQRE_S_BY_CO." hidden="1">'[13]QRE Charts'!$D$306:$R$306</definedName>
    <definedName name="_31__123Graph_EWAGES_BY_B_U" hidden="1">'[15]QRE Charts'!$D$227:$R$227</definedName>
    <definedName name="_31__123Graph_FSUPPLIES_BY_B_U" hidden="1">'[13]QRE Charts'!$D$254:$Q$254</definedName>
    <definedName name="_32__123Graph_CQRE_S_BY_CO." hidden="1">'[13]QRE Charts'!$D$303:$R$303</definedName>
    <definedName name="_32__123Graph_FCONTRACT_BY_B_U" hidden="1">'[15]QRE Charts'!$D$280:$Q$280</definedName>
    <definedName name="_32__123Graph_FWAGES_BY_B_U" hidden="1">'[13]QRE Charts'!$D$228:$R$228</definedName>
    <definedName name="_33__123Graph_BSENS_COMPARISON" hidden="1">'[13]QRE Charts'!$E$366:$O$366</definedName>
    <definedName name="_33__123Graph_FQRE_S_BY_CO." hidden="1">'[15]QRE Charts'!$D$306:$R$306</definedName>
    <definedName name="_33__123Graph_XCONTRACT_BY_B_U" hidden="1">'[13]QRE Charts'!$D$222:$R$222</definedName>
    <definedName name="_34__123Graph_CQRE_S_BY_TYPE" hidden="1">'[13]QRE''s'!$D$101:$R$101</definedName>
    <definedName name="_34__123Graph_FSUPPLIES_BY_B_U" hidden="1">'[15]QRE Charts'!$D$254:$Q$254</definedName>
    <definedName name="_34__123Graph_XQRE_S_BY_CO." hidden="1">'[13]QRE Charts'!$D$222:$R$222</definedName>
    <definedName name="_35__123Graph_FWAGES_BY_B_U" hidden="1">'[15]QRE Charts'!$D$228:$R$228</definedName>
    <definedName name="_35__123Graph_XQRE_S_BY_TYPE" hidden="1">'[13]QRE Charts'!$D$222:$R$222</definedName>
    <definedName name="_36__123Graph_BSUPPLIES_BY_B_U" hidden="1">'[13]QRE Charts'!$D$250:$Q$250</definedName>
    <definedName name="_36__123Graph_CSENS_COMPARISON" hidden="1">'[13]QRE Charts'!$E$367:$O$367</definedName>
    <definedName name="_36__123Graph_XCONTRACT_BY_B_U" hidden="1">'[15]QRE Charts'!$D$222:$R$222</definedName>
    <definedName name="_36__123Graph_XSUPPLIES_BY_B_U" hidden="1">'[13]QRE Charts'!$D$222:$R$222</definedName>
    <definedName name="_37__123Graph_XQRE_S_BY_CO." hidden="1">'[15]QRE Charts'!$D$222:$R$222</definedName>
    <definedName name="_37__123Graph_XTAX_CREDIT" hidden="1">'[13]QRE Charts'!$C$332:$C$342</definedName>
    <definedName name="_38__123Graph_CSUPPLIES_BY_B_U" hidden="1">'[13]QRE Charts'!$D$251:$Q$251</definedName>
    <definedName name="_38__123Graph_XQRE_S_BY_TYPE" hidden="1">'[15]QRE Charts'!$D$222:$R$222</definedName>
    <definedName name="_38_0_0_K" hidden="1">[14]Masterdata!#REF!</definedName>
    <definedName name="_39__123Graph_BTAX_CREDIT" hidden="1">'[13]QRE Charts'!$E$332:$E$342</definedName>
    <definedName name="_39__123Graph_XSUPPLIES_BY_B_U" hidden="1">'[15]QRE Charts'!$D$222:$R$222</definedName>
    <definedName name="_39_0_0_K" hidden="1">[14]Masterdata!#REF!</definedName>
    <definedName name="_39_0_0_S" hidden="1">[14]Masterdata!#REF!</definedName>
    <definedName name="_4__123Graph_ACHART_17" hidden="1">'[9]10'!#REF!</definedName>
    <definedName name="_4__123Graph_ACONTRACT_BY_B_U" hidden="1">'[15]QRE Charts'!$D$275:$Q$275</definedName>
    <definedName name="_4__123Graph_AQRE_S_BY_CO." hidden="1">'[13]QRE Charts'!$D$301:$R$301</definedName>
    <definedName name="_4__123Graph_ASENS_COMPARISON" hidden="1">'[13]QRE Charts'!$E$365:$O$365</definedName>
    <definedName name="_4_0_0_K" hidden="1">#REF!</definedName>
    <definedName name="_4_0_0_S" hidden="1">[14]Masterdata!#REF!</definedName>
    <definedName name="_40__123Graph_CWAGES_BY_B_U" hidden="1">'[13]QRE Charts'!$D$225:$R$225</definedName>
    <definedName name="_40__123Graph_XTAX_CREDIT" hidden="1">'[15]QRE Charts'!$C$332:$C$342</definedName>
    <definedName name="_40_0_0_K" hidden="1">[14]Masterdata!#REF!</definedName>
    <definedName name="_40_0_0_S" hidden="1">[14]Masterdata!#REF!</definedName>
    <definedName name="_41_0_0_S" hidden="1">[14]Masterdata!#REF!</definedName>
    <definedName name="_42__123Graph_BWAGES_BY_B_U" hidden="1">'[13]QRE Charts'!$D$224:$R$224</definedName>
    <definedName name="_42__123Graph_DCONTRACT_BY_B_U" hidden="1">'[13]QRE Charts'!$D$278:$Q$278</definedName>
    <definedName name="_42_0_0_K" hidden="1">[14]Masterdata!#REF!</definedName>
    <definedName name="_43_0_0_S" hidden="1">[14]Masterdata!#REF!</definedName>
    <definedName name="_44__123Graph_DQRE_S_BY_CO." hidden="1">'[13]QRE Charts'!$D$304:$R$304</definedName>
    <definedName name="_45__123Graph_CCONTRACT_BY_B_U" hidden="1">'[13]QRE Charts'!$D$277:$Q$277</definedName>
    <definedName name="_46__123Graph_DSUPPLIES_BY_B_U" hidden="1">'[13]QRE Charts'!$D$252:$Q$252</definedName>
    <definedName name="_47_0_0_S" hidden="1">[14]Masterdata!#REF!</definedName>
    <definedName name="_48__123Graph_CQRE_S_BY_CO." hidden="1">'[13]QRE Charts'!$D$303:$R$303</definedName>
    <definedName name="_48__123Graph_DWAGES_BY_B_U" hidden="1">'[13]QRE Charts'!$D$226:$R$226</definedName>
    <definedName name="_4JE220_WP">#REF!</definedName>
    <definedName name="_5__123Graph_ACHART_17" hidden="1">'[9]10'!#REF!</definedName>
    <definedName name="_5__123Graph_AQRE_S_BY_CO." hidden="1">'[15]QRE Charts'!$D$301:$R$301</definedName>
    <definedName name="_5__123Graph_ASUPPLIES_BY_B_U" hidden="1">'[13]QRE Charts'!$D$249:$Q$249</definedName>
    <definedName name="_5_0_0_S" hidden="1">[14]Masterdata!#REF!</definedName>
    <definedName name="_50__123Graph_ECONTRACT_BY_B_U" hidden="1">'[13]QRE Charts'!$D$279:$Q$279</definedName>
    <definedName name="_51__123Graph_CQRE_S_BY_TYPE" hidden="1">'[13]QRE''s'!$D$101:$R$101</definedName>
    <definedName name="_52__123Graph_EQRE_S_BY_CO." hidden="1">'[13]QRE Charts'!$D$305:$R$305</definedName>
    <definedName name="_54__123Graph_CSENS_COMPARISON" hidden="1">'[13]QRE Charts'!$E$367:$O$367</definedName>
    <definedName name="_54__123Graph_ESUPPLIES_BY_B_U" hidden="1">'[13]QRE Charts'!$D$253:$Q$253</definedName>
    <definedName name="_56__123Graph_EWAGES_BY_B_U" hidden="1">'[13]QRE Charts'!$D$227:$R$227</definedName>
    <definedName name="_57__123Graph_CSUPPLIES_BY_B_U" hidden="1">'[13]QRE Charts'!$D$251:$Q$251</definedName>
    <definedName name="_58__123Graph_FCONTRACT_BY_B_U" hidden="1">'[13]QRE Charts'!$D$280:$Q$280</definedName>
    <definedName name="_6__123Graph_ACHART_17" hidden="1">'[12]10'!#REF!</definedName>
    <definedName name="_6__123Graph_AQRE_S_BY_CO." hidden="1">'[13]QRE Charts'!$D$301:$R$301</definedName>
    <definedName name="_6__123Graph_AQRE_S_BY_TYPE" hidden="1">'[13]QRE''s'!$D$99:$R$99</definedName>
    <definedName name="_6__123Graph_ATAX_CREDIT" hidden="1">'[13]QRE Charts'!$D$332:$D$342</definedName>
    <definedName name="_6_0_0_S" hidden="1">[14]Masterdata!#REF!</definedName>
    <definedName name="_60__123Graph_CWAGES_BY_B_U" hidden="1">'[13]QRE Charts'!$D$225:$R$225</definedName>
    <definedName name="_60__123Graph_FQRE_S_BY_CO." hidden="1">'[13]QRE Charts'!$D$306:$R$306</definedName>
    <definedName name="_62__123Graph_FSUPPLIES_BY_B_U" hidden="1">'[13]QRE Charts'!$D$254:$Q$254</definedName>
    <definedName name="_63__123Graph_DCONTRACT_BY_B_U" hidden="1">'[13]QRE Charts'!$D$278:$Q$278</definedName>
    <definedName name="_64__123Graph_FWAGES_BY_B_U" hidden="1">'[13]QRE Charts'!$D$228:$R$228</definedName>
    <definedName name="_6532">#REF!</definedName>
    <definedName name="_6533">#REF!</definedName>
    <definedName name="_6543">#REF!</definedName>
    <definedName name="_66__123Graph_DQRE_S_BY_CO." hidden="1">'[13]QRE Charts'!$D$304:$R$304</definedName>
    <definedName name="_66__123Graph_XCONTRACT_BY_B_U" hidden="1">'[13]QRE Charts'!$D$222:$R$222</definedName>
    <definedName name="_68__123Graph_XQRE_S_BY_CO." hidden="1">'[13]QRE Charts'!$D$222:$R$222</definedName>
    <definedName name="_69__123Graph_DSUPPLIES_BY_B_U" hidden="1">'[13]QRE Charts'!$D$252:$Q$252</definedName>
    <definedName name="_7__123Graph_ASENS_COMPARISON" hidden="1">'[15]QRE Charts'!$E$365:$O$365</definedName>
    <definedName name="_7__123Graph_AWAGES_BY_B_U" hidden="1">'[13]QRE Charts'!$D$223:$R$223</definedName>
    <definedName name="_70__123Graph_XQRE_S_BY_TYPE" hidden="1">'[13]QRE Charts'!$D$222:$R$222</definedName>
    <definedName name="_72__123Graph_DWAGES_BY_B_U" hidden="1">'[13]QRE Charts'!$D$226:$R$226</definedName>
    <definedName name="_72__123Graph_XSUPPLIES_BY_B_U" hidden="1">'[13]QRE Charts'!$D$222:$R$222</definedName>
    <definedName name="_74__123Graph_XTAX_CREDIT" hidden="1">'[13]QRE Charts'!$C$332:$C$342</definedName>
    <definedName name="_75__123Graph_ECONTRACT_BY_B_U" hidden="1">'[13]QRE Charts'!$D$279:$Q$279</definedName>
    <definedName name="_78__123Graph_EQRE_S_BY_CO." hidden="1">'[13]QRE Charts'!$D$305:$R$305</definedName>
    <definedName name="_78_0_0_K" hidden="1">[14]Masterdata!#REF!</definedName>
    <definedName name="_8__123Graph_ASENS_COMPARISON" hidden="1">'[13]QRE Charts'!$E$365:$O$365</definedName>
    <definedName name="_8__123Graph_ASUPPLIES_BY_B_U" hidden="1">'[15]QRE Charts'!$D$249:$Q$249</definedName>
    <definedName name="_8__123Graph_BCONTRACT_BY_B_U" hidden="1">'[13]QRE Charts'!$D$276:$Q$276</definedName>
    <definedName name="_81__123Graph_ESUPPLIES_BY_B_U" hidden="1">'[13]QRE Charts'!$D$253:$Q$253</definedName>
    <definedName name="_82_0_0_S" hidden="1">[14]Masterdata!#REF!</definedName>
    <definedName name="_84__123Graph_EWAGES_BY_B_U" hidden="1">'[13]QRE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'[13]QRE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'[13]QRE''s'!$D$99:$R$99</definedName>
    <definedName name="_9__123Graph_ATAX_CREDIT" hidden="1">'[15]QRE Charts'!$D$332:$D$342</definedName>
    <definedName name="_9__123Graph_BQRE_S_BY_CO." hidden="1">'[13]QRE Charts'!$D$302:$R$302</definedName>
    <definedName name="_90__123Graph_FQRE_S_BY_CO." hidden="1">'[13]QRE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'[13]QRE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'[13]QRE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'[13]QRE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'[11]Cost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[17]DEPR96!#REF!</definedName>
    <definedName name="_Fill" localSheetId="2" hidden="1">'[18]o&amp;m'!#REF!</definedName>
    <definedName name="_Fill" hidden="1">#REF!</definedName>
    <definedName name="_gas2">#REF!</definedName>
    <definedName name="_gas2006">#REF!</definedName>
    <definedName name="_H1" localSheetId="2" hidden="1">{"'Metretek HTML'!$A$7:$W$42"}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hidden="1">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hidden="1">'[19]704 Depr'!#REF!</definedName>
    <definedName name="_Parse_Out" hidden="1">[20]CONDENSED!#REF!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hidden="1">#REF!</definedName>
    <definedName name="_sort1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'[21]Summ 165_236'!#REF!</definedName>
    <definedName name="_SUM4">'[21]Summ 165_236'!#REF!</definedName>
    <definedName name="_Table1_In1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localSheetId="2" hidden="1">{"'Metretek HTML'!$A$7:$W$42"}</definedName>
    <definedName name="ab" hidden="1">{"'Metretek HTML'!$A$7:$W$42"}</definedName>
    <definedName name="AB.print">#REF!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'[22]AC 255'!$A$1:$M$32</definedName>
    <definedName name="AC_282">[23]December!#REF!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[17]DEPR96!#REF!</definedName>
    <definedName name="ACRS">#REF!</definedName>
    <definedName name="Active1">#REF!</definedName>
    <definedName name="Active2">#REF!</definedName>
    <definedName name="Actual">[24]Assumptions!$E$52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'[25]Input Page'!$G$7</definedName>
    <definedName name="ag_cap_indirect">'[26]Input Page'!$G$7</definedName>
    <definedName name="ag_mix_cap">'[26]Input Page'!$G$8</definedName>
    <definedName name="ag_mix_total">'[26]Input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localSheetId="2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[27]ALL!$B$25</definedName>
    <definedName name="ALLCGI">[27]ALL!$D$25</definedName>
    <definedName name="ALLOC">#REF!</definedName>
    <definedName name="ALLOW">#REF!</definedName>
    <definedName name="Allow_for_Funds_Used_During_Const.">#REF!</definedName>
    <definedName name="ALLRD">[27]ALL!$C$25</definedName>
    <definedName name="ALLSKP">[27]ALL!$E$25</definedName>
    <definedName name="ALLYRS_MESSAGE">#REF!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[28]Pepco!#REF!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'[29]Gas Ferc 2 2003'!$V$2</definedName>
    <definedName name="APR">[30]load!#REF!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[28]Pepco!#REF!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'[31]Aday IS DECo &amp; Other'!#REF!</definedName>
    <definedName name="Assets_Held_for_Sale_YR_2006">'[31]Aday IS DECo &amp; Other'!#REF!</definedName>
    <definedName name="Assets_Held_for_Sale_YR_2007">'[31]Aday IS DECo &amp; Other'!#REF!</definedName>
    <definedName name="Assets_Held_for_Sale_YR_2008">'[31]Aday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localSheetId="2" hidden="1">{"'Metretek HTML'!$A$7:$W$42"}</definedName>
    <definedName name="az" hidden="1">{"'Metretek HTML'!$A$7:$W$42"}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[24]Assumptions!$H$15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'[32]Input Page'!#REF!</definedName>
    <definedName name="beg_CWIP">'[32]Input Page'!$E$19</definedName>
    <definedName name="Benefits">350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'[33]10.08.5 - 2008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'[33]10.08.3 - 2008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'[33]10.08.5 - 2008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'[33]10.08.5 - 2008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'[33]10.08.2 - 2008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'[33]10.08.3 - 2008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'[33]10.08.4 -2008 Capital'!#REF!</definedName>
    <definedName name="BEx1U15M7LVVFZENH830B2BGWC04" hidden="1">#REF!</definedName>
    <definedName name="BEx1U5NGVTXGL4CIPVT5O034KGGR" hidden="1">'[33]10.08.3 - 2008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'[33]10.08.5 - 2008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'[33]10.08.5 - 2008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[34]Table!#REF!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'[33]10.08.5 - 2008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'[33]10.08.5 - 2008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'[33]10.08.3 - 2008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[34]Table!#REF!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'[33]10.08.5 - 2008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'[33]10.08.4 -2008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'[33]10.08.5 - 2008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'[33]10.08.5 - 2008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'[33]10.08.4 -2008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'[33]10.08.5 - 2008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'[33]10.08.3 - 2008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'[33]10.08.2 - 2008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'[33]10.08.3 - 2008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'[33]10.08.5 - 2008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'[33]10.08.5 - 2008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'[33]10.08.5 - 2008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'[33]10.08.2 - 2008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'[33]10.08.5 - 2008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'[33]10.08.2 - 2008 Expense'!#REF!</definedName>
    <definedName name="BExCUW1QXVMEP3B9SFPNEEWCG9I0" hidden="1">'[33]10.08.5 - 2008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'[33]10.08.4 -2008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'[33]10.08.2 - 2008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'[33]10.08.3 - 2008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[34]Table!#REF!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'[33]10.08.4 -2008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'[33]10.08.4 -2008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'[33]10.08.2 - 2008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'[33]10.08.5 - 2008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'[33]10.08.4 -2008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'[33]10.08.5 - 2008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'[33]10.08.4 -2008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'[33]10.08.4 -2008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'[33]10.08.2 - 2008 Expense'!#REF!</definedName>
    <definedName name="BExIM2RXHXBO63HBPUTHF775IIRY" hidden="1">#REF!</definedName>
    <definedName name="BExIM2RXYS5BGYBDMFLU1RE8039Z" hidden="1">#REF!</definedName>
    <definedName name="BExIM2X90EG7J3TG4STQ3J1OK4O0" hidden="1">'[33]10.08.5 - 2008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'[33]10.08.5 - 2008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'[33]10.08.5 - 2008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'[33]10.08.2 - 2008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'[33]10.08.4 -2008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'[33]10.08.4 -2008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'[33]10.08.5 - 2008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[34]Table!#REF!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'[33]10.08.5 - 2008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'[33]10.08.5 - 2008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'[33]10.08.5 - 2008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'[33]10.08.3 - 2008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'[33]10.08.2 - 2008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'[33]10.08.5 - 2008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[34]Table!#REF!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'[33]10.08.2 - 2008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'[33]10.08.5 - 2008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'[33]10.08.3 - 2008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'[33]10.08.2 - 2008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'[33]10.08.2 - 2008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[34]Table!#REF!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'[33]10.08.4 -2008 Capital'!#REF!</definedName>
    <definedName name="BExTYLUCLWGGQOEPH6W91DIYL3RQ" hidden="1">#REF!</definedName>
    <definedName name="BExTYOZQGNRDMMFZOG8515WQDGU3" hidden="1">'[33]10.08.5 - 2008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'[33]10.08.2 - 2008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'[33]10.08.5 - 2008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'[33]10.08.5 - 2008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'[33]10.08.5 - 2008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'[33]10.08.3 - 2008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'[33]10.08.2 - 2008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'[33]10.08.5 - 2008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'[33]10.08.3 - 2008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'[33]10.08.5 - 2008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'[33]10.08.2 - 2008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'[33]10.08.3 - 2008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'[33]10.08.5 - 2008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'[33]10.08.5 - 2008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'[33]10.08.5 - 2008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S_Cost_Scenario">[24]Assumptions!$E$33</definedName>
    <definedName name="BGS_Forecast">[35]Assumptions!#REF!</definedName>
    <definedName name="BGS_Rate">#REF!</definedName>
    <definedName name="BGS_RFP">[24]Assumptions!$E$36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'[31]Aday IS DECo &amp; Other'!#REF!</definedName>
    <definedName name="Biomass_Energy_YR_2006">'[31]Aday IS DECo &amp; Other'!#REF!</definedName>
    <definedName name="Biomass_Energy_YR_2007">'[31]Aday IS DECo &amp; Other'!#REF!</definedName>
    <definedName name="Biomass_Energy_YR_2008">'[31]Aday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[36]Assumptions!$E$28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localSheetId="2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ap_interest">'[32]Input Page'!$E$16</definedName>
    <definedName name="CapBank2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'[36]JFJ-4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'[31]Aday IS EG Subs'!#REF!</definedName>
    <definedName name="Citizens_Gas_YR_2006">'[31]Aday IS EG Subs'!#REF!</definedName>
    <definedName name="Citizens_Gas_YR_2007">'[31]Aday IS EG Subs'!#REF!</definedName>
    <definedName name="Citizens_Gas_YR_2008">'[31]Aday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localSheetId="2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'[31]Aday IS EG Subs'!#REF!</definedName>
    <definedName name="Coal_Bed_Methane_Yates_Center_YR_2006">'[31]Aday IS EG Subs'!#REF!</definedName>
    <definedName name="Coal_Bed_Methane_Yates_Center_YR_2007">'[31]Aday IS EG Subs'!#REF!</definedName>
    <definedName name="Coal_Bed_Methane_Yates_Center_YR_2008">'[31]Aday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'[32]Input Page'!#REF!</definedName>
    <definedName name="coal_purchase">'[32]Input Page'!#REF!</definedName>
    <definedName name="coal_sampling">'[32]Input Page'!#REF!</definedName>
    <definedName name="Coal_Services">#REF!</definedName>
    <definedName name="Coal_Services_YR_2005">'[31]Aday IS DECo &amp; Other'!#REF!</definedName>
    <definedName name="Coal_Services_YR_2006">'[31]Aday IS DECo &amp; Other'!#REF!</definedName>
    <definedName name="Coal_Services_YR_2007">'[31]Aday IS DECo &amp; Other'!#REF!</definedName>
    <definedName name="Coal_Services_YR_2008">'[31]Aday IS DECo &amp; Other'!#REF!</definedName>
    <definedName name="Code">'[37]Array Tables'!$B$4:$B$236</definedName>
    <definedName name="CoEnergy___Purch_Acct_Sub_Total">#REF!</definedName>
    <definedName name="CoEnergy___Purch_Acct_Sub_Total_YR_2005">'[31]Aday IS DECo &amp; Other'!#REF!</definedName>
    <definedName name="CoEnergy___Purch_Acct_Sub_Total_YR_2006">'[31]Aday IS DECo &amp; Other'!#REF!</definedName>
    <definedName name="CoEnergy___Purch_Acct_Sub_Total_YR_2007">'[31]Aday IS DECo &amp; Other'!#REF!</definedName>
    <definedName name="CoEnergy___Purch_Acct_Sub_Total_YR_2008">'[31]Aday IS DECo &amp; Other'!#REF!</definedName>
    <definedName name="CoEnergy_Trading">#REF!</definedName>
    <definedName name="CoEnergy_Trading_YR_2005">'[31]Aday IS DECo &amp; Other'!#REF!</definedName>
    <definedName name="CoEnergy_Trading_YR_2006">'[31]Aday IS DECo &amp; Other'!#REF!</definedName>
    <definedName name="CoEnergy_Trading_YR_2007">'[31]Aday IS DECo &amp; Other'!#REF!</definedName>
    <definedName name="CoEnergy_Trading_YR_2008">'[31]Aday IS DECo &amp; Other'!#REF!</definedName>
    <definedName name="COGEN">'[38]October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[39]Inputs!$B$4</definedName>
    <definedName name="CONSOLDEFTAXBAL">#REF!</definedName>
    <definedName name="CONSOLDEFTAXSUM">#REF!</definedName>
    <definedName name="Consolid" localSheetId="2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'[40]2004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hidden="1">#REF!</definedName>
    <definedName name="copy3" hidden="1">#REF!</definedName>
    <definedName name="Corporate_Purch_Acct">#REF!</definedName>
    <definedName name="Corporate_Purch_Acct_YR_2005">'[31]Aday IS DECo &amp; Other'!#REF!</definedName>
    <definedName name="Corporate_Purch_Acct_YR_2006">'[31]Aday IS DECo &amp; Other'!#REF!</definedName>
    <definedName name="Corporate_Purch_Acct_YR_2007">'[31]Aday IS DECo &amp; Other'!#REF!</definedName>
    <definedName name="Corporate_Purch_Acct_YR_2008">'[31]Aday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[17]DEPR96!#REF!</definedName>
    <definedName name="Cost_Center">'[37]Array Tables'!$A$4:$A$236</definedName>
    <definedName name="cost_of_good_sold">'[32]Input Page'!$E$11</definedName>
    <definedName name="Cost_of_Goods_Sold">#REF!</definedName>
    <definedName name="Cost_of_Goods_Sold_CPM">#REF!</definedName>
    <definedName name="cost2001">[41]Input!$M$23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[17]DEPR96!#REF!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[35]Assumptions!#REF!</definedName>
    <definedName name="custRetain">[41]Input!#REF!</definedName>
    <definedName name="CWIP" localSheetId="2" hidden="1">{#N/A,#N/A,FALSE,"Sheet1"}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'[31]Aday IS DECo &amp; Other'!#REF!</definedName>
    <definedName name="D_Tech___Other_Wolverine_YR_2006">'[31]Aday IS DECo &amp; Other'!#REF!</definedName>
    <definedName name="D_Tech___Other_Wolverine_YR_2007">'[31]Aday IS DECo &amp; Other'!#REF!</definedName>
    <definedName name="D_Tech___Other_Wolverine_YR_2008">'[31]Aday IS DECo &amp; Other'!#REF!</definedName>
    <definedName name="da" localSheetId="2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'[42]New Accts 2009'!#REF!</definedName>
    <definedName name="DATA10">'[43]3640'!#REF!</definedName>
    <definedName name="DATA11">'[43]3640'!#REF!</definedName>
    <definedName name="DATA14">#REF!</definedName>
    <definedName name="DATA2">'[44]190100'!#REF!</definedName>
    <definedName name="DATA3">'[44]190100'!#REF!</definedName>
    <definedName name="DATA4">'[44]190100'!#REF!</definedName>
    <definedName name="DATA5">#REF!</definedName>
    <definedName name="DATA6">#REF!</definedName>
    <definedName name="DATA7">'[44]190100'!#REF!</definedName>
    <definedName name="DATA8">'[44]190100'!#REF!</definedName>
    <definedName name="DATA9">'[43]3640'!#REF!</definedName>
    <definedName name="data97">#REF!</definedName>
    <definedName name="_xlnm.Database">[45]DSUM!#REF!</definedName>
    <definedName name="Database_MI">#REF!</definedName>
    <definedName name="Date">[46]Settings!$F$23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[47]Sheet1!$J$130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'[31]Aday IS DECo &amp; Other'!#REF!</definedName>
    <definedName name="DECo_Corporate_Unallocated_YR_2006">'[31]Aday IS DECo &amp; Other'!#REF!</definedName>
    <definedName name="DECo_Corporate_Unallocated_YR_2007">'[31]Aday IS DECo &amp; Other'!#REF!</definedName>
    <definedName name="DECo_Corporate_Unallocated_YR_2008">'[31]Aday IS DECo &amp; Other'!#REF!</definedName>
    <definedName name="Decommissioning_Rate">#REF!</definedName>
    <definedName name="Deferral_Interest_Rate">[24]Assumptions!$H$14</definedName>
    <definedName name="Deferral_Recovery">'[36]JFJ-1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[48]Lists!$A$2:$A$4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[17]DEPR96!#REF!</definedName>
    <definedName name="DESCR">[17]DEPR96!#REF!</definedName>
    <definedName name="detail">#REF!</definedName>
    <definedName name="Detroit_Edison">#REF!</definedName>
    <definedName name="Detroit_Edison_Consolidated_YR_2005">'[31]Aday IS DECo &amp; Other'!#REF!</definedName>
    <definedName name="Detroit_Edison_Consolidated_YR_2006">'[31]Aday IS DECo &amp; Other'!#REF!</definedName>
    <definedName name="Detroit_Edison_Consolidated_YR_2007">'[31]Aday IS DECo &amp; Other'!#REF!</definedName>
    <definedName name="Detroit_Edison_Consolidated_YR_2008">'[31]Aday IS DECo &amp; Other'!#REF!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'[31]Aday IS DECo &amp; Other'!#REF!</definedName>
    <definedName name="DTE_Eliminations_YR_2006">'[31]Aday IS DECo &amp; Other'!#REF!</definedName>
    <definedName name="DTE_Eliminations_YR_2007">'[31]Aday IS DECo &amp; Other'!#REF!</definedName>
    <definedName name="DTE_Eliminations_YR_2008">'[31]Aday IS DECo &amp; Other'!#REF!</definedName>
    <definedName name="DTE_Enterprises_Corporate">#REF!</definedName>
    <definedName name="DTE_Enterprises_Corporate_YR_2005">'[31]Aday IS DECo &amp; Other'!#REF!</definedName>
    <definedName name="DTE_Enterprises_Corporate_YR_2006">'[31]Aday IS DECo &amp; Other'!#REF!</definedName>
    <definedName name="DTE_Enterprises_Corporate_YR_2007">'[31]Aday IS DECo &amp; Other'!#REF!</definedName>
    <definedName name="DTE_Enterprises_Corporate_YR_2008">'[31]Aday IS DECo &amp; Other'!#REF!</definedName>
    <definedName name="DTE_Holding_Co.">#REF!</definedName>
    <definedName name="DTE_Holding_Co._YR_2005">'[31]Aday IS DECo &amp; Other'!#REF!</definedName>
    <definedName name="DTE_Holding_Co._YR_2006">'[31]Aday IS DECo &amp; Other'!#REF!</definedName>
    <definedName name="DTE_Holding_Co._YR_2007">'[31]Aday IS DECo &amp; Other'!#REF!</definedName>
    <definedName name="DTE_Holding_Co._YR_2008">'[31]Aday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'[49]#REF'!$AS$5:$AS$85</definedName>
    <definedName name="ED_NON_REGULATED_YR_2005">'[31]Aday IS DECo &amp; Other'!#REF!</definedName>
    <definedName name="ED_NON_REGULATED_YR_2006">'[31]Aday IS DECo &amp; Other'!#REF!</definedName>
    <definedName name="ED_NON_REGULATED_YR_2007">'[31]Aday IS DECo &amp; Other'!#REF!</definedName>
    <definedName name="ED_NON_REGULATED_YR_2008">'[31]Aday IS DECo &amp; Other'!#REF!</definedName>
    <definedName name="Edison_Development">#REF!</definedName>
    <definedName name="Edison_Development_YR_2005">'[31]Aday IS DECo &amp; Other'!#REF!</definedName>
    <definedName name="Edison_Development_YR_2006">'[31]Aday IS DECo &amp; Other'!#REF!</definedName>
    <definedName name="Edison_Development_YR_2007">'[31]Aday IS DECo &amp; Other'!#REF!</definedName>
    <definedName name="Edison_Development_YR_2008">'[31]Aday IS DECo &amp; Other'!#REF!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localSheetId="2" hidden="1">{#N/A,#N/A,FALSE,"O&amp;M by processes";#N/A,#N/A,FALSE,"Elec Act vs Bud";#N/A,#N/A,FALSE,"G&amp;A";#N/A,#N/A,FALSE,"BGS";#N/A,#N/A,FALSE,"Res Cost"}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'[31]Aday IS EG Subs'!#REF!</definedName>
    <definedName name="EG_Non_Regulated_Growth_YR_2006">'[31]Aday IS EG Subs'!#REF!</definedName>
    <definedName name="EG_Non_Regulated_Growth_YR_2007">'[31]Aday IS EG Subs'!#REF!</definedName>
    <definedName name="EG_Non_Regulated_Growth_YR_2008">'[31]Aday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'[31]Aday IS DECo &amp; Other'!#REF!</definedName>
    <definedName name="Electric_Power_YR_2006">'[31]Aday IS DECo &amp; Other'!#REF!</definedName>
    <definedName name="Electric_Power_YR_2007">'[31]Aday IS DECo &amp; Other'!#REF!</definedName>
    <definedName name="Electric_Power_YR_2008">'[31]Aday IS DECo &amp; Other'!#REF!</definedName>
    <definedName name="Elim">#REF!</definedName>
    <definedName name="Elim_Yates_Center">#REF!</definedName>
    <definedName name="En_Svcs_Base_Overlay_YR_2005">'[31]Aday IS DECo &amp; Other'!#REF!</definedName>
    <definedName name="En_Svcs_Base_Overlay_YR_2006">'[31]Aday IS DECo &amp; Other'!#REF!</definedName>
    <definedName name="En_Svcs_Base_Overlay_YR_2007">'[31]Aday IS DECo &amp; Other'!#REF!</definedName>
    <definedName name="En_Svcs_Base_Overlay_YR_2008">'[31]Aday IS DECo &amp; Other'!#REF!</definedName>
    <definedName name="End_Bal" hidden="1">#REF!</definedName>
    <definedName name="end_coal">'[32]Input Page'!#REF!</definedName>
    <definedName name="end_CWIP">'[32]Input Page'!#REF!</definedName>
    <definedName name="ENERGY">#REF!</definedName>
    <definedName name="ENERGY_GAS_GROWTH_YR_2005">'[31]Aday IS EG Subs'!#REF!</definedName>
    <definedName name="ENERGY_GAS_GROWTH_YR_2006">'[31]Aday IS EG Subs'!#REF!</definedName>
    <definedName name="ENERGY_GAS_GROWTH_YR_2007">'[31]Aday IS EG Subs'!#REF!</definedName>
    <definedName name="ENERGY_GAS_GROWTH_YR_2008">'[31]Aday IS EG Subs'!#REF!</definedName>
    <definedName name="ENERGY_GAS_NON_REGULATED_YR_2003">'[31]Aday IS DECo &amp; Other'!#REF!</definedName>
    <definedName name="ENERGY_GAS_NON_REGULATED_YR_2004">'[31]Aday IS DECo &amp; Other'!#REF!</definedName>
    <definedName name="ENERGY_GAS_NON_REGULATED_YR_2005">'[31]Aday IS DECo &amp; Other'!#REF!</definedName>
    <definedName name="ENERGY_GAS_NON_REGULATED_YR_2006">'[31]Aday IS DECo &amp; Other'!#REF!</definedName>
    <definedName name="ENERGY_GAS_NON_REGULATED_YR_2007">'[31]Aday IS DECo &amp; Other'!#REF!</definedName>
    <definedName name="ENERGY_GAS_NON_REGULATED_YR_2008">'[31]Aday IS DECo &amp; Other'!#REF!</definedName>
    <definedName name="Energy_Holdings_Purch_Acct">#REF!</definedName>
    <definedName name="Energy_Holdings_Purch_Acct_YR_2005">'[31]Aday IS DECo &amp; Other'!#REF!</definedName>
    <definedName name="Energy_Holdings_Purch_Acct_YR_2006">'[31]Aday IS DECo &amp; Other'!#REF!</definedName>
    <definedName name="Energy_Holdings_Purch_Acct_YR_2007">'[31]Aday IS DECo &amp; Other'!#REF!</definedName>
    <definedName name="Energy_Holdings_Purch_Acct_YR_2008">'[31]Aday IS DECo &amp; Other'!#REF!</definedName>
    <definedName name="Energy_Marketing">#REF!</definedName>
    <definedName name="Energy_Marketing_YR_2005">'[31]Aday IS DECo &amp; Other'!#REF!</definedName>
    <definedName name="Energy_Marketing_YR_2006">'[31]Aday IS DECo &amp; Other'!#REF!</definedName>
    <definedName name="Energy_Marketing_YR_2007">'[31]Aday IS DECo &amp; Other'!#REF!</definedName>
    <definedName name="Energy_Marketing_YR_2008">'[31]Aday IS DECo &amp; Other'!#REF!</definedName>
    <definedName name="Energy_Res_Inc.">#REF!</definedName>
    <definedName name="Energy_Res_Inc._YR_2005">'[31]Aday IS DECo &amp; Other'!#REF!</definedName>
    <definedName name="Energy_Res_Inc._YR_2006">'[31]Aday IS DECo &amp; Other'!#REF!</definedName>
    <definedName name="Energy_Res_Inc._YR_2007">'[31]Aday IS DECo &amp; Other'!#REF!</definedName>
    <definedName name="Energy_Res_Inc._YR_2008">'[31]Aday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'[31]Aday IS DECo &amp; Other'!#REF!</definedName>
    <definedName name="Energy_Services_YR_2006">'[31]Aday IS DECo &amp; Other'!#REF!</definedName>
    <definedName name="Energy_Services_YR_2007">'[31]Aday IS DECo &amp; Other'!#REF!</definedName>
    <definedName name="Energy_Services_YR_2008">'[31]Aday IS DECo &amp; Other'!#REF!</definedName>
    <definedName name="Energy_Trading">#REF!</definedName>
    <definedName name="Energy_Trading_YR_2005">'[31]Aday IS DECo &amp; Other'!#REF!</definedName>
    <definedName name="Energy_Trading_YR_2006">'[31]Aday IS DECo &amp; Other'!#REF!</definedName>
    <definedName name="Energy_Trading_YR_2007">'[31]Aday IS DECo &amp; Other'!#REF!</definedName>
    <definedName name="Energy_Trading_YR_2008">'[31]Aday IS DECo &amp; Other'!#REF!</definedName>
    <definedName name="eng_design">'[26]Input Page'!$G$17</definedName>
    <definedName name="ENTITY">[46]Settings!$F$17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'[31]Aday IS DECo &amp; Other'!#REF!</definedName>
    <definedName name="ER_Eliminations_YR_2006">'[31]Aday IS DECo &amp; Other'!#REF!</definedName>
    <definedName name="ER_Eliminations_YR_2007">'[31]Aday IS DECo &amp; Other'!#REF!</definedName>
    <definedName name="ER_Eliminations_YR_2008">'[31]Aday IS DECo &amp; Other'!#REF!</definedName>
    <definedName name="ER_NON_REGULATED">#REF!</definedName>
    <definedName name="ER_Non_Regulated_Growth_YR_2005">'[31]Aday IS DECo &amp; Other'!#REF!</definedName>
    <definedName name="ER_Non_Regulated_Growth_YR_2006">'[31]Aday IS DECo &amp; Other'!#REF!</definedName>
    <definedName name="ER_Non_Regulated_Growth_YR_2007">'[31]Aday IS DECo &amp; Other'!#REF!</definedName>
    <definedName name="ER_Non_Regulated_Growth_YR_2008">'[31]Aday IS DECo &amp; Other'!#REF!</definedName>
    <definedName name="ER_Non_Regulated_Support">#REF!</definedName>
    <definedName name="ER_Non_Regulated_Support_YR_2005">'[31]Aday IS DECo &amp; Other'!#REF!</definedName>
    <definedName name="ER_Non_Regulated_Support_YR_2006">'[31]Aday IS DECo &amp; Other'!#REF!</definedName>
    <definedName name="ER_Non_Regulated_Support_YR_2007">'[31]Aday IS DECo &amp; Other'!#REF!</definedName>
    <definedName name="ER_Non_Regulated_Support_YR_2008">'[31]Aday IS DECo &amp; Other'!#REF!</definedName>
    <definedName name="ER_Non_Regulated_YR_2005">'[31]Aday IS DECo &amp; Other'!#REF!</definedName>
    <definedName name="ER_Non_Regulated_YR_2006">'[31]Aday IS DECo &amp; Other'!#REF!</definedName>
    <definedName name="ER_Non_Regulated_YR_2007">'[31]Aday IS DECo &amp; Other'!#REF!</definedName>
    <definedName name="ER_Non_Regulated_YR_2008">'[31]Aday IS DECo &amp; Other'!#REF!</definedName>
    <definedName name="EROA">[39]Inputs!$B$3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'[32]Input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[23]December!#REF!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'[32]Input Page'!$E$13</definedName>
    <definedName name="FEDCUME">[17]DEPR96!#REF!</definedName>
    <definedName name="FEDCURR">[17]DEPR96!#REF!</definedName>
    <definedName name="FEDDEFERREDTAX">#REF!</definedName>
    <definedName name="Federal___Other_Inc_Tax_CPM">#REF!</definedName>
    <definedName name="FEDLIFE">[17]DEPR96!#REF!</definedName>
    <definedName name="FEDMETH">[17]DEPR96!#REF!</definedName>
    <definedName name="FEDNO">[17]DEPR96!#REF!</definedName>
    <definedName name="FEDRATE">[17]DEPR96!#REF!</definedName>
    <definedName name="FEDYR">[17]DEPR96!#REF!</definedName>
    <definedName name="FEDYRNO">[17]DEPR96!#REF!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[41]Input!#REF!</definedName>
    <definedName name="fieldProd">[41]Input!#REF!</definedName>
    <definedName name="fieldSalary">[41]Input!#REF!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hidden="1">[50]Assump!#REF!</definedName>
    <definedName name="fleet_cap">'[32]Input Page'!$E$7</definedName>
    <definedName name="fleet_total">'[32]Input Page'!$E$8</definedName>
    <definedName name="FORM">#REF!</definedName>
    <definedName name="Format">#REF!</definedName>
    <definedName name="Forms">#REF!</definedName>
    <definedName name="Fossil_BGS">[36]Assumptions!$E$58</definedName>
    <definedName name="Fossil_Secur_Date">[24]Assumptions!$E$22</definedName>
    <definedName name="fp">#REF!</definedName>
    <definedName name="Free_Cash_Flow_CPM">#REF!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'[29]Gas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'[31]Aday IS EG Subs'!#REF!</definedName>
    <definedName name="Gas_Dist_Purch_Acct_YR_2006">'[31]Aday IS EG Subs'!#REF!</definedName>
    <definedName name="Gas_Dist_Purch_Acct_YR_2007">'[31]Aday IS EG Subs'!#REF!</definedName>
    <definedName name="Gas_Dist_Purch_Acct_YR_2008">'[31]Aday IS EG Subs'!#REF!</definedName>
    <definedName name="Gas_Marketing_Purch_Acct">#REF!</definedName>
    <definedName name="Gas_Marketing_Purch_Acct_YR_2005">'[31]Aday IS DECo &amp; Other'!#REF!</definedName>
    <definedName name="Gas_Marketing_Purch_Acct_YR_2006">'[31]Aday IS DECo &amp; Other'!#REF!</definedName>
    <definedName name="Gas_Marketing_Purch_Acct_YR_2007">'[31]Aday IS DECo &amp; Other'!#REF!</definedName>
    <definedName name="Gas_Marketing_Purch_Acct_YR_2008">'[31]Aday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'[31]Aday IS EG Subs'!#REF!</definedName>
    <definedName name="Gas_Storage_YR_2006">'[31]Aday IS EG Subs'!#REF!</definedName>
    <definedName name="Gas_Storage_YR_2007">'[31]Aday IS EG Subs'!#REF!</definedName>
    <definedName name="Gas_Storage_YR_2008">'[31]Aday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'[31]Aday IS DECo &amp; Other'!#REF!</definedName>
    <definedName name="Generation_YR_2006">'[31]Aday IS DECo &amp; Other'!#REF!</definedName>
    <definedName name="Generation_YR_2007">'[31]Aday IS DECo &amp; Other'!#REF!</definedName>
    <definedName name="Generation_YR_2008">'[31]Aday IS DECo &amp; Other'!#REF!</definedName>
    <definedName name="GenLedger">[51]PEPCO!$A$9:$H$774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2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'[31]Aday IS DECo &amp; Other'!#REF!</definedName>
    <definedName name="Growth_Contingency_YR_2006">'[31]Aday IS DECo &amp; Other'!#REF!</definedName>
    <definedName name="Growth_Contingency_YR_2007">'[31]Aday IS DECo &amp; Other'!#REF!</definedName>
    <definedName name="Growth_Contingency_YR_2008">'[31]Aday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'[52]Tony''s Categories'!$B$6:$B$11</definedName>
    <definedName name="historiccents">#REF!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'[31]Aday IS DECo &amp; Other'!#REF!</definedName>
    <definedName name="HOLDING_CO___OTHER_TOTAL_YR_2006">'[31]Aday IS DECo &amp; Other'!#REF!</definedName>
    <definedName name="HOLDING_CO___OTHER_TOTAL_YR_2007">'[31]Aday IS DECo &amp; Other'!#REF!</definedName>
    <definedName name="HOLDING_CO___OTHER_TOTAL_YR_2008">'[31]Aday IS DECo &amp; Other'!#REF!</definedName>
    <definedName name="homeNo">[41]Input!#REF!</definedName>
    <definedName name="homeProd">[41]Input!#REF!</definedName>
    <definedName name="homeSalary">[41]Input!#REF!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localSheetId="2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[53]Inputs!#REF!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[54]criteria!$A$5:$B$6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'[31]Aday IS DECo &amp; Other'!#REF!</definedName>
    <definedName name="International_Trans._Co._YR_2006">'[31]Aday IS DECo &amp; Other'!#REF!</definedName>
    <definedName name="International_Trans._Co._YR_2007">'[31]Aday IS DECo &amp; Other'!#REF!</definedName>
    <definedName name="International_Trans._Co._YR_2008">'[31]Aday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[55]PL!$A:$IV</definedName>
    <definedName name="itec">[55]PL!$A$1:$A$65536</definedName>
    <definedName name="JAN">#REF!</definedName>
    <definedName name="JE">#REF!</definedName>
    <definedName name="JE33WP">#REF!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[14]Masterdata!#REF!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localSheetId="2" hidden="1">{"Cash - Products",#N/A,FALSE,"SUB BS Flux"}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'[52]Tony''s Categories'!$D$6:$D$100</definedName>
    <definedName name="KeyCon_Close_Date">[36]Assumptions!$E$29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2" hidden="1">{"'Metretek HTML'!$A$7:$W$42"}</definedName>
    <definedName name="klio" hidden="1">{"'Metretek HTML'!$A$7:$W$42"}</definedName>
    <definedName name="l">[56]Lists!$A$2:$A$4</definedName>
    <definedName name="L4_A">[57]total!#REF!</definedName>
    <definedName name="L4_B">[57]total!#REF!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[17]DEPR96!#REF!</definedName>
    <definedName name="limcount" hidden="1">1</definedName>
    <definedName name="LIST">#REF!</definedName>
    <definedName name="ListOffset" hidden="1">1</definedName>
    <definedName name="LK" localSheetId="2" hidden="1">{"'Metretek HTML'!$A$7:$W$42"}</definedName>
    <definedName name="LK" hidden="1">{"'Metretek HTML'!$A$7:$W$42"}</definedName>
    <definedName name="LOAD">#REF!</definedName>
    <definedName name="LOAD_4">[57]total!#REF!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'[52]Tony''s Categories'!$C$6:$C$25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'[31]Aday IS DECo &amp; Other'!#REF!</definedName>
    <definedName name="Management_Task_YR_2006">'[31]Aday IS DECo &amp; Other'!#REF!</definedName>
    <definedName name="Management_Task_YR_2007">'[31]Aday IS DECo &amp; Other'!#REF!</definedName>
    <definedName name="Management_Task_YR_2008">'[31]Aday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'[31]Aday IS EG Subs'!#REF!</definedName>
    <definedName name="MCGC_Elims_YR_2006">'[31]Aday IS EG Subs'!#REF!</definedName>
    <definedName name="MCGC_Elims_YR_2007">'[31]Aday IS EG Subs'!#REF!</definedName>
    <definedName name="MCGC_Elims_YR_2008">'[31]Aday IS EG Subs'!#REF!</definedName>
    <definedName name="MCGC_Subsidiaries">#REF!</definedName>
    <definedName name="MCGC_Subsidiaries_YR_2005">'[31]Aday IS EG Subs'!#REF!</definedName>
    <definedName name="MCGC_Subsidiaries_YR_2006">'[31]Aday IS EG Subs'!#REF!</definedName>
    <definedName name="MCGC_Subsidiaries_YR_2007">'[31]Aday IS EG Subs'!#REF!</definedName>
    <definedName name="MCGC_Subsidiaries_YR_2008">'[31]Aday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'[31]Aday IS EG Subs'!#REF!</definedName>
    <definedName name="MCH_Corp___Elims_YR_2006">'[31]Aday IS EG Subs'!#REF!</definedName>
    <definedName name="MCH_Corp___Elims_YR_2007">'[31]Aday IS EG Subs'!#REF!</definedName>
    <definedName name="MCH_Corp___Elims_YR_2008">'[31]Aday IS EG Subs'!#REF!</definedName>
    <definedName name="MENU">#REF!</definedName>
    <definedName name="METH">[17]DEPR96!#REF!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'[31]Aday IS EG Subs'!#REF!</definedName>
    <definedName name="Midstream_Purch_Acct_YR_2006">'[31]Aday IS EG Subs'!#REF!</definedName>
    <definedName name="Midstream_Purch_Acct_YR_2007">'[31]Aday IS EG Subs'!#REF!</definedName>
    <definedName name="Midstream_Purch_Acct_YR_2008">'[31]Aday IS EG Subs'!#REF!</definedName>
    <definedName name="MILESTONES_1">#REF!</definedName>
    <definedName name="MILESTONES_2">#REF!</definedName>
    <definedName name="Millennium_Pipeline">#REF!</definedName>
    <definedName name="Millennium_Pipeline_YR_2005">'[31]Aday IS EG Subs'!#REF!</definedName>
    <definedName name="Millennium_Pipeline_YR_2006">'[31]Aday IS EG Subs'!#REF!</definedName>
    <definedName name="Millennium_Pipeline_YR_2007">'[31]Aday IS EG Subs'!#REF!</definedName>
    <definedName name="Millennium_Pipeline_YR_2008">'[31]Aday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'[32]Input Page'!#REF!</definedName>
    <definedName name="mix_total">'[32]Input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[17]DEPR96!#REF!</definedName>
    <definedName name="mode">#REF!</definedName>
    <definedName name="modelgrheader">[3]Model!$A$3</definedName>
    <definedName name="modelqreheader">[3]Model!$A$78</definedName>
    <definedName name="month">[58]RPT80MAR!$A$1:$D$77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'[36]JFJ-3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localSheetId="2" hidden="1">{#N/A,#N/A,FALSE,"O&amp;M by processes";#N/A,#N/A,FALSE,"Elec Act vs Bud";#N/A,#N/A,FALSE,"G&amp;A";#N/A,#N/A,FALSE,"BGS";#N/A,#N/A,FALSE,"Res Cost"}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[59]Hierarchy!$B$2:$E$16455</definedName>
    <definedName name="non_cap_int">'[32]Input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[24]Assumptions!$E$21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[60]Sheet1!$H$75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localSheetId="2" hidden="1">{"Cash - Products",#N/A,FALSE,"SUB BS Flux"}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'[31]Aday IS EG Subs'!#REF!</definedName>
    <definedName name="Oil___Gas_E_P_YR_2006">'[31]Aday IS EG Subs'!#REF!</definedName>
    <definedName name="Oil___Gas_E_P_YR_2007">'[31]Aday IS EG Subs'!#REF!</definedName>
    <definedName name="Oil___Gas_E_P_YR_2008">'[31]Aday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'[61]Income Statement'!#REF!</definedName>
    <definedName name="ORACLE_DEPRECIATION">'[62]Agriliance-allassets'!$A$1:$EG$15622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'[31]Aday IS DECo &amp; Other'!#REF!</definedName>
    <definedName name="Other_EG_Reg__excl_MichCon_Util__YR_2004">'[31]Aday IS DECo &amp; Other'!#REF!</definedName>
    <definedName name="Other_EG_Reg__excl_MichCon_Util__YR_2005">'[31]Aday IS DECo &amp; Other'!#REF!</definedName>
    <definedName name="Other_EG_Reg__excl_MichCon_Util__YR_2006">'[31]Aday IS DECo &amp; Other'!#REF!</definedName>
    <definedName name="Other_EG_Reg__excl_MichCon_Util__YR_2007">'[31]Aday IS DECo &amp; Other'!#REF!</definedName>
    <definedName name="Other_EG_Reg__excl_MichCon_Util__YR_2008">'[31]Aday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'[26]Input Page'!$G$10</definedName>
    <definedName name="other_mix_total">'[26]Input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[41]Input!$M$24</definedName>
    <definedName name="pctSWExp">[41]Input!$M$26</definedName>
    <definedName name="pctTraining">[41]Input!$M$25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'[27]Percent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'[31]Aday IS EG Subs'!#REF!</definedName>
    <definedName name="Pipeline_Eliminations_YR_2006">'[31]Aday IS EG Subs'!#REF!</definedName>
    <definedName name="Pipeline_Eliminations_YR_2007">'[31]Aday IS EG Subs'!#REF!</definedName>
    <definedName name="Pipeline_Eliminations_YR_2008">'[31]Aday IS EG Subs'!#REF!</definedName>
    <definedName name="Pipeline_Parent">#REF!</definedName>
    <definedName name="Pipeline_Parent_YR_2005">'[31]Aday IS EG Subs'!#REF!</definedName>
    <definedName name="Pipeline_Parent_YR_2006">'[31]Aday IS EG Subs'!#REF!</definedName>
    <definedName name="Pipeline_Parent_YR_2007">'[31]Aday IS EG Subs'!#REF!</definedName>
    <definedName name="Pipeline_Parent_YR_2008">'[31]Aday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[63]PLTSTM!#REF!</definedName>
    <definedName name="PLTDECTK">[64]PLTSTM!#REF!</definedName>
    <definedName name="Portland_Pipeline">#REF!</definedName>
    <definedName name="Portland_Pipeline_YR_2005">'[31]Aday IS EG Subs'!#REF!</definedName>
    <definedName name="Portland_Pipeline_YR_2006">'[31]Aday IS EG Subs'!#REF!</definedName>
    <definedName name="Portland_Pipeline_YR_2007">'[31]Aday IS EG Subs'!#REF!</definedName>
    <definedName name="Portland_Pipeline_YR_2008">'[31]Aday IS EG Subs'!#REF!</definedName>
    <definedName name="post_fossil">[36]Assumptions!$E$59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[24]Assumptions!$E$38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'[36]MTC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'[65]DACTIVE$'!$A$1:$IV$4,'[65]DACTIVE$'!$A$1:$A$65536</definedName>
    <definedName name="PRINT2">#REF!</definedName>
    <definedName name="printarea">#REF!</definedName>
    <definedName name="PrintareaDec">'[66]kWh-Mcf'!$E$97,'[66]kWh-Mcf'!$A$81:$E$118,'[66]kWh-Mcf'!$AM$86:$AO$118</definedName>
    <definedName name="printyearfrom">#REF!</definedName>
    <definedName name="printyearto">#REF!</definedName>
    <definedName name="PRIOR">[17]DEPR96!#REF!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'[26]Input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'[31]Aday IS EG Subs'!#REF!</definedName>
    <definedName name="Processing_Plants_YR_2006">'[31]Aday IS EG Subs'!#REF!</definedName>
    <definedName name="Processing_Plants_YR_2007">'[31]Aday IS EG Subs'!#REF!</definedName>
    <definedName name="Processing_Plants_YR_2008">'[31]Aday IS EG Subs'!#REF!</definedName>
    <definedName name="PROD">[17]DEPR96!#REF!</definedName>
    <definedName name="prod_depr">'[32]Input Page'!$E$17</definedName>
    <definedName name="Prod_Num">'[61]Income Statement'!#REF!</definedName>
    <definedName name="profitPerCust">[41]Input!#REF!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[17]DEPR96!#REF!</definedName>
    <definedName name="PTXA">[17]DEPR96!#REF!</definedName>
    <definedName name="PTXC">[17]DEPR96!#REF!</definedName>
    <definedName name="PTXDATE">#REF!</definedName>
    <definedName name="PTXYRS">[17]DEPR96!#REF!</definedName>
    <definedName name="Purchase_Accounting_Reclass">#REF!</definedName>
    <definedName name="Purchase_Accounting_YR_2005">'[31]Aday IS DECo &amp; Other'!#REF!</definedName>
    <definedName name="Purchase_Accounting_YR_2006">'[31]Aday IS DECo &amp; Other'!#REF!</definedName>
    <definedName name="Purchase_Accounting_YR_2007">'[31]Aday IS DECo &amp; Other'!#REF!</definedName>
    <definedName name="Purchase_Accounting_YR_2008">'[31]Aday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'[67]Boston Edison'!$A$1:$M$3434</definedName>
    <definedName name="qw" localSheetId="2" hidden="1">{"'Metretek HTML'!$A$7:$W$42"}</definedName>
    <definedName name="qw" hidden="1">{"'Metretek HTML'!$A$7:$W$42"}</definedName>
    <definedName name="RAMPFAS109" localSheetId="2" hidden="1">#REF!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'[68]Employee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[17]DEPR96!#REF!</definedName>
    <definedName name="RPT_B">#REF!</definedName>
    <definedName name="RPT_G">#REF!</definedName>
    <definedName name="RPTX">#REF!</definedName>
    <definedName name="rrrr" localSheetId="2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RSHCust">'[69]Chart6-8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[14]Masterdata!#REF!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localSheetId="2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'[31]Aday IS EG Subs'!#REF!</definedName>
    <definedName name="So._Missouri_YR_2006">'[31]Aday IS EG Subs'!#REF!</definedName>
    <definedName name="So._Missouri_YR_2007">'[31]Aday IS EG Subs'!#REF!</definedName>
    <definedName name="So._Missouri_YR_2008">'[31]Aday IS EG Subs'!#REF!</definedName>
    <definedName name="solver_adj" hidden="1">[70]Database!#REF!,[70]Database!#REF!,[70]Database!#REF!,[70]Database!#REF!,[70]Database!#REF!,[70]Database!#REF!,[70]Database!#REF!</definedName>
    <definedName name="solver_tmp" localSheetId="2" hidden="1">[71]Database!#REF!,[71]Database!#REF!,[71]Database!#REF!,[71]Database!#REF!,[71]Database!#REF!,[71]Database!#REF!,[71]Database!#REF!</definedName>
    <definedName name="solver_tmp" hidden="1">[70]Database!#REF!,[70]Database!#REF!,[70]Database!#REF!,[70]Database!#REF!,[70]Database!#REF!,[70]Database!#REF!,[70]Database!#REF!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localSheetId="2" hidden="1">{"'Metretek HTML'!$A$7:$W$42"}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'[72]State List'!$A$2:$A$53</definedName>
    <definedName name="StateDef">#REF!</definedName>
    <definedName name="stats">#REF!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'[32]Input Page'!$E$9</definedName>
    <definedName name="store_total">'[32]Input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'[31]Aday IS DECo &amp; Other'!#REF!</definedName>
    <definedName name="Subtotal_Energy_Res_Consol_YR_2006">'[31]Aday IS DECo &amp; Other'!#REF!</definedName>
    <definedName name="Subtotal_Energy_Res_Consol_YR_2007">'[31]Aday IS DECo &amp; Other'!#REF!</definedName>
    <definedName name="Subtotal_Energy_Res_Consol_YR_2008">'[31]Aday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 localSheetId="2" hidden="1">{#N/A,#N/A,FALSE,"Sheet1"}</definedName>
    <definedName name="summary">#REF!</definedName>
    <definedName name="summary_caution">[3]Model!$A$202:$IV$207</definedName>
    <definedName name="SUMMARYOFBOOKINCOME">#REF!</definedName>
    <definedName name="support" localSheetId="2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localSheetId="2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'[36]Keystone Swap Amort Sched'!$A$1:$F$241</definedName>
    <definedName name="SWITCH">[50]Assump!#REF!</definedName>
    <definedName name="Syndeco_Realty">#REF!</definedName>
    <definedName name="Syndeco_Realty_YR_2005">'[31]Aday IS DECo &amp; Other'!#REF!</definedName>
    <definedName name="Syndeco_Realty_YR_2006">'[31]Aday IS DECo &amp; Other'!#REF!</definedName>
    <definedName name="Syndeco_Realty_YR_2007">'[31]Aday IS DECo &amp; Other'!#REF!</definedName>
    <definedName name="Syndeco_Realty_YR_2008">'[31]Aday IS DECo &amp; Other'!#REF!</definedName>
    <definedName name="Synfuel_Gain__Loss__CPM">#REF!</definedName>
    <definedName name="sysOpImprov">[41]Input!#REF!</definedName>
    <definedName name="sysOpYears">[41]Input!#REF!</definedName>
    <definedName name="t_and_d_exp">'[32]Input Page'!#REF!</definedName>
    <definedName name="TABLE">#REF!</definedName>
    <definedName name="TABLE_A">#REF!</definedName>
    <definedName name="TABLE_A2">#REF!</definedName>
    <definedName name="TABLE_B">#REF!</definedName>
    <definedName name="Tacx_Factor">[36]Assumptions!$E$52</definedName>
    <definedName name="tax_base_on_inc">'[32]Input Page'!$E$14</definedName>
    <definedName name="tax_basis">'[32]Input Page'!$E$18</definedName>
    <definedName name="Tax_Credits_CPM">#REF!</definedName>
    <definedName name="Tax_Rate">#REF!</definedName>
    <definedName name="TAXES">#REF!</definedName>
    <definedName name="Taxrate">'[73]Case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'[44]190100'!#REF!</definedName>
    <definedName name="TESTKEYS">#REF!</definedName>
    <definedName name="TESTVKEY">#REF!</definedName>
    <definedName name="TEXT" localSheetId="2" hidden="1">{"'Metretek HTML'!$A$7:$W$42"}</definedName>
    <definedName name="TEXT" hidden="1">{"'Metretek HTML'!$A$7:$W$42"}</definedName>
    <definedName name="thousand">1000</definedName>
    <definedName name="TIM">[74]Comp!#REF!</definedName>
    <definedName name="TITLES">#REF!</definedName>
    <definedName name="TMRI">#REF!</definedName>
    <definedName name="toma" localSheetId="2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'[32]Input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'[32]Input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[23]December!#REF!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[75]Cover!$A$9</definedName>
    <definedName name="valDate">[39]Inputs!$B$1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'[31]Aday IS EG Subs'!#REF!</definedName>
    <definedName name="Vector_Pipeline_YR_2006">'[31]Aday IS EG Subs'!#REF!</definedName>
    <definedName name="Vector_Pipeline_YR_2007">'[31]Aday IS EG Subs'!#REF!</definedName>
    <definedName name="Vector_Pipeline_YR_2008">'[31]Aday IS EG Subs'!#REF!</definedName>
    <definedName name="version">[76]Cover!$A$9</definedName>
    <definedName name="WATERACT">'[2]Curr adj - depn basis diff'!#REF!</definedName>
    <definedName name="WCCGCR2">[69]Rates!$B$96:$C$190</definedName>
    <definedName name="we" localSheetId="2" hidden="1">{"'Metretek HTML'!$A$7:$W$42"}</definedName>
    <definedName name="we" hidden="1">{"'Metretek HTML'!$A$7:$W$42"}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2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localSheetId="2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localSheetId="2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localSheetId="2" hidden="1">{#N/A,#N/A,FALSE,"CURRENT"}</definedName>
    <definedName name="wrn.722." hidden="1">{#N/A,#N/A,FALSE,"CURRENT"}</definedName>
    <definedName name="wrn.Account._.Analysis." localSheetId="2" hidden="1">{#N/A,#N/A,FALSE,"June"}</definedName>
    <definedName name="wrn.Account._.Analysis." hidden="1">{#N/A,#N/A,FALSE,"June"}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2" hidden="1">{"AGT",#N/A,FALSE,"Revenue"}</definedName>
    <definedName name="wrn.AGT." hidden="1">{"AGT",#N/A,FALSE,"Revenue"}</definedName>
    <definedName name="wrn.allowrates." localSheetId="2" hidden="1">{"rates",#N/A,FALSE,"COSSUM"}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localSheetId="2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Cash._.Products." localSheetId="2" hidden="1">{"Cash - Products",#N/A,FALSE,"SUB BS Flux"}</definedName>
    <definedName name="wrn.Cash._.Products." hidden="1">{"Cash - Products",#N/A,FALSE,"SUB BS Flux"}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S." localSheetId="2" hidden="1">{"detail",#N/A,FALSE,"COSSUM"}</definedName>
    <definedName name="wrn.COS." hidden="1">{"detail",#N/A,FALSE,"COSSUM"}</definedName>
    <definedName name="wrn.Data._.dump." localSheetId="2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2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localSheetId="2" hidden="1">{"Print Empty Template",#N/A,FALSE,"Input"}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localSheetId="2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localSheetId="2" hidden="1">{"hecosum",#N/A,FALSE,"88-89"}</definedName>
    <definedName name="wrn.heco." hidden="1">{"hecosum",#N/A,FALSE,"88-89"}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2" hidden="1">{#N/A,#N/A,FALSE,"Sheet1"}</definedName>
    <definedName name="wrn.Project._.Criteria." hidden="1">{#N/A,#N/A,FALSE,"Sheet1"}</definedName>
    <definedName name="wrn.R_D._.Tax._.Services." localSheetId="2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localSheetId="2" hidden="1">{#N/A,#N/A,FALSE,"Work performed";#N/A,#N/A,FALSE,"Resources"}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localSheetId="2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2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localSheetId="2" hidden="1">{"'Metretek HTML'!$A$7:$W$42"}</definedName>
    <definedName name="xa" hidden="1">{"'Metretek HTML'!$A$7:$W$42"}</definedName>
    <definedName name="xls" localSheetId="2" hidden="1">{"'Metretek HTML'!$A$7:$W$42"}</definedName>
    <definedName name="xls" hidden="1">{"'Metretek HTML'!$A$7:$W$42"}</definedName>
    <definedName name="XO" localSheetId="2" hidden="1">{"'Metretek HTML'!$A$7:$W$42"}</definedName>
    <definedName name="XO" hidden="1">{"'Metretek HTML'!$A$7:$W$42"}</definedName>
    <definedName name="xs" localSheetId="2" hidden="1">{"'Metretek HTML'!$A$7:$W$42"}</definedName>
    <definedName name="xs" hidden="1">{"'Metretek HTML'!$A$7:$W$42"}</definedName>
    <definedName name="xTc">'[77]PMG Annual'!#REF!</definedName>
    <definedName name="xx" hidden="1">{"'Metretek HTML'!$A$7:$W$42"}</definedName>
    <definedName name="xxx" localSheetId="2" hidden="1">{#N/A,#N/A,FALSE,"O&amp;M by processes";#N/A,#N/A,FALSE,"Elec Act vs Bud";#N/A,#N/A,FALSE,"G&amp;A";#N/A,#N/A,FALSE,"BGS";#N/A,#N/A,FALSE,"Res Cost"}</definedName>
    <definedName name="xxx" hidden="1">{#N/A,#N/A,TRUE,"TAXPROV";#N/A,#N/A,TRUE,"FLOWTHRU";#N/A,#N/A,TRUE,"SCHEDULE M'S";#N/A,#N/A,TRUE,"PLANT M'S";#N/A,#N/A,TRUE,"TAXJE"}</definedName>
    <definedName name="xxxx" localSheetId="2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2" hidden="1">{"'Metretek HTML'!$A$7:$W$42"}</definedName>
    <definedName name="xxxxxxx" hidden="1">{"'Metretek HTML'!$A$7:$W$42"}</definedName>
    <definedName name="XXXXXXXXXXXXXX" localSheetId="2" hidden="1">{"'Metretek HTML'!$A$7:$W$42"}</definedName>
    <definedName name="XXXXXXXXXXXXXX" hidden="1">{"'Metretek HTML'!$A$7:$W$42"}</definedName>
    <definedName name="xy" localSheetId="2" hidden="1">{"'Metretek HTML'!$A$7:$W$42"}</definedName>
    <definedName name="xy" hidden="1">{"'Metretek HTML'!$A$7:$W$42"}</definedName>
    <definedName name="XZ" localSheetId="2" hidden="1">{"'Metretek HTML'!$A$7:$W$42"}</definedName>
    <definedName name="XZ" hidden="1">{"'Metretek HTML'!$A$7:$W$42"}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[78]INPUTS!$C$17</definedName>
    <definedName name="yeartodate">[58]RPT80MAR!$A$84:$D$158</definedName>
    <definedName name="YEDATE">#REF!</definedName>
    <definedName name="YR_2005">'[31]Aday IS EG Subs'!#REF!</definedName>
    <definedName name="YR_2006">'[31]Aday IS EG Subs'!#REF!</definedName>
    <definedName name="YR_2007">'[31]Aday IS EG Subs'!#REF!</definedName>
    <definedName name="YR_2008">'[31]Aday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localSheetId="2" hidden="1">{"'Metretek HTML'!$A$7:$W$42"}</definedName>
    <definedName name="yy" hidden="1">{"'Metretek HTML'!$A$7:$W$42"}</definedName>
    <definedName name="yyy" localSheetId="2" hidden="1">{#N/A,#N/A,FALSE,"Sheet1"}</definedName>
    <definedName name="yyy" hidden="1">{#N/A,#N/A,FALSE,"Sheet1"}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'[79]Time Phased Hours'!$A$1:$C$65536,'[79]Time Phased Hours'!$A$3:$IV$5</definedName>
    <definedName name="Z_B7A05E1E_93CE_40AF_8215_EED8EE94C1F4_.wvu.PrintArea" hidden="1">'[79]Risk Profile'!$A$1:$AA$187</definedName>
    <definedName name="zaph">#REF!</definedName>
    <definedName name="zero">0</definedName>
    <definedName name="zxfg" localSheetId="2" hidden="1">#REF!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0" i="1" l="1"/>
  <c r="D19" i="3"/>
  <c r="H15" i="3" s="1"/>
  <c r="J15" i="3" s="1"/>
  <c r="H12" i="3"/>
  <c r="J12" i="3" s="1"/>
  <c r="H11" i="3"/>
  <c r="J11" i="3" s="1"/>
  <c r="H10" i="3"/>
  <c r="J10" i="3" s="1"/>
  <c r="H9" i="3"/>
  <c r="AP26" i="1"/>
  <c r="AR26" i="1" s="1"/>
  <c r="AT26" i="1" s="1"/>
  <c r="F26" i="1"/>
  <c r="D26" i="1"/>
  <c r="L30" i="2"/>
  <c r="H30" i="2"/>
  <c r="B26" i="2"/>
  <c r="B27" i="2" s="1"/>
  <c r="B28" i="2" s="1"/>
  <c r="B29" i="2" s="1"/>
  <c r="B30" i="2" s="1"/>
  <c r="H14" i="3" l="1"/>
  <c r="J14" i="3" s="1"/>
  <c r="H16" i="3"/>
  <c r="J16" i="3" s="1"/>
  <c r="H13" i="3"/>
  <c r="J13" i="3" s="1"/>
  <c r="H17" i="3"/>
  <c r="J17" i="3" s="1"/>
  <c r="J9" i="3"/>
  <c r="AP12" i="1"/>
  <c r="AP20" i="1"/>
  <c r="AP13" i="1"/>
  <c r="AP21" i="1"/>
  <c r="AP19" i="1"/>
  <c r="AP14" i="1"/>
  <c r="AP22" i="1"/>
  <c r="AP11" i="1"/>
  <c r="AP15" i="1"/>
  <c r="AP8" i="1"/>
  <c r="AP16" i="1"/>
  <c r="AP24" i="1"/>
  <c r="AP23" i="1"/>
  <c r="AP9" i="1"/>
  <c r="AP28" i="1" s="1"/>
  <c r="AP17" i="1"/>
  <c r="AP25" i="1"/>
  <c r="AP10" i="1"/>
  <c r="AP18" i="1"/>
  <c r="H19" i="3" l="1"/>
  <c r="J19" i="3"/>
  <c r="D658" i="3" l="1"/>
  <c r="H654" i="3" s="1"/>
  <c r="J654" i="3" s="1"/>
  <c r="H648" i="3"/>
  <c r="J648" i="3" s="1"/>
  <c r="H642" i="3"/>
  <c r="J642" i="3" s="1"/>
  <c r="H637" i="3"/>
  <c r="J637" i="3" s="1"/>
  <c r="H636" i="3"/>
  <c r="J636" i="3" s="1"/>
  <c r="H635" i="3"/>
  <c r="J635" i="3" s="1"/>
  <c r="H634" i="3"/>
  <c r="J634" i="3" s="1"/>
  <c r="H633" i="3"/>
  <c r="J633" i="3" s="1"/>
  <c r="H632" i="3"/>
  <c r="J632" i="3" s="1"/>
  <c r="H631" i="3"/>
  <c r="J631" i="3" s="1"/>
  <c r="H630" i="3"/>
  <c r="J630" i="3" s="1"/>
  <c r="H629" i="3"/>
  <c r="J629" i="3" s="1"/>
  <c r="H628" i="3"/>
  <c r="J628" i="3" s="1"/>
  <c r="J627" i="3"/>
  <c r="H627" i="3"/>
  <c r="H626" i="3"/>
  <c r="J626" i="3" s="1"/>
  <c r="H625" i="3"/>
  <c r="J625" i="3" s="1"/>
  <c r="H624" i="3"/>
  <c r="D619" i="3"/>
  <c r="H617" i="3" s="1"/>
  <c r="J617" i="3" s="1"/>
  <c r="H614" i="3"/>
  <c r="J614" i="3" s="1"/>
  <c r="H607" i="3"/>
  <c r="J607" i="3" s="1"/>
  <c r="H602" i="3"/>
  <c r="J602" i="3" s="1"/>
  <c r="H598" i="3"/>
  <c r="J598" i="3" s="1"/>
  <c r="H591" i="3"/>
  <c r="J591" i="3" s="1"/>
  <c r="H586" i="3"/>
  <c r="J586" i="3" s="1"/>
  <c r="D580" i="3"/>
  <c r="H577" i="3" s="1"/>
  <c r="J577" i="3" s="1"/>
  <c r="H575" i="3"/>
  <c r="J575" i="3" s="1"/>
  <c r="H568" i="3"/>
  <c r="J568" i="3" s="1"/>
  <c r="H567" i="3"/>
  <c r="J567" i="3" s="1"/>
  <c r="H563" i="3"/>
  <c r="J563" i="3" s="1"/>
  <c r="H561" i="3"/>
  <c r="J561" i="3" s="1"/>
  <c r="H560" i="3"/>
  <c r="J560" i="3" s="1"/>
  <c r="H558" i="3"/>
  <c r="J558" i="3" s="1"/>
  <c r="H556" i="3"/>
  <c r="J556" i="3" s="1"/>
  <c r="H555" i="3"/>
  <c r="J555" i="3" s="1"/>
  <c r="H553" i="3"/>
  <c r="J553" i="3" s="1"/>
  <c r="H550" i="3"/>
  <c r="J550" i="3" s="1"/>
  <c r="H547" i="3"/>
  <c r="J547" i="3" s="1"/>
  <c r="D523" i="3"/>
  <c r="D522" i="3"/>
  <c r="D517" i="3"/>
  <c r="D484" i="3"/>
  <c r="D483" i="3"/>
  <c r="D482" i="3"/>
  <c r="D502" i="3" s="1"/>
  <c r="H495" i="3" s="1"/>
  <c r="J495" i="3" s="1"/>
  <c r="D445" i="3"/>
  <c r="D444" i="3"/>
  <c r="D443" i="3"/>
  <c r="D439" i="3"/>
  <c r="D463" i="3" s="1"/>
  <c r="H452" i="3" s="1"/>
  <c r="J452" i="3" s="1"/>
  <c r="D414" i="3"/>
  <c r="D413" i="3"/>
  <c r="D412" i="3"/>
  <c r="D406" i="3"/>
  <c r="D405" i="3"/>
  <c r="D404" i="3"/>
  <c r="D385" i="3"/>
  <c r="H376" i="3" s="1"/>
  <c r="J376" i="3" s="1"/>
  <c r="H368" i="3"/>
  <c r="J368" i="3" s="1"/>
  <c r="D346" i="3"/>
  <c r="H342" i="3" s="1"/>
  <c r="J342" i="3" s="1"/>
  <c r="H338" i="3"/>
  <c r="J338" i="3" s="1"/>
  <c r="H337" i="3"/>
  <c r="J337" i="3" s="1"/>
  <c r="H334" i="3"/>
  <c r="J334" i="3" s="1"/>
  <c r="H332" i="3"/>
  <c r="J332" i="3" s="1"/>
  <c r="J330" i="3"/>
  <c r="H330" i="3"/>
  <c r="H328" i="3"/>
  <c r="J328" i="3" s="1"/>
  <c r="H327" i="3"/>
  <c r="J327" i="3" s="1"/>
  <c r="H325" i="3"/>
  <c r="J325" i="3" s="1"/>
  <c r="H324" i="3"/>
  <c r="J324" i="3" s="1"/>
  <c r="H323" i="3"/>
  <c r="J323" i="3" s="1"/>
  <c r="H322" i="3"/>
  <c r="J322" i="3" s="1"/>
  <c r="J319" i="3"/>
  <c r="H319" i="3"/>
  <c r="H318" i="3"/>
  <c r="J318" i="3" s="1"/>
  <c r="H316" i="3"/>
  <c r="J316" i="3" s="1"/>
  <c r="H315" i="3"/>
  <c r="J315" i="3" s="1"/>
  <c r="J314" i="3"/>
  <c r="H314" i="3"/>
  <c r="H313" i="3"/>
  <c r="J313" i="3" s="1"/>
  <c r="H312" i="3"/>
  <c r="D307" i="3"/>
  <c r="H305" i="3" s="1"/>
  <c r="J305" i="3" s="1"/>
  <c r="H303" i="3"/>
  <c r="J303" i="3" s="1"/>
  <c r="H298" i="3"/>
  <c r="J298" i="3" s="1"/>
  <c r="H295" i="3"/>
  <c r="J295" i="3" s="1"/>
  <c r="H291" i="3"/>
  <c r="J291" i="3" s="1"/>
  <c r="H290" i="3"/>
  <c r="J290" i="3" s="1"/>
  <c r="H289" i="3"/>
  <c r="J289" i="3" s="1"/>
  <c r="H285" i="3"/>
  <c r="J285" i="3" s="1"/>
  <c r="H283" i="3"/>
  <c r="J283" i="3" s="1"/>
  <c r="H281" i="3"/>
  <c r="J281" i="3" s="1"/>
  <c r="H280" i="3"/>
  <c r="J280" i="3" s="1"/>
  <c r="H279" i="3"/>
  <c r="J279" i="3" s="1"/>
  <c r="H277" i="3"/>
  <c r="J277" i="3" s="1"/>
  <c r="H276" i="3"/>
  <c r="J276" i="3" s="1"/>
  <c r="H275" i="3"/>
  <c r="J275" i="3" s="1"/>
  <c r="H274" i="3"/>
  <c r="J274" i="3" s="1"/>
  <c r="H273" i="3"/>
  <c r="J273" i="3" s="1"/>
  <c r="D262" i="3"/>
  <c r="D259" i="3"/>
  <c r="D250" i="3"/>
  <c r="D241" i="3"/>
  <c r="D240" i="3"/>
  <c r="D239" i="3"/>
  <c r="D238" i="3"/>
  <c r="D237" i="3"/>
  <c r="D236" i="3"/>
  <c r="D235" i="3"/>
  <c r="D223" i="3"/>
  <c r="D219" i="3"/>
  <c r="D218" i="3"/>
  <c r="D217" i="3"/>
  <c r="D207" i="3"/>
  <c r="D195" i="3"/>
  <c r="D185" i="3"/>
  <c r="D182" i="3"/>
  <c r="D181" i="3"/>
  <c r="D180" i="3"/>
  <c r="D179" i="3"/>
  <c r="D178" i="3"/>
  <c r="D177" i="3"/>
  <c r="D176" i="3"/>
  <c r="D175" i="3"/>
  <c r="D174" i="3"/>
  <c r="D173" i="3"/>
  <c r="D172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51" i="3" s="1"/>
  <c r="H123" i="3" s="1"/>
  <c r="J123" i="3" s="1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8" i="3"/>
  <c r="D70" i="3"/>
  <c r="D69" i="3"/>
  <c r="D68" i="3"/>
  <c r="D67" i="3"/>
  <c r="D59" i="3"/>
  <c r="D58" i="3"/>
  <c r="D57" i="3"/>
  <c r="D55" i="3"/>
  <c r="D54" i="3"/>
  <c r="D53" i="3"/>
  <c r="D51" i="3"/>
  <c r="D50" i="3"/>
  <c r="D49" i="3"/>
  <c r="D48" i="3"/>
  <c r="D43" i="3"/>
  <c r="D42" i="3"/>
  <c r="D41" i="3"/>
  <c r="D39" i="3"/>
  <c r="D34" i="3"/>
  <c r="H26" i="3" s="1"/>
  <c r="J26" i="3" s="1"/>
  <c r="A3" i="3"/>
  <c r="F32" i="2"/>
  <c r="D32" i="2"/>
  <c r="N32" i="2"/>
  <c r="H29" i="2"/>
  <c r="L29" i="2" s="1"/>
  <c r="D25" i="1" s="1"/>
  <c r="H28" i="2"/>
  <c r="L28" i="2" s="1"/>
  <c r="H27" i="2"/>
  <c r="L27" i="2" s="1"/>
  <c r="D23" i="1" s="1"/>
  <c r="H26" i="2"/>
  <c r="L26" i="2" s="1"/>
  <c r="D22" i="1" s="1"/>
  <c r="H25" i="2"/>
  <c r="L25" i="2" s="1"/>
  <c r="D21" i="1" s="1"/>
  <c r="H24" i="2"/>
  <c r="L24" i="2" s="1"/>
  <c r="D20" i="1" s="1"/>
  <c r="H23" i="2"/>
  <c r="L23" i="2" s="1"/>
  <c r="D19" i="1" s="1"/>
  <c r="H22" i="2"/>
  <c r="L22" i="2" s="1"/>
  <c r="H21" i="2"/>
  <c r="L21" i="2" s="1"/>
  <c r="H20" i="2"/>
  <c r="L20" i="2" s="1"/>
  <c r="D17" i="1" s="1"/>
  <c r="H19" i="2"/>
  <c r="L19" i="2" s="1"/>
  <c r="H18" i="2"/>
  <c r="L18" i="2" s="1"/>
  <c r="H17" i="2"/>
  <c r="L17" i="2" s="1"/>
  <c r="D15" i="1" s="1"/>
  <c r="H16" i="2"/>
  <c r="L16" i="2" s="1"/>
  <c r="H15" i="2"/>
  <c r="L15" i="2" s="1"/>
  <c r="L14" i="2"/>
  <c r="H14" i="2"/>
  <c r="H13" i="2"/>
  <c r="L13" i="2" s="1"/>
  <c r="H12" i="2"/>
  <c r="L12" i="2" s="1"/>
  <c r="B12" i="2"/>
  <c r="B13" i="2" s="1"/>
  <c r="B14" i="2" s="1"/>
  <c r="B16" i="2" s="1"/>
  <c r="B17" i="2" s="1"/>
  <c r="B19" i="2" s="1"/>
  <c r="B20" i="2" s="1"/>
  <c r="B21" i="2" s="1"/>
  <c r="B23" i="2" s="1"/>
  <c r="B24" i="2" s="1"/>
  <c r="B25" i="2" s="1"/>
  <c r="H11" i="2"/>
  <c r="L11" i="2" s="1"/>
  <c r="D10" i="1" s="1"/>
  <c r="B11" i="2"/>
  <c r="H10" i="2"/>
  <c r="L10" i="2" s="1"/>
  <c r="D9" i="1" s="1"/>
  <c r="H9" i="2"/>
  <c r="L9" i="2" s="1"/>
  <c r="D8" i="1" s="1"/>
  <c r="A3" i="2"/>
  <c r="F24" i="1"/>
  <c r="D24" i="1"/>
  <c r="F23" i="1"/>
  <c r="F22" i="1"/>
  <c r="F21" i="1"/>
  <c r="F20" i="1"/>
  <c r="F19" i="1"/>
  <c r="F18" i="1"/>
  <c r="F17" i="1"/>
  <c r="F16" i="1"/>
  <c r="D16" i="1"/>
  <c r="F15" i="1"/>
  <c r="F14" i="1"/>
  <c r="D14" i="1"/>
  <c r="F13" i="1"/>
  <c r="D13" i="1"/>
  <c r="F12" i="1"/>
  <c r="D12" i="1"/>
  <c r="F11" i="1"/>
  <c r="D11" i="1"/>
  <c r="F10" i="1"/>
  <c r="F9" i="1"/>
  <c r="F8" i="1"/>
  <c r="H29" i="3" l="1"/>
  <c r="J29" i="3" s="1"/>
  <c r="H282" i="3"/>
  <c r="J282" i="3" s="1"/>
  <c r="H294" i="3"/>
  <c r="J294" i="3" s="1"/>
  <c r="H329" i="3"/>
  <c r="J329" i="3" s="1"/>
  <c r="H380" i="3"/>
  <c r="J380" i="3" s="1"/>
  <c r="H430" i="3"/>
  <c r="J430" i="3" s="1"/>
  <c r="H599" i="3"/>
  <c r="J599" i="3" s="1"/>
  <c r="H615" i="3"/>
  <c r="J615" i="3" s="1"/>
  <c r="H639" i="3"/>
  <c r="J639" i="3" s="1"/>
  <c r="H644" i="3"/>
  <c r="J644" i="3" s="1"/>
  <c r="H652" i="3"/>
  <c r="J652" i="3" s="1"/>
  <c r="H30" i="3"/>
  <c r="J30" i="3" s="1"/>
  <c r="H434" i="3"/>
  <c r="J434" i="3" s="1"/>
  <c r="H645" i="3"/>
  <c r="J645" i="3" s="1"/>
  <c r="H653" i="3"/>
  <c r="J653" i="3" s="1"/>
  <c r="D424" i="3"/>
  <c r="H411" i="3" s="1"/>
  <c r="J411" i="3" s="1"/>
  <c r="H487" i="3"/>
  <c r="J487" i="3" s="1"/>
  <c r="H546" i="3"/>
  <c r="J546" i="3" s="1"/>
  <c r="H551" i="3"/>
  <c r="J551" i="3" s="1"/>
  <c r="H557" i="3"/>
  <c r="J557" i="3" s="1"/>
  <c r="H562" i="3"/>
  <c r="J562" i="3" s="1"/>
  <c r="H570" i="3"/>
  <c r="J570" i="3" s="1"/>
  <c r="H587" i="3"/>
  <c r="J587" i="3" s="1"/>
  <c r="H603" i="3"/>
  <c r="J603" i="3" s="1"/>
  <c r="H640" i="3"/>
  <c r="J640" i="3" s="1"/>
  <c r="H647" i="3"/>
  <c r="J647" i="3" s="1"/>
  <c r="H655" i="3"/>
  <c r="J655" i="3" s="1"/>
  <c r="H286" i="3"/>
  <c r="J286" i="3" s="1"/>
  <c r="H299" i="3"/>
  <c r="J299" i="3" s="1"/>
  <c r="H320" i="3"/>
  <c r="J320" i="3" s="1"/>
  <c r="H326" i="3"/>
  <c r="J326" i="3" s="1"/>
  <c r="H331" i="3"/>
  <c r="J331" i="3" s="1"/>
  <c r="H491" i="3"/>
  <c r="J491" i="3" s="1"/>
  <c r="H552" i="3"/>
  <c r="J552" i="3" s="1"/>
  <c r="H590" i="3"/>
  <c r="J590" i="3" s="1"/>
  <c r="H606" i="3"/>
  <c r="J606" i="3" s="1"/>
  <c r="H641" i="3"/>
  <c r="J641" i="3" s="1"/>
  <c r="H278" i="3"/>
  <c r="J278" i="3" s="1"/>
  <c r="H287" i="3"/>
  <c r="J287" i="3" s="1"/>
  <c r="H302" i="3"/>
  <c r="J302" i="3" s="1"/>
  <c r="H321" i="3"/>
  <c r="J321" i="3" s="1"/>
  <c r="H341" i="3"/>
  <c r="J341" i="3" s="1"/>
  <c r="H444" i="3"/>
  <c r="J444" i="3" s="1"/>
  <c r="H499" i="3"/>
  <c r="J499" i="3" s="1"/>
  <c r="H571" i="3"/>
  <c r="J571" i="3" s="1"/>
  <c r="H25" i="3"/>
  <c r="J25" i="3" s="1"/>
  <c r="H445" i="3"/>
  <c r="J445" i="3" s="1"/>
  <c r="D541" i="3"/>
  <c r="H522" i="3" s="1"/>
  <c r="J522" i="3" s="1"/>
  <c r="H548" i="3"/>
  <c r="J548" i="3" s="1"/>
  <c r="H564" i="3"/>
  <c r="J564" i="3" s="1"/>
  <c r="H574" i="3"/>
  <c r="J574" i="3" s="1"/>
  <c r="H594" i="3"/>
  <c r="J594" i="3" s="1"/>
  <c r="H610" i="3"/>
  <c r="J610" i="3" s="1"/>
  <c r="H649" i="3"/>
  <c r="J649" i="3" s="1"/>
  <c r="H317" i="3"/>
  <c r="J317" i="3" s="1"/>
  <c r="H333" i="3"/>
  <c r="J333" i="3" s="1"/>
  <c r="H352" i="3"/>
  <c r="J352" i="3" s="1"/>
  <c r="H448" i="3"/>
  <c r="J448" i="3" s="1"/>
  <c r="H549" i="3"/>
  <c r="J549" i="3" s="1"/>
  <c r="H554" i="3"/>
  <c r="J554" i="3" s="1"/>
  <c r="H559" i="3"/>
  <c r="J559" i="3" s="1"/>
  <c r="H566" i="3"/>
  <c r="J566" i="3" s="1"/>
  <c r="H595" i="3"/>
  <c r="J595" i="3" s="1"/>
  <c r="H611" i="3"/>
  <c r="J611" i="3" s="1"/>
  <c r="H638" i="3"/>
  <c r="J638" i="3" s="1"/>
  <c r="H643" i="3"/>
  <c r="J643" i="3" s="1"/>
  <c r="H651" i="3"/>
  <c r="J651" i="3" s="1"/>
  <c r="D18" i="1"/>
  <c r="D28" i="1"/>
  <c r="H69" i="3"/>
  <c r="J69" i="3" s="1"/>
  <c r="H121" i="3"/>
  <c r="J121" i="3" s="1"/>
  <c r="H132" i="3"/>
  <c r="J132" i="3" s="1"/>
  <c r="H138" i="3"/>
  <c r="J138" i="3" s="1"/>
  <c r="H133" i="3"/>
  <c r="J133" i="3" s="1"/>
  <c r="H139" i="3"/>
  <c r="J139" i="3" s="1"/>
  <c r="H145" i="3"/>
  <c r="J145" i="3" s="1"/>
  <c r="H131" i="3"/>
  <c r="J131" i="3" s="1"/>
  <c r="H144" i="3"/>
  <c r="J144" i="3" s="1"/>
  <c r="H32" i="2"/>
  <c r="H122" i="3"/>
  <c r="J122" i="3" s="1"/>
  <c r="H128" i="3"/>
  <c r="J128" i="3" s="1"/>
  <c r="H134" i="3"/>
  <c r="J134" i="3" s="1"/>
  <c r="F25" i="1"/>
  <c r="F28" i="1" s="1"/>
  <c r="H83" i="3"/>
  <c r="J83" i="3" s="1"/>
  <c r="H117" i="3"/>
  <c r="H129" i="3"/>
  <c r="J129" i="3" s="1"/>
  <c r="D190" i="3"/>
  <c r="H163" i="3" s="1"/>
  <c r="J163" i="3" s="1"/>
  <c r="H174" i="3"/>
  <c r="J174" i="3" s="1"/>
  <c r="H148" i="3"/>
  <c r="J148" i="3" s="1"/>
  <c r="H147" i="3"/>
  <c r="J147" i="3" s="1"/>
  <c r="H135" i="3"/>
  <c r="J135" i="3" s="1"/>
  <c r="H127" i="3"/>
  <c r="J127" i="3" s="1"/>
  <c r="H119" i="3"/>
  <c r="J119" i="3" s="1"/>
  <c r="H149" i="3"/>
  <c r="J149" i="3" s="1"/>
  <c r="H140" i="3"/>
  <c r="J140" i="3" s="1"/>
  <c r="H146" i="3"/>
  <c r="J146" i="3" s="1"/>
  <c r="H130" i="3"/>
  <c r="J130" i="3" s="1"/>
  <c r="AH23" i="1"/>
  <c r="D112" i="3"/>
  <c r="H103" i="3" s="1"/>
  <c r="J103" i="3" s="1"/>
  <c r="H118" i="3"/>
  <c r="J118" i="3" s="1"/>
  <c r="H137" i="3"/>
  <c r="J137" i="3" s="1"/>
  <c r="H143" i="3"/>
  <c r="J143" i="3" s="1"/>
  <c r="H157" i="3"/>
  <c r="J157" i="3" s="1"/>
  <c r="H217" i="3"/>
  <c r="J217" i="3" s="1"/>
  <c r="D229" i="3"/>
  <c r="L32" i="2"/>
  <c r="D73" i="3"/>
  <c r="H51" i="3" s="1"/>
  <c r="J51" i="3" s="1"/>
  <c r="H167" i="3"/>
  <c r="J167" i="3" s="1"/>
  <c r="H78" i="3"/>
  <c r="H98" i="3"/>
  <c r="J98" i="3" s="1"/>
  <c r="H107" i="3"/>
  <c r="J107" i="3" s="1"/>
  <c r="AH24" i="1"/>
  <c r="H42" i="3"/>
  <c r="J42" i="3" s="1"/>
  <c r="H100" i="3"/>
  <c r="J100" i="3" s="1"/>
  <c r="H108" i="3"/>
  <c r="J108" i="3" s="1"/>
  <c r="H164" i="3"/>
  <c r="J164" i="3" s="1"/>
  <c r="H175" i="3"/>
  <c r="J175" i="3" s="1"/>
  <c r="H207" i="3"/>
  <c r="J207" i="3" s="1"/>
  <c r="D268" i="3"/>
  <c r="H235" i="3"/>
  <c r="J235" i="3" s="1"/>
  <c r="H58" i="3"/>
  <c r="J58" i="3" s="1"/>
  <c r="H120" i="3"/>
  <c r="J120" i="3" s="1"/>
  <c r="H125" i="3"/>
  <c r="J125" i="3" s="1"/>
  <c r="H136" i="3"/>
  <c r="J136" i="3" s="1"/>
  <c r="H141" i="3"/>
  <c r="J141" i="3" s="1"/>
  <c r="H165" i="3"/>
  <c r="J165" i="3" s="1"/>
  <c r="H176" i="3"/>
  <c r="J176" i="3" s="1"/>
  <c r="H195" i="3"/>
  <c r="H236" i="3"/>
  <c r="J236" i="3" s="1"/>
  <c r="H84" i="3"/>
  <c r="J84" i="3" s="1"/>
  <c r="H92" i="3"/>
  <c r="J92" i="3" s="1"/>
  <c r="H124" i="3"/>
  <c r="J124" i="3" s="1"/>
  <c r="H218" i="3"/>
  <c r="J218" i="3" s="1"/>
  <c r="H32" i="3"/>
  <c r="J32" i="3" s="1"/>
  <c r="H28" i="3"/>
  <c r="J28" i="3" s="1"/>
  <c r="H24" i="3"/>
  <c r="H31" i="3"/>
  <c r="J31" i="3" s="1"/>
  <c r="H27" i="3"/>
  <c r="J27" i="3" s="1"/>
  <c r="H126" i="3"/>
  <c r="J126" i="3" s="1"/>
  <c r="H142" i="3"/>
  <c r="J142" i="3" s="1"/>
  <c r="H181" i="3"/>
  <c r="J181" i="3" s="1"/>
  <c r="H356" i="3"/>
  <c r="J356" i="3" s="1"/>
  <c r="H438" i="3"/>
  <c r="J438" i="3" s="1"/>
  <c r="H483" i="3"/>
  <c r="J483" i="3" s="1"/>
  <c r="H530" i="3"/>
  <c r="J530" i="3" s="1"/>
  <c r="H360" i="3"/>
  <c r="J360" i="3" s="1"/>
  <c r="H440" i="3"/>
  <c r="J440" i="3" s="1"/>
  <c r="H458" i="3"/>
  <c r="J458" i="3" s="1"/>
  <c r="H454" i="3"/>
  <c r="J454" i="3" s="1"/>
  <c r="H450" i="3"/>
  <c r="J450" i="3" s="1"/>
  <c r="H446" i="3"/>
  <c r="J446" i="3" s="1"/>
  <c r="H443" i="3"/>
  <c r="J443" i="3" s="1"/>
  <c r="H436" i="3"/>
  <c r="J436" i="3" s="1"/>
  <c r="H432" i="3"/>
  <c r="J432" i="3" s="1"/>
  <c r="H461" i="3"/>
  <c r="J461" i="3" s="1"/>
  <c r="H457" i="3"/>
  <c r="J457" i="3" s="1"/>
  <c r="H453" i="3"/>
  <c r="J453" i="3" s="1"/>
  <c r="H449" i="3"/>
  <c r="J449" i="3" s="1"/>
  <c r="H435" i="3"/>
  <c r="J435" i="3" s="1"/>
  <c r="H431" i="3"/>
  <c r="J431" i="3" s="1"/>
  <c r="H442" i="3"/>
  <c r="J442" i="3" s="1"/>
  <c r="H441" i="3"/>
  <c r="J441" i="3" s="1"/>
  <c r="H459" i="3"/>
  <c r="J459" i="3" s="1"/>
  <c r="H455" i="3"/>
  <c r="J455" i="3" s="1"/>
  <c r="H451" i="3"/>
  <c r="J451" i="3" s="1"/>
  <c r="H447" i="3"/>
  <c r="J447" i="3" s="1"/>
  <c r="H437" i="3"/>
  <c r="J437" i="3" s="1"/>
  <c r="H433" i="3"/>
  <c r="J433" i="3" s="1"/>
  <c r="H429" i="3"/>
  <c r="H456" i="3"/>
  <c r="J456" i="3" s="1"/>
  <c r="H364" i="3"/>
  <c r="J364" i="3" s="1"/>
  <c r="H460" i="3"/>
  <c r="J460" i="3" s="1"/>
  <c r="H484" i="3"/>
  <c r="J484" i="3" s="1"/>
  <c r="H514" i="3"/>
  <c r="J514" i="3" s="1"/>
  <c r="H510" i="3"/>
  <c r="J510" i="3" s="1"/>
  <c r="H536" i="3"/>
  <c r="J536" i="3" s="1"/>
  <c r="H532" i="3"/>
  <c r="J532" i="3" s="1"/>
  <c r="H528" i="3"/>
  <c r="J528" i="3" s="1"/>
  <c r="H524" i="3"/>
  <c r="J524" i="3" s="1"/>
  <c r="H521" i="3"/>
  <c r="J521" i="3" s="1"/>
  <c r="H513" i="3"/>
  <c r="J513" i="3" s="1"/>
  <c r="H509" i="3"/>
  <c r="J509" i="3" s="1"/>
  <c r="H539" i="3"/>
  <c r="J539" i="3" s="1"/>
  <c r="H535" i="3"/>
  <c r="J535" i="3" s="1"/>
  <c r="H531" i="3"/>
  <c r="J531" i="3" s="1"/>
  <c r="H527" i="3"/>
  <c r="J527" i="3" s="1"/>
  <c r="H520" i="3"/>
  <c r="J520" i="3" s="1"/>
  <c r="H516" i="3"/>
  <c r="J516" i="3" s="1"/>
  <c r="H512" i="3"/>
  <c r="J512" i="3" s="1"/>
  <c r="H508" i="3"/>
  <c r="J508" i="3" s="1"/>
  <c r="H515" i="3"/>
  <c r="J515" i="3" s="1"/>
  <c r="H511" i="3"/>
  <c r="J511" i="3" s="1"/>
  <c r="H507" i="3"/>
  <c r="H537" i="3"/>
  <c r="J537" i="3" s="1"/>
  <c r="H533" i="3"/>
  <c r="J533" i="3" s="1"/>
  <c r="H529" i="3"/>
  <c r="J529" i="3" s="1"/>
  <c r="H525" i="3"/>
  <c r="J525" i="3" s="1"/>
  <c r="H518" i="3"/>
  <c r="J518" i="3" s="1"/>
  <c r="H538" i="3"/>
  <c r="J538" i="3" s="1"/>
  <c r="H420" i="3"/>
  <c r="J420" i="3" s="1"/>
  <c r="H416" i="3"/>
  <c r="J416" i="3" s="1"/>
  <c r="H403" i="3"/>
  <c r="J403" i="3" s="1"/>
  <c r="H399" i="3"/>
  <c r="J399" i="3" s="1"/>
  <c r="H395" i="3"/>
  <c r="J395" i="3" s="1"/>
  <c r="H391" i="3"/>
  <c r="J391" i="3" s="1"/>
  <c r="H409" i="3"/>
  <c r="J409" i="3" s="1"/>
  <c r="H419" i="3"/>
  <c r="J419" i="3" s="1"/>
  <c r="H415" i="3"/>
  <c r="J415" i="3" s="1"/>
  <c r="H412" i="3"/>
  <c r="J412" i="3" s="1"/>
  <c r="H405" i="3"/>
  <c r="J405" i="3" s="1"/>
  <c r="H402" i="3"/>
  <c r="J402" i="3" s="1"/>
  <c r="H398" i="3"/>
  <c r="J398" i="3" s="1"/>
  <c r="H394" i="3"/>
  <c r="J394" i="3" s="1"/>
  <c r="H390" i="3"/>
  <c r="H408" i="3"/>
  <c r="J408" i="3" s="1"/>
  <c r="H422" i="3"/>
  <c r="J422" i="3" s="1"/>
  <c r="H418" i="3"/>
  <c r="J418" i="3" s="1"/>
  <c r="H401" i="3"/>
  <c r="J401" i="3" s="1"/>
  <c r="H397" i="3"/>
  <c r="J397" i="3" s="1"/>
  <c r="H393" i="3"/>
  <c r="J393" i="3" s="1"/>
  <c r="H421" i="3"/>
  <c r="J421" i="3" s="1"/>
  <c r="H417" i="3"/>
  <c r="J417" i="3" s="1"/>
  <c r="H400" i="3"/>
  <c r="J400" i="3" s="1"/>
  <c r="H396" i="3"/>
  <c r="J396" i="3" s="1"/>
  <c r="H392" i="3"/>
  <c r="J392" i="3" s="1"/>
  <c r="H413" i="3"/>
  <c r="J413" i="3" s="1"/>
  <c r="H410" i="3"/>
  <c r="J410" i="3" s="1"/>
  <c r="H406" i="3"/>
  <c r="J406" i="3" s="1"/>
  <c r="H414" i="3"/>
  <c r="J414" i="3" s="1"/>
  <c r="H372" i="3"/>
  <c r="J372" i="3" s="1"/>
  <c r="H404" i="3"/>
  <c r="J404" i="3" s="1"/>
  <c r="H262" i="3"/>
  <c r="J262" i="3" s="1"/>
  <c r="H382" i="3"/>
  <c r="J382" i="3" s="1"/>
  <c r="H378" i="3"/>
  <c r="J378" i="3" s="1"/>
  <c r="H374" i="3"/>
  <c r="J374" i="3" s="1"/>
  <c r="H370" i="3"/>
  <c r="J370" i="3" s="1"/>
  <c r="H366" i="3"/>
  <c r="J366" i="3" s="1"/>
  <c r="H362" i="3"/>
  <c r="J362" i="3" s="1"/>
  <c r="H358" i="3"/>
  <c r="J358" i="3" s="1"/>
  <c r="H354" i="3"/>
  <c r="J354" i="3" s="1"/>
  <c r="H381" i="3"/>
  <c r="J381" i="3" s="1"/>
  <c r="H377" i="3"/>
  <c r="J377" i="3" s="1"/>
  <c r="H373" i="3"/>
  <c r="J373" i="3" s="1"/>
  <c r="H369" i="3"/>
  <c r="J369" i="3" s="1"/>
  <c r="H365" i="3"/>
  <c r="J365" i="3" s="1"/>
  <c r="H361" i="3"/>
  <c r="J361" i="3" s="1"/>
  <c r="H357" i="3"/>
  <c r="J357" i="3" s="1"/>
  <c r="H353" i="3"/>
  <c r="J353" i="3" s="1"/>
  <c r="H383" i="3"/>
  <c r="J383" i="3" s="1"/>
  <c r="H379" i="3"/>
  <c r="J379" i="3" s="1"/>
  <c r="H375" i="3"/>
  <c r="J375" i="3" s="1"/>
  <c r="H371" i="3"/>
  <c r="J371" i="3" s="1"/>
  <c r="H367" i="3"/>
  <c r="J367" i="3" s="1"/>
  <c r="H363" i="3"/>
  <c r="J363" i="3" s="1"/>
  <c r="H359" i="3"/>
  <c r="J359" i="3" s="1"/>
  <c r="H355" i="3"/>
  <c r="J355" i="3" s="1"/>
  <c r="H351" i="3"/>
  <c r="H407" i="3"/>
  <c r="J407" i="3" s="1"/>
  <c r="H479" i="3"/>
  <c r="J479" i="3" s="1"/>
  <c r="H475" i="3"/>
  <c r="J475" i="3" s="1"/>
  <c r="H471" i="3"/>
  <c r="J471" i="3" s="1"/>
  <c r="H497" i="3"/>
  <c r="J497" i="3" s="1"/>
  <c r="H493" i="3"/>
  <c r="J493" i="3" s="1"/>
  <c r="H489" i="3"/>
  <c r="J489" i="3" s="1"/>
  <c r="H485" i="3"/>
  <c r="J485" i="3" s="1"/>
  <c r="H482" i="3"/>
  <c r="J482" i="3" s="1"/>
  <c r="H478" i="3"/>
  <c r="J478" i="3" s="1"/>
  <c r="H474" i="3"/>
  <c r="J474" i="3" s="1"/>
  <c r="H470" i="3"/>
  <c r="J470" i="3" s="1"/>
  <c r="H500" i="3"/>
  <c r="J500" i="3" s="1"/>
  <c r="H496" i="3"/>
  <c r="J496" i="3" s="1"/>
  <c r="H492" i="3"/>
  <c r="J492" i="3" s="1"/>
  <c r="H488" i="3"/>
  <c r="J488" i="3" s="1"/>
  <c r="H481" i="3"/>
  <c r="J481" i="3" s="1"/>
  <c r="H477" i="3"/>
  <c r="J477" i="3" s="1"/>
  <c r="H473" i="3"/>
  <c r="J473" i="3" s="1"/>
  <c r="H469" i="3"/>
  <c r="J469" i="3" s="1"/>
  <c r="H480" i="3"/>
  <c r="J480" i="3" s="1"/>
  <c r="H476" i="3"/>
  <c r="J476" i="3" s="1"/>
  <c r="H472" i="3"/>
  <c r="J472" i="3" s="1"/>
  <c r="H468" i="3"/>
  <c r="H498" i="3"/>
  <c r="J498" i="3" s="1"/>
  <c r="H494" i="3"/>
  <c r="J494" i="3" s="1"/>
  <c r="H490" i="3"/>
  <c r="J490" i="3" s="1"/>
  <c r="H486" i="3"/>
  <c r="J486" i="3" s="1"/>
  <c r="H335" i="3"/>
  <c r="J335" i="3" s="1"/>
  <c r="H339" i="3"/>
  <c r="J339" i="3" s="1"/>
  <c r="H343" i="3"/>
  <c r="J343" i="3" s="1"/>
  <c r="H578" i="3"/>
  <c r="J578" i="3" s="1"/>
  <c r="H336" i="3"/>
  <c r="J336" i="3" s="1"/>
  <c r="H340" i="3"/>
  <c r="J340" i="3" s="1"/>
  <c r="H344" i="3"/>
  <c r="J344" i="3" s="1"/>
  <c r="H656" i="3"/>
  <c r="J656" i="3" s="1"/>
  <c r="H284" i="3"/>
  <c r="J284" i="3" s="1"/>
  <c r="H288" i="3"/>
  <c r="J288" i="3" s="1"/>
  <c r="H292" i="3"/>
  <c r="J292" i="3" s="1"/>
  <c r="H296" i="3"/>
  <c r="J296" i="3" s="1"/>
  <c r="H300" i="3"/>
  <c r="J300" i="3" s="1"/>
  <c r="H304" i="3"/>
  <c r="J304" i="3" s="1"/>
  <c r="J312" i="3"/>
  <c r="H588" i="3"/>
  <c r="J588" i="3" s="1"/>
  <c r="H592" i="3"/>
  <c r="J592" i="3" s="1"/>
  <c r="H596" i="3"/>
  <c r="J596" i="3" s="1"/>
  <c r="H600" i="3"/>
  <c r="J600" i="3" s="1"/>
  <c r="H604" i="3"/>
  <c r="J604" i="3" s="1"/>
  <c r="H608" i="3"/>
  <c r="J608" i="3" s="1"/>
  <c r="H612" i="3"/>
  <c r="J612" i="3" s="1"/>
  <c r="H616" i="3"/>
  <c r="J616" i="3" s="1"/>
  <c r="J624" i="3"/>
  <c r="H439" i="3"/>
  <c r="J439" i="3" s="1"/>
  <c r="H572" i="3"/>
  <c r="J572" i="3" s="1"/>
  <c r="H576" i="3"/>
  <c r="J576" i="3" s="1"/>
  <c r="H293" i="3"/>
  <c r="J293" i="3" s="1"/>
  <c r="H297" i="3"/>
  <c r="J297" i="3" s="1"/>
  <c r="H301" i="3"/>
  <c r="J301" i="3" s="1"/>
  <c r="H517" i="3"/>
  <c r="J517" i="3" s="1"/>
  <c r="H585" i="3"/>
  <c r="H589" i="3"/>
  <c r="J589" i="3" s="1"/>
  <c r="H593" i="3"/>
  <c r="J593" i="3" s="1"/>
  <c r="H597" i="3"/>
  <c r="J597" i="3" s="1"/>
  <c r="H601" i="3"/>
  <c r="J601" i="3" s="1"/>
  <c r="H605" i="3"/>
  <c r="J605" i="3" s="1"/>
  <c r="H609" i="3"/>
  <c r="J609" i="3" s="1"/>
  <c r="H613" i="3"/>
  <c r="J613" i="3" s="1"/>
  <c r="H565" i="3"/>
  <c r="J565" i="3" s="1"/>
  <c r="H569" i="3"/>
  <c r="J569" i="3" s="1"/>
  <c r="H573" i="3"/>
  <c r="J573" i="3" s="1"/>
  <c r="H646" i="3"/>
  <c r="J646" i="3" s="1"/>
  <c r="H650" i="3"/>
  <c r="J650" i="3" s="1"/>
  <c r="H523" i="3" l="1"/>
  <c r="J523" i="3" s="1"/>
  <c r="H53" i="3"/>
  <c r="J53" i="3" s="1"/>
  <c r="H91" i="3"/>
  <c r="J91" i="3" s="1"/>
  <c r="H104" i="3"/>
  <c r="J104" i="3" s="1"/>
  <c r="H658" i="3"/>
  <c r="H82" i="3"/>
  <c r="J82" i="3" s="1"/>
  <c r="H55" i="3"/>
  <c r="J55" i="3" s="1"/>
  <c r="J307" i="3"/>
  <c r="Z30" i="1" s="1"/>
  <c r="Z11" i="1" s="1"/>
  <c r="H57" i="3"/>
  <c r="J57" i="3" s="1"/>
  <c r="J658" i="3"/>
  <c r="H30" i="1" s="1"/>
  <c r="H9" i="1" s="1"/>
  <c r="H182" i="3"/>
  <c r="J182" i="3" s="1"/>
  <c r="H534" i="3"/>
  <c r="J534" i="3" s="1"/>
  <c r="H519" i="3"/>
  <c r="J519" i="3" s="1"/>
  <c r="H526" i="3"/>
  <c r="J526" i="3" s="1"/>
  <c r="J580" i="3"/>
  <c r="L30" i="1" s="1"/>
  <c r="H159" i="3"/>
  <c r="J159" i="3" s="1"/>
  <c r="H96" i="3"/>
  <c r="J96" i="3" s="1"/>
  <c r="Z12" i="1"/>
  <c r="L9" i="1"/>
  <c r="L10" i="1"/>
  <c r="L11" i="1"/>
  <c r="L8" i="1"/>
  <c r="J346" i="3"/>
  <c r="X30" i="1" s="1"/>
  <c r="H265" i="3"/>
  <c r="J265" i="3" s="1"/>
  <c r="H264" i="3"/>
  <c r="J264" i="3" s="1"/>
  <c r="H257" i="3"/>
  <c r="J257" i="3" s="1"/>
  <c r="H263" i="3"/>
  <c r="J263" i="3" s="1"/>
  <c r="H266" i="3"/>
  <c r="J266" i="3" s="1"/>
  <c r="H253" i="3"/>
  <c r="J253" i="3" s="1"/>
  <c r="H260" i="3"/>
  <c r="J260" i="3" s="1"/>
  <c r="H256" i="3"/>
  <c r="J256" i="3" s="1"/>
  <c r="H252" i="3"/>
  <c r="J252" i="3" s="1"/>
  <c r="H248" i="3"/>
  <c r="J248" i="3" s="1"/>
  <c r="H244" i="3"/>
  <c r="J244" i="3" s="1"/>
  <c r="H247" i="3"/>
  <c r="J247" i="3" s="1"/>
  <c r="H243" i="3"/>
  <c r="J243" i="3" s="1"/>
  <c r="H237" i="3"/>
  <c r="J237" i="3" s="1"/>
  <c r="H254" i="3"/>
  <c r="J254" i="3" s="1"/>
  <c r="H234" i="3"/>
  <c r="H258" i="3"/>
  <c r="J258" i="3" s="1"/>
  <c r="H246" i="3"/>
  <c r="J246" i="3" s="1"/>
  <c r="H242" i="3"/>
  <c r="J242" i="3" s="1"/>
  <c r="H255" i="3"/>
  <c r="J255" i="3" s="1"/>
  <c r="H241" i="3"/>
  <c r="J241" i="3" s="1"/>
  <c r="H251" i="3"/>
  <c r="J251" i="3" s="1"/>
  <c r="H240" i="3"/>
  <c r="J240" i="3" s="1"/>
  <c r="H259" i="3"/>
  <c r="J259" i="3" s="1"/>
  <c r="H249" i="3"/>
  <c r="J249" i="3" s="1"/>
  <c r="H261" i="3"/>
  <c r="J261" i="3" s="1"/>
  <c r="H245" i="3"/>
  <c r="J245" i="3" s="1"/>
  <c r="AH25" i="1"/>
  <c r="H8" i="1"/>
  <c r="H463" i="3"/>
  <c r="J429" i="3"/>
  <c r="J463" i="3" s="1"/>
  <c r="R30" i="1" s="1"/>
  <c r="H59" i="3"/>
  <c r="J59" i="3" s="1"/>
  <c r="H88" i="3"/>
  <c r="J88" i="3" s="1"/>
  <c r="H187" i="3"/>
  <c r="J187" i="3" s="1"/>
  <c r="H186" i="3"/>
  <c r="J186" i="3" s="1"/>
  <c r="H188" i="3"/>
  <c r="J188" i="3" s="1"/>
  <c r="H173" i="3"/>
  <c r="J173" i="3" s="1"/>
  <c r="H170" i="3"/>
  <c r="J170" i="3" s="1"/>
  <c r="H162" i="3"/>
  <c r="J162" i="3" s="1"/>
  <c r="H184" i="3"/>
  <c r="J184" i="3" s="1"/>
  <c r="H180" i="3"/>
  <c r="J180" i="3" s="1"/>
  <c r="H169" i="3"/>
  <c r="J169" i="3" s="1"/>
  <c r="H179" i="3"/>
  <c r="J179" i="3" s="1"/>
  <c r="H168" i="3"/>
  <c r="J168" i="3" s="1"/>
  <c r="H161" i="3"/>
  <c r="J161" i="3" s="1"/>
  <c r="H172" i="3"/>
  <c r="J172" i="3" s="1"/>
  <c r="H160" i="3"/>
  <c r="J160" i="3" s="1"/>
  <c r="H185" i="3"/>
  <c r="J185" i="3" s="1"/>
  <c r="H171" i="3"/>
  <c r="J171" i="3" s="1"/>
  <c r="H183" i="3"/>
  <c r="J183" i="3" s="1"/>
  <c r="H41" i="3"/>
  <c r="J41" i="3" s="1"/>
  <c r="H178" i="3"/>
  <c r="J178" i="3" s="1"/>
  <c r="J585" i="3"/>
  <c r="J619" i="3" s="1"/>
  <c r="J30" i="1" s="1"/>
  <c r="H619" i="3"/>
  <c r="H580" i="3"/>
  <c r="H424" i="3"/>
  <c r="J390" i="3"/>
  <c r="J424" i="3" s="1"/>
  <c r="T30" i="1" s="1"/>
  <c r="H34" i="3"/>
  <c r="J24" i="3"/>
  <c r="J34" i="3" s="1"/>
  <c r="AN30" i="1" s="1"/>
  <c r="H106" i="3"/>
  <c r="J106" i="3" s="1"/>
  <c r="H95" i="3"/>
  <c r="J95" i="3" s="1"/>
  <c r="H87" i="3"/>
  <c r="J87" i="3" s="1"/>
  <c r="H79" i="3"/>
  <c r="J79" i="3" s="1"/>
  <c r="H109" i="3"/>
  <c r="J109" i="3" s="1"/>
  <c r="H101" i="3"/>
  <c r="J101" i="3" s="1"/>
  <c r="H93" i="3"/>
  <c r="J93" i="3" s="1"/>
  <c r="H85" i="3"/>
  <c r="J85" i="3" s="1"/>
  <c r="H102" i="3"/>
  <c r="J102" i="3" s="1"/>
  <c r="H105" i="3"/>
  <c r="J105" i="3" s="1"/>
  <c r="H97" i="3"/>
  <c r="J97" i="3" s="1"/>
  <c r="H110" i="3"/>
  <c r="J110" i="3" s="1"/>
  <c r="H86" i="3"/>
  <c r="J86" i="3" s="1"/>
  <c r="H81" i="3"/>
  <c r="J81" i="3" s="1"/>
  <c r="H89" i="3"/>
  <c r="J89" i="3" s="1"/>
  <c r="H94" i="3"/>
  <c r="J94" i="3" s="1"/>
  <c r="H156" i="3"/>
  <c r="H238" i="3"/>
  <c r="J238" i="3" s="1"/>
  <c r="H166" i="3"/>
  <c r="J166" i="3" s="1"/>
  <c r="H177" i="3"/>
  <c r="J177" i="3" s="1"/>
  <c r="H99" i="3"/>
  <c r="J99" i="3" s="1"/>
  <c r="H158" i="3"/>
  <c r="J158" i="3" s="1"/>
  <c r="J507" i="3"/>
  <c r="J195" i="3"/>
  <c r="H239" i="3"/>
  <c r="J239" i="3" s="1"/>
  <c r="J78" i="3"/>
  <c r="H502" i="3"/>
  <c r="J468" i="3"/>
  <c r="J502" i="3" s="1"/>
  <c r="P30" i="1" s="1"/>
  <c r="H385" i="3"/>
  <c r="J351" i="3"/>
  <c r="J385" i="3" s="1"/>
  <c r="V30" i="1" s="1"/>
  <c r="H250" i="3"/>
  <c r="J250" i="3" s="1"/>
  <c r="H63" i="3"/>
  <c r="J63" i="3" s="1"/>
  <c r="H44" i="3"/>
  <c r="J44" i="3" s="1"/>
  <c r="H40" i="3"/>
  <c r="J40" i="3" s="1"/>
  <c r="H71" i="3"/>
  <c r="J71" i="3" s="1"/>
  <c r="H68" i="3"/>
  <c r="J68" i="3" s="1"/>
  <c r="H65" i="3"/>
  <c r="J65" i="3" s="1"/>
  <c r="H61" i="3"/>
  <c r="J61" i="3" s="1"/>
  <c r="H52" i="3"/>
  <c r="J52" i="3" s="1"/>
  <c r="H49" i="3"/>
  <c r="J49" i="3" s="1"/>
  <c r="H46" i="3"/>
  <c r="J46" i="3" s="1"/>
  <c r="H66" i="3"/>
  <c r="J66" i="3" s="1"/>
  <c r="H43" i="3"/>
  <c r="J43" i="3" s="1"/>
  <c r="H64" i="3"/>
  <c r="J64" i="3" s="1"/>
  <c r="H48" i="3"/>
  <c r="J48" i="3" s="1"/>
  <c r="H47" i="3"/>
  <c r="J47" i="3" s="1"/>
  <c r="H50" i="3"/>
  <c r="J50" i="3" s="1"/>
  <c r="H67" i="3"/>
  <c r="J67" i="3" s="1"/>
  <c r="H45" i="3"/>
  <c r="J45" i="3" s="1"/>
  <c r="H56" i="3"/>
  <c r="J56" i="3" s="1"/>
  <c r="H70" i="3"/>
  <c r="J70" i="3" s="1"/>
  <c r="H62" i="3"/>
  <c r="J62" i="3" s="1"/>
  <c r="H60" i="3"/>
  <c r="J60" i="3" s="1"/>
  <c r="H54" i="3"/>
  <c r="J54" i="3" s="1"/>
  <c r="H221" i="3"/>
  <c r="J221" i="3" s="1"/>
  <c r="H203" i="3"/>
  <c r="J203" i="3" s="1"/>
  <c r="H199" i="3"/>
  <c r="J199" i="3" s="1"/>
  <c r="H220" i="3"/>
  <c r="J220" i="3" s="1"/>
  <c r="H206" i="3"/>
  <c r="J206" i="3" s="1"/>
  <c r="H202" i="3"/>
  <c r="J202" i="3" s="1"/>
  <c r="H198" i="3"/>
  <c r="J198" i="3" s="1"/>
  <c r="H227" i="3"/>
  <c r="J227" i="3" s="1"/>
  <c r="H213" i="3"/>
  <c r="J213" i="3" s="1"/>
  <c r="H209" i="3"/>
  <c r="J209" i="3" s="1"/>
  <c r="H226" i="3"/>
  <c r="J226" i="3" s="1"/>
  <c r="H216" i="3"/>
  <c r="J216" i="3" s="1"/>
  <c r="H212" i="3"/>
  <c r="J212" i="3" s="1"/>
  <c r="H208" i="3"/>
  <c r="J208" i="3" s="1"/>
  <c r="H222" i="3"/>
  <c r="J222" i="3" s="1"/>
  <c r="H204" i="3"/>
  <c r="J204" i="3" s="1"/>
  <c r="H200" i="3"/>
  <c r="J200" i="3" s="1"/>
  <c r="H196" i="3"/>
  <c r="J196" i="3" s="1"/>
  <c r="H225" i="3"/>
  <c r="J225" i="3" s="1"/>
  <c r="H215" i="3"/>
  <c r="J215" i="3" s="1"/>
  <c r="H211" i="3"/>
  <c r="J211" i="3" s="1"/>
  <c r="H219" i="3"/>
  <c r="J219" i="3" s="1"/>
  <c r="H210" i="3"/>
  <c r="J210" i="3" s="1"/>
  <c r="H197" i="3"/>
  <c r="J197" i="3" s="1"/>
  <c r="H224" i="3"/>
  <c r="J224" i="3" s="1"/>
  <c r="H201" i="3"/>
  <c r="J201" i="3" s="1"/>
  <c r="H214" i="3"/>
  <c r="J214" i="3" s="1"/>
  <c r="H205" i="3"/>
  <c r="J205" i="3" s="1"/>
  <c r="H39" i="3"/>
  <c r="H223" i="3"/>
  <c r="J223" i="3" s="1"/>
  <c r="H90" i="3"/>
  <c r="J90" i="3" s="1"/>
  <c r="H80" i="3"/>
  <c r="J80" i="3" s="1"/>
  <c r="J117" i="3"/>
  <c r="J151" i="3" s="1"/>
  <c r="AH30" i="1" s="1"/>
  <c r="H151" i="3"/>
  <c r="H346" i="3"/>
  <c r="H307" i="3"/>
  <c r="Z9" i="1" l="1"/>
  <c r="Z18" i="1"/>
  <c r="J541" i="3"/>
  <c r="N30" i="1" s="1"/>
  <c r="Z16" i="1"/>
  <c r="Z14" i="1"/>
  <c r="H541" i="3"/>
  <c r="Z8" i="1"/>
  <c r="Z15" i="1"/>
  <c r="Z13" i="1"/>
  <c r="Z17" i="1"/>
  <c r="Z10" i="1"/>
  <c r="J8" i="1"/>
  <c r="J10" i="1"/>
  <c r="J9" i="1"/>
  <c r="H28" i="1"/>
  <c r="L28" i="1"/>
  <c r="V10" i="1"/>
  <c r="V16" i="1"/>
  <c r="V11" i="1"/>
  <c r="V12" i="1"/>
  <c r="V8" i="1"/>
  <c r="V9" i="1"/>
  <c r="V15" i="1"/>
  <c r="V13" i="1"/>
  <c r="V14" i="1"/>
  <c r="N11" i="1"/>
  <c r="N9" i="1"/>
  <c r="N10" i="1"/>
  <c r="N8" i="1"/>
  <c r="N12" i="1"/>
  <c r="H190" i="3"/>
  <c r="J156" i="3"/>
  <c r="J190" i="3" s="1"/>
  <c r="AF30" i="1" s="1"/>
  <c r="J229" i="3"/>
  <c r="AD30" i="1" s="1"/>
  <c r="H229" i="3"/>
  <c r="P11" i="1"/>
  <c r="P9" i="1"/>
  <c r="P12" i="1"/>
  <c r="P13" i="1"/>
  <c r="P10" i="1"/>
  <c r="P8" i="1"/>
  <c r="AN11" i="1"/>
  <c r="AN17" i="1"/>
  <c r="AN16" i="1"/>
  <c r="AN14" i="1"/>
  <c r="AN23" i="1"/>
  <c r="AN10" i="1"/>
  <c r="AN21" i="1"/>
  <c r="AN13" i="1"/>
  <c r="AN22" i="1"/>
  <c r="AN9" i="1"/>
  <c r="AN19" i="1"/>
  <c r="AN15" i="1"/>
  <c r="AN18" i="1"/>
  <c r="AN24" i="1"/>
  <c r="AN8" i="1"/>
  <c r="AN12" i="1"/>
  <c r="AN20" i="1"/>
  <c r="AN25" i="1"/>
  <c r="AR25" i="1" s="1"/>
  <c r="AT25" i="1" s="1"/>
  <c r="AH20" i="1"/>
  <c r="AH11" i="1"/>
  <c r="AH16" i="1"/>
  <c r="AH17" i="1"/>
  <c r="AH9" i="1"/>
  <c r="AH18" i="1"/>
  <c r="AH12" i="1"/>
  <c r="AH22" i="1"/>
  <c r="AH13" i="1"/>
  <c r="AH14" i="1"/>
  <c r="AH8" i="1"/>
  <c r="AH19" i="1"/>
  <c r="AH21" i="1"/>
  <c r="AH10" i="1"/>
  <c r="AH15" i="1"/>
  <c r="J112" i="3"/>
  <c r="AJ30" i="1" s="1"/>
  <c r="T9" i="1"/>
  <c r="T10" i="1"/>
  <c r="T11" i="1"/>
  <c r="T8" i="1"/>
  <c r="T12" i="1"/>
  <c r="T13" i="1"/>
  <c r="T15" i="1"/>
  <c r="T14" i="1"/>
  <c r="J39" i="3"/>
  <c r="J73" i="3" s="1"/>
  <c r="AL30" i="1" s="1"/>
  <c r="H73" i="3"/>
  <c r="H112" i="3"/>
  <c r="Z28" i="1"/>
  <c r="R11" i="1"/>
  <c r="R9" i="1"/>
  <c r="R12" i="1"/>
  <c r="R8" i="1"/>
  <c r="R13" i="1"/>
  <c r="R14" i="1"/>
  <c r="R10" i="1"/>
  <c r="H268" i="3"/>
  <c r="J234" i="3"/>
  <c r="J268" i="3" s="1"/>
  <c r="AB30" i="1" s="1"/>
  <c r="X11" i="1"/>
  <c r="X16" i="1"/>
  <c r="X14" i="1"/>
  <c r="X8" i="1"/>
  <c r="X13" i="1"/>
  <c r="X17" i="1"/>
  <c r="X9" i="1"/>
  <c r="X10" i="1"/>
  <c r="X15" i="1"/>
  <c r="X12" i="1"/>
  <c r="P28" i="1" l="1"/>
  <c r="T28" i="1"/>
  <c r="AN28" i="1"/>
  <c r="AF16" i="1"/>
  <c r="AF14" i="1"/>
  <c r="AF20" i="1"/>
  <c r="AF18" i="1"/>
  <c r="AF11" i="1"/>
  <c r="AF9" i="1"/>
  <c r="AF8" i="1"/>
  <c r="AF12" i="1"/>
  <c r="AF15" i="1"/>
  <c r="AF10" i="1"/>
  <c r="AF17" i="1"/>
  <c r="AF19" i="1"/>
  <c r="AF13" i="1"/>
  <c r="AF21" i="1"/>
  <c r="AH28" i="1"/>
  <c r="X28" i="1"/>
  <c r="AL18" i="1"/>
  <c r="AL11" i="1"/>
  <c r="AL8" i="1"/>
  <c r="AL20" i="1"/>
  <c r="AL17" i="1"/>
  <c r="AL16" i="1"/>
  <c r="AL19" i="1"/>
  <c r="AL15" i="1"/>
  <c r="AL23" i="1"/>
  <c r="AL10" i="1"/>
  <c r="AL24" i="1"/>
  <c r="AR24" i="1" s="1"/>
  <c r="AT24" i="1" s="1"/>
  <c r="AL12" i="1"/>
  <c r="AL13" i="1"/>
  <c r="AL14" i="1"/>
  <c r="AL9" i="1"/>
  <c r="AL21" i="1"/>
  <c r="AL22" i="1"/>
  <c r="R28" i="1"/>
  <c r="AJ17" i="1"/>
  <c r="AJ11" i="1"/>
  <c r="AJ18" i="1"/>
  <c r="AJ9" i="1"/>
  <c r="AJ19" i="1"/>
  <c r="AJ22" i="1"/>
  <c r="AJ12" i="1"/>
  <c r="AJ15" i="1"/>
  <c r="AJ23" i="1"/>
  <c r="AJ20" i="1"/>
  <c r="AJ16" i="1"/>
  <c r="AJ8" i="1"/>
  <c r="AJ10" i="1"/>
  <c r="AJ13" i="1"/>
  <c r="AJ14" i="1"/>
  <c r="AJ21" i="1"/>
  <c r="N28" i="1"/>
  <c r="V28" i="1"/>
  <c r="AB16" i="1"/>
  <c r="AB9" i="1"/>
  <c r="AB10" i="1"/>
  <c r="AB14" i="1"/>
  <c r="AB18" i="1"/>
  <c r="AB13" i="1"/>
  <c r="AB12" i="1"/>
  <c r="AB15" i="1"/>
  <c r="AB17" i="1"/>
  <c r="AB11" i="1"/>
  <c r="AB19" i="1"/>
  <c r="AB8" i="1"/>
  <c r="AD16" i="1"/>
  <c r="AD15" i="1"/>
  <c r="AD14" i="1"/>
  <c r="AR14" i="1" s="1"/>
  <c r="AT14" i="1" s="1"/>
  <c r="AD9" i="1"/>
  <c r="AR9" i="1" s="1"/>
  <c r="AT9" i="1" s="1"/>
  <c r="AD18" i="1"/>
  <c r="AD17" i="1"/>
  <c r="AD11" i="1"/>
  <c r="AD13" i="1"/>
  <c r="AD10" i="1"/>
  <c r="AD8" i="1"/>
  <c r="AD19" i="1"/>
  <c r="AD20" i="1"/>
  <c r="AR20" i="1" s="1"/>
  <c r="AT20" i="1" s="1"/>
  <c r="AD12" i="1"/>
  <c r="AR12" i="1" s="1"/>
  <c r="AT12" i="1" s="1"/>
  <c r="J28" i="1"/>
  <c r="AR22" i="1" l="1"/>
  <c r="AT22" i="1" s="1"/>
  <c r="AR13" i="1"/>
  <c r="AT13" i="1" s="1"/>
  <c r="AR17" i="1"/>
  <c r="AT17" i="1" s="1"/>
  <c r="AR16" i="1"/>
  <c r="AT16" i="1" s="1"/>
  <c r="AR15" i="1"/>
  <c r="AT15" i="1" s="1"/>
  <c r="AR10" i="1"/>
  <c r="AT10" i="1" s="1"/>
  <c r="AR11" i="1"/>
  <c r="AT11" i="1" s="1"/>
  <c r="AF28" i="1"/>
  <c r="AD28" i="1"/>
  <c r="AJ28" i="1"/>
  <c r="AR8" i="1"/>
  <c r="AB28" i="1"/>
  <c r="AR21" i="1"/>
  <c r="AT21" i="1" s="1"/>
  <c r="AR18" i="1"/>
  <c r="AT18" i="1" s="1"/>
  <c r="AR19" i="1"/>
  <c r="AT19" i="1" s="1"/>
  <c r="AR23" i="1"/>
  <c r="AT23" i="1" s="1"/>
  <c r="AL28" i="1"/>
  <c r="AR28" i="1" l="1"/>
  <c r="AT8" i="1"/>
  <c r="AT28" i="1" s="1"/>
</calcChain>
</file>

<file path=xl/sharedStrings.xml><?xml version="1.0" encoding="utf-8"?>
<sst xmlns="http://schemas.openxmlformats.org/spreadsheetml/2006/main" count="178" uniqueCount="70">
  <si>
    <t>Potomac Electric Power Company ("Pepco")</t>
  </si>
  <si>
    <t>AFUDC Equity Book Depreciation Work Paper</t>
  </si>
  <si>
    <t>Year</t>
  </si>
  <si>
    <t>Incurred</t>
  </si>
  <si>
    <t>In Service</t>
  </si>
  <si>
    <t>2005
Depreciation</t>
  </si>
  <si>
    <t>2006
Depreciation</t>
  </si>
  <si>
    <t>2007
Depreciation</t>
  </si>
  <si>
    <t>2008
Depreciation</t>
  </si>
  <si>
    <t>2009
Depreciation</t>
  </si>
  <si>
    <t>2010
Depreciation</t>
  </si>
  <si>
    <t>2011
Depreciation</t>
  </si>
  <si>
    <t>2012
Depreciation</t>
  </si>
  <si>
    <t>2013
Depreciation</t>
  </si>
  <si>
    <t>2014
Depreciation</t>
  </si>
  <si>
    <t>2015
Depreciation</t>
  </si>
  <si>
    <t>2016
Depreciation</t>
  </si>
  <si>
    <t>2017
Depreciation</t>
  </si>
  <si>
    <t>2018
Depreciation</t>
  </si>
  <si>
    <t>2019
Depreciation</t>
  </si>
  <si>
    <t>2020
Depreciation</t>
  </si>
  <si>
    <t>2021
Depreciation</t>
  </si>
  <si>
    <t>Accumulated
Depreciation</t>
  </si>
  <si>
    <t>Net
AFUDC Equity</t>
  </si>
  <si>
    <t>Pre-2005</t>
  </si>
  <si>
    <t>Total</t>
  </si>
  <si>
    <t>Depreciation Rates</t>
  </si>
  <si>
    <t>AFUDC Equity (Originations)</t>
  </si>
  <si>
    <r>
      <t>General
Ledger</t>
    </r>
    <r>
      <rPr>
        <vertAlign val="superscript"/>
        <sz val="10"/>
        <color theme="1"/>
        <rFont val="Arial"/>
        <family val="2"/>
      </rPr>
      <t>1</t>
    </r>
  </si>
  <si>
    <r>
      <t>Adjustments</t>
    </r>
    <r>
      <rPr>
        <vertAlign val="superscript"/>
        <sz val="10"/>
        <color theme="1"/>
        <rFont val="Arial"/>
        <family val="2"/>
      </rPr>
      <t>2</t>
    </r>
  </si>
  <si>
    <r>
      <t>Amount
Incurred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</si>
  <si>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Transmission 
Allocator</t>
    </r>
    <r>
      <rPr>
        <vertAlign val="superscript"/>
        <sz val="10"/>
        <color theme="1"/>
        <rFont val="Arial"/>
        <family val="2"/>
      </rPr>
      <t>4</t>
    </r>
  </si>
  <si>
    <r>
      <t>Allocated 
Incurred Amount</t>
    </r>
    <r>
      <rPr>
        <vertAlign val="superscript"/>
        <sz val="10"/>
        <color theme="1"/>
        <rFont val="Arial"/>
        <family val="2"/>
      </rPr>
      <t>5</t>
    </r>
  </si>
  <si>
    <r>
      <t>Allocated 
In-Service Amount</t>
    </r>
    <r>
      <rPr>
        <vertAlign val="superscript"/>
        <sz val="10"/>
        <color theme="1"/>
        <rFont val="Arial"/>
        <family val="2"/>
      </rPr>
      <t>6</t>
    </r>
  </si>
  <si>
    <t>2009A</t>
  </si>
  <si>
    <t>2011A</t>
  </si>
  <si>
    <t>2014A</t>
  </si>
  <si>
    <t>TOTAL</t>
  </si>
  <si>
    <t>Footnotes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</si>
  <si>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Incurred AFUDC Equity per the general ledger by year.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</si>
  <si>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Balances agree to adjustments to incurred AFUDC Equity 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</si>
  <si>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AFUDC Equity incurred by year.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</si>
  <si>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Based on the applicable plant related transmission allocator by year.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</si>
  <si>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Balances represent the incurred AFUDC Equity allocated to transmission.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</si>
  <si>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Balances represent the in-service AFUDC equity per the fixed asset system.</t>
    </r>
  </si>
  <si>
    <t>2021 FERC Form 1, Page 337</t>
  </si>
  <si>
    <t>Account 
Number</t>
  </si>
  <si>
    <t>Depreciable 
Plant Basis 
(in Thousands)</t>
  </si>
  <si>
    <t>Applied
Depr. Rate
Percent</t>
  </si>
  <si>
    <t>Ratio</t>
  </si>
  <si>
    <t>Blended</t>
  </si>
  <si>
    <t>2020 FERC Form 1, Page 337</t>
  </si>
  <si>
    <t>2019 FERC Form 1, Page 337</t>
  </si>
  <si>
    <t>2018 FERC Form 1, Page 337</t>
  </si>
  <si>
    <t>2017 FERC Form 1, Page 337</t>
  </si>
  <si>
    <t>2016 FERC Form 1, Page 337</t>
  </si>
  <si>
    <t>2015 FERC Form 1, Page 337</t>
  </si>
  <si>
    <t>2014 FERC Form 1, Page 337</t>
  </si>
  <si>
    <t>2013 FERC Form 1, Page 337</t>
  </si>
  <si>
    <t>2012 FERC Form 1, Page 337</t>
  </si>
  <si>
    <t>2011 FERC Form 1, Page 337</t>
  </si>
  <si>
    <t>2010 FERC Form 1, Page 337</t>
  </si>
  <si>
    <t>2009 FERC Form 1, Page 337</t>
  </si>
  <si>
    <t>2008 FERC Form 1, Page 337</t>
  </si>
  <si>
    <t>2007 FERC Form 1, Page 337</t>
  </si>
  <si>
    <t>2006 FERC Form 1, Page 337</t>
  </si>
  <si>
    <t>2005 FERC Form 1, Page 337</t>
  </si>
  <si>
    <t>2022
Depreciation</t>
  </si>
  <si>
    <t>2022 FERC Form 1, Page 337</t>
  </si>
  <si>
    <t>For the Year Ended: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</si>
</sst>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1" applyNumberFormat="1" applyFont="1" applyBorder="1"/>
    <xf numFmtId="43" fontId="3" fillId="0" borderId="0" xfId="1" applyFont="1"/>
    <xf numFmtId="10" fontId="3" fillId="0" borderId="0" xfId="0" applyNumberFormat="1" applyFont="1"/>
    <xf numFmtId="43" fontId="3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5" fontId="3" fillId="0" borderId="0" xfId="2" applyNumberFormat="1" applyFont="1" applyFill="1"/>
    <xf numFmtId="164" fontId="3" fillId="0" borderId="0" xfId="0" applyNumberFormat="1" applyFont="1" applyFill="1"/>
    <xf numFmtId="10" fontId="3" fillId="0" borderId="0" xfId="3" applyNumberFormat="1" applyFont="1" applyFill="1"/>
    <xf numFmtId="164" fontId="3" fillId="0" borderId="0" xfId="1" applyNumberFormat="1" applyFont="1" applyFill="1"/>
    <xf numFmtId="166" fontId="3" fillId="0" borderId="0" xfId="0" applyNumberFormat="1" applyFont="1" applyFill="1"/>
    <xf numFmtId="165" fontId="3" fillId="0" borderId="2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165" fontId="3" fillId="0" borderId="0" xfId="0" applyNumberFormat="1" applyFont="1" applyFill="1"/>
    <xf numFmtId="44" fontId="3" fillId="0" borderId="0" xfId="0" applyNumberFormat="1" applyFont="1" applyFill="1"/>
    <xf numFmtId="0" fontId="3" fillId="0" borderId="3" xfId="0" applyFont="1" applyFill="1" applyBorder="1"/>
    <xf numFmtId="43" fontId="3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1" xfId="1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styles" Target="styles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TAXCOMM/Corptax/2004/04%20April/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OTIT/Close/Entity%20Sub-Group/PEPCO/Monthly%20Recon/2010/Sept%20236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Regulatory/Pepco/FERC%20Workpapers/Fas109%203rd%20Qtr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J%20Restructuring/2002%20Budget%20and%20Rates/2002%20High%20Level%20Budget/2002-2006%20TUB%20Forecast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ulee/Local%20Settings/Temp/3)%20SPPC%202001%20Remove%20Capital%20Direct%20Cos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ulee/Local%20Settings/Temp/3)NPC%20%20Adjustment%20%202001%20Direct%20Capital%20Costs%20Removed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allk/LOCALS~1/Temp/notesA188F6/2002True-up%20for%20Sep15th-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IDD%20#5 - Alliant - IPL_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yeh001/My%20Documents/Agouron/Ready%20for%20Review/Executive%20Summary/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irectoryStructure/Activities/Accounting/Fuel/Fuel_NUCLEAR/2002/1202/nuclear_journal_Decembe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ARS001/My%20Documents/Clients/Accounting%20Method/AES/2002%20Indirect%20Cost%20Study%20-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fjeldal/LOCALS~1/Temp/notes8160F2/2002-2006%20TUB%20Forecast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fjeldal/LOCALS~1/Temp/notes8160F2/2003-2007%20TUB%20Forecast%20Deferral%20Case%20v0801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llevans/My%20Documents/Clients/STR/Indirect%20Cost/Alliant%20Energy/Dept%20Analysis/AandGAnalysis%2019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JerseyDeferrals/1999%20Deferrals/oct99/OctoberTariff(Ol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es_Alloc_MBS_Replacement_Proj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ax%20Accounting,%20Provisions,%20and%20Reserves/TBBS/10K%20Footnote%20Support/2009/10K%20Support%20GL%20Lookup%20-%20Updated%20with%202009%20Acct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gallo/AppData/Local/Temp/wz13d3/2008%20Casualty%20Calc%20and%20memos/ACE%202008%20Summar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Deferred%20Rollforward/Q2%202009%20Deferred%20Rollforwar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TE%202%20Go%20Live/2007/March%202007/March%20FIT%20R3%20expense%20validation%20-%20%20by%20transaction%20typ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nit%20Data%20Upload/Templates/Hyp.%20Retrieve%20v3.5%20%20-%20May%20%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nvision/NPC/NVPWR_BALANCE_SHEET_(2001-12-31).xls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/Services/Finance/0848_tax_dept/Tax%20Accounting,%20Provisions,%20and%20Reserves/Provisions/2009/PHI%20Consolidated/Q1/Rollforwards,%20Acct%20Recs,%20ETR/PHI%20Consol%20Current-Def'd%20Exp%202009-03%20-%20WORKING.xls?26A26807" TargetMode="External"/><Relationship Id="rId1" Type="http://schemas.openxmlformats.org/officeDocument/2006/relationships/externalLinkPath" Target="file:///\\26A26807\PHI%20Consol%20Current-Def'd%20Exp%202009-03%20-%20WORKIN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Clients/STR/Indirect%20Cost/Conectiv/Contractors/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allk/LOCALS~1/Temp/notesA188F6/DOCUME~1/x0560fs/LOCALS~1/Temp/notes61BBD3/Pepco%2012-31-07%20TBBS%20adjust%20for%20MD%20rate%20change%20updated%20KR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OCUME~1/e50781/LOCALS~1/Temp/Domino%20Web%20Access/3-12-07%20KCK%20-%20For%20Next%20Rate%20Cas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JJanocha/NJ%20Restructuring/2000%20Rates/Rate%20Design/2000%20Rate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304/CorpModel/Download/eda_cwi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7/Accounting/March%20Q1/DTE%20YTD%20MARCH%202007%20FIT%20ANALYSI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ax%20Accounting,%20Provisions,%20and%20Reserves/Provisions/2010/PHI%20Consolidated/Q3/PHI%20Consol%20Current-Defd%20Exp%202010-09%20-%20Working%20Cop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4/Companies/Detroit%20Edison/Forecast/Nuclear%20Fuel/Fuel%20Depr%20without%20bonu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Tax%20Accounting,%20Provisions,%20and%20Reserves/Provisions/2008/Power%20Delivery/PEPCO/Q3/Uploads,%20Journal%20Entries/July%20Close/July%202008%20Provis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ARS001/Local%20Settings/Temp/wz5907/Expense%20by%20Cost%20Center%20Group%20Reg%20Ind%205-9%202008%20with%20Group%20TDBU%20PC'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corptaxnorth/tax/accrual/2006/ACE/December/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Financial%20Reports/Rpts2000/1200/UNSEC/DECO10Q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TAXCOMM/tax%20returns/2004%20Tax%20Returns/Federal/NVP/NVP%20standalone%200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NN05/FRED/PLTST99/FINAL/PLTSTDE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Accounting%20Operations/Asset%20Management/AM%20Group%20Documents/TKrysinski/DECo%20Balancing/AQA%20Uploads/2006/Sep06/NN05/FRED/PLTST99/FINAL/PLTSTDEC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llevans/My%20Documents/Clients/STR/Indirect%20Cost/Nstar/Pools/Summary%20Query%20other%20cos%20-%20full%20lis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MEC%20EMPLOYEE%20HEADCOUNT%202006-2009%20updat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992_g038/DC%20DETAIL%202006/Annual%20Ratios%20for%20Rev%20Req/2006%20Rent%20Revenue/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EW_OPU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allk/LOCALS~1/Temp/notesA188F6/Pepco%20Payable%20Upload%20Entrie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DOCUME~1/WHOHOL~1/LOCALS~1/Temp/notes3C72B0/2006%20Plant%20Statemen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Pes/Finance/LMK%20Files%202-25-05/2005%20Budget/2005%20PES%20Budget%201-01-05%20FINAL%2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PHI_Shared_Services/G038/MDDETAIL/PROPTAX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Finance/0848_tax_dept/Regulatory/Pepco/Operating%20&amp;%20Nonoperating%20Reclass%20Entries/RPT50MON%2008%20Qrtly%20FERC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  <sheetName val="CONDENSED:REVIEW PG 1 "/>
      <sheetName val="CONDENSED: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B8D2-B787-4529-9CBE-184BC51D1EEA}">
  <sheetPr>
    <pageSetUpPr fitToPage="1"/>
  </sheetPr>
  <dimension ref="A1:AT36"/>
  <sheetViews>
    <sheetView tabSelected="1" zoomScaleNormal="100" workbookViewId="0">
      <selection activeCell="N37" sqref="N37"/>
    </sheetView>
  </sheetViews>
  <sheetFormatPr defaultColWidth="9.1796875" defaultRowHeight="12.5" x14ac:dyDescent="0.25"/>
  <cols>
    <col min="1" max="1" width="2.7265625" style="2" customWidth="1"/>
    <col min="2" max="2" width="8.81640625" style="2" customWidth="1"/>
    <col min="3" max="3" width="1.54296875" style="2" customWidth="1"/>
    <col min="4" max="4" width="13.81640625" style="2" bestFit="1" customWidth="1"/>
    <col min="5" max="5" width="1.54296875" style="2" customWidth="1"/>
    <col min="6" max="6" width="13.7265625" style="2" customWidth="1"/>
    <col min="7" max="7" width="1.54296875" style="2" customWidth="1"/>
    <col min="8" max="8" width="13.7265625" style="2" customWidth="1"/>
    <col min="9" max="9" width="1.54296875" style="2" customWidth="1"/>
    <col min="10" max="10" width="13.7265625" style="2" customWidth="1"/>
    <col min="11" max="11" width="1.54296875" style="2" customWidth="1"/>
    <col min="12" max="12" width="13.7265625" style="2" customWidth="1"/>
    <col min="13" max="13" width="1.54296875" style="2" customWidth="1"/>
    <col min="14" max="14" width="13.7265625" style="2" customWidth="1"/>
    <col min="15" max="15" width="1.54296875" style="2" customWidth="1"/>
    <col min="16" max="16" width="13.7265625" style="2" customWidth="1"/>
    <col min="17" max="17" width="1.54296875" style="2" customWidth="1"/>
    <col min="18" max="18" width="13.7265625" style="2" customWidth="1"/>
    <col min="19" max="19" width="1.54296875" style="2" customWidth="1"/>
    <col min="20" max="20" width="13.7265625" style="2" customWidth="1"/>
    <col min="21" max="21" width="1.54296875" style="2" customWidth="1"/>
    <col min="22" max="22" width="13.7265625" style="2" customWidth="1"/>
    <col min="23" max="23" width="1.54296875" style="2" customWidth="1"/>
    <col min="24" max="24" width="13.7265625" style="2" customWidth="1"/>
    <col min="25" max="25" width="1.54296875" style="2" customWidth="1"/>
    <col min="26" max="26" width="13.7265625" style="2" customWidth="1"/>
    <col min="27" max="27" width="1.54296875" style="2" customWidth="1"/>
    <col min="28" max="28" width="13.7265625" style="2" customWidth="1"/>
    <col min="29" max="29" width="1.54296875" style="2" customWidth="1"/>
    <col min="30" max="30" width="13.7265625" style="2" customWidth="1"/>
    <col min="31" max="31" width="1.54296875" style="2" customWidth="1"/>
    <col min="32" max="32" width="12" style="2" bestFit="1" customWidth="1"/>
    <col min="33" max="33" width="1.54296875" style="2" customWidth="1"/>
    <col min="34" max="34" width="13.81640625" style="2" bestFit="1" customWidth="1"/>
    <col min="35" max="35" width="1.54296875" style="2" customWidth="1"/>
    <col min="36" max="36" width="13.81640625" style="2" bestFit="1" customWidth="1"/>
    <col min="37" max="37" width="1.54296875" style="2" customWidth="1"/>
    <col min="38" max="38" width="13.81640625" style="2" bestFit="1" customWidth="1"/>
    <col min="39" max="39" width="1.54296875" style="2" customWidth="1"/>
    <col min="40" max="40" width="13.81640625" style="2" bestFit="1" customWidth="1"/>
    <col min="41" max="41" width="1.54296875" style="2" customWidth="1"/>
    <col min="42" max="42" width="13.81640625" style="2" bestFit="1" customWidth="1"/>
    <col min="43" max="43" width="1.54296875" style="2" customWidth="1"/>
    <col min="44" max="44" width="12.453125" style="2" bestFit="1" customWidth="1"/>
    <col min="45" max="45" width="1.54296875" style="2" customWidth="1"/>
    <col min="46" max="46" width="13.26953125" style="2" bestFit="1" customWidth="1"/>
    <col min="47" max="16384" width="9.1796875" style="2"/>
  </cols>
  <sheetData>
    <row r="1" spans="1:46" ht="13" x14ac:dyDescent="0.3">
      <c r="A1" s="1" t="s">
        <v>0</v>
      </c>
      <c r="X1" s="3"/>
      <c r="AB1" s="3"/>
      <c r="AF1" s="4"/>
    </row>
    <row r="2" spans="1:46" ht="13" x14ac:dyDescent="0.3">
      <c r="A2" s="1" t="s">
        <v>1</v>
      </c>
      <c r="X2" s="3"/>
      <c r="AB2" s="3"/>
    </row>
    <row r="3" spans="1:46" ht="13" x14ac:dyDescent="0.3">
      <c r="A3" s="1" t="s">
        <v>69</v>
      </c>
    </row>
    <row r="4" spans="1:4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6" spans="1:46" ht="25" x14ac:dyDescent="0.25">
      <c r="B6" s="6" t="s">
        <v>2</v>
      </c>
      <c r="D6" s="6" t="s">
        <v>3</v>
      </c>
      <c r="F6" s="6" t="s">
        <v>4</v>
      </c>
      <c r="H6" s="7" t="s">
        <v>5</v>
      </c>
      <c r="J6" s="7" t="s">
        <v>6</v>
      </c>
      <c r="L6" s="7" t="s">
        <v>7</v>
      </c>
      <c r="N6" s="7" t="s">
        <v>8</v>
      </c>
      <c r="P6" s="7" t="s">
        <v>9</v>
      </c>
      <c r="R6" s="7" t="s">
        <v>10</v>
      </c>
      <c r="T6" s="7" t="s">
        <v>11</v>
      </c>
      <c r="V6" s="7" t="s">
        <v>12</v>
      </c>
      <c r="X6" s="7" t="s">
        <v>13</v>
      </c>
      <c r="Z6" s="7" t="s">
        <v>14</v>
      </c>
      <c r="AB6" s="7" t="s">
        <v>15</v>
      </c>
      <c r="AD6" s="7" t="s">
        <v>16</v>
      </c>
      <c r="AF6" s="7" t="s">
        <v>17</v>
      </c>
      <c r="AH6" s="7" t="s">
        <v>18</v>
      </c>
      <c r="AJ6" s="7" t="s">
        <v>19</v>
      </c>
      <c r="AL6" s="7" t="s">
        <v>20</v>
      </c>
      <c r="AN6" s="7" t="s">
        <v>21</v>
      </c>
      <c r="AP6" s="7" t="s">
        <v>67</v>
      </c>
      <c r="AR6" s="7" t="s">
        <v>22</v>
      </c>
      <c r="AT6" s="7" t="s">
        <v>23</v>
      </c>
    </row>
    <row r="8" spans="1:46" x14ac:dyDescent="0.25">
      <c r="B8" s="8" t="s">
        <v>24</v>
      </c>
      <c r="D8" s="9">
        <f>'2. AFUDC Equity Incurred'!L9</f>
        <v>1110056</v>
      </c>
      <c r="F8" s="9">
        <f>'2. AFUDC Equity Incurred'!N9</f>
        <v>1110056</v>
      </c>
      <c r="H8" s="10">
        <f>-ROUND($F$8*H30,0)</f>
        <v>-25397</v>
      </c>
      <c r="J8" s="10">
        <f>ROUND(-$F$8*J30,0)</f>
        <v>-25452</v>
      </c>
      <c r="L8" s="10">
        <f>ROUND(-$F$8*L30,0)</f>
        <v>-25321</v>
      </c>
      <c r="N8" s="10">
        <f>ROUND(-$F$8*N30,0)</f>
        <v>-25327</v>
      </c>
      <c r="P8" s="10">
        <f>ROUND(-$F$8*P30,0)</f>
        <v>-25644</v>
      </c>
      <c r="R8" s="10">
        <f>ROUND(-$F$8*R30,0)</f>
        <v>-25779</v>
      </c>
      <c r="T8" s="10">
        <f>ROUND(-$F$8*T30,0)</f>
        <v>-26178</v>
      </c>
      <c r="V8" s="10">
        <f>ROUND(-$F$8*V30,0)</f>
        <v>-25806</v>
      </c>
      <c r="X8" s="10">
        <f>ROUND(-$F$8*X30,0)</f>
        <v>-25903</v>
      </c>
      <c r="Z8" s="10">
        <f>ROUND(-$F$8*Z30,0)</f>
        <v>-25674</v>
      </c>
      <c r="AB8" s="10">
        <f>ROUND(-$F$8*AB30,0)</f>
        <v>-25691</v>
      </c>
      <c r="AD8" s="10">
        <f>ROUND(-$F$8*AD30,0)</f>
        <v>-25802</v>
      </c>
      <c r="AF8" s="10">
        <f>ROUND(-$F$8*AF30,0)</f>
        <v>-26080</v>
      </c>
      <c r="AH8" s="10">
        <f>ROUND(-$F$8*AH30,0)</f>
        <v>-26047</v>
      </c>
      <c r="AJ8" s="10">
        <f t="shared" ref="AJ8:AJ22" si="0">ROUND(-F8*$AJ$30,0)</f>
        <v>-25955</v>
      </c>
      <c r="AL8" s="10">
        <f>ROUND(-F8*$AL$30,0)</f>
        <v>-25977</v>
      </c>
      <c r="AN8" s="10">
        <f>ROUND(-$F8*$AN$30,0)</f>
        <v>-23500</v>
      </c>
      <c r="AP8" s="10">
        <f>ROUND(-$F8*$AP$30,0)</f>
        <v>-21202</v>
      </c>
      <c r="AR8" s="9">
        <f t="shared" ref="AR8:AR25" si="1">SUM(H8:AQ8)</f>
        <v>-456735</v>
      </c>
      <c r="AT8" s="9">
        <f t="shared" ref="AT8:AT25" si="2">D8+AR8</f>
        <v>653321</v>
      </c>
    </row>
    <row r="9" spans="1:46" x14ac:dyDescent="0.25">
      <c r="B9" s="8">
        <v>2005</v>
      </c>
      <c r="D9" s="9">
        <f>'2. AFUDC Equity Incurred'!L10</f>
        <v>24707.586699180007</v>
      </c>
      <c r="F9" s="9">
        <f>'2. AFUDC Equity Incurred'!N10</f>
        <v>0</v>
      </c>
      <c r="H9" s="9">
        <f>-F9*H30*0.5</f>
        <v>0</v>
      </c>
      <c r="J9" s="9">
        <f>-$F$9*J30</f>
        <v>0</v>
      </c>
      <c r="L9" s="9">
        <f>-$F$9*L30</f>
        <v>0</v>
      </c>
      <c r="M9" s="9"/>
      <c r="N9" s="9">
        <f>-$F$9*N30</f>
        <v>0</v>
      </c>
      <c r="O9" s="9"/>
      <c r="P9" s="9">
        <f>-$F$9*P30</f>
        <v>0</v>
      </c>
      <c r="R9" s="9">
        <f>-$F$9*R30</f>
        <v>0</v>
      </c>
      <c r="T9" s="9">
        <f>-$F$9*T30</f>
        <v>0</v>
      </c>
      <c r="V9" s="9">
        <f>-$F$9*V30</f>
        <v>0</v>
      </c>
      <c r="X9" s="9">
        <f>-$F$9*X30</f>
        <v>0</v>
      </c>
      <c r="Z9" s="9">
        <f>-$F$9*Z30</f>
        <v>0</v>
      </c>
      <c r="AB9" s="9">
        <f>-$F$9*AB30</f>
        <v>0</v>
      </c>
      <c r="AD9" s="9">
        <f>-$F$9*AD30</f>
        <v>0</v>
      </c>
      <c r="AF9" s="9">
        <f>-$F$9*AF30</f>
        <v>0</v>
      </c>
      <c r="AH9" s="9">
        <f>-$F$9*AH30</f>
        <v>0</v>
      </c>
      <c r="AJ9" s="10">
        <f t="shared" si="0"/>
        <v>0</v>
      </c>
      <c r="AL9" s="10">
        <f t="shared" ref="AL9:AL23" si="3">ROUND(-F9*$AL$30,0)</f>
        <v>0</v>
      </c>
      <c r="AN9" s="10">
        <f t="shared" ref="AN9:AN24" si="4">ROUND(-F9*$AN$30,0)</f>
        <v>0</v>
      </c>
      <c r="AP9" s="10">
        <f t="shared" ref="AP9:AP25" si="5">ROUND(-$F9*$AP$30,0)</f>
        <v>0</v>
      </c>
      <c r="AR9" s="9">
        <f t="shared" si="1"/>
        <v>0</v>
      </c>
      <c r="AT9" s="9">
        <f t="shared" si="2"/>
        <v>24707.586699180007</v>
      </c>
    </row>
    <row r="10" spans="1:46" x14ac:dyDescent="0.25">
      <c r="B10" s="8">
        <v>2006</v>
      </c>
      <c r="D10" s="9">
        <f>'2. AFUDC Equity Incurred'!L11</f>
        <v>66917.2627679</v>
      </c>
      <c r="F10" s="9">
        <f>'2. AFUDC Equity Incurred'!N11</f>
        <v>219305</v>
      </c>
      <c r="H10" s="9">
        <v>0</v>
      </c>
      <c r="J10" s="9">
        <f>ROUND(-F10*J30*0.5,0)</f>
        <v>-2514</v>
      </c>
      <c r="L10" s="9">
        <f>ROUND(-$F$10*L30,0)</f>
        <v>-5002</v>
      </c>
      <c r="M10" s="9"/>
      <c r="N10" s="9">
        <f>ROUND(-$F$10*N30,0)</f>
        <v>-5004</v>
      </c>
      <c r="O10" s="9"/>
      <c r="P10" s="9">
        <f>ROUND(-$F$10*P30,0)</f>
        <v>-5066</v>
      </c>
      <c r="R10" s="9">
        <f>ROUND(-$F$10*R30,0)</f>
        <v>-5093</v>
      </c>
      <c r="T10" s="9">
        <f>ROUND(-$F$10*T30,0)</f>
        <v>-5172</v>
      </c>
      <c r="V10" s="9">
        <f>ROUND(-$F$10*V30,0)</f>
        <v>-5098</v>
      </c>
      <c r="X10" s="9">
        <f>ROUND(-$F$10*X30,0)</f>
        <v>-5118</v>
      </c>
      <c r="Z10" s="9">
        <f>ROUND(-$F$10*Z30,0)</f>
        <v>-5072</v>
      </c>
      <c r="AB10" s="9">
        <f>ROUND(-$F$10*AB30,0)</f>
        <v>-5076</v>
      </c>
      <c r="AD10" s="9">
        <f>ROUND(-$F$10*AD30,0)</f>
        <v>-5098</v>
      </c>
      <c r="AF10" s="9">
        <f>ROUND(-$F$10*AF30,0)</f>
        <v>-5152</v>
      </c>
      <c r="AH10" s="9">
        <f>ROUND(-$F$10*AH30,0)</f>
        <v>-5146</v>
      </c>
      <c r="AJ10" s="10">
        <f t="shared" si="0"/>
        <v>-5128</v>
      </c>
      <c r="AL10" s="10">
        <f t="shared" si="3"/>
        <v>-5132</v>
      </c>
      <c r="AN10" s="10">
        <f t="shared" si="4"/>
        <v>-4643</v>
      </c>
      <c r="AP10" s="10">
        <f t="shared" si="5"/>
        <v>-4189</v>
      </c>
      <c r="AR10" s="9">
        <f t="shared" si="1"/>
        <v>-82703</v>
      </c>
      <c r="AT10" s="9">
        <f t="shared" si="2"/>
        <v>-15785.7372321</v>
      </c>
    </row>
    <row r="11" spans="1:46" x14ac:dyDescent="0.25">
      <c r="B11" s="8">
        <v>2007</v>
      </c>
      <c r="D11" s="9">
        <f>'2. AFUDC Equity Incurred'!L12</f>
        <v>1237642.7527352201</v>
      </c>
      <c r="F11" s="9">
        <f>'2. AFUDC Equity Incurred'!N12</f>
        <v>0</v>
      </c>
      <c r="H11" s="9">
        <v>0</v>
      </c>
      <c r="J11" s="9">
        <v>0</v>
      </c>
      <c r="L11" s="9">
        <f>-F11*L30*0.5</f>
        <v>0</v>
      </c>
      <c r="M11" s="9"/>
      <c r="N11" s="9">
        <f>-$F$11*N30</f>
        <v>0</v>
      </c>
      <c r="P11" s="9">
        <f>-$F$11*P30</f>
        <v>0</v>
      </c>
      <c r="R11" s="9">
        <f>-$F$11*R30</f>
        <v>0</v>
      </c>
      <c r="T11" s="9">
        <f>-$F$11*T30</f>
        <v>0</v>
      </c>
      <c r="V11" s="9">
        <f>-$F$11*V30</f>
        <v>0</v>
      </c>
      <c r="X11" s="9">
        <f>-$F$11*X30</f>
        <v>0</v>
      </c>
      <c r="Z11" s="9">
        <f>-$F$11*Z30</f>
        <v>0</v>
      </c>
      <c r="AB11" s="9">
        <f>-$F$11*AB30</f>
        <v>0</v>
      </c>
      <c r="AD11" s="9">
        <f>-$F$11*AD30</f>
        <v>0</v>
      </c>
      <c r="AF11" s="9">
        <f>-$F$11*AF30</f>
        <v>0</v>
      </c>
      <c r="AH11" s="9">
        <f>-$F$11*AH30</f>
        <v>0</v>
      </c>
      <c r="AJ11" s="10">
        <f t="shared" si="0"/>
        <v>0</v>
      </c>
      <c r="AL11" s="10">
        <f t="shared" si="3"/>
        <v>0</v>
      </c>
      <c r="AN11" s="10">
        <f t="shared" si="4"/>
        <v>0</v>
      </c>
      <c r="AP11" s="10">
        <f t="shared" si="5"/>
        <v>0</v>
      </c>
      <c r="AR11" s="9">
        <f t="shared" si="1"/>
        <v>0</v>
      </c>
      <c r="AT11" s="9">
        <f t="shared" si="2"/>
        <v>1237642.7527352201</v>
      </c>
    </row>
    <row r="12" spans="1:46" x14ac:dyDescent="0.25">
      <c r="B12" s="8">
        <v>2008</v>
      </c>
      <c r="D12" s="9">
        <f>'2. AFUDC Equity Incurred'!L13</f>
        <v>103414.00039874999</v>
      </c>
      <c r="F12" s="9">
        <f>'2. AFUDC Equity Incurred'!N13</f>
        <v>133563</v>
      </c>
      <c r="H12" s="9">
        <v>0</v>
      </c>
      <c r="J12" s="9">
        <v>0</v>
      </c>
      <c r="L12" s="9">
        <v>0</v>
      </c>
      <c r="N12" s="9">
        <f>ROUND(-F12*N30*0.5,0)</f>
        <v>-1524</v>
      </c>
      <c r="P12" s="9">
        <f>ROUND(-$F$12*P30,)</f>
        <v>-3085</v>
      </c>
      <c r="R12" s="9">
        <f>ROUND(-$F$12*R30,)</f>
        <v>-3102</v>
      </c>
      <c r="T12" s="9">
        <f>ROUND(-$F$12*T30,)</f>
        <v>-3150</v>
      </c>
      <c r="V12" s="9">
        <f>ROUND(-$F$12*V30,)</f>
        <v>-3105</v>
      </c>
      <c r="X12" s="9">
        <f>ROUND(-$F$12*X30,)</f>
        <v>-3117</v>
      </c>
      <c r="Z12" s="9">
        <f>ROUND(-$F$12*Z30,)</f>
        <v>-3089</v>
      </c>
      <c r="AB12" s="9">
        <f>ROUND(-$F$12*AB30,)</f>
        <v>-3091</v>
      </c>
      <c r="AD12" s="9">
        <f>ROUND(-$F$12*AD30,)</f>
        <v>-3105</v>
      </c>
      <c r="AF12" s="9">
        <f>ROUND(-$F$12*AF30,)</f>
        <v>-3138</v>
      </c>
      <c r="AH12" s="9">
        <f>ROUND(-$F$12*AH30,)</f>
        <v>-3134</v>
      </c>
      <c r="AJ12" s="10">
        <f t="shared" si="0"/>
        <v>-3123</v>
      </c>
      <c r="AL12" s="10">
        <f t="shared" si="3"/>
        <v>-3126</v>
      </c>
      <c r="AN12" s="10">
        <f t="shared" si="4"/>
        <v>-2828</v>
      </c>
      <c r="AP12" s="10">
        <f t="shared" si="5"/>
        <v>-2551</v>
      </c>
      <c r="AR12" s="9">
        <f t="shared" si="1"/>
        <v>-44268</v>
      </c>
      <c r="AT12" s="9">
        <f t="shared" si="2"/>
        <v>59146.000398749995</v>
      </c>
    </row>
    <row r="13" spans="1:46" x14ac:dyDescent="0.25">
      <c r="B13" s="8">
        <v>2009</v>
      </c>
      <c r="D13" s="9">
        <f>'2. AFUDC Equity Incurred'!L14+'2. AFUDC Equity Incurred'!L15</f>
        <v>-440676.22705063992</v>
      </c>
      <c r="F13" s="9">
        <f>'2. AFUDC Equity Incurred'!N14</f>
        <v>922064</v>
      </c>
      <c r="H13" s="9">
        <v>0</v>
      </c>
      <c r="J13" s="9">
        <v>0</v>
      </c>
      <c r="L13" s="9">
        <v>0</v>
      </c>
      <c r="N13" s="9">
        <v>0</v>
      </c>
      <c r="P13" s="9">
        <f>ROUND(-$F$13*P30*0.5,0)</f>
        <v>-10650</v>
      </c>
      <c r="R13" s="9">
        <f>ROUND(-$F$13*R30,)</f>
        <v>-21413</v>
      </c>
      <c r="T13" s="9">
        <f>ROUND(-$F$13*T30,)</f>
        <v>-21745</v>
      </c>
      <c r="V13" s="9">
        <f>ROUND(-$F$13*V30,)</f>
        <v>-21436</v>
      </c>
      <c r="X13" s="9">
        <f>ROUND(-$F$13*X30,)</f>
        <v>-21516</v>
      </c>
      <c r="Z13" s="9">
        <f>ROUND(-$F$13*Z30,)</f>
        <v>-21326</v>
      </c>
      <c r="AB13" s="9">
        <f>ROUND(-$F$13*AB30,)</f>
        <v>-21341</v>
      </c>
      <c r="AD13" s="9">
        <f>ROUND(-$F$13*AD30,)</f>
        <v>-21433</v>
      </c>
      <c r="AF13" s="9">
        <f>ROUND(-$F$13*AF30,)</f>
        <v>-21663</v>
      </c>
      <c r="AH13" s="9">
        <f>ROUND(-$F$13*AH30,)</f>
        <v>-21636</v>
      </c>
      <c r="AJ13" s="10">
        <f t="shared" si="0"/>
        <v>-21559</v>
      </c>
      <c r="AL13" s="10">
        <f t="shared" si="3"/>
        <v>-21578</v>
      </c>
      <c r="AN13" s="10">
        <f t="shared" si="4"/>
        <v>-19520</v>
      </c>
      <c r="AP13" s="10">
        <f t="shared" si="5"/>
        <v>-17611</v>
      </c>
      <c r="AR13" s="9">
        <f t="shared" si="1"/>
        <v>-284427</v>
      </c>
      <c r="AT13" s="9">
        <f t="shared" si="2"/>
        <v>-725103.22705063992</v>
      </c>
    </row>
    <row r="14" spans="1:46" x14ac:dyDescent="0.25">
      <c r="B14" s="8">
        <v>2010</v>
      </c>
      <c r="D14" s="9">
        <f>'2. AFUDC Equity Incurred'!L16</f>
        <v>925066.86310796998</v>
      </c>
      <c r="F14" s="9">
        <f>'2. AFUDC Equity Incurred'!N16</f>
        <v>471804</v>
      </c>
      <c r="H14" s="9">
        <v>0</v>
      </c>
      <c r="J14" s="9">
        <v>0</v>
      </c>
      <c r="L14" s="9">
        <v>0</v>
      </c>
      <c r="N14" s="9">
        <v>0</v>
      </c>
      <c r="P14" s="9">
        <v>0</v>
      </c>
      <c r="R14" s="10">
        <f>ROUND(-F14*0.5*R30,0)</f>
        <v>-5478</v>
      </c>
      <c r="T14" s="9">
        <f>ROUND(-$F$14*T30,0)</f>
        <v>-11127</v>
      </c>
      <c r="V14" s="9">
        <f>ROUND(-$F$14*V30,0)</f>
        <v>-10968</v>
      </c>
      <c r="X14" s="9">
        <f>ROUND(-$F$14*X30,0)</f>
        <v>-11010</v>
      </c>
      <c r="Z14" s="9">
        <f>ROUND(-$F$14*Z30,0)</f>
        <v>-10912</v>
      </c>
      <c r="AB14" s="9">
        <f>ROUND(-$F$14*AB30,0)</f>
        <v>-10920</v>
      </c>
      <c r="AD14" s="9">
        <f>ROUND(-$F$14*AD30,0)</f>
        <v>-10967</v>
      </c>
      <c r="AF14" s="9">
        <f>ROUND(-$F$14*AF30,0)</f>
        <v>-11085</v>
      </c>
      <c r="AH14" s="9">
        <f>ROUND(-$F$14*AH30,0)</f>
        <v>-11071</v>
      </c>
      <c r="AJ14" s="10">
        <f t="shared" si="0"/>
        <v>-11032</v>
      </c>
      <c r="AL14" s="10">
        <f t="shared" si="3"/>
        <v>-11041</v>
      </c>
      <c r="AN14" s="10">
        <f t="shared" si="4"/>
        <v>-9988</v>
      </c>
      <c r="AP14" s="10">
        <f t="shared" si="5"/>
        <v>-9011</v>
      </c>
      <c r="AR14" s="9">
        <f t="shared" si="1"/>
        <v>-134610</v>
      </c>
      <c r="AT14" s="9">
        <f t="shared" si="2"/>
        <v>790456.86310796998</v>
      </c>
    </row>
    <row r="15" spans="1:46" x14ac:dyDescent="0.25">
      <c r="B15" s="8">
        <v>2011</v>
      </c>
      <c r="D15" s="9">
        <f>'2. AFUDC Equity Incurred'!L17+'2. AFUDC Equity Incurred'!L18</f>
        <v>4212327.7952646399</v>
      </c>
      <c r="F15" s="9">
        <f>'2. AFUDC Equity Incurred'!N17+'2. AFUDC Equity Incurred'!N18</f>
        <v>3417022</v>
      </c>
      <c r="H15" s="9">
        <v>0</v>
      </c>
      <c r="J15" s="9">
        <v>0</v>
      </c>
      <c r="L15" s="9">
        <v>0</v>
      </c>
      <c r="N15" s="9">
        <v>0</v>
      </c>
      <c r="P15" s="9">
        <v>0</v>
      </c>
      <c r="R15" s="9">
        <v>0</v>
      </c>
      <c r="T15" s="9">
        <f>ROUND(-$F$15*T30*0.5,0)</f>
        <v>-40292</v>
      </c>
      <c r="V15" s="9">
        <f>ROUND(-$F$15*V30,0)</f>
        <v>-79438</v>
      </c>
      <c r="X15" s="9">
        <f>ROUND(-$F$15*X30,0)</f>
        <v>-79737</v>
      </c>
      <c r="Z15" s="9">
        <f>ROUND(-$F$15*Z30,0)</f>
        <v>-79030</v>
      </c>
      <c r="AB15" s="9">
        <f>ROUND(-$F$15*AB30,0)</f>
        <v>-79085</v>
      </c>
      <c r="AD15" s="9">
        <f>ROUND(-$F$15*AD30,0)</f>
        <v>-79426</v>
      </c>
      <c r="AF15" s="9">
        <f>ROUND(-$F$15*AF30,0)</f>
        <v>-80279</v>
      </c>
      <c r="AH15" s="9">
        <f>ROUND(-$F$15*AH30,0)</f>
        <v>-80178</v>
      </c>
      <c r="AJ15" s="10">
        <f t="shared" si="0"/>
        <v>-79896</v>
      </c>
      <c r="AL15" s="10">
        <f t="shared" si="3"/>
        <v>-79965</v>
      </c>
      <c r="AN15" s="10">
        <f t="shared" si="4"/>
        <v>-72338</v>
      </c>
      <c r="AP15" s="10">
        <f t="shared" si="5"/>
        <v>-65264</v>
      </c>
      <c r="AR15" s="9">
        <f t="shared" si="1"/>
        <v>-894928</v>
      </c>
      <c r="AT15" s="9">
        <f t="shared" si="2"/>
        <v>3317399.7952646399</v>
      </c>
    </row>
    <row r="16" spans="1:46" x14ac:dyDescent="0.25">
      <c r="B16" s="8">
        <v>2012</v>
      </c>
      <c r="D16" s="9">
        <f>'2. AFUDC Equity Incurred'!L19</f>
        <v>2698292.4250539602</v>
      </c>
      <c r="F16" s="9">
        <f>'2. AFUDC Equity Incurred'!N19</f>
        <v>6137517</v>
      </c>
      <c r="H16" s="9">
        <v>0</v>
      </c>
      <c r="J16" s="9">
        <v>0</v>
      </c>
      <c r="L16" s="9">
        <v>0</v>
      </c>
      <c r="N16" s="9">
        <v>0</v>
      </c>
      <c r="P16" s="9">
        <v>0</v>
      </c>
      <c r="R16" s="9">
        <v>0</v>
      </c>
      <c r="T16" s="9">
        <v>0</v>
      </c>
      <c r="V16" s="9">
        <f>ROUND(-F16*V30*0.5,0)</f>
        <v>-71341</v>
      </c>
      <c r="X16" s="9">
        <f>ROUND(-$F$16*X30,0)</f>
        <v>-143220</v>
      </c>
      <c r="Z16" s="9">
        <f>ROUND(-$F$16*Z30,0)</f>
        <v>-141951</v>
      </c>
      <c r="AB16" s="9">
        <f>ROUND(-$F$16*AB30,0)</f>
        <v>-142049</v>
      </c>
      <c r="AD16" s="9">
        <f>ROUND(-$F$16*AD30,0)</f>
        <v>-142661</v>
      </c>
      <c r="AF16" s="9">
        <f>ROUND(-$F$16*AF30,0)</f>
        <v>-144194</v>
      </c>
      <c r="AH16" s="9">
        <f>ROUND(-$F$16*AH30,0)</f>
        <v>-144012</v>
      </c>
      <c r="AJ16" s="10">
        <f t="shared" si="0"/>
        <v>-143505</v>
      </c>
      <c r="AL16" s="10">
        <f t="shared" si="3"/>
        <v>-143630</v>
      </c>
      <c r="AN16" s="10">
        <f t="shared" si="4"/>
        <v>-129931</v>
      </c>
      <c r="AP16" s="10">
        <f t="shared" si="5"/>
        <v>-117225</v>
      </c>
      <c r="AR16" s="9">
        <f t="shared" si="1"/>
        <v>-1463719</v>
      </c>
      <c r="AT16" s="9">
        <f t="shared" si="2"/>
        <v>1234573.4250539602</v>
      </c>
    </row>
    <row r="17" spans="2:46" x14ac:dyDescent="0.25">
      <c r="B17" s="8">
        <v>2013</v>
      </c>
      <c r="D17" s="9">
        <f>'2. AFUDC Equity Incurred'!L20</f>
        <v>1208544.6547523499</v>
      </c>
      <c r="F17" s="9">
        <f>'2. AFUDC Equity Incurred'!N20</f>
        <v>1797925</v>
      </c>
      <c r="H17" s="9">
        <v>0</v>
      </c>
      <c r="J17" s="9">
        <v>0</v>
      </c>
      <c r="L17" s="9">
        <v>0</v>
      </c>
      <c r="N17" s="9">
        <v>0</v>
      </c>
      <c r="P17" s="9">
        <v>0</v>
      </c>
      <c r="R17" s="9">
        <v>0</v>
      </c>
      <c r="T17" s="9">
        <v>0</v>
      </c>
      <c r="V17" s="9">
        <v>0</v>
      </c>
      <c r="X17" s="9">
        <f>ROUND(-F17*X30*0.5,0)</f>
        <v>-20977</v>
      </c>
      <c r="Z17" s="9">
        <f>ROUND(-$F$17*Z30,0)</f>
        <v>-41583</v>
      </c>
      <c r="AB17" s="9">
        <f>ROUND(-$F$17*AB30,0)</f>
        <v>-41612</v>
      </c>
      <c r="AD17" s="9">
        <f>ROUND(-$F$17*AD30,0)</f>
        <v>-41791</v>
      </c>
      <c r="AF17" s="9">
        <f>ROUND(-$F$17*AF30,0)</f>
        <v>-42240</v>
      </c>
      <c r="AH17" s="9">
        <f>ROUND(-$F$17*AH30,0)</f>
        <v>-42187</v>
      </c>
      <c r="AJ17" s="10">
        <f t="shared" si="0"/>
        <v>-42038</v>
      </c>
      <c r="AL17" s="10">
        <f t="shared" si="3"/>
        <v>-42075</v>
      </c>
      <c r="AN17" s="10">
        <f t="shared" si="4"/>
        <v>-38062</v>
      </c>
      <c r="AP17" s="10">
        <f t="shared" si="5"/>
        <v>-34340</v>
      </c>
      <c r="AR17" s="9">
        <f t="shared" si="1"/>
        <v>-386905</v>
      </c>
      <c r="AT17" s="9">
        <f t="shared" si="2"/>
        <v>821639.65475234995</v>
      </c>
    </row>
    <row r="18" spans="2:46" x14ac:dyDescent="0.25">
      <c r="B18" s="8">
        <v>2014</v>
      </c>
      <c r="D18" s="9">
        <f>'2. AFUDC Equity Incurred'!L21+'2. AFUDC Equity Incurred'!L22</f>
        <v>1987291.6945879501</v>
      </c>
      <c r="F18" s="9">
        <f>'2. AFUDC Equity Incurred'!N21</f>
        <v>2516205</v>
      </c>
      <c r="H18" s="9">
        <v>0</v>
      </c>
      <c r="J18" s="9">
        <v>0</v>
      </c>
      <c r="L18" s="9">
        <v>0</v>
      </c>
      <c r="N18" s="9">
        <v>0</v>
      </c>
      <c r="P18" s="9">
        <v>0</v>
      </c>
      <c r="R18" s="9">
        <v>0</v>
      </c>
      <c r="T18" s="9">
        <v>0</v>
      </c>
      <c r="V18" s="9">
        <v>0</v>
      </c>
      <c r="X18" s="9">
        <v>0</v>
      </c>
      <c r="Z18" s="10">
        <f>ROUND(-F18*Z30*0.5,0)</f>
        <v>-29098</v>
      </c>
      <c r="AB18" s="9">
        <f>ROUND(-$F$18*AB30,)</f>
        <v>-58236</v>
      </c>
      <c r="AD18" s="9">
        <f>ROUND(-$F$18*AD30,)</f>
        <v>-58487</v>
      </c>
      <c r="AF18" s="9">
        <f>ROUND(-$F$18*AF30,)</f>
        <v>-59116</v>
      </c>
      <c r="AH18" s="9">
        <f>ROUND(-$F$18*AH30,)</f>
        <v>-59041</v>
      </c>
      <c r="AJ18" s="10">
        <f t="shared" si="0"/>
        <v>-58833</v>
      </c>
      <c r="AL18" s="10">
        <f t="shared" si="3"/>
        <v>-58884</v>
      </c>
      <c r="AN18" s="10">
        <f t="shared" si="4"/>
        <v>-53268</v>
      </c>
      <c r="AP18" s="10">
        <f t="shared" si="5"/>
        <v>-48059</v>
      </c>
      <c r="AR18" s="9">
        <f t="shared" si="1"/>
        <v>-483022</v>
      </c>
      <c r="AT18" s="9">
        <f t="shared" si="2"/>
        <v>1504269.6945879501</v>
      </c>
    </row>
    <row r="19" spans="2:46" x14ac:dyDescent="0.25">
      <c r="B19" s="8">
        <v>2015</v>
      </c>
      <c r="D19" s="9">
        <f>'2. AFUDC Equity Incurred'!L23</f>
        <v>2189952.7682567001</v>
      </c>
      <c r="F19" s="9">
        <f>'2. AFUDC Equity Incurred'!N23</f>
        <v>2810591</v>
      </c>
      <c r="H19" s="9">
        <v>0</v>
      </c>
      <c r="J19" s="9">
        <v>0</v>
      </c>
      <c r="L19" s="9">
        <v>0</v>
      </c>
      <c r="N19" s="9">
        <v>0</v>
      </c>
      <c r="P19" s="9">
        <v>0</v>
      </c>
      <c r="R19" s="9">
        <v>0</v>
      </c>
      <c r="T19" s="9">
        <v>0</v>
      </c>
      <c r="V19" s="9">
        <v>0</v>
      </c>
      <c r="X19" s="9">
        <v>0</v>
      </c>
      <c r="Z19" s="9">
        <v>0</v>
      </c>
      <c r="AB19" s="9">
        <f>ROUND(-F19*0.5*AB30,0)</f>
        <v>-32525</v>
      </c>
      <c r="AD19" s="9">
        <f>ROUND(-$F$19*AD30,)</f>
        <v>-65330</v>
      </c>
      <c r="AF19" s="9">
        <f>ROUND(-$F$19*AF30,)</f>
        <v>-66032</v>
      </c>
      <c r="AH19" s="9">
        <f>ROUND(-$F$19*AH30,)</f>
        <v>-65948</v>
      </c>
      <c r="AJ19" s="10">
        <f t="shared" si="0"/>
        <v>-65716</v>
      </c>
      <c r="AL19" s="10">
        <f t="shared" si="3"/>
        <v>-65773</v>
      </c>
      <c r="AN19" s="10">
        <f t="shared" si="4"/>
        <v>-59500</v>
      </c>
      <c r="AP19" s="10">
        <f t="shared" si="5"/>
        <v>-53682</v>
      </c>
      <c r="AR19" s="9">
        <f t="shared" si="1"/>
        <v>-474506</v>
      </c>
      <c r="AT19" s="9">
        <f t="shared" si="2"/>
        <v>1715446.7682567001</v>
      </c>
    </row>
    <row r="20" spans="2:46" x14ac:dyDescent="0.25">
      <c r="B20" s="8">
        <v>2016</v>
      </c>
      <c r="D20" s="9">
        <f>'2. AFUDC Equity Incurred'!L24</f>
        <v>3377535.0000000005</v>
      </c>
      <c r="F20" s="9">
        <f>'2. AFUDC Equity Incurred'!N24</f>
        <v>2409752</v>
      </c>
      <c r="H20" s="9">
        <v>0</v>
      </c>
      <c r="J20" s="9">
        <v>0</v>
      </c>
      <c r="L20" s="9">
        <v>0</v>
      </c>
      <c r="N20" s="9">
        <v>0</v>
      </c>
      <c r="P20" s="9">
        <v>0</v>
      </c>
      <c r="R20" s="9">
        <v>0</v>
      </c>
      <c r="T20" s="9">
        <v>0</v>
      </c>
      <c r="V20" s="9">
        <v>0</v>
      </c>
      <c r="X20" s="9">
        <v>0</v>
      </c>
      <c r="Z20" s="9">
        <v>0</v>
      </c>
      <c r="AB20" s="9">
        <v>0</v>
      </c>
      <c r="AD20" s="9">
        <f>ROUND(-F20*0.5*AD30,0)</f>
        <v>-28006</v>
      </c>
      <c r="AF20" s="9">
        <f>ROUND(-$F$20*AF30,0)</f>
        <v>-56615</v>
      </c>
      <c r="AH20" s="9">
        <f>ROUND(-$F$20*AH30,0)</f>
        <v>-56543</v>
      </c>
      <c r="AJ20" s="10">
        <f t="shared" si="0"/>
        <v>-56344</v>
      </c>
      <c r="AL20" s="10">
        <f t="shared" si="3"/>
        <v>-56393</v>
      </c>
      <c r="AN20" s="10">
        <f t="shared" si="4"/>
        <v>-51014</v>
      </c>
      <c r="AP20" s="10">
        <f t="shared" si="5"/>
        <v>-46026</v>
      </c>
      <c r="AR20" s="9">
        <f t="shared" si="1"/>
        <v>-350941</v>
      </c>
      <c r="AT20" s="9">
        <f t="shared" si="2"/>
        <v>3026594.0000000005</v>
      </c>
    </row>
    <row r="21" spans="2:46" x14ac:dyDescent="0.25">
      <c r="B21" s="8">
        <v>2017</v>
      </c>
      <c r="D21" s="9">
        <f>'2. AFUDC Equity Incurred'!L25</f>
        <v>3644918.3462399999</v>
      </c>
      <c r="F21" s="9">
        <f>'2. AFUDC Equity Incurred'!N25</f>
        <v>2307420</v>
      </c>
      <c r="H21" s="9">
        <v>0</v>
      </c>
      <c r="J21" s="9">
        <v>0</v>
      </c>
      <c r="L21" s="9">
        <v>0</v>
      </c>
      <c r="N21" s="9">
        <v>0</v>
      </c>
      <c r="P21" s="9">
        <v>0</v>
      </c>
      <c r="R21" s="9">
        <v>0</v>
      </c>
      <c r="T21" s="9">
        <v>0</v>
      </c>
      <c r="V21" s="9">
        <v>0</v>
      </c>
      <c r="X21" s="9">
        <v>0</v>
      </c>
      <c r="Z21" s="9">
        <v>0</v>
      </c>
      <c r="AB21" s="9">
        <v>0</v>
      </c>
      <c r="AD21" s="9">
        <v>0</v>
      </c>
      <c r="AF21" s="9">
        <f>-F21*0.5*AF30</f>
        <v>-27105.183957711033</v>
      </c>
      <c r="AH21" s="9">
        <f>-F21*AH30</f>
        <v>-54141.817998048129</v>
      </c>
      <c r="AJ21" s="10">
        <f t="shared" si="0"/>
        <v>-53951</v>
      </c>
      <c r="AL21" s="10">
        <f t="shared" si="3"/>
        <v>-53998</v>
      </c>
      <c r="AN21" s="10">
        <f t="shared" si="4"/>
        <v>-48848</v>
      </c>
      <c r="AP21" s="10">
        <f t="shared" si="5"/>
        <v>-44071</v>
      </c>
      <c r="AR21" s="9">
        <f t="shared" si="1"/>
        <v>-282115.00195575913</v>
      </c>
      <c r="AT21" s="9">
        <f t="shared" si="2"/>
        <v>3362803.3442842406</v>
      </c>
    </row>
    <row r="22" spans="2:46" x14ac:dyDescent="0.25">
      <c r="B22" s="8">
        <v>2018</v>
      </c>
      <c r="D22" s="9">
        <f>'2. AFUDC Equity Incurred'!L26</f>
        <v>3472630.3691363996</v>
      </c>
      <c r="F22" s="9">
        <f>'2. AFUDC Equity Incurred'!N26</f>
        <v>1565397</v>
      </c>
      <c r="H22" s="9">
        <v>0</v>
      </c>
      <c r="J22" s="9">
        <v>0</v>
      </c>
      <c r="L22" s="9">
        <v>0</v>
      </c>
      <c r="N22" s="9">
        <v>0</v>
      </c>
      <c r="P22" s="9">
        <v>0</v>
      </c>
      <c r="R22" s="9">
        <v>0</v>
      </c>
      <c r="T22" s="9">
        <v>0</v>
      </c>
      <c r="V22" s="9">
        <v>0</v>
      </c>
      <c r="X22" s="9">
        <v>0</v>
      </c>
      <c r="Z22" s="9">
        <v>0</v>
      </c>
      <c r="AB22" s="9">
        <v>0</v>
      </c>
      <c r="AD22" s="9">
        <v>0</v>
      </c>
      <c r="AF22" s="9">
        <v>0</v>
      </c>
      <c r="AH22" s="9">
        <f>-F22*AH30*0.5</f>
        <v>-18365.412336872036</v>
      </c>
      <c r="AJ22" s="10">
        <f t="shared" si="0"/>
        <v>-36602</v>
      </c>
      <c r="AL22" s="10">
        <f t="shared" si="3"/>
        <v>-36633</v>
      </c>
      <c r="AN22" s="10">
        <f t="shared" si="4"/>
        <v>-33139</v>
      </c>
      <c r="AP22" s="10">
        <f t="shared" si="5"/>
        <v>-29899</v>
      </c>
      <c r="AR22" s="9">
        <f t="shared" si="1"/>
        <v>-154638.41233687202</v>
      </c>
      <c r="AT22" s="9">
        <f t="shared" si="2"/>
        <v>3317991.9567995276</v>
      </c>
    </row>
    <row r="23" spans="2:46" x14ac:dyDescent="0.25">
      <c r="B23" s="8">
        <v>2019</v>
      </c>
      <c r="D23" s="9">
        <f>'2. AFUDC Equity Incurred'!L27</f>
        <v>4529742.462389214</v>
      </c>
      <c r="F23" s="9">
        <f>'2. AFUDC Equity Incurred'!N27</f>
        <v>3549260.7527181148</v>
      </c>
      <c r="H23" s="9">
        <v>0</v>
      </c>
      <c r="J23" s="9">
        <v>0</v>
      </c>
      <c r="L23" s="9">
        <v>0</v>
      </c>
      <c r="N23" s="9">
        <v>0</v>
      </c>
      <c r="P23" s="9">
        <v>0</v>
      </c>
      <c r="R23" s="9">
        <v>0</v>
      </c>
      <c r="T23" s="9">
        <v>0</v>
      </c>
      <c r="V23" s="9">
        <v>0</v>
      </c>
      <c r="X23" s="9">
        <v>0</v>
      </c>
      <c r="Z23" s="9">
        <v>0</v>
      </c>
      <c r="AB23" s="9">
        <v>0</v>
      </c>
      <c r="AD23" s="9">
        <v>0</v>
      </c>
      <c r="AF23" s="9">
        <v>0</v>
      </c>
      <c r="AH23" s="9">
        <f>-F23*AH31*0.5</f>
        <v>0</v>
      </c>
      <c r="AJ23" s="10">
        <f>ROUND(-F23*$AJ$30,0)*0.5</f>
        <v>-41493.5</v>
      </c>
      <c r="AL23" s="10">
        <f t="shared" si="3"/>
        <v>-83060</v>
      </c>
      <c r="AN23" s="10">
        <f t="shared" si="4"/>
        <v>-75138</v>
      </c>
      <c r="AP23" s="10">
        <f t="shared" si="5"/>
        <v>-67790</v>
      </c>
      <c r="AR23" s="9">
        <f t="shared" si="1"/>
        <v>-267481.5</v>
      </c>
      <c r="AT23" s="9">
        <f t="shared" si="2"/>
        <v>4262260.962389214</v>
      </c>
    </row>
    <row r="24" spans="2:46" x14ac:dyDescent="0.25">
      <c r="B24" s="8">
        <v>2020</v>
      </c>
      <c r="D24" s="9">
        <f>'2. AFUDC Equity Incurred'!L28</f>
        <v>5197299.5867396221</v>
      </c>
      <c r="F24" s="9">
        <f>'2. AFUDC Equity Incurred'!N28</f>
        <v>3429817.5218990929</v>
      </c>
      <c r="H24" s="9">
        <v>0</v>
      </c>
      <c r="J24" s="9">
        <v>0</v>
      </c>
      <c r="L24" s="9">
        <v>0</v>
      </c>
      <c r="N24" s="9">
        <v>0</v>
      </c>
      <c r="P24" s="9">
        <v>0</v>
      </c>
      <c r="R24" s="9">
        <v>0</v>
      </c>
      <c r="T24" s="9">
        <v>0</v>
      </c>
      <c r="V24" s="9">
        <v>0</v>
      </c>
      <c r="X24" s="9">
        <v>0</v>
      </c>
      <c r="Z24" s="9">
        <v>0</v>
      </c>
      <c r="AB24" s="9">
        <v>0</v>
      </c>
      <c r="AD24" s="9">
        <v>0</v>
      </c>
      <c r="AF24" s="9">
        <v>0</v>
      </c>
      <c r="AH24" s="9">
        <f>-F24*AH32*0.5</f>
        <v>0</v>
      </c>
      <c r="AJ24" s="10">
        <v>0</v>
      </c>
      <c r="AL24" s="10">
        <f>ROUND(-F24*$AL$30,0)*0.5</f>
        <v>-40132</v>
      </c>
      <c r="AN24" s="10">
        <f t="shared" si="4"/>
        <v>-72609</v>
      </c>
      <c r="AP24" s="10">
        <f t="shared" si="5"/>
        <v>-65509</v>
      </c>
      <c r="AR24" s="9">
        <f t="shared" si="1"/>
        <v>-178250</v>
      </c>
      <c r="AT24" s="9">
        <f t="shared" si="2"/>
        <v>5019049.5867396221</v>
      </c>
    </row>
    <row r="25" spans="2:46" x14ac:dyDescent="0.25">
      <c r="B25" s="8">
        <v>2021</v>
      </c>
      <c r="D25" s="9">
        <f>'2. AFUDC Equity Incurred'!L29</f>
        <v>7242460.304018124</v>
      </c>
      <c r="F25" s="9">
        <f>'2. AFUDC Equity Incurred'!N29</f>
        <v>3109068.8342862213</v>
      </c>
      <c r="H25" s="9">
        <v>0</v>
      </c>
      <c r="J25" s="9">
        <v>0</v>
      </c>
      <c r="L25" s="9">
        <v>0</v>
      </c>
      <c r="N25" s="9">
        <v>0</v>
      </c>
      <c r="P25" s="9">
        <v>0</v>
      </c>
      <c r="R25" s="9">
        <v>0</v>
      </c>
      <c r="T25" s="9">
        <v>0</v>
      </c>
      <c r="V25" s="9">
        <v>0</v>
      </c>
      <c r="X25" s="9">
        <v>0</v>
      </c>
      <c r="Z25" s="9">
        <v>0</v>
      </c>
      <c r="AB25" s="9">
        <v>0</v>
      </c>
      <c r="AD25" s="9">
        <v>0</v>
      </c>
      <c r="AF25" s="9">
        <v>0</v>
      </c>
      <c r="AH25" s="9">
        <f>-F25*AH33*0.5</f>
        <v>0</v>
      </c>
      <c r="AJ25" s="10">
        <v>0</v>
      </c>
      <c r="AL25" s="10">
        <v>0</v>
      </c>
      <c r="AN25" s="10">
        <f>ROUND(-F25*$AN$30,0)*0.5</f>
        <v>-32909.5</v>
      </c>
      <c r="AP25" s="10">
        <f t="shared" si="5"/>
        <v>-59382</v>
      </c>
      <c r="AR25" s="9">
        <f t="shared" si="1"/>
        <v>-92291.5</v>
      </c>
      <c r="AT25" s="9">
        <f t="shared" si="2"/>
        <v>7150168.804018124</v>
      </c>
    </row>
    <row r="26" spans="2:46" x14ac:dyDescent="0.25">
      <c r="B26" s="8">
        <v>2022</v>
      </c>
      <c r="D26" s="9">
        <f>'2. AFUDC Equity Incurred'!L30</f>
        <v>8455754.5153658893</v>
      </c>
      <c r="F26" s="9">
        <f>'2. AFUDC Equity Incurred'!N30</f>
        <v>2699209.9627247062</v>
      </c>
      <c r="H26" s="9"/>
      <c r="J26" s="9"/>
      <c r="L26" s="9"/>
      <c r="N26" s="9"/>
      <c r="P26" s="9"/>
      <c r="R26" s="9"/>
      <c r="T26" s="9"/>
      <c r="V26" s="9"/>
      <c r="X26" s="9"/>
      <c r="Z26" s="9"/>
      <c r="AB26" s="9"/>
      <c r="AD26" s="9"/>
      <c r="AF26" s="9"/>
      <c r="AH26" s="9"/>
      <c r="AJ26" s="10"/>
      <c r="AL26" s="10"/>
      <c r="AN26" s="10"/>
      <c r="AP26" s="10">
        <f>ROUND(-$F26*$AP$30,0)*0.5</f>
        <v>-25777</v>
      </c>
      <c r="AR26" s="9">
        <f t="shared" ref="AR26" si="6">SUM(H26:AQ26)</f>
        <v>-25777</v>
      </c>
      <c r="AT26" s="9">
        <f t="shared" ref="AT26" si="7">D26+AR26</f>
        <v>8429977.5153658893</v>
      </c>
    </row>
    <row r="27" spans="2:46" x14ac:dyDescent="0.25">
      <c r="D27" s="11"/>
      <c r="F27" s="12"/>
      <c r="H27" s="11"/>
      <c r="J27" s="11"/>
      <c r="L27" s="11"/>
      <c r="N27" s="11"/>
      <c r="P27" s="11"/>
      <c r="R27" s="11"/>
      <c r="T27" s="11"/>
      <c r="V27" s="11"/>
      <c r="X27" s="11"/>
      <c r="Z27" s="11"/>
      <c r="AB27" s="11"/>
      <c r="AD27" s="11"/>
      <c r="AF27" s="11"/>
      <c r="AH27" s="11"/>
      <c r="AJ27" s="11"/>
      <c r="AL27" s="11"/>
      <c r="AN27" s="11"/>
      <c r="AP27" s="11"/>
      <c r="AR27" s="12"/>
      <c r="AT27" s="12"/>
    </row>
    <row r="28" spans="2:46" x14ac:dyDescent="0.25">
      <c r="B28" s="2" t="s">
        <v>25</v>
      </c>
      <c r="D28" s="9">
        <f>SUM(D7:D27)</f>
        <v>51243878.160463229</v>
      </c>
      <c r="F28" s="9">
        <f>SUM(F7:F27)</f>
        <v>38605978.071628138</v>
      </c>
      <c r="H28" s="9">
        <f>SUM(H7:H27)</f>
        <v>-25397</v>
      </c>
      <c r="J28" s="9">
        <f>SUM(J7:J27)</f>
        <v>-27966</v>
      </c>
      <c r="L28" s="9">
        <f>SUM(L7:L27)</f>
        <v>-30323</v>
      </c>
      <c r="N28" s="9">
        <f>SUM(N7:N27)</f>
        <v>-31855</v>
      </c>
      <c r="P28" s="9">
        <f>SUM(P7:P27)</f>
        <v>-44445</v>
      </c>
      <c r="R28" s="9">
        <f>SUM(R7:R27)</f>
        <v>-60865</v>
      </c>
      <c r="T28" s="9">
        <f>SUM(T7:T27)</f>
        <v>-107664</v>
      </c>
      <c r="V28" s="9">
        <f>SUM(V7:V27)</f>
        <v>-217192</v>
      </c>
      <c r="X28" s="9">
        <f>SUM(X7:X27)</f>
        <v>-310598</v>
      </c>
      <c r="Z28" s="9">
        <f>SUM(Z7:Z27)</f>
        <v>-357735</v>
      </c>
      <c r="AB28" s="9">
        <f>SUM(AB7:AB27)</f>
        <v>-419626</v>
      </c>
      <c r="AD28" s="9">
        <f>SUM(AD7:AD27)</f>
        <v>-482106</v>
      </c>
      <c r="AF28" s="9">
        <f>SUM(AF7:AF27)</f>
        <v>-542699.18395771098</v>
      </c>
      <c r="AH28" s="9">
        <f>SUM(AH7:AH27)</f>
        <v>-587450.23033492023</v>
      </c>
      <c r="AJ28" s="9">
        <f>SUM(AJ7:AJ27)</f>
        <v>-645175.5</v>
      </c>
      <c r="AL28" s="9">
        <f>SUM(AL7:AL27)</f>
        <v>-727397</v>
      </c>
      <c r="AN28" s="9">
        <f>SUM(AN7:AN27)</f>
        <v>-727235.5</v>
      </c>
      <c r="AP28" s="9">
        <f>SUM(AP7:AP27)</f>
        <v>-711588</v>
      </c>
      <c r="AR28" s="9">
        <f>SUM(AR7:AR27)</f>
        <v>-6057317.4142926307</v>
      </c>
      <c r="AT28" s="9">
        <f>SUM(AT7:AT27)</f>
        <v>45186560.746170603</v>
      </c>
    </row>
    <row r="29" spans="2:46" x14ac:dyDescent="0.25">
      <c r="AR29" s="13"/>
      <c r="AT29" s="13"/>
    </row>
    <row r="30" spans="2:46" x14ac:dyDescent="0.25">
      <c r="B30" s="2" t="s">
        <v>26</v>
      </c>
      <c r="H30" s="14">
        <f>'3. Depreciation Rates'!J658</f>
        <v>2.2879229533608544E-2</v>
      </c>
      <c r="J30" s="14">
        <f>'3. Depreciation Rates'!J619</f>
        <v>2.2928928922232486E-2</v>
      </c>
      <c r="L30" s="14">
        <f>'3. Depreciation Rates'!J580</f>
        <v>2.2810659564896515E-2</v>
      </c>
      <c r="N30" s="14">
        <f>'3. Depreciation Rates'!J541</f>
        <v>2.2815842358192392E-2</v>
      </c>
      <c r="P30" s="14">
        <f>'3. Depreciation Rates'!J502</f>
        <v>2.3101093844753385E-2</v>
      </c>
      <c r="R30" s="14">
        <f>'3. Depreciation Rates'!J463</f>
        <v>2.3223350693434581E-2</v>
      </c>
      <c r="T30" s="14">
        <f>'3. Depreciation Rates'!J424</f>
        <v>2.3582940356776803E-2</v>
      </c>
      <c r="V30" s="14">
        <f>'3. Depreciation Rates'!J385</f>
        <v>2.3247592033967236E-2</v>
      </c>
      <c r="X30" s="14">
        <f>'3. Depreciation Rates'!J346</f>
        <v>2.3335140731341041E-2</v>
      </c>
      <c r="Z30" s="14">
        <f>'3. Depreciation Rates'!J307</f>
        <v>2.3128404334859496E-2</v>
      </c>
      <c r="AB30" s="14">
        <f>'3. Depreciation Rates'!J268</f>
        <v>2.314430584330273E-2</v>
      </c>
      <c r="AD30" s="14">
        <f>'3. Depreciation Rates'!J229</f>
        <v>2.3244109615774576E-2</v>
      </c>
      <c r="AF30" s="14">
        <f>'3. Depreciation Rates'!J190</f>
        <v>2.3493931713958475E-2</v>
      </c>
      <c r="AH30" s="14">
        <f>'3. Depreciation Rates'!J151</f>
        <v>2.3464223244163668E-2</v>
      </c>
      <c r="AJ30" s="14">
        <f>'3. Depreciation Rates'!J112</f>
        <v>2.3381621541753887E-2</v>
      </c>
      <c r="AL30" s="14">
        <f>'3. Depreciation Rates'!J73</f>
        <v>2.340194355884408E-2</v>
      </c>
      <c r="AN30" s="14">
        <f>'3. Depreciation Rates'!J34</f>
        <v>2.1169965753328916E-2</v>
      </c>
      <c r="AP30" s="14">
        <f>'3. Depreciation Rates'!J19</f>
        <v>1.909973845867461E-2</v>
      </c>
      <c r="AR30" s="13"/>
      <c r="AT30" s="9"/>
    </row>
    <row r="32" spans="2:46" x14ac:dyDescent="0.25">
      <c r="D32" s="15"/>
      <c r="AL32" s="9"/>
      <c r="AM32" s="9"/>
      <c r="AN32" s="9"/>
      <c r="AO32" s="9"/>
      <c r="AP32" s="9"/>
    </row>
    <row r="34" spans="40:42" x14ac:dyDescent="0.25">
      <c r="AN34" s="10"/>
      <c r="AP34" s="10"/>
    </row>
    <row r="36" spans="40:42" x14ac:dyDescent="0.25">
      <c r="AN36" s="15"/>
      <c r="AP36" s="15"/>
    </row>
  </sheetData>
  <pageMargins left="0.7" right="0.7" top="0.75" bottom="0.75" header="0.3" footer="0.3"/>
  <pageSetup scale="43" orientation="landscape" r:id="rId1"/>
  <headerFooter>
    <oddFooter>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7C62-8490-4FFB-AD2E-46CDF9C5B3D5}">
  <sheetPr>
    <pageSetUpPr fitToPage="1"/>
  </sheetPr>
  <dimension ref="A1:N47"/>
  <sheetViews>
    <sheetView zoomScaleNormal="100" zoomScaleSheetLayoutView="100" workbookViewId="0">
      <selection activeCell="R30" sqref="R30"/>
    </sheetView>
  </sheetViews>
  <sheetFormatPr defaultColWidth="9.1796875" defaultRowHeight="12.5" x14ac:dyDescent="0.25"/>
  <cols>
    <col min="1" max="1" width="3.81640625" style="17" customWidth="1"/>
    <col min="2" max="2" width="10.7265625" style="17" customWidth="1"/>
    <col min="3" max="3" width="2.54296875" style="17" customWidth="1"/>
    <col min="4" max="4" width="18" style="17" bestFit="1" customWidth="1"/>
    <col min="5" max="5" width="2.54296875" style="17" customWidth="1"/>
    <col min="6" max="6" width="13.7265625" style="17" customWidth="1"/>
    <col min="7" max="7" width="2.54296875" style="17" customWidth="1"/>
    <col min="8" max="8" width="14.81640625" style="17" customWidth="1"/>
    <col min="9" max="9" width="2.7265625" style="17" customWidth="1"/>
    <col min="10" max="10" width="13.7265625" style="17" customWidth="1"/>
    <col min="11" max="11" width="2.54296875" style="17" customWidth="1"/>
    <col min="12" max="12" width="18.453125" style="17" customWidth="1"/>
    <col min="13" max="13" width="2.54296875" style="17" customWidth="1"/>
    <col min="14" max="14" width="16.81640625" style="17" customWidth="1"/>
    <col min="15" max="15" width="9.1796875" style="17"/>
    <col min="16" max="16" width="10.81640625" style="17" bestFit="1" customWidth="1"/>
    <col min="17" max="16384" width="9.1796875" style="17"/>
  </cols>
  <sheetData>
    <row r="1" spans="1:14" ht="13" x14ac:dyDescent="0.3">
      <c r="A1" s="16" t="s">
        <v>0</v>
      </c>
      <c r="H1" s="18"/>
      <c r="L1" s="18"/>
      <c r="N1" s="18"/>
    </row>
    <row r="2" spans="1:14" ht="13" x14ac:dyDescent="0.3">
      <c r="A2" s="16" t="s">
        <v>27</v>
      </c>
      <c r="H2" s="18"/>
      <c r="L2" s="18"/>
      <c r="N2" s="18"/>
    </row>
    <row r="3" spans="1:14" ht="13" x14ac:dyDescent="0.3">
      <c r="A3" s="16" t="str">
        <f>'1. AFUDC Equity Depreciation'!A3</f>
        <v>For the Year Ended: December 31, 2022</v>
      </c>
    </row>
    <row r="4" spans="1:14" ht="13" x14ac:dyDescent="0.3">
      <c r="A4" s="18"/>
    </row>
    <row r="5" spans="1:14" ht="13" x14ac:dyDescent="0.3">
      <c r="A5" s="18"/>
    </row>
    <row r="7" spans="1:14" ht="27" x14ac:dyDescent="0.25">
      <c r="B7" s="19" t="s">
        <v>2</v>
      </c>
      <c r="C7" s="20"/>
      <c r="D7" s="21" t="s">
        <v>28</v>
      </c>
      <c r="E7" s="20"/>
      <c r="F7" s="19" t="s">
        <v>29</v>
      </c>
      <c r="G7" s="20"/>
      <c r="H7" s="21" t="s">
        <v>30</v>
      </c>
      <c r="I7" s="20"/>
      <c r="J7" s="21" t="s">
        <v>31</v>
      </c>
      <c r="K7" s="20"/>
      <c r="L7" s="21" t="s">
        <v>32</v>
      </c>
      <c r="M7" s="20"/>
      <c r="N7" s="21" t="s">
        <v>33</v>
      </c>
    </row>
    <row r="8" spans="1:14" ht="4.5" customHeight="1" x14ac:dyDescent="0.25"/>
    <row r="9" spans="1:14" x14ac:dyDescent="0.25">
      <c r="B9" s="17" t="s">
        <v>24</v>
      </c>
      <c r="D9" s="22">
        <v>1110056</v>
      </c>
      <c r="E9" s="22"/>
      <c r="F9" s="22">
        <v>0</v>
      </c>
      <c r="G9" s="22"/>
      <c r="H9" s="23">
        <f t="shared" ref="H9:H26" si="0">SUM(D9:G9)</f>
        <v>1110056</v>
      </c>
      <c r="J9" s="24">
        <v>1</v>
      </c>
      <c r="L9" s="25">
        <f>H9*J9</f>
        <v>1110056</v>
      </c>
      <c r="N9" s="25">
        <v>1110056</v>
      </c>
    </row>
    <row r="10" spans="1:14" ht="15" customHeight="1" x14ac:dyDescent="0.25">
      <c r="B10" s="20">
        <v>2005</v>
      </c>
      <c r="C10" s="20"/>
      <c r="D10" s="23">
        <v>2650039.4700000002</v>
      </c>
      <c r="E10" s="20"/>
      <c r="F10" s="23">
        <v>-1105236</v>
      </c>
      <c r="G10" s="20"/>
      <c r="H10" s="23">
        <f t="shared" si="0"/>
        <v>1544803.4700000002</v>
      </c>
      <c r="J10" s="26">
        <v>1.5994000000000001E-2</v>
      </c>
      <c r="K10" s="20"/>
      <c r="L10" s="25">
        <f t="shared" ref="L10:L30" si="1">H10*J10</f>
        <v>24707.586699180007</v>
      </c>
      <c r="M10" s="20"/>
      <c r="N10" s="25">
        <v>0</v>
      </c>
    </row>
    <row r="11" spans="1:14" ht="15" customHeight="1" x14ac:dyDescent="0.25">
      <c r="B11" s="20">
        <f>B10+1</f>
        <v>2006</v>
      </c>
      <c r="C11" s="20"/>
      <c r="D11" s="23">
        <v>2567269.27</v>
      </c>
      <c r="E11" s="20"/>
      <c r="F11" s="23">
        <v>-1105236</v>
      </c>
      <c r="G11" s="20"/>
      <c r="H11" s="23">
        <f t="shared" si="0"/>
        <v>1462033.27</v>
      </c>
      <c r="J11" s="26">
        <v>4.5769999999999998E-2</v>
      </c>
      <c r="K11" s="20"/>
      <c r="L11" s="25">
        <f t="shared" si="1"/>
        <v>66917.2627679</v>
      </c>
      <c r="M11" s="20"/>
      <c r="N11" s="25">
        <v>219305</v>
      </c>
    </row>
    <row r="12" spans="1:14" ht="15" customHeight="1" x14ac:dyDescent="0.25">
      <c r="B12" s="20">
        <f t="shared" ref="B12:B30" si="2">B11+1</f>
        <v>2007</v>
      </c>
      <c r="C12" s="20"/>
      <c r="D12" s="23">
        <v>3287877.97</v>
      </c>
      <c r="E12" s="20"/>
      <c r="F12" s="23">
        <v>0</v>
      </c>
      <c r="G12" s="20"/>
      <c r="H12" s="23">
        <f t="shared" si="0"/>
        <v>3287877.97</v>
      </c>
      <c r="J12" s="26">
        <v>0.37642599999999998</v>
      </c>
      <c r="K12" s="20"/>
      <c r="L12" s="25">
        <f t="shared" si="1"/>
        <v>1237642.7527352201</v>
      </c>
      <c r="M12" s="20"/>
      <c r="N12" s="25">
        <v>0</v>
      </c>
    </row>
    <row r="13" spans="1:14" ht="15" customHeight="1" x14ac:dyDescent="0.25">
      <c r="B13" s="20">
        <f t="shared" si="2"/>
        <v>2008</v>
      </c>
      <c r="C13" s="20"/>
      <c r="D13" s="23">
        <v>2502456.15</v>
      </c>
      <c r="E13" s="20"/>
      <c r="F13" s="23">
        <v>0</v>
      </c>
      <c r="G13" s="20"/>
      <c r="H13" s="23">
        <f t="shared" si="0"/>
        <v>2502456.15</v>
      </c>
      <c r="J13" s="26">
        <v>4.1325000000000001E-2</v>
      </c>
      <c r="K13" s="20"/>
      <c r="L13" s="25">
        <f t="shared" si="1"/>
        <v>103414.00039874999</v>
      </c>
      <c r="M13" s="20"/>
      <c r="N13" s="25">
        <v>133563</v>
      </c>
    </row>
    <row r="14" spans="1:14" ht="15" customHeight="1" x14ac:dyDescent="0.25">
      <c r="B14" s="20">
        <f t="shared" si="2"/>
        <v>2009</v>
      </c>
      <c r="C14" s="20"/>
      <c r="D14" s="23">
        <v>2736644.64</v>
      </c>
      <c r="E14" s="20"/>
      <c r="F14" s="23">
        <v>0</v>
      </c>
      <c r="G14" s="20"/>
      <c r="H14" s="23">
        <f t="shared" si="0"/>
        <v>2736644.64</v>
      </c>
      <c r="J14" s="26">
        <v>0.230349</v>
      </c>
      <c r="K14" s="20"/>
      <c r="L14" s="25">
        <f t="shared" si="1"/>
        <v>630383.35617936007</v>
      </c>
      <c r="M14" s="20"/>
      <c r="N14" s="25">
        <v>922064</v>
      </c>
    </row>
    <row r="15" spans="1:14" ht="15" customHeight="1" x14ac:dyDescent="0.25">
      <c r="B15" s="20" t="s">
        <v>34</v>
      </c>
      <c r="C15" s="20"/>
      <c r="D15" s="23">
        <v>0</v>
      </c>
      <c r="E15" s="20"/>
      <c r="F15" s="23">
        <v>-7225855</v>
      </c>
      <c r="G15" s="20"/>
      <c r="H15" s="23">
        <f t="shared" si="0"/>
        <v>-7225855</v>
      </c>
      <c r="J15" s="26">
        <v>0.148226</v>
      </c>
      <c r="K15" s="20"/>
      <c r="L15" s="25">
        <f t="shared" si="1"/>
        <v>-1071059.58323</v>
      </c>
      <c r="M15" s="20"/>
      <c r="N15" s="25">
        <v>0</v>
      </c>
    </row>
    <row r="16" spans="1:14" ht="15" customHeight="1" x14ac:dyDescent="0.25">
      <c r="B16" s="20">
        <f>B14+1</f>
        <v>2010</v>
      </c>
      <c r="C16" s="20"/>
      <c r="D16" s="23">
        <v>6299528.5099999998</v>
      </c>
      <c r="E16" s="20"/>
      <c r="F16" s="23">
        <v>0</v>
      </c>
      <c r="G16" s="20"/>
      <c r="H16" s="23">
        <f t="shared" si="0"/>
        <v>6299528.5099999998</v>
      </c>
      <c r="J16" s="26">
        <v>0.14684700000000001</v>
      </c>
      <c r="K16" s="20"/>
      <c r="L16" s="25">
        <f t="shared" si="1"/>
        <v>925066.86310796998</v>
      </c>
      <c r="M16" s="20"/>
      <c r="N16" s="25">
        <v>471804</v>
      </c>
    </row>
    <row r="17" spans="2:14" ht="15" customHeight="1" x14ac:dyDescent="0.25">
      <c r="B17" s="20">
        <f t="shared" si="2"/>
        <v>2011</v>
      </c>
      <c r="C17" s="20"/>
      <c r="D17" s="23">
        <v>11910605.119999999</v>
      </c>
      <c r="E17" s="20"/>
      <c r="F17" s="23">
        <v>796548</v>
      </c>
      <c r="G17" s="20"/>
      <c r="H17" s="23">
        <f t="shared" si="0"/>
        <v>12707153.119999999</v>
      </c>
      <c r="J17" s="26">
        <v>0.34182200000000001</v>
      </c>
      <c r="K17" s="20"/>
      <c r="L17" s="25">
        <f t="shared" si="1"/>
        <v>4343584.49378464</v>
      </c>
      <c r="M17" s="20"/>
      <c r="N17" s="25">
        <v>3417022</v>
      </c>
    </row>
    <row r="18" spans="2:14" ht="15" customHeight="1" x14ac:dyDescent="0.25">
      <c r="B18" s="20" t="s">
        <v>35</v>
      </c>
      <c r="C18" s="20"/>
      <c r="D18" s="23">
        <v>0</v>
      </c>
      <c r="E18" s="20"/>
      <c r="F18" s="23">
        <v>-812408</v>
      </c>
      <c r="G18" s="20"/>
      <c r="H18" s="23">
        <f t="shared" si="0"/>
        <v>-812408</v>
      </c>
      <c r="J18" s="26">
        <v>0.16156499999999999</v>
      </c>
      <c r="K18" s="20"/>
      <c r="L18" s="25">
        <f t="shared" si="1"/>
        <v>-131256.69851999998</v>
      </c>
      <c r="M18" s="20"/>
      <c r="N18" s="25">
        <v>0</v>
      </c>
    </row>
    <row r="19" spans="2:14" ht="15" customHeight="1" x14ac:dyDescent="0.25">
      <c r="B19" s="20">
        <f>B17+1</f>
        <v>2012</v>
      </c>
      <c r="C19" s="20"/>
      <c r="D19" s="23">
        <v>8393109.6400000006</v>
      </c>
      <c r="E19" s="20"/>
      <c r="F19" s="23">
        <v>0</v>
      </c>
      <c r="G19" s="20"/>
      <c r="H19" s="23">
        <f t="shared" si="0"/>
        <v>8393109.6400000006</v>
      </c>
      <c r="J19" s="26">
        <v>0.32148900000000002</v>
      </c>
      <c r="K19" s="20"/>
      <c r="L19" s="25">
        <f t="shared" si="1"/>
        <v>2698292.4250539602</v>
      </c>
      <c r="M19" s="20"/>
      <c r="N19" s="25">
        <v>6137517</v>
      </c>
    </row>
    <row r="20" spans="2:14" ht="15" customHeight="1" x14ac:dyDescent="0.25">
      <c r="B20" s="20">
        <f t="shared" si="2"/>
        <v>2013</v>
      </c>
      <c r="C20" s="20"/>
      <c r="D20" s="23">
        <v>8614555.8499999996</v>
      </c>
      <c r="E20" s="20"/>
      <c r="F20" s="23">
        <v>0</v>
      </c>
      <c r="G20" s="20"/>
      <c r="H20" s="23">
        <f t="shared" si="0"/>
        <v>8614555.8499999996</v>
      </c>
      <c r="J20" s="26">
        <v>0.140291</v>
      </c>
      <c r="K20" s="20"/>
      <c r="L20" s="25">
        <f t="shared" si="1"/>
        <v>1208544.6547523499</v>
      </c>
      <c r="M20" s="20"/>
      <c r="N20" s="25">
        <v>1797925</v>
      </c>
    </row>
    <row r="21" spans="2:14" ht="15" customHeight="1" x14ac:dyDescent="0.25">
      <c r="B21" s="20">
        <f t="shared" si="2"/>
        <v>2014</v>
      </c>
      <c r="C21" s="20"/>
      <c r="D21" s="23">
        <v>10115227.73</v>
      </c>
      <c r="E21" s="20"/>
      <c r="F21" s="23">
        <v>0</v>
      </c>
      <c r="G21" s="20"/>
      <c r="H21" s="23">
        <f t="shared" si="0"/>
        <v>10115227.73</v>
      </c>
      <c r="J21" s="26">
        <v>0.17871500000000001</v>
      </c>
      <c r="K21" s="20"/>
      <c r="L21" s="25">
        <f t="shared" si="1"/>
        <v>1807742.9237669501</v>
      </c>
      <c r="M21" s="20"/>
      <c r="N21" s="25">
        <v>2516205</v>
      </c>
    </row>
    <row r="22" spans="2:14" ht="15" customHeight="1" x14ac:dyDescent="0.25">
      <c r="B22" s="20" t="s">
        <v>36</v>
      </c>
      <c r="C22" s="20"/>
      <c r="D22" s="23">
        <v>0</v>
      </c>
      <c r="E22" s="20"/>
      <c r="F22" s="23">
        <v>1279831</v>
      </c>
      <c r="G22" s="20"/>
      <c r="H22" s="23">
        <f t="shared" si="0"/>
        <v>1279831</v>
      </c>
      <c r="J22" s="26">
        <v>0.140291</v>
      </c>
      <c r="K22" s="20"/>
      <c r="L22" s="25">
        <f t="shared" si="1"/>
        <v>179548.77082100001</v>
      </c>
      <c r="M22" s="20"/>
      <c r="N22" s="25">
        <v>0</v>
      </c>
    </row>
    <row r="23" spans="2:14" ht="15" customHeight="1" x14ac:dyDescent="0.25">
      <c r="B23" s="20">
        <f>B21+1</f>
        <v>2015</v>
      </c>
      <c r="C23" s="20"/>
      <c r="D23" s="23">
        <v>12253883.380000001</v>
      </c>
      <c r="E23" s="20"/>
      <c r="F23" s="23">
        <v>0</v>
      </c>
      <c r="G23" s="20"/>
      <c r="H23" s="23">
        <f t="shared" si="0"/>
        <v>12253883.380000001</v>
      </c>
      <c r="J23" s="26">
        <v>0.17871500000000001</v>
      </c>
      <c r="K23" s="20"/>
      <c r="L23" s="25">
        <f t="shared" si="1"/>
        <v>2189952.7682567001</v>
      </c>
      <c r="M23" s="20"/>
      <c r="N23" s="25">
        <v>2810591</v>
      </c>
    </row>
    <row r="24" spans="2:14" ht="15" customHeight="1" x14ac:dyDescent="0.25">
      <c r="B24" s="20">
        <f t="shared" si="2"/>
        <v>2016</v>
      </c>
      <c r="C24" s="20"/>
      <c r="D24" s="23">
        <v>18899001.203032762</v>
      </c>
      <c r="E24" s="20"/>
      <c r="F24" s="23">
        <v>0</v>
      </c>
      <c r="G24" s="20"/>
      <c r="H24" s="23">
        <f t="shared" si="0"/>
        <v>18899001.203032762</v>
      </c>
      <c r="J24" s="26">
        <v>0.17871500000000001</v>
      </c>
      <c r="K24" s="20"/>
      <c r="L24" s="25">
        <f t="shared" si="1"/>
        <v>3377535.0000000005</v>
      </c>
      <c r="M24" s="20"/>
      <c r="N24" s="25">
        <v>2409752</v>
      </c>
    </row>
    <row r="25" spans="2:14" ht="15" customHeight="1" x14ac:dyDescent="0.25">
      <c r="B25" s="20">
        <f t="shared" si="2"/>
        <v>2017</v>
      </c>
      <c r="C25" s="20"/>
      <c r="D25" s="23">
        <v>21044563.199999999</v>
      </c>
      <c r="E25" s="20"/>
      <c r="F25" s="23">
        <v>0</v>
      </c>
      <c r="G25" s="20"/>
      <c r="H25" s="23">
        <f t="shared" si="0"/>
        <v>21044563.199999999</v>
      </c>
      <c r="J25" s="26">
        <v>0.17319999999999999</v>
      </c>
      <c r="K25" s="20"/>
      <c r="L25" s="25">
        <f t="shared" si="1"/>
        <v>3644918.3462399999</v>
      </c>
      <c r="M25" s="20"/>
      <c r="N25" s="25">
        <v>2307420</v>
      </c>
    </row>
    <row r="26" spans="2:14" ht="15" customHeight="1" x14ac:dyDescent="0.25">
      <c r="B26" s="20">
        <f t="shared" si="2"/>
        <v>2018</v>
      </c>
      <c r="C26" s="20"/>
      <c r="D26" s="23">
        <v>22317172</v>
      </c>
      <c r="E26" s="20"/>
      <c r="F26" s="23">
        <v>-3335448.6000000006</v>
      </c>
      <c r="G26" s="20"/>
      <c r="H26" s="23">
        <f t="shared" si="0"/>
        <v>18981723.399999999</v>
      </c>
      <c r="J26" s="26">
        <v>0.182946</v>
      </c>
      <c r="K26" s="20"/>
      <c r="L26" s="25">
        <f t="shared" si="1"/>
        <v>3472630.3691363996</v>
      </c>
      <c r="M26" s="20"/>
      <c r="N26" s="25">
        <v>1565397</v>
      </c>
    </row>
    <row r="27" spans="2:14" ht="15" customHeight="1" x14ac:dyDescent="0.25">
      <c r="B27" s="20">
        <f t="shared" si="2"/>
        <v>2019</v>
      </c>
      <c r="C27" s="20"/>
      <c r="D27" s="23">
        <v>25023799</v>
      </c>
      <c r="E27" s="20"/>
      <c r="F27" s="23">
        <v>0</v>
      </c>
      <c r="G27" s="20"/>
      <c r="H27" s="23">
        <f>SUM(D27:G27)</f>
        <v>25023799</v>
      </c>
      <c r="J27" s="26">
        <v>0.18101737719317576</v>
      </c>
      <c r="K27" s="20"/>
      <c r="L27" s="25">
        <f t="shared" si="1"/>
        <v>4529742.462389214</v>
      </c>
      <c r="M27" s="20"/>
      <c r="N27" s="25">
        <v>3549260.7527181148</v>
      </c>
    </row>
    <row r="28" spans="2:14" ht="15" customHeight="1" x14ac:dyDescent="0.25">
      <c r="B28" s="20">
        <f t="shared" si="2"/>
        <v>2020</v>
      </c>
      <c r="C28" s="20"/>
      <c r="D28" s="23">
        <v>28149528.159999996</v>
      </c>
      <c r="E28" s="20"/>
      <c r="F28" s="23">
        <v>0</v>
      </c>
      <c r="G28" s="20"/>
      <c r="H28" s="23">
        <f>SUM(D28:G28)</f>
        <v>28149528.159999996</v>
      </c>
      <c r="J28" s="26">
        <v>0.18463185447367098</v>
      </c>
      <c r="K28" s="20"/>
      <c r="L28" s="25">
        <f t="shared" si="1"/>
        <v>5197299.5867396221</v>
      </c>
      <c r="M28" s="20"/>
      <c r="N28" s="25">
        <v>3429817.5218990929</v>
      </c>
    </row>
    <row r="29" spans="2:14" ht="15" customHeight="1" x14ac:dyDescent="0.25">
      <c r="B29" s="20">
        <f t="shared" si="2"/>
        <v>2021</v>
      </c>
      <c r="C29" s="20"/>
      <c r="D29" s="23">
        <v>40191413.620000005</v>
      </c>
      <c r="E29" s="20"/>
      <c r="F29" s="23">
        <v>0</v>
      </c>
      <c r="G29" s="20"/>
      <c r="H29" s="23">
        <f>SUM(D29:G29)</f>
        <v>40191413.620000005</v>
      </c>
      <c r="J29" s="26">
        <v>0.18019919310362698</v>
      </c>
      <c r="K29" s="20"/>
      <c r="L29" s="25">
        <f t="shared" si="1"/>
        <v>7242460.304018124</v>
      </c>
      <c r="M29" s="20"/>
      <c r="N29" s="25">
        <v>3109068.8342862213</v>
      </c>
    </row>
    <row r="30" spans="2:14" ht="15" customHeight="1" x14ac:dyDescent="0.25">
      <c r="B30" s="20">
        <f t="shared" si="2"/>
        <v>2022</v>
      </c>
      <c r="C30" s="20"/>
      <c r="D30" s="23">
        <v>47625374.779999986</v>
      </c>
      <c r="E30" s="20"/>
      <c r="F30" s="23"/>
      <c r="G30" s="20"/>
      <c r="H30" s="23">
        <f>SUM(D30:G30)</f>
        <v>47625374.779999986</v>
      </c>
      <c r="J30" s="26">
        <v>0.17754725405156993</v>
      </c>
      <c r="K30" s="20"/>
      <c r="L30" s="25">
        <f t="shared" si="1"/>
        <v>8455754.5153658893</v>
      </c>
      <c r="M30" s="20"/>
      <c r="N30" s="25">
        <v>2699209.9627247062</v>
      </c>
    </row>
    <row r="31" spans="2:14" ht="5.15" customHeight="1" x14ac:dyDescent="0.25">
      <c r="B31" s="20"/>
      <c r="C31" s="20"/>
      <c r="E31" s="20"/>
      <c r="G31" s="20"/>
      <c r="K31" s="20"/>
      <c r="M31" s="20"/>
    </row>
    <row r="32" spans="2:14" ht="15" customHeight="1" x14ac:dyDescent="0.25">
      <c r="B32" s="20" t="s">
        <v>37</v>
      </c>
      <c r="C32" s="20"/>
      <c r="D32" s="27">
        <f>SUM(D8:D31)</f>
        <v>275692105.69303274</v>
      </c>
      <c r="E32" s="28"/>
      <c r="F32" s="27">
        <f>SUM(F8:F31)</f>
        <v>-11507804.600000001</v>
      </c>
      <c r="G32" s="28"/>
      <c r="H32" s="27">
        <f>SUM(H8:H31)</f>
        <v>264184301.09303278</v>
      </c>
      <c r="I32" s="22"/>
      <c r="J32" s="22"/>
      <c r="K32" s="28"/>
      <c r="L32" s="27">
        <f>SUM(L8:L31)</f>
        <v>51243878.160463229</v>
      </c>
      <c r="M32" s="28"/>
      <c r="N32" s="27">
        <f>SUM(N8:N31)</f>
        <v>38605978.071628138</v>
      </c>
    </row>
    <row r="33" spans="1:14" x14ac:dyDescent="0.25">
      <c r="B33" s="20"/>
      <c r="C33" s="20"/>
      <c r="E33" s="20"/>
      <c r="G33" s="20"/>
      <c r="K33" s="20"/>
      <c r="M33" s="20"/>
      <c r="N33" s="29"/>
    </row>
    <row r="34" spans="1:14" x14ac:dyDescent="0.25">
      <c r="B34" s="20"/>
      <c r="C34" s="20"/>
      <c r="D34" s="30"/>
      <c r="E34" s="20"/>
      <c r="G34" s="20"/>
      <c r="H34" s="30"/>
      <c r="K34" s="20"/>
      <c r="L34" s="25"/>
      <c r="M34" s="20"/>
    </row>
    <row r="35" spans="1:14" ht="13" thickBot="1" x14ac:dyDescent="0.3">
      <c r="B35" s="31" t="s">
        <v>38</v>
      </c>
      <c r="C35" s="31"/>
      <c r="D35" s="31"/>
      <c r="E35" s="31"/>
      <c r="F35" s="31"/>
      <c r="G35" s="31"/>
      <c r="H35" s="31"/>
      <c r="L35" s="32"/>
    </row>
    <row r="36" spans="1:14" ht="4.5" customHeight="1" x14ac:dyDescent="0.25"/>
    <row r="37" spans="1:14" ht="15" x14ac:dyDescent="0.3">
      <c r="A37" s="33"/>
      <c r="B37" s="17" t="s">
        <v>39</v>
      </c>
    </row>
    <row r="38" spans="1:14" ht="5.15" customHeight="1" x14ac:dyDescent="0.25"/>
    <row r="39" spans="1:14" ht="14.5" x14ac:dyDescent="0.25">
      <c r="B39" s="17" t="s">
        <v>40</v>
      </c>
      <c r="L39" s="32"/>
      <c r="N39" s="32"/>
    </row>
    <row r="40" spans="1:14" ht="5.15" customHeight="1" x14ac:dyDescent="0.25"/>
    <row r="41" spans="1:14" ht="14.5" x14ac:dyDescent="0.25">
      <c r="B41" s="17" t="s">
        <v>41</v>
      </c>
    </row>
    <row r="42" spans="1:14" ht="5.15" customHeight="1" x14ac:dyDescent="0.25"/>
    <row r="43" spans="1:14" ht="14.5" x14ac:dyDescent="0.25">
      <c r="B43" s="17" t="s">
        <v>42</v>
      </c>
    </row>
    <row r="44" spans="1:14" ht="5.15" customHeight="1" x14ac:dyDescent="0.25"/>
    <row r="45" spans="1:14" ht="14.5" x14ac:dyDescent="0.25">
      <c r="B45" s="17" t="s">
        <v>43</v>
      </c>
    </row>
    <row r="46" spans="1:14" ht="5.15" customHeight="1" x14ac:dyDescent="0.25"/>
    <row r="47" spans="1:14" ht="14.5" x14ac:dyDescent="0.25">
      <c r="B47" s="17" t="s">
        <v>44</v>
      </c>
    </row>
  </sheetData>
  <pageMargins left="0.7" right="0.7" top="0.75" bottom="0.75" header="0.3" footer="0.3"/>
  <pageSetup scale="71" orientation="portrait" r:id="rId1"/>
  <headerFooter>
    <oddFooter>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08DB-D3F2-40E0-BA31-3A402B5CEA59}">
  <dimension ref="A1:J658"/>
  <sheetViews>
    <sheetView zoomScaleNormal="100" workbookViewId="0">
      <selection activeCell="N20" sqref="N20"/>
    </sheetView>
  </sheetViews>
  <sheetFormatPr defaultColWidth="9.1796875" defaultRowHeight="12.5" x14ac:dyDescent="0.25"/>
  <cols>
    <col min="1" max="1" width="5.7265625" style="17" customWidth="1"/>
    <col min="2" max="2" width="9.1796875" style="17"/>
    <col min="3" max="3" width="2.7265625" style="17" customWidth="1"/>
    <col min="4" max="4" width="14.453125" style="17" customWidth="1"/>
    <col min="5" max="5" width="2.7265625" style="17" customWidth="1"/>
    <col min="6" max="6" width="9.81640625" style="17" bestFit="1" customWidth="1"/>
    <col min="7" max="7" width="2.7265625" style="17" customWidth="1"/>
    <col min="8" max="8" width="12" style="17" bestFit="1" customWidth="1"/>
    <col min="9" max="9" width="2.7265625" style="17" customWidth="1"/>
    <col min="10" max="10" width="12.453125" style="17" bestFit="1" customWidth="1"/>
    <col min="11" max="11" width="5.7265625" style="17" customWidth="1"/>
    <col min="12" max="16384" width="9.1796875" style="17"/>
  </cols>
  <sheetData>
    <row r="1" spans="1:10" ht="13" x14ac:dyDescent="0.3">
      <c r="A1" s="16" t="s">
        <v>0</v>
      </c>
    </row>
    <row r="2" spans="1:10" ht="13" x14ac:dyDescent="0.3">
      <c r="A2" s="16" t="s">
        <v>1</v>
      </c>
    </row>
    <row r="3" spans="1:10" ht="13" x14ac:dyDescent="0.3">
      <c r="A3" s="16" t="str">
        <f>'1. AFUDC Equity Depreciation'!A3</f>
        <v>For the Year Ended: December 31, 2022</v>
      </c>
    </row>
    <row r="5" spans="1:10" ht="13" thickBot="1" x14ac:dyDescent="0.3"/>
    <row r="6" spans="1:10" ht="13" thickBot="1" x14ac:dyDescent="0.3">
      <c r="B6" s="40" t="s">
        <v>68</v>
      </c>
      <c r="C6" s="41"/>
      <c r="D6" s="41"/>
      <c r="E6" s="41"/>
      <c r="F6" s="41"/>
      <c r="G6" s="41"/>
      <c r="H6" s="41"/>
      <c r="I6" s="41"/>
      <c r="J6" s="42"/>
    </row>
    <row r="7" spans="1:10" ht="37.5" x14ac:dyDescent="0.25">
      <c r="B7" s="34" t="s">
        <v>46</v>
      </c>
      <c r="C7" s="35"/>
      <c r="D7" s="34" t="s">
        <v>47</v>
      </c>
      <c r="E7" s="35"/>
      <c r="F7" s="34" t="s">
        <v>48</v>
      </c>
      <c r="G7" s="35"/>
      <c r="H7" s="36" t="s">
        <v>49</v>
      </c>
      <c r="I7" s="35"/>
      <c r="J7" s="36" t="s">
        <v>50</v>
      </c>
    </row>
    <row r="9" spans="1:10" x14ac:dyDescent="0.25">
      <c r="B9" s="37">
        <v>350.2</v>
      </c>
      <c r="D9" s="25">
        <v>15971</v>
      </c>
      <c r="F9" s="24">
        <v>1.55E-2</v>
      </c>
      <c r="H9" s="24">
        <f>(D9/D19)</f>
        <v>8.7441417371118216E-3</v>
      </c>
      <c r="J9" s="24">
        <f>F9*H9</f>
        <v>1.3553419692523323E-4</v>
      </c>
    </row>
    <row r="10" spans="1:10" x14ac:dyDescent="0.25">
      <c r="B10" s="37">
        <v>352</v>
      </c>
      <c r="D10" s="25">
        <v>119492</v>
      </c>
      <c r="F10" s="24">
        <v>1.3599999999999999E-2</v>
      </c>
      <c r="H10" s="24">
        <f>(D10/D19)</f>
        <v>6.5422013928430639E-2</v>
      </c>
      <c r="J10" s="24">
        <f t="shared" ref="J10:J17" si="0">F10*H10</f>
        <v>8.8973938942665668E-4</v>
      </c>
    </row>
    <row r="11" spans="1:10" x14ac:dyDescent="0.25">
      <c r="B11" s="37">
        <v>353</v>
      </c>
      <c r="D11" s="25">
        <v>995703</v>
      </c>
      <c r="F11" s="24">
        <v>1.84E-2</v>
      </c>
      <c r="H11" s="24">
        <f>(D11/D19)</f>
        <v>0.54514859182690201</v>
      </c>
      <c r="J11" s="24">
        <f t="shared" si="0"/>
        <v>1.0030734089614997E-2</v>
      </c>
    </row>
    <row r="12" spans="1:10" x14ac:dyDescent="0.25">
      <c r="B12" s="37">
        <v>354</v>
      </c>
      <c r="D12" s="25">
        <v>117692</v>
      </c>
      <c r="F12" s="24">
        <v>2.2200000000000001E-2</v>
      </c>
      <c r="H12" s="24">
        <f>(D12/D19)</f>
        <v>6.4436511760325874E-2</v>
      </c>
      <c r="J12" s="24">
        <f t="shared" si="0"/>
        <v>1.4304905610792345E-3</v>
      </c>
    </row>
    <row r="13" spans="1:10" x14ac:dyDescent="0.25">
      <c r="B13" s="37">
        <v>355</v>
      </c>
      <c r="D13" s="25">
        <v>13044</v>
      </c>
      <c r="F13" s="24">
        <v>2.4199999999999999E-2</v>
      </c>
      <c r="H13" s="24">
        <f>(D13/D19)</f>
        <v>7.1416057115325652E-3</v>
      </c>
      <c r="J13" s="24">
        <f t="shared" si="0"/>
        <v>1.7282685821908808E-4</v>
      </c>
    </row>
    <row r="14" spans="1:10" x14ac:dyDescent="0.25">
      <c r="B14" s="37">
        <v>356</v>
      </c>
      <c r="D14" s="25">
        <v>145786</v>
      </c>
      <c r="F14" s="24">
        <v>2.7300000000000001E-2</v>
      </c>
      <c r="H14" s="24">
        <f>(D14/D19)</f>
        <v>7.9818010599623318E-2</v>
      </c>
      <c r="J14" s="24">
        <f t="shared" si="0"/>
        <v>2.1790316893697168E-3</v>
      </c>
    </row>
    <row r="15" spans="1:10" x14ac:dyDescent="0.25">
      <c r="B15" s="37">
        <v>357</v>
      </c>
      <c r="D15" s="25">
        <v>135552</v>
      </c>
      <c r="F15" s="24">
        <v>1.4800000000000001E-2</v>
      </c>
      <c r="H15" s="24">
        <f>(D15/D19)</f>
        <v>7.4214883272743198E-2</v>
      </c>
      <c r="J15" s="24">
        <f t="shared" si="0"/>
        <v>1.0983802724365995E-3</v>
      </c>
    </row>
    <row r="16" spans="1:10" x14ac:dyDescent="0.25">
      <c r="B16" s="37">
        <v>358</v>
      </c>
      <c r="D16" s="25">
        <v>272564</v>
      </c>
      <c r="F16" s="24">
        <v>2.0799999999999999E-2</v>
      </c>
      <c r="H16" s="24">
        <f>(D16/D19)</f>
        <v>0.14922911830406027</v>
      </c>
      <c r="J16" s="24">
        <f t="shared" si="0"/>
        <v>3.1039656607244536E-3</v>
      </c>
    </row>
    <row r="17" spans="2:10" x14ac:dyDescent="0.25">
      <c r="B17" s="37">
        <v>359</v>
      </c>
      <c r="D17" s="25">
        <v>10676</v>
      </c>
      <c r="F17" s="24">
        <v>1.01E-2</v>
      </c>
      <c r="H17" s="24">
        <f>(D17/D19)</f>
        <v>5.8451228592702907E-3</v>
      </c>
      <c r="J17" s="24">
        <f t="shared" si="0"/>
        <v>5.9035740878629937E-5</v>
      </c>
    </row>
    <row r="18" spans="2:10" x14ac:dyDescent="0.25">
      <c r="D18" s="38"/>
      <c r="H18" s="39"/>
      <c r="J18" s="38"/>
    </row>
    <row r="19" spans="2:10" x14ac:dyDescent="0.25">
      <c r="B19" s="17" t="s">
        <v>25</v>
      </c>
      <c r="D19" s="25">
        <f>SUM(D8:D18)</f>
        <v>1826480</v>
      </c>
      <c r="H19" s="24">
        <f>SUM(H8:H18)</f>
        <v>1</v>
      </c>
      <c r="J19" s="24">
        <f>SUM(J8:J18)</f>
        <v>1.909973845867461E-2</v>
      </c>
    </row>
    <row r="20" spans="2:10" ht="13" thickBot="1" x14ac:dyDescent="0.3"/>
    <row r="21" spans="2:10" ht="13" thickBot="1" x14ac:dyDescent="0.3">
      <c r="B21" s="40" t="s">
        <v>45</v>
      </c>
      <c r="C21" s="41"/>
      <c r="D21" s="41"/>
      <c r="E21" s="41"/>
      <c r="F21" s="41"/>
      <c r="G21" s="41"/>
      <c r="H21" s="41"/>
      <c r="I21" s="41"/>
      <c r="J21" s="42"/>
    </row>
    <row r="22" spans="2:10" ht="39.75" customHeight="1" x14ac:dyDescent="0.25">
      <c r="B22" s="34" t="s">
        <v>46</v>
      </c>
      <c r="C22" s="35"/>
      <c r="D22" s="34" t="s">
        <v>47</v>
      </c>
      <c r="E22" s="35"/>
      <c r="F22" s="34" t="s">
        <v>48</v>
      </c>
      <c r="G22" s="35"/>
      <c r="H22" s="36" t="s">
        <v>49</v>
      </c>
      <c r="I22" s="35"/>
      <c r="J22" s="36" t="s">
        <v>50</v>
      </c>
    </row>
    <row r="23" spans="2:10" ht="5.15" customHeight="1" x14ac:dyDescent="0.25"/>
    <row r="24" spans="2:10" x14ac:dyDescent="0.25">
      <c r="B24" s="37">
        <v>350.2</v>
      </c>
      <c r="D24" s="25">
        <v>15971</v>
      </c>
      <c r="F24" s="24">
        <v>1.55E-2</v>
      </c>
      <c r="H24" s="24">
        <f>(D24/D34)</f>
        <v>8.9298544306805443E-3</v>
      </c>
      <c r="J24" s="24">
        <f>F24*H24</f>
        <v>1.3841274367554845E-4</v>
      </c>
    </row>
    <row r="25" spans="2:10" x14ac:dyDescent="0.25">
      <c r="B25" s="37">
        <v>352</v>
      </c>
      <c r="D25" s="25">
        <v>106754</v>
      </c>
      <c r="F25" s="24">
        <v>1.3599999999999999E-2</v>
      </c>
      <c r="H25" s="24">
        <f>(D25/D34)</f>
        <v>5.9689291834754916E-2</v>
      </c>
      <c r="J25" s="24">
        <f t="shared" ref="J25:J32" si="1">F25*H25</f>
        <v>8.1177436895266684E-4</v>
      </c>
    </row>
    <row r="26" spans="2:10" x14ac:dyDescent="0.25">
      <c r="B26" s="37">
        <v>353</v>
      </c>
      <c r="D26" s="25">
        <v>977602</v>
      </c>
      <c r="F26" s="24">
        <v>1.9699999999999999E-2</v>
      </c>
      <c r="H26" s="24">
        <f>(D26/D34)</f>
        <v>0.54660594522210015</v>
      </c>
      <c r="J26" s="24">
        <f t="shared" si="1"/>
        <v>1.0768137120875373E-2</v>
      </c>
    </row>
    <row r="27" spans="2:10" x14ac:dyDescent="0.25">
      <c r="B27" s="37">
        <v>354</v>
      </c>
      <c r="D27" s="25">
        <v>117692</v>
      </c>
      <c r="F27" s="24">
        <v>2.7400000000000001E-2</v>
      </c>
      <c r="H27" s="24">
        <f>(D27/D34)</f>
        <v>6.5805048378664743E-2</v>
      </c>
      <c r="J27" s="24">
        <f t="shared" si="1"/>
        <v>1.803058325575414E-3</v>
      </c>
    </row>
    <row r="28" spans="2:10" x14ac:dyDescent="0.25">
      <c r="B28" s="37">
        <v>355</v>
      </c>
      <c r="D28" s="25">
        <v>12920</v>
      </c>
      <c r="F28" s="24">
        <v>3.2099999999999997E-2</v>
      </c>
      <c r="H28" s="24">
        <f>(D28/D34)</f>
        <v>7.2239508637150229E-3</v>
      </c>
      <c r="J28" s="24">
        <f t="shared" si="1"/>
        <v>2.3188882272525221E-4</v>
      </c>
    </row>
    <row r="29" spans="2:10" x14ac:dyDescent="0.25">
      <c r="B29" s="37">
        <v>356</v>
      </c>
      <c r="D29" s="25">
        <v>142356</v>
      </c>
      <c r="F29" s="24">
        <v>3.1300000000000001E-2</v>
      </c>
      <c r="H29" s="24">
        <f>(D29/D34)</f>
        <v>7.9595414021286059E-2</v>
      </c>
      <c r="J29" s="24">
        <f t="shared" si="1"/>
        <v>2.4913364588662538E-3</v>
      </c>
    </row>
    <row r="30" spans="2:10" x14ac:dyDescent="0.25">
      <c r="B30" s="37">
        <v>357</v>
      </c>
      <c r="D30" s="25">
        <v>135916</v>
      </c>
      <c r="F30" s="24">
        <v>1.5299999999999999E-2</v>
      </c>
      <c r="H30" s="24">
        <f>(D30/D34)</f>
        <v>7.5994621175904886E-2</v>
      </c>
      <c r="J30" s="24">
        <f t="shared" si="1"/>
        <v>1.1627177039913448E-3</v>
      </c>
    </row>
    <row r="31" spans="2:10" x14ac:dyDescent="0.25">
      <c r="B31" s="37">
        <v>358</v>
      </c>
      <c r="D31" s="25">
        <v>268608</v>
      </c>
      <c r="F31" s="24">
        <v>2.46E-2</v>
      </c>
      <c r="H31" s="24">
        <f>(D31/D34)</f>
        <v>0.15018660941182391</v>
      </c>
      <c r="J31" s="24">
        <f t="shared" si="1"/>
        <v>3.6945905915308683E-3</v>
      </c>
    </row>
    <row r="32" spans="2:10" x14ac:dyDescent="0.25">
      <c r="B32" s="37">
        <v>359</v>
      </c>
      <c r="D32" s="25">
        <v>10676</v>
      </c>
      <c r="F32" s="24">
        <v>1.14E-2</v>
      </c>
      <c r="H32" s="24">
        <f>(D32/D34)</f>
        <v>5.9692646610697824E-3</v>
      </c>
      <c r="J32" s="24">
        <f t="shared" si="1"/>
        <v>6.8049617136195525E-5</v>
      </c>
    </row>
    <row r="33" spans="2:10" ht="5.15" customHeight="1" x14ac:dyDescent="0.25">
      <c r="D33" s="38"/>
      <c r="H33" s="39"/>
      <c r="J33" s="38"/>
    </row>
    <row r="34" spans="2:10" x14ac:dyDescent="0.25">
      <c r="B34" s="17" t="s">
        <v>25</v>
      </c>
      <c r="D34" s="25">
        <f>SUM(D23:D33)</f>
        <v>1788495</v>
      </c>
      <c r="H34" s="24">
        <f>SUM(H23:H33)</f>
        <v>0.99999999999999978</v>
      </c>
      <c r="J34" s="24">
        <f>SUM(J23:J33)</f>
        <v>2.1169965753328916E-2</v>
      </c>
    </row>
    <row r="35" spans="2:10" ht="13" thickBot="1" x14ac:dyDescent="0.3"/>
    <row r="36" spans="2:10" ht="13" thickBot="1" x14ac:dyDescent="0.3">
      <c r="B36" s="40" t="s">
        <v>51</v>
      </c>
      <c r="C36" s="41"/>
      <c r="D36" s="41"/>
      <c r="E36" s="41"/>
      <c r="F36" s="41"/>
      <c r="G36" s="41"/>
      <c r="H36" s="41"/>
      <c r="I36" s="41"/>
      <c r="J36" s="42"/>
    </row>
    <row r="37" spans="2:10" ht="39.75" customHeight="1" x14ac:dyDescent="0.25">
      <c r="B37" s="34" t="s">
        <v>46</v>
      </c>
      <c r="C37" s="35"/>
      <c r="D37" s="34" t="s">
        <v>47</v>
      </c>
      <c r="E37" s="35"/>
      <c r="F37" s="34" t="s">
        <v>48</v>
      </c>
      <c r="G37" s="35"/>
      <c r="H37" s="36" t="s">
        <v>49</v>
      </c>
      <c r="I37" s="35"/>
      <c r="J37" s="36" t="s">
        <v>50</v>
      </c>
    </row>
    <row r="38" spans="2:10" ht="5.15" customHeight="1" x14ac:dyDescent="0.25"/>
    <row r="39" spans="2:10" x14ac:dyDescent="0.25">
      <c r="B39" s="37">
        <v>350.2</v>
      </c>
      <c r="D39" s="25">
        <f>1471</f>
        <v>1471</v>
      </c>
      <c r="F39" s="24">
        <v>1.2500000000000001E-2</v>
      </c>
      <c r="H39" s="24">
        <f>(D39/D73)</f>
        <v>8.4622615350807046E-4</v>
      </c>
      <c r="J39" s="24">
        <f>F39*H39</f>
        <v>1.0577826918850882E-5</v>
      </c>
    </row>
    <row r="40" spans="2:10" x14ac:dyDescent="0.25">
      <c r="B40" s="37">
        <v>352</v>
      </c>
      <c r="D40" s="25">
        <v>102789</v>
      </c>
      <c r="F40" s="24">
        <v>2.9499999999999998E-2</v>
      </c>
      <c r="H40" s="24">
        <f>(D40/D73)</f>
        <v>5.9131706385412007E-2</v>
      </c>
      <c r="J40" s="24">
        <f t="shared" ref="J40:J71" si="2">F40*H40</f>
        <v>1.7443853383696541E-3</v>
      </c>
    </row>
    <row r="41" spans="2:10" x14ac:dyDescent="0.25">
      <c r="B41" s="37">
        <v>352.1</v>
      </c>
      <c r="D41" s="25">
        <f>95</f>
        <v>95</v>
      </c>
      <c r="F41" s="24">
        <v>2.4400000000000002E-2</v>
      </c>
      <c r="H41" s="24">
        <f>(D41/D73)</f>
        <v>5.4650907262587832E-5</v>
      </c>
      <c r="J41" s="24">
        <f t="shared" si="2"/>
        <v>1.3334821372071431E-6</v>
      </c>
    </row>
    <row r="42" spans="2:10" x14ac:dyDescent="0.25">
      <c r="B42" s="37">
        <v>352.2</v>
      </c>
      <c r="D42" s="25">
        <f>113</f>
        <v>113</v>
      </c>
      <c r="F42" s="24">
        <v>3.27E-2</v>
      </c>
      <c r="H42" s="24">
        <f>(D42/D73)</f>
        <v>6.5005816007078157E-5</v>
      </c>
      <c r="J42" s="24">
        <f t="shared" si="2"/>
        <v>2.1256901834314556E-6</v>
      </c>
    </row>
    <row r="43" spans="2:10" x14ac:dyDescent="0.25">
      <c r="B43" s="37">
        <v>352.3</v>
      </c>
      <c r="D43" s="25">
        <f>67</f>
        <v>67</v>
      </c>
      <c r="F43" s="24">
        <v>3.0099999999999998E-2</v>
      </c>
      <c r="H43" s="24">
        <f>(D43/D73)</f>
        <v>3.8543271437825098E-5</v>
      </c>
      <c r="J43" s="24">
        <f t="shared" si="2"/>
        <v>1.1601524702785354E-6</v>
      </c>
    </row>
    <row r="44" spans="2:10" x14ac:dyDescent="0.25">
      <c r="B44" s="37">
        <v>353</v>
      </c>
      <c r="D44" s="25">
        <v>932584</v>
      </c>
      <c r="F44" s="24">
        <v>2.6700000000000002E-2</v>
      </c>
      <c r="H44" s="24">
        <f>(D44/D73)</f>
        <v>0.53649012314287592</v>
      </c>
      <c r="J44" s="24">
        <f t="shared" si="2"/>
        <v>1.4324286287914788E-2</v>
      </c>
    </row>
    <row r="45" spans="2:10" x14ac:dyDescent="0.25">
      <c r="B45" s="37">
        <v>353.1</v>
      </c>
      <c r="D45" s="25">
        <v>5535</v>
      </c>
      <c r="F45" s="24">
        <v>1.95E-2</v>
      </c>
      <c r="H45" s="24">
        <f>(D45/D73)</f>
        <v>3.1841344389307753E-3</v>
      </c>
      <c r="J45" s="24">
        <f t="shared" si="2"/>
        <v>6.209062155915012E-5</v>
      </c>
    </row>
    <row r="46" spans="2:10" x14ac:dyDescent="0.25">
      <c r="B46" s="37">
        <v>353.2</v>
      </c>
      <c r="D46" s="25">
        <v>7402</v>
      </c>
      <c r="F46" s="24">
        <v>3.0700000000000002E-2</v>
      </c>
      <c r="H46" s="24">
        <f>(D46/D73)</f>
        <v>4.2581685848176332E-3</v>
      </c>
      <c r="J46" s="24">
        <f t="shared" si="2"/>
        <v>1.3072577555390134E-4</v>
      </c>
    </row>
    <row r="47" spans="2:10" x14ac:dyDescent="0.25">
      <c r="B47" s="37">
        <v>353.3</v>
      </c>
      <c r="D47" s="25">
        <v>1252</v>
      </c>
      <c r="F47" s="24">
        <v>3.0099999999999998E-2</v>
      </c>
      <c r="H47" s="24">
        <f>(D47/D73)</f>
        <v>7.2024143045010486E-4</v>
      </c>
      <c r="J47" s="24">
        <f t="shared" si="2"/>
        <v>2.1679267056548154E-5</v>
      </c>
    </row>
    <row r="48" spans="2:10" x14ac:dyDescent="0.25">
      <c r="B48" s="37">
        <v>354</v>
      </c>
      <c r="D48" s="25">
        <f>110271</f>
        <v>110271</v>
      </c>
      <c r="F48" s="24">
        <v>1.9699999999999999E-2</v>
      </c>
      <c r="H48" s="24">
        <f>(D48/D73)</f>
        <v>6.3435896786871823E-2</v>
      </c>
      <c r="J48" s="24">
        <f t="shared" si="2"/>
        <v>1.2496871667013749E-3</v>
      </c>
    </row>
    <row r="49" spans="2:10" x14ac:dyDescent="0.25">
      <c r="B49" s="37">
        <v>354.1</v>
      </c>
      <c r="D49" s="25">
        <f>2664</f>
        <v>2664</v>
      </c>
      <c r="F49" s="24">
        <v>1.6899999999999998E-2</v>
      </c>
      <c r="H49" s="24">
        <f>(D49/D73)</f>
        <v>1.5325264941845683E-3</v>
      </c>
      <c r="J49" s="24">
        <f t="shared" si="2"/>
        <v>2.58996977517192E-5</v>
      </c>
    </row>
    <row r="50" spans="2:10" x14ac:dyDescent="0.25">
      <c r="B50" s="37">
        <v>353.2</v>
      </c>
      <c r="D50" s="25">
        <f>3757</f>
        <v>3757</v>
      </c>
      <c r="F50" s="24">
        <v>1.9099999999999999E-2</v>
      </c>
      <c r="H50" s="24">
        <f>(D50/D73)</f>
        <v>2.1612995640583419E-3</v>
      </c>
      <c r="J50" s="24">
        <f t="shared" si="2"/>
        <v>4.1280821673514328E-5</v>
      </c>
    </row>
    <row r="51" spans="2:10" x14ac:dyDescent="0.25">
      <c r="B51" s="37">
        <v>354.3</v>
      </c>
      <c r="D51" s="25">
        <f>1000</f>
        <v>1000</v>
      </c>
      <c r="F51" s="24">
        <v>3.0099999999999998E-2</v>
      </c>
      <c r="H51" s="24">
        <f>(D51/D73)</f>
        <v>5.7527270802724029E-4</v>
      </c>
      <c r="J51" s="24">
        <f t="shared" si="2"/>
        <v>1.7315708511619931E-5</v>
      </c>
    </row>
    <row r="52" spans="2:10" x14ac:dyDescent="0.25">
      <c r="B52" s="37">
        <v>355</v>
      </c>
      <c r="D52" s="25">
        <v>12833</v>
      </c>
      <c r="F52" s="24">
        <v>2.8199999999999999E-2</v>
      </c>
      <c r="H52" s="24">
        <f>(D52/D73)</f>
        <v>7.3824746621135749E-3</v>
      </c>
      <c r="J52" s="24">
        <f t="shared" si="2"/>
        <v>2.081857854716028E-4</v>
      </c>
    </row>
    <row r="53" spans="2:10" x14ac:dyDescent="0.25">
      <c r="B53" s="37">
        <v>355.1</v>
      </c>
      <c r="D53" s="25">
        <f>34</f>
        <v>34</v>
      </c>
      <c r="F53" s="24">
        <v>2.63E-2</v>
      </c>
      <c r="H53" s="24">
        <f>(D53/D73)</f>
        <v>1.955927207292617E-5</v>
      </c>
      <c r="J53" s="24">
        <f t="shared" si="2"/>
        <v>5.1440885551795825E-7</v>
      </c>
    </row>
    <row r="54" spans="2:10" x14ac:dyDescent="0.25">
      <c r="B54" s="37">
        <v>355.2</v>
      </c>
      <c r="D54" s="25">
        <f>46</f>
        <v>46</v>
      </c>
      <c r="F54" s="24">
        <v>2.9100000000000001E-2</v>
      </c>
      <c r="H54" s="24">
        <f>(D54/D73)</f>
        <v>2.6462544569253056E-5</v>
      </c>
      <c r="J54" s="24">
        <f t="shared" si="2"/>
        <v>7.7006004696526399E-7</v>
      </c>
    </row>
    <row r="55" spans="2:10" x14ac:dyDescent="0.25">
      <c r="B55" s="37">
        <v>355.3</v>
      </c>
      <c r="D55" s="25">
        <f>6</f>
        <v>6</v>
      </c>
      <c r="F55" s="24">
        <v>3.0099999999999998E-2</v>
      </c>
      <c r="H55" s="24">
        <f>(D55/D73)</f>
        <v>3.4516362481634417E-6</v>
      </c>
      <c r="J55" s="24">
        <f t="shared" si="2"/>
        <v>1.0389425106971959E-7</v>
      </c>
    </row>
    <row r="56" spans="2:10" x14ac:dyDescent="0.25">
      <c r="B56" s="37">
        <v>356</v>
      </c>
      <c r="D56" s="25">
        <v>139238</v>
      </c>
      <c r="F56" s="24">
        <v>1.7899999999999999E-2</v>
      </c>
      <c r="H56" s="24">
        <f>(D56/D73)</f>
        <v>8.0099821320296888E-2</v>
      </c>
      <c r="J56" s="24">
        <f t="shared" si="2"/>
        <v>1.4337868016333142E-3</v>
      </c>
    </row>
    <row r="57" spans="2:10" x14ac:dyDescent="0.25">
      <c r="B57" s="37">
        <v>356.1</v>
      </c>
      <c r="D57" s="25">
        <f>943</f>
        <v>943</v>
      </c>
      <c r="F57" s="24">
        <v>1.7999999999999999E-2</v>
      </c>
      <c r="H57" s="24">
        <f>(D57/D73)</f>
        <v>5.4248216366968767E-4</v>
      </c>
      <c r="J57" s="24">
        <f t="shared" si="2"/>
        <v>9.7646789460543765E-6</v>
      </c>
    </row>
    <row r="58" spans="2:10" x14ac:dyDescent="0.25">
      <c r="B58" s="37">
        <v>356.2</v>
      </c>
      <c r="D58" s="25">
        <f>1598</f>
        <v>1598</v>
      </c>
      <c r="F58" s="24">
        <v>1.5100000000000001E-2</v>
      </c>
      <c r="H58" s="24">
        <f>(D58/D73)</f>
        <v>9.1928578742753002E-4</v>
      </c>
      <c r="J58" s="24">
        <f t="shared" si="2"/>
        <v>1.3881215390155704E-5</v>
      </c>
    </row>
    <row r="59" spans="2:10" x14ac:dyDescent="0.25">
      <c r="B59" s="37">
        <v>356.3</v>
      </c>
      <c r="D59" s="25">
        <f>296</f>
        <v>296</v>
      </c>
      <c r="F59" s="24">
        <v>3.0099999999999998E-2</v>
      </c>
      <c r="H59" s="24">
        <f>(D59/D73)</f>
        <v>1.7028072157606315E-4</v>
      </c>
      <c r="J59" s="24">
        <f t="shared" si="2"/>
        <v>5.1254497194395005E-6</v>
      </c>
    </row>
    <row r="60" spans="2:10" x14ac:dyDescent="0.25">
      <c r="B60" s="37">
        <v>357</v>
      </c>
      <c r="D60" s="25">
        <v>134477</v>
      </c>
      <c r="F60" s="24">
        <v>1.77E-2</v>
      </c>
      <c r="H60" s="24">
        <f>(D60/D73)</f>
        <v>7.7360947957379189E-2</v>
      </c>
      <c r="J60" s="24">
        <f t="shared" si="2"/>
        <v>1.3692887788456117E-3</v>
      </c>
    </row>
    <row r="61" spans="2:10" x14ac:dyDescent="0.25">
      <c r="B61" s="37">
        <v>357.1</v>
      </c>
      <c r="D61" s="25">
        <v>689</v>
      </c>
      <c r="F61" s="24">
        <v>1.7500000000000002E-2</v>
      </c>
      <c r="H61" s="24">
        <f>(D61/D73)</f>
        <v>3.963628958307686E-4</v>
      </c>
      <c r="J61" s="24">
        <f t="shared" si="2"/>
        <v>6.936350677038451E-6</v>
      </c>
    </row>
    <row r="62" spans="2:10" x14ac:dyDescent="0.25">
      <c r="B62" s="37">
        <v>357.2</v>
      </c>
      <c r="D62" s="25">
        <v>458</v>
      </c>
      <c r="F62" s="24">
        <v>1.4999999999999999E-2</v>
      </c>
      <c r="H62" s="24">
        <f>(D62/D73)</f>
        <v>2.6347490027647607E-4</v>
      </c>
      <c r="J62" s="24">
        <f t="shared" si="2"/>
        <v>3.952123504147141E-6</v>
      </c>
    </row>
    <row r="63" spans="2:10" x14ac:dyDescent="0.25">
      <c r="B63" s="37">
        <v>357.3</v>
      </c>
      <c r="D63" s="25">
        <v>201</v>
      </c>
      <c r="F63" s="24">
        <v>3.0099999999999998E-2</v>
      </c>
      <c r="H63" s="24">
        <f>(D63/D73)</f>
        <v>1.1562981431347531E-4</v>
      </c>
      <c r="J63" s="24">
        <f t="shared" si="2"/>
        <v>3.4804574108356067E-6</v>
      </c>
    </row>
    <row r="64" spans="2:10" x14ac:dyDescent="0.25">
      <c r="B64" s="37">
        <v>358</v>
      </c>
      <c r="D64" s="25">
        <v>264974</v>
      </c>
      <c r="F64" s="24">
        <v>1.6899999999999998E-2</v>
      </c>
      <c r="H64" s="24">
        <f>(D64/D73)</f>
        <v>0.15243231053680997</v>
      </c>
      <c r="J64" s="24">
        <f t="shared" si="2"/>
        <v>2.5761060480720883E-3</v>
      </c>
    </row>
    <row r="65" spans="2:10" x14ac:dyDescent="0.25">
      <c r="B65" s="37">
        <v>358.1</v>
      </c>
      <c r="D65" s="25">
        <v>1125</v>
      </c>
      <c r="F65" s="24">
        <v>1.9300000000000001E-2</v>
      </c>
      <c r="H65" s="24">
        <f>(D65/D73)</f>
        <v>6.4718179653064541E-4</v>
      </c>
      <c r="J65" s="24">
        <f t="shared" si="2"/>
        <v>1.2490608673041457E-5</v>
      </c>
    </row>
    <row r="66" spans="2:10" x14ac:dyDescent="0.25">
      <c r="B66" s="37">
        <v>358.2</v>
      </c>
      <c r="D66" s="25">
        <v>1430</v>
      </c>
      <c r="F66" s="24">
        <v>1.24E-2</v>
      </c>
      <c r="H66" s="24">
        <f>(D66/D73)</f>
        <v>8.226399724789536E-4</v>
      </c>
      <c r="J66" s="24">
        <f t="shared" si="2"/>
        <v>1.0200735658739024E-5</v>
      </c>
    </row>
    <row r="67" spans="2:10" x14ac:dyDescent="0.25">
      <c r="B67" s="37">
        <v>358.3</v>
      </c>
      <c r="D67" s="25">
        <f>287</f>
        <v>287</v>
      </c>
      <c r="F67" s="24">
        <v>3.0099999999999998E-2</v>
      </c>
      <c r="H67" s="24">
        <f>(D67/D73)</f>
        <v>1.6510326720381796E-4</v>
      </c>
      <c r="J67" s="24">
        <f t="shared" si="2"/>
        <v>4.9696083428349202E-6</v>
      </c>
    </row>
    <row r="68" spans="2:10" x14ac:dyDescent="0.25">
      <c r="B68" s="37">
        <v>359</v>
      </c>
      <c r="D68" s="25">
        <f>9896</f>
        <v>9896</v>
      </c>
      <c r="F68" s="24">
        <v>1.7999999999999999E-2</v>
      </c>
      <c r="H68" s="24">
        <f>(D68/D73)</f>
        <v>5.6928987186375705E-3</v>
      </c>
      <c r="J68" s="24">
        <f t="shared" si="2"/>
        <v>1.0247217693547626E-4</v>
      </c>
    </row>
    <row r="69" spans="2:10" x14ac:dyDescent="0.25">
      <c r="B69" s="37">
        <v>359.1</v>
      </c>
      <c r="D69" s="25">
        <f>331</f>
        <v>331</v>
      </c>
      <c r="F69" s="24">
        <v>1.8700000000000001E-2</v>
      </c>
      <c r="H69" s="24">
        <f>(D69/D73)</f>
        <v>1.9041526635701653E-4</v>
      </c>
      <c r="J69" s="24">
        <f t="shared" si="2"/>
        <v>3.5607654808762094E-6</v>
      </c>
    </row>
    <row r="70" spans="2:10" x14ac:dyDescent="0.25">
      <c r="B70" s="37">
        <v>359.2</v>
      </c>
      <c r="D70" s="25">
        <f>444</f>
        <v>444</v>
      </c>
      <c r="F70" s="24">
        <v>1.49E-2</v>
      </c>
      <c r="H70" s="24">
        <f>(D70/D73)</f>
        <v>2.5542108236409469E-4</v>
      </c>
      <c r="J70" s="24">
        <f t="shared" si="2"/>
        <v>3.8057741272250108E-6</v>
      </c>
    </row>
    <row r="71" spans="2:10" x14ac:dyDescent="0.25">
      <c r="B71" s="37">
        <v>359.3</v>
      </c>
      <c r="D71" s="25">
        <v>0</v>
      </c>
      <c r="F71" s="24">
        <v>3.0099999999999998E-2</v>
      </c>
      <c r="H71" s="24">
        <f>(D71/D73)</f>
        <v>0</v>
      </c>
      <c r="J71" s="24">
        <f t="shared" si="2"/>
        <v>0</v>
      </c>
    </row>
    <row r="72" spans="2:10" ht="5.15" customHeight="1" x14ac:dyDescent="0.25">
      <c r="D72" s="38"/>
      <c r="H72" s="39"/>
      <c r="J72" s="38"/>
    </row>
    <row r="73" spans="2:10" x14ac:dyDescent="0.25">
      <c r="B73" s="17" t="s">
        <v>25</v>
      </c>
      <c r="D73" s="25">
        <f>SUM(D38:D72)</f>
        <v>1738306</v>
      </c>
      <c r="H73" s="24">
        <f>SUM(H38:H72)</f>
        <v>1.0000000000000002</v>
      </c>
      <c r="J73" s="24">
        <f>SUM(J38:J72)</f>
        <v>2.340194355884408E-2</v>
      </c>
    </row>
    <row r="74" spans="2:10" ht="13" thickBot="1" x14ac:dyDescent="0.3"/>
    <row r="75" spans="2:10" ht="13" thickBot="1" x14ac:dyDescent="0.3">
      <c r="B75" s="40" t="s">
        <v>52</v>
      </c>
      <c r="C75" s="41"/>
      <c r="D75" s="41"/>
      <c r="E75" s="41"/>
      <c r="F75" s="41"/>
      <c r="G75" s="41"/>
      <c r="H75" s="41"/>
      <c r="I75" s="41"/>
      <c r="J75" s="42"/>
    </row>
    <row r="76" spans="2:10" ht="39.75" customHeight="1" x14ac:dyDescent="0.25">
      <c r="B76" s="34" t="s">
        <v>46</v>
      </c>
      <c r="C76" s="35"/>
      <c r="D76" s="34" t="s">
        <v>47</v>
      </c>
      <c r="E76" s="35"/>
      <c r="F76" s="34" t="s">
        <v>48</v>
      </c>
      <c r="G76" s="35"/>
      <c r="H76" s="36" t="s">
        <v>49</v>
      </c>
      <c r="I76" s="35"/>
      <c r="J76" s="36" t="s">
        <v>50</v>
      </c>
    </row>
    <row r="77" spans="2:10" ht="5.15" customHeight="1" x14ac:dyDescent="0.25"/>
    <row r="78" spans="2:10" x14ac:dyDescent="0.25">
      <c r="B78" s="37">
        <v>350.2</v>
      </c>
      <c r="D78" s="25">
        <f>1471</f>
        <v>1471</v>
      </c>
      <c r="F78" s="24">
        <v>1.2500000000000001E-2</v>
      </c>
      <c r="H78" s="24">
        <f>(D78/D112)</f>
        <v>8.9077068316843072E-4</v>
      </c>
      <c r="J78" s="24">
        <f>F78*H78</f>
        <v>1.1134633539605385E-5</v>
      </c>
    </row>
    <row r="79" spans="2:10" x14ac:dyDescent="0.25">
      <c r="B79" s="37">
        <v>352</v>
      </c>
      <c r="D79" s="25">
        <v>68648</v>
      </c>
      <c r="F79" s="24">
        <v>2.9499999999999998E-2</v>
      </c>
      <c r="H79" s="24">
        <f>(D79/D112)</f>
        <v>4.1570105953872491E-2</v>
      </c>
      <c r="J79" s="24">
        <f t="shared" ref="J79:J110" si="3">F79*H79</f>
        <v>1.2263181256392385E-3</v>
      </c>
    </row>
    <row r="80" spans="2:10" x14ac:dyDescent="0.25">
      <c r="B80" s="37">
        <v>352.1</v>
      </c>
      <c r="D80" s="25">
        <f>95</f>
        <v>95</v>
      </c>
      <c r="F80" s="24">
        <v>2.4400000000000002E-2</v>
      </c>
      <c r="H80" s="24">
        <f>(D80/D112)</f>
        <v>5.7527678382733458E-5</v>
      </c>
      <c r="J80" s="24">
        <f t="shared" si="3"/>
        <v>1.4036753525386964E-6</v>
      </c>
    </row>
    <row r="81" spans="2:10" x14ac:dyDescent="0.25">
      <c r="B81" s="37">
        <v>352.2</v>
      </c>
      <c r="D81" s="25">
        <f>113</f>
        <v>113</v>
      </c>
      <c r="F81" s="24">
        <v>3.27E-2</v>
      </c>
      <c r="H81" s="24">
        <f>(D81/D112)</f>
        <v>6.842765954998822E-5</v>
      </c>
      <c r="J81" s="24">
        <f t="shared" si="3"/>
        <v>2.237584467284615E-6</v>
      </c>
    </row>
    <row r="82" spans="2:10" x14ac:dyDescent="0.25">
      <c r="B82" s="37">
        <v>352.3</v>
      </c>
      <c r="D82" s="25">
        <f>67</f>
        <v>67</v>
      </c>
      <c r="F82" s="24">
        <v>3.0099999999999998E-2</v>
      </c>
      <c r="H82" s="24">
        <f>(D82/D112)</f>
        <v>4.0572152122559385E-5</v>
      </c>
      <c r="J82" s="24">
        <f t="shared" si="3"/>
        <v>1.2212217788890374E-6</v>
      </c>
    </row>
    <row r="83" spans="2:10" x14ac:dyDescent="0.25">
      <c r="B83" s="37">
        <v>353</v>
      </c>
      <c r="D83" s="25">
        <f>915002</f>
        <v>915002</v>
      </c>
      <c r="F83" s="24">
        <v>2.6700000000000002E-2</v>
      </c>
      <c r="H83" s="24">
        <f>(D83/D112)</f>
        <v>0.55408358711113559</v>
      </c>
      <c r="J83" s="24">
        <f t="shared" si="3"/>
        <v>1.4794031775867321E-2</v>
      </c>
    </row>
    <row r="84" spans="2:10" x14ac:dyDescent="0.25">
      <c r="B84" s="37">
        <v>353.1</v>
      </c>
      <c r="D84" s="25">
        <f>5508</f>
        <v>5508</v>
      </c>
      <c r="F84" s="24">
        <v>1.95E-2</v>
      </c>
      <c r="H84" s="24">
        <f>(D84/D112)</f>
        <v>3.3353942371799569E-3</v>
      </c>
      <c r="J84" s="24">
        <f t="shared" si="3"/>
        <v>6.5040187625009158E-5</v>
      </c>
    </row>
    <row r="85" spans="2:10" x14ac:dyDescent="0.25">
      <c r="B85" s="37">
        <v>353.2</v>
      </c>
      <c r="D85" s="25">
        <f>7362</f>
        <v>7362</v>
      </c>
      <c r="F85" s="24">
        <v>3.0700000000000002E-2</v>
      </c>
      <c r="H85" s="24">
        <f>(D85/D112)</f>
        <v>4.4580922974071973E-3</v>
      </c>
      <c r="J85" s="24">
        <f t="shared" si="3"/>
        <v>1.3686343353040096E-4</v>
      </c>
    </row>
    <row r="86" spans="2:10" x14ac:dyDescent="0.25">
      <c r="B86" s="37">
        <v>353.3</v>
      </c>
      <c r="D86" s="25">
        <f>1252</f>
        <v>1252</v>
      </c>
      <c r="F86" s="24">
        <v>3.0099999999999998E-2</v>
      </c>
      <c r="H86" s="24">
        <f>(D86/D112)</f>
        <v>7.5815424563349784E-4</v>
      </c>
      <c r="J86" s="24">
        <f t="shared" si="3"/>
        <v>2.2820442793568283E-5</v>
      </c>
    </row>
    <row r="87" spans="2:10" x14ac:dyDescent="0.25">
      <c r="B87" s="37">
        <v>354</v>
      </c>
      <c r="D87" s="25">
        <f>110271</f>
        <v>110271</v>
      </c>
      <c r="F87" s="24">
        <v>1.9699999999999999E-2</v>
      </c>
      <c r="H87" s="24">
        <f>(D87/D112)</f>
        <v>6.6775101294130543E-2</v>
      </c>
      <c r="J87" s="24">
        <f t="shared" si="3"/>
        <v>1.3154694954943715E-3</v>
      </c>
    </row>
    <row r="88" spans="2:10" x14ac:dyDescent="0.25">
      <c r="B88" s="37">
        <v>354.1</v>
      </c>
      <c r="D88" s="25">
        <f>2664</f>
        <v>2664</v>
      </c>
      <c r="F88" s="24">
        <v>1.6899999999999998E-2</v>
      </c>
      <c r="H88" s="24">
        <f>(D88/D112)</f>
        <v>1.6131972127537047E-3</v>
      </c>
      <c r="J88" s="24">
        <f t="shared" si="3"/>
        <v>2.7263032895537605E-5</v>
      </c>
    </row>
    <row r="89" spans="2:10" x14ac:dyDescent="0.25">
      <c r="B89" s="37">
        <v>353.2</v>
      </c>
      <c r="D89" s="25">
        <f>3757</f>
        <v>3757</v>
      </c>
      <c r="F89" s="24">
        <v>1.9099999999999999E-2</v>
      </c>
      <c r="H89" s="24">
        <f>(D89/D112)</f>
        <v>2.2750682914097855E-3</v>
      </c>
      <c r="J89" s="24">
        <f t="shared" si="3"/>
        <v>4.3453804365926898E-5</v>
      </c>
    </row>
    <row r="90" spans="2:10" x14ac:dyDescent="0.25">
      <c r="B90" s="37">
        <v>354.3</v>
      </c>
      <c r="D90" s="25">
        <f>1000</f>
        <v>1000</v>
      </c>
      <c r="F90" s="24">
        <v>3.0099999999999998E-2</v>
      </c>
      <c r="H90" s="24">
        <f>(D90/D112)</f>
        <v>6.0555450929193112E-4</v>
      </c>
      <c r="J90" s="24">
        <f t="shared" si="3"/>
        <v>1.8227190729687127E-5</v>
      </c>
    </row>
    <row r="91" spans="2:10" x14ac:dyDescent="0.25">
      <c r="B91" s="37">
        <v>355</v>
      </c>
      <c r="D91" s="25">
        <f>12843</f>
        <v>12843</v>
      </c>
      <c r="F91" s="24">
        <v>2.8199999999999999E-2</v>
      </c>
      <c r="H91" s="24">
        <f>(D91/D112)</f>
        <v>7.777136562836272E-3</v>
      </c>
      <c r="J91" s="24">
        <f t="shared" si="3"/>
        <v>2.1931525107198288E-4</v>
      </c>
    </row>
    <row r="92" spans="2:10" x14ac:dyDescent="0.25">
      <c r="B92" s="37">
        <v>355.1</v>
      </c>
      <c r="D92" s="25">
        <f>34</f>
        <v>34</v>
      </c>
      <c r="F92" s="24">
        <v>2.63E-2</v>
      </c>
      <c r="H92" s="24">
        <f>(D92/D112)</f>
        <v>2.0588853315925661E-5</v>
      </c>
      <c r="J92" s="24">
        <f t="shared" si="3"/>
        <v>5.4148684220884491E-7</v>
      </c>
    </row>
    <row r="93" spans="2:10" x14ac:dyDescent="0.25">
      <c r="B93" s="37">
        <v>355.2</v>
      </c>
      <c r="D93" s="25">
        <f>46</f>
        <v>46</v>
      </c>
      <c r="F93" s="24">
        <v>2.9100000000000001E-2</v>
      </c>
      <c r="H93" s="24">
        <f>(D93/D112)</f>
        <v>2.7855507427428834E-5</v>
      </c>
      <c r="J93" s="24">
        <f t="shared" si="3"/>
        <v>8.1059526613817913E-7</v>
      </c>
    </row>
    <row r="94" spans="2:10" x14ac:dyDescent="0.25">
      <c r="B94" s="37">
        <v>355.3</v>
      </c>
      <c r="D94" s="25">
        <f>6</f>
        <v>6</v>
      </c>
      <c r="F94" s="24">
        <v>3.0099999999999998E-2</v>
      </c>
      <c r="H94" s="24">
        <f>(D94/D112)</f>
        <v>3.6333270557515872E-6</v>
      </c>
      <c r="J94" s="24">
        <f t="shared" si="3"/>
        <v>1.0936314437812276E-7</v>
      </c>
    </row>
    <row r="95" spans="2:10" x14ac:dyDescent="0.25">
      <c r="B95" s="37">
        <v>356</v>
      </c>
      <c r="D95" s="25">
        <f>138628</f>
        <v>138628</v>
      </c>
      <c r="F95" s="24">
        <v>1.7899999999999999E-2</v>
      </c>
      <c r="H95" s="24">
        <f>(D95/D112)</f>
        <v>8.3946810514121839E-2</v>
      </c>
      <c r="J95" s="24">
        <f t="shared" si="3"/>
        <v>1.502647908202781E-3</v>
      </c>
    </row>
    <row r="96" spans="2:10" x14ac:dyDescent="0.25">
      <c r="B96" s="37">
        <v>356.1</v>
      </c>
      <c r="D96" s="25">
        <f>943</f>
        <v>943</v>
      </c>
      <c r="F96" s="24">
        <v>1.7999999999999999E-2</v>
      </c>
      <c r="H96" s="24">
        <f>(D96/D112)</f>
        <v>5.7103790226229107E-4</v>
      </c>
      <c r="J96" s="24">
        <f t="shared" si="3"/>
        <v>1.0278682240721239E-5</v>
      </c>
    </row>
    <row r="97" spans="2:10" x14ac:dyDescent="0.25">
      <c r="B97" s="37">
        <v>356.2</v>
      </c>
      <c r="D97" s="25">
        <f>1598</f>
        <v>1598</v>
      </c>
      <c r="F97" s="24">
        <v>1.5100000000000001E-2</v>
      </c>
      <c r="H97" s="24">
        <f>(D97/D112)</f>
        <v>9.6767610584850595E-4</v>
      </c>
      <c r="J97" s="24">
        <f t="shared" si="3"/>
        <v>1.461190919831244E-5</v>
      </c>
    </row>
    <row r="98" spans="2:10" x14ac:dyDescent="0.25">
      <c r="B98" s="37">
        <v>356.3</v>
      </c>
      <c r="D98" s="25">
        <f>296</f>
        <v>296</v>
      </c>
      <c r="F98" s="24">
        <v>3.0099999999999998E-2</v>
      </c>
      <c r="H98" s="24">
        <f>(D98/D112)</f>
        <v>1.7924413475041163E-4</v>
      </c>
      <c r="J98" s="24">
        <f t="shared" si="3"/>
        <v>5.3952484559873894E-6</v>
      </c>
    </row>
    <row r="99" spans="2:10" x14ac:dyDescent="0.25">
      <c r="B99" s="37">
        <v>357</v>
      </c>
      <c r="D99" s="25">
        <f>141670</f>
        <v>141670</v>
      </c>
      <c r="F99" s="24">
        <v>1.77E-2</v>
      </c>
      <c r="H99" s="24">
        <f>(D99/D112)</f>
        <v>8.5788907331387887E-2</v>
      </c>
      <c r="J99" s="24">
        <f t="shared" si="3"/>
        <v>1.5184636597655656E-3</v>
      </c>
    </row>
    <row r="100" spans="2:10" x14ac:dyDescent="0.25">
      <c r="B100" s="37">
        <v>357.1</v>
      </c>
      <c r="D100" s="25">
        <f>812</f>
        <v>812</v>
      </c>
      <c r="F100" s="24">
        <v>1.7500000000000002E-2</v>
      </c>
      <c r="H100" s="24">
        <f>(D100/D112)</f>
        <v>4.9171026154504812E-4</v>
      </c>
      <c r="J100" s="24">
        <f t="shared" si="3"/>
        <v>8.6049295770383431E-6</v>
      </c>
    </row>
    <row r="101" spans="2:10" x14ac:dyDescent="0.25">
      <c r="B101" s="37">
        <v>357.2</v>
      </c>
      <c r="D101" s="25">
        <f>903</f>
        <v>903</v>
      </c>
      <c r="F101" s="24">
        <v>1.4999999999999999E-2</v>
      </c>
      <c r="H101" s="24">
        <f>(D101/D112)</f>
        <v>5.4681572189061388E-4</v>
      </c>
      <c r="J101" s="24">
        <f t="shared" si="3"/>
        <v>8.202235828359208E-6</v>
      </c>
    </row>
    <row r="102" spans="2:10" x14ac:dyDescent="0.25">
      <c r="B102" s="37">
        <v>357.3</v>
      </c>
      <c r="D102" s="25">
        <f>201</f>
        <v>201</v>
      </c>
      <c r="F102" s="24">
        <v>3.0099999999999998E-2</v>
      </c>
      <c r="H102" s="24">
        <f>(D102/D112)</f>
        <v>1.2171645636767817E-4</v>
      </c>
      <c r="J102" s="24">
        <f t="shared" si="3"/>
        <v>3.6636653366671128E-6</v>
      </c>
    </row>
    <row r="103" spans="2:10" x14ac:dyDescent="0.25">
      <c r="B103" s="37">
        <v>358</v>
      </c>
      <c r="D103" s="25">
        <f>222448</f>
        <v>222448</v>
      </c>
      <c r="F103" s="24">
        <v>1.6899999999999998E-2</v>
      </c>
      <c r="H103" s="24">
        <f>(D103/D112)</f>
        <v>0.1347043894829715</v>
      </c>
      <c r="J103" s="24">
        <f t="shared" si="3"/>
        <v>2.2765041822622183E-3</v>
      </c>
    </row>
    <row r="104" spans="2:10" x14ac:dyDescent="0.25">
      <c r="B104" s="37">
        <v>358.1</v>
      </c>
      <c r="D104" s="25">
        <f>1241</f>
        <v>1241</v>
      </c>
      <c r="F104" s="24">
        <v>1.9300000000000001E-2</v>
      </c>
      <c r="H104" s="24">
        <f>(D104/D112)</f>
        <v>7.5149314603128656E-4</v>
      </c>
      <c r="J104" s="24">
        <f t="shared" si="3"/>
        <v>1.4503817718403831E-5</v>
      </c>
    </row>
    <row r="105" spans="2:10" x14ac:dyDescent="0.25">
      <c r="B105" s="37">
        <v>358.2</v>
      </c>
      <c r="D105" s="25">
        <f>1537</f>
        <v>1537</v>
      </c>
      <c r="F105" s="24">
        <v>1.24E-2</v>
      </c>
      <c r="H105" s="24">
        <f>(D105/D112)</f>
        <v>9.3073728078169819E-4</v>
      </c>
      <c r="J105" s="24">
        <f t="shared" si="3"/>
        <v>1.1541142281693057E-5</v>
      </c>
    </row>
    <row r="106" spans="2:10" x14ac:dyDescent="0.25">
      <c r="B106" s="37">
        <v>358.3</v>
      </c>
      <c r="D106" s="25">
        <f>287</f>
        <v>287</v>
      </c>
      <c r="F106" s="24">
        <v>3.0099999999999998E-2</v>
      </c>
      <c r="H106" s="24">
        <f>(D106/D112)</f>
        <v>1.7379414416678423E-4</v>
      </c>
      <c r="J106" s="24">
        <f t="shared" si="3"/>
        <v>5.2312037394202055E-6</v>
      </c>
    </row>
    <row r="107" spans="2:10" x14ac:dyDescent="0.25">
      <c r="B107" s="37">
        <v>359</v>
      </c>
      <c r="D107" s="25">
        <f>9896</f>
        <v>9896</v>
      </c>
      <c r="F107" s="24">
        <v>1.7999999999999999E-2</v>
      </c>
      <c r="H107" s="24">
        <f>(D107/D112)</f>
        <v>5.9925674239529507E-3</v>
      </c>
      <c r="J107" s="24">
        <f t="shared" si="3"/>
        <v>1.0786621363115311E-4</v>
      </c>
    </row>
    <row r="108" spans="2:10" x14ac:dyDescent="0.25">
      <c r="B108" s="37">
        <v>359.1</v>
      </c>
      <c r="D108" s="25">
        <f>331</f>
        <v>331</v>
      </c>
      <c r="F108" s="24">
        <v>1.8700000000000001E-2</v>
      </c>
      <c r="H108" s="24">
        <f>(D108/D112)</f>
        <v>2.0043854257562922E-4</v>
      </c>
      <c r="J108" s="24">
        <f t="shared" si="3"/>
        <v>3.7482007461642667E-6</v>
      </c>
    </row>
    <row r="109" spans="2:10" x14ac:dyDescent="0.25">
      <c r="B109" s="37">
        <v>359.2</v>
      </c>
      <c r="D109" s="25">
        <f>444</f>
        <v>444</v>
      </c>
      <c r="F109" s="24">
        <v>1.49E-2</v>
      </c>
      <c r="H109" s="24">
        <f>(D109/D112)</f>
        <v>2.6886620212561744E-4</v>
      </c>
      <c r="J109" s="24">
        <f t="shared" si="3"/>
        <v>4.0061064116716998E-6</v>
      </c>
    </row>
    <row r="110" spans="2:10" x14ac:dyDescent="0.25">
      <c r="B110" s="37">
        <v>359.3</v>
      </c>
      <c r="D110" s="25">
        <f>5</f>
        <v>5</v>
      </c>
      <c r="F110" s="24">
        <v>3.0099999999999998E-2</v>
      </c>
      <c r="H110" s="24">
        <f>(D110/D112)</f>
        <v>3.0277725464596558E-6</v>
      </c>
      <c r="J110" s="24">
        <f t="shared" si="3"/>
        <v>9.1135953648435635E-8</v>
      </c>
    </row>
    <row r="111" spans="2:10" ht="5.15" customHeight="1" x14ac:dyDescent="0.25">
      <c r="D111" s="38"/>
      <c r="H111" s="39"/>
      <c r="J111" s="38"/>
    </row>
    <row r="112" spans="2:10" x14ac:dyDescent="0.25">
      <c r="B112" s="17" t="s">
        <v>25</v>
      </c>
      <c r="D112" s="25">
        <f>SUM(D77:D111)</f>
        <v>1651379</v>
      </c>
      <c r="H112" s="24">
        <f>SUM(H77:H111)</f>
        <v>1.0000000000000002</v>
      </c>
      <c r="J112" s="24">
        <f>SUM(J77:J111)</f>
        <v>2.3381621541753887E-2</v>
      </c>
    </row>
    <row r="113" spans="2:10" ht="13" thickBot="1" x14ac:dyDescent="0.3"/>
    <row r="114" spans="2:10" ht="13" thickBot="1" x14ac:dyDescent="0.3">
      <c r="B114" s="40" t="s">
        <v>53</v>
      </c>
      <c r="C114" s="41"/>
      <c r="D114" s="41"/>
      <c r="E114" s="41"/>
      <c r="F114" s="41"/>
      <c r="G114" s="41"/>
      <c r="H114" s="41"/>
      <c r="I114" s="41"/>
      <c r="J114" s="42"/>
    </row>
    <row r="115" spans="2:10" ht="39.75" customHeight="1" x14ac:dyDescent="0.25">
      <c r="B115" s="34" t="s">
        <v>46</v>
      </c>
      <c r="C115" s="35"/>
      <c r="D115" s="34" t="s">
        <v>47</v>
      </c>
      <c r="E115" s="35"/>
      <c r="F115" s="34" t="s">
        <v>48</v>
      </c>
      <c r="G115" s="35"/>
      <c r="H115" s="36" t="s">
        <v>49</v>
      </c>
      <c r="I115" s="35"/>
      <c r="J115" s="36" t="s">
        <v>50</v>
      </c>
    </row>
    <row r="116" spans="2:10" ht="5.15" customHeight="1" x14ac:dyDescent="0.25"/>
    <row r="117" spans="2:10" x14ac:dyDescent="0.25">
      <c r="B117" s="37">
        <v>350.2</v>
      </c>
      <c r="D117" s="25">
        <f>1471</f>
        <v>1471</v>
      </c>
      <c r="F117" s="24">
        <v>1.2500000000000001E-2</v>
      </c>
      <c r="H117" s="24">
        <f>(D117/D151)</f>
        <v>9.3707458183604189E-4</v>
      </c>
      <c r="J117" s="24">
        <f>F117*H117</f>
        <v>1.1713432272950524E-5</v>
      </c>
    </row>
    <row r="118" spans="2:10" x14ac:dyDescent="0.25">
      <c r="B118" s="37">
        <v>352</v>
      </c>
      <c r="D118" s="25">
        <f>65032</f>
        <v>65032</v>
      </c>
      <c r="F118" s="24">
        <v>2.9499999999999998E-2</v>
      </c>
      <c r="H118" s="24">
        <f>(D118/D151)</f>
        <v>4.1427487563536015E-2</v>
      </c>
      <c r="J118" s="24">
        <f t="shared" ref="J118:J149" si="4">F118*H118</f>
        <v>1.2221108831243124E-3</v>
      </c>
    </row>
    <row r="119" spans="2:10" x14ac:dyDescent="0.25">
      <c r="B119" s="37">
        <v>352.1</v>
      </c>
      <c r="D119" s="25">
        <f>95</f>
        <v>95</v>
      </c>
      <c r="F119" s="24">
        <v>2.4400000000000002E-2</v>
      </c>
      <c r="H119" s="24">
        <f>(D119/D151)</f>
        <v>6.0518072926188972E-5</v>
      </c>
      <c r="J119" s="24">
        <f t="shared" si="4"/>
        <v>1.476640979399011E-6</v>
      </c>
    </row>
    <row r="120" spans="2:10" x14ac:dyDescent="0.25">
      <c r="B120" s="37">
        <v>352.2</v>
      </c>
      <c r="D120" s="25">
        <f>113</f>
        <v>113</v>
      </c>
      <c r="F120" s="24">
        <v>3.27E-2</v>
      </c>
      <c r="H120" s="24">
        <f>(D120/D151)</f>
        <v>7.1984655164835301E-5</v>
      </c>
      <c r="J120" s="24">
        <f t="shared" si="4"/>
        <v>2.3538982238901144E-6</v>
      </c>
    </row>
    <row r="121" spans="2:10" x14ac:dyDescent="0.25">
      <c r="B121" s="37">
        <v>352.3</v>
      </c>
      <c r="D121" s="25">
        <f>67</f>
        <v>67</v>
      </c>
      <c r="F121" s="24">
        <v>3.0099999999999998E-2</v>
      </c>
      <c r="H121" s="24">
        <f>(D121/D151)</f>
        <v>4.2681167221628011E-5</v>
      </c>
      <c r="J121" s="24">
        <f t="shared" si="4"/>
        <v>1.284703133371003E-6</v>
      </c>
    </row>
    <row r="122" spans="2:10" x14ac:dyDescent="0.25">
      <c r="B122" s="37">
        <v>353</v>
      </c>
      <c r="D122" s="25">
        <f>881503</f>
        <v>881503</v>
      </c>
      <c r="F122" s="24">
        <v>2.6700000000000002E-2</v>
      </c>
      <c r="H122" s="24">
        <f>(D122/D151)</f>
        <v>0.56154592461741426</v>
      </c>
      <c r="J122" s="24">
        <f t="shared" si="4"/>
        <v>1.4993276187284962E-2</v>
      </c>
    </row>
    <row r="123" spans="2:10" x14ac:dyDescent="0.25">
      <c r="B123" s="37">
        <v>353.1</v>
      </c>
      <c r="D123" s="25">
        <f>5508</f>
        <v>5508</v>
      </c>
      <c r="F123" s="24">
        <v>1.95E-2</v>
      </c>
      <c r="H123" s="24">
        <f>(D123/D151)</f>
        <v>3.5087741650257774E-3</v>
      </c>
      <c r="J123" s="24">
        <f t="shared" si="4"/>
        <v>6.8421096218002655E-5</v>
      </c>
    </row>
    <row r="124" spans="2:10" x14ac:dyDescent="0.25">
      <c r="B124" s="37">
        <v>353.2</v>
      </c>
      <c r="D124" s="25">
        <f>7362</f>
        <v>7362</v>
      </c>
      <c r="F124" s="24">
        <v>3.0700000000000002E-2</v>
      </c>
      <c r="H124" s="24">
        <f>(D124/D151)</f>
        <v>4.6898321356063496E-3</v>
      </c>
      <c r="J124" s="24">
        <f t="shared" si="4"/>
        <v>1.4397784656311493E-4</v>
      </c>
    </row>
    <row r="125" spans="2:10" x14ac:dyDescent="0.25">
      <c r="B125" s="37">
        <v>353.3</v>
      </c>
      <c r="D125" s="25">
        <f>1252</f>
        <v>1252</v>
      </c>
      <c r="F125" s="24">
        <v>3.0099999999999998E-2</v>
      </c>
      <c r="H125" s="24">
        <f>(D125/D151)</f>
        <v>7.9756449793251148E-4</v>
      </c>
      <c r="J125" s="24">
        <f t="shared" si="4"/>
        <v>2.4006691387768594E-5</v>
      </c>
    </row>
    <row r="126" spans="2:10" x14ac:dyDescent="0.25">
      <c r="B126" s="37">
        <v>354</v>
      </c>
      <c r="D126" s="25">
        <f>112071</f>
        <v>112071</v>
      </c>
      <c r="F126" s="24">
        <v>1.9699999999999999E-2</v>
      </c>
      <c r="H126" s="24">
        <f>(D126/D151)</f>
        <v>7.1392852114851829E-2</v>
      </c>
      <c r="J126" s="24">
        <f t="shared" si="4"/>
        <v>1.406439186662581E-3</v>
      </c>
    </row>
    <row r="127" spans="2:10" x14ac:dyDescent="0.25">
      <c r="B127" s="37">
        <v>354.1</v>
      </c>
      <c r="D127" s="25">
        <f>2664</f>
        <v>2664</v>
      </c>
      <c r="F127" s="24">
        <v>1.6899999999999998E-2</v>
      </c>
      <c r="H127" s="24">
        <f>(D127/D151)</f>
        <v>1.6970541713196572E-3</v>
      </c>
      <c r="J127" s="24">
        <f t="shared" si="4"/>
        <v>2.8680215495302202E-5</v>
      </c>
    </row>
    <row r="128" spans="2:10" x14ac:dyDescent="0.25">
      <c r="B128" s="37">
        <v>353.2</v>
      </c>
      <c r="D128" s="25">
        <f>3757</f>
        <v>3757</v>
      </c>
      <c r="F128" s="24">
        <v>1.9099999999999999E-2</v>
      </c>
      <c r="H128" s="24">
        <f>(D128/D151)</f>
        <v>2.393330526144126E-3</v>
      </c>
      <c r="J128" s="24">
        <f t="shared" si="4"/>
        <v>4.5712613049352804E-5</v>
      </c>
    </row>
    <row r="129" spans="2:10" x14ac:dyDescent="0.25">
      <c r="B129" s="37">
        <v>354.3</v>
      </c>
      <c r="D129" s="25">
        <f>1000</f>
        <v>1000</v>
      </c>
      <c r="F129" s="24">
        <v>3.0099999999999998E-2</v>
      </c>
      <c r="H129" s="24">
        <f>(D129/D151)</f>
        <v>6.3703234659146283E-4</v>
      </c>
      <c r="J129" s="24">
        <f t="shared" si="4"/>
        <v>1.9174673632403029E-5</v>
      </c>
    </row>
    <row r="130" spans="2:10" x14ac:dyDescent="0.25">
      <c r="B130" s="37">
        <v>355</v>
      </c>
      <c r="D130" s="25">
        <f>12838</f>
        <v>12838</v>
      </c>
      <c r="F130" s="24">
        <v>2.8199999999999999E-2</v>
      </c>
      <c r="H130" s="24">
        <f>(D130/D151)</f>
        <v>8.1782212655411995E-3</v>
      </c>
      <c r="J130" s="24">
        <f t="shared" si="4"/>
        <v>2.3062583968826183E-4</v>
      </c>
    </row>
    <row r="131" spans="2:10" x14ac:dyDescent="0.25">
      <c r="B131" s="37">
        <v>355.1</v>
      </c>
      <c r="D131" s="25">
        <f>34</f>
        <v>34</v>
      </c>
      <c r="F131" s="24">
        <v>2.63E-2</v>
      </c>
      <c r="H131" s="24">
        <f>(D131/D151)</f>
        <v>2.1659099784109737E-5</v>
      </c>
      <c r="J131" s="24">
        <f t="shared" si="4"/>
        <v>5.6963432432208609E-7</v>
      </c>
    </row>
    <row r="132" spans="2:10" x14ac:dyDescent="0.25">
      <c r="B132" s="37">
        <v>355.2</v>
      </c>
      <c r="D132" s="25">
        <f>46</f>
        <v>46</v>
      </c>
      <c r="F132" s="24">
        <v>2.9100000000000001E-2</v>
      </c>
      <c r="H132" s="24">
        <f>(D132/D151)</f>
        <v>2.9303487943207293E-5</v>
      </c>
      <c r="J132" s="24">
        <f t="shared" si="4"/>
        <v>8.527314991473323E-7</v>
      </c>
    </row>
    <row r="133" spans="2:10" x14ac:dyDescent="0.25">
      <c r="B133" s="37">
        <v>355.3</v>
      </c>
      <c r="D133" s="25">
        <f>6</f>
        <v>6</v>
      </c>
      <c r="F133" s="24">
        <v>3.0099999999999998E-2</v>
      </c>
      <c r="H133" s="24">
        <f>(D133/D151)</f>
        <v>3.8221940795487772E-6</v>
      </c>
      <c r="J133" s="24">
        <f t="shared" si="4"/>
        <v>1.1504804179441819E-7</v>
      </c>
    </row>
    <row r="134" spans="2:10" x14ac:dyDescent="0.25">
      <c r="B134" s="37">
        <v>356</v>
      </c>
      <c r="D134" s="25">
        <f>122669</f>
        <v>122669</v>
      </c>
      <c r="F134" s="24">
        <v>1.7899999999999999E-2</v>
      </c>
      <c r="H134" s="24">
        <f>(D134/D151)</f>
        <v>7.8144120924028157E-2</v>
      </c>
      <c r="J134" s="24">
        <f t="shared" si="4"/>
        <v>1.3987797645401039E-3</v>
      </c>
    </row>
    <row r="135" spans="2:10" x14ac:dyDescent="0.25">
      <c r="B135" s="37">
        <v>356.1</v>
      </c>
      <c r="D135" s="25">
        <f>943</f>
        <v>943</v>
      </c>
      <c r="F135" s="24">
        <v>1.7999999999999999E-2</v>
      </c>
      <c r="H135" s="24">
        <f>(D135/D151)</f>
        <v>6.0072150283574952E-4</v>
      </c>
      <c r="J135" s="24">
        <f t="shared" si="4"/>
        <v>1.081298705104349E-5</v>
      </c>
    </row>
    <row r="136" spans="2:10" x14ac:dyDescent="0.25">
      <c r="B136" s="37">
        <v>356.2</v>
      </c>
      <c r="D136" s="25">
        <f>1598</f>
        <v>1598</v>
      </c>
      <c r="F136" s="24">
        <v>1.5100000000000001E-2</v>
      </c>
      <c r="H136" s="24">
        <f>(D136/D151)</f>
        <v>1.0179776898531577E-3</v>
      </c>
      <c r="J136" s="24">
        <f t="shared" si="4"/>
        <v>1.5371463116782681E-5</v>
      </c>
    </row>
    <row r="137" spans="2:10" x14ac:dyDescent="0.25">
      <c r="B137" s="37">
        <v>356.3</v>
      </c>
      <c r="D137" s="25">
        <f>296</f>
        <v>296</v>
      </c>
      <c r="F137" s="24">
        <v>3.0099999999999998E-2</v>
      </c>
      <c r="H137" s="24">
        <f>(D137/D151)</f>
        <v>1.88561574591073E-4</v>
      </c>
      <c r="J137" s="24">
        <f t="shared" si="4"/>
        <v>5.6757033951912967E-6</v>
      </c>
    </row>
    <row r="138" spans="2:10" x14ac:dyDescent="0.25">
      <c r="B138" s="37">
        <v>357</v>
      </c>
      <c r="D138" s="25">
        <f>123640</f>
        <v>123640</v>
      </c>
      <c r="F138" s="24">
        <v>1.77E-2</v>
      </c>
      <c r="H138" s="24">
        <f>(D138/D151)</f>
        <v>7.8762679332568475E-2</v>
      </c>
      <c r="J138" s="24">
        <f t="shared" si="4"/>
        <v>1.394099424186462E-3</v>
      </c>
    </row>
    <row r="139" spans="2:10" x14ac:dyDescent="0.25">
      <c r="B139" s="37">
        <v>357.1</v>
      </c>
      <c r="D139" s="25">
        <f>812</f>
        <v>812</v>
      </c>
      <c r="F139" s="24">
        <v>1.7500000000000002E-2</v>
      </c>
      <c r="H139" s="24">
        <f>(D139/D151)</f>
        <v>5.1727026543226787E-4</v>
      </c>
      <c r="J139" s="24">
        <f t="shared" si="4"/>
        <v>9.0522296450646889E-6</v>
      </c>
    </row>
    <row r="140" spans="2:10" x14ac:dyDescent="0.25">
      <c r="B140" s="37">
        <v>357.2</v>
      </c>
      <c r="D140" s="25">
        <f>903</f>
        <v>903</v>
      </c>
      <c r="F140" s="24">
        <v>1.4999999999999999E-2</v>
      </c>
      <c r="H140" s="24">
        <f>(D140/D151)</f>
        <v>5.7524020897209102E-4</v>
      </c>
      <c r="J140" s="24">
        <f t="shared" si="4"/>
        <v>8.6286031345813657E-6</v>
      </c>
    </row>
    <row r="141" spans="2:10" x14ac:dyDescent="0.25">
      <c r="B141" s="37">
        <v>357.3</v>
      </c>
      <c r="D141" s="25">
        <f>201</f>
        <v>201</v>
      </c>
      <c r="F141" s="24">
        <v>3.0099999999999998E-2</v>
      </c>
      <c r="H141" s="24">
        <f>(D141/D151)</f>
        <v>1.2804350166488403E-4</v>
      </c>
      <c r="J141" s="24">
        <f t="shared" si="4"/>
        <v>3.8541094001130089E-6</v>
      </c>
    </row>
    <row r="142" spans="2:10" x14ac:dyDescent="0.25">
      <c r="B142" s="37">
        <v>358</v>
      </c>
      <c r="D142" s="25">
        <f>210167</f>
        <v>210167</v>
      </c>
      <c r="F142" s="24">
        <v>1.6899999999999998E-2</v>
      </c>
      <c r="H142" s="24">
        <f>(D142/D151)</f>
        <v>0.13388317718608797</v>
      </c>
      <c r="J142" s="24">
        <f t="shared" si="4"/>
        <v>2.2626256944448865E-3</v>
      </c>
    </row>
    <row r="143" spans="2:10" x14ac:dyDescent="0.25">
      <c r="B143" s="37">
        <v>358.1</v>
      </c>
      <c r="D143" s="25">
        <f>1237</f>
        <v>1237</v>
      </c>
      <c r="F143" s="24">
        <v>1.9300000000000001E-2</v>
      </c>
      <c r="H143" s="24">
        <f>(D143/D151)</f>
        <v>7.8800901273363955E-4</v>
      </c>
      <c r="J143" s="24">
        <f t="shared" si="4"/>
        <v>1.5208573945759245E-5</v>
      </c>
    </row>
    <row r="144" spans="2:10" x14ac:dyDescent="0.25">
      <c r="B144" s="37">
        <v>358.2</v>
      </c>
      <c r="D144" s="25">
        <f>1531</f>
        <v>1531</v>
      </c>
      <c r="F144" s="24">
        <v>1.24E-2</v>
      </c>
      <c r="H144" s="24">
        <f>(D144/D151)</f>
        <v>9.752965226315297E-4</v>
      </c>
      <c r="J144" s="24">
        <f t="shared" si="4"/>
        <v>1.2093676880630968E-5</v>
      </c>
    </row>
    <row r="145" spans="2:10" x14ac:dyDescent="0.25">
      <c r="B145" s="37">
        <v>358.3</v>
      </c>
      <c r="D145" s="25">
        <f>287</f>
        <v>287</v>
      </c>
      <c r="F145" s="24">
        <v>3.0099999999999998E-2</v>
      </c>
      <c r="H145" s="24">
        <f>(D145/D151)</f>
        <v>1.8282828347174985E-4</v>
      </c>
      <c r="J145" s="24">
        <f t="shared" si="4"/>
        <v>5.5031313324996703E-6</v>
      </c>
    </row>
    <row r="146" spans="2:10" x14ac:dyDescent="0.25">
      <c r="B146" s="37">
        <v>359</v>
      </c>
      <c r="D146" s="25">
        <f>9896</f>
        <v>9896</v>
      </c>
      <c r="F146" s="24">
        <v>1.7999999999999999E-2</v>
      </c>
      <c r="H146" s="24">
        <f>(D146/D151)</f>
        <v>6.3040721018691164E-3</v>
      </c>
      <c r="J146" s="24">
        <f t="shared" si="4"/>
        <v>1.1347329783364409E-4</v>
      </c>
    </row>
    <row r="147" spans="2:10" x14ac:dyDescent="0.25">
      <c r="B147" s="37">
        <v>359.1</v>
      </c>
      <c r="D147" s="25">
        <v>331</v>
      </c>
      <c r="F147" s="24">
        <v>1.8700000000000001E-2</v>
      </c>
      <c r="H147" s="24">
        <f>(D147/D151)</f>
        <v>2.108577067217742E-4</v>
      </c>
      <c r="J147" s="24">
        <f t="shared" si="4"/>
        <v>3.9430391156971783E-6</v>
      </c>
    </row>
    <row r="148" spans="2:10" x14ac:dyDescent="0.25">
      <c r="B148" s="37">
        <v>359.2</v>
      </c>
      <c r="D148" s="25">
        <v>444</v>
      </c>
      <c r="F148" s="24">
        <v>1.49E-2</v>
      </c>
      <c r="H148" s="24">
        <f>(D148/D151)</f>
        <v>2.8284236188660949E-4</v>
      </c>
      <c r="J148" s="24">
        <f t="shared" si="4"/>
        <v>4.2143511921104817E-6</v>
      </c>
    </row>
    <row r="149" spans="2:10" x14ac:dyDescent="0.25">
      <c r="B149" s="37">
        <v>359.3</v>
      </c>
      <c r="D149" s="25">
        <v>5</v>
      </c>
      <c r="F149" s="24">
        <v>3.0099999999999998E-2</v>
      </c>
      <c r="H149" s="24">
        <f>(D149/D151)</f>
        <v>3.1851617329573142E-6</v>
      </c>
      <c r="J149" s="24">
        <f t="shared" si="4"/>
        <v>9.5873368162015154E-8</v>
      </c>
    </row>
    <row r="150" spans="2:10" ht="5.15" customHeight="1" x14ac:dyDescent="0.25">
      <c r="D150" s="38"/>
      <c r="H150" s="39"/>
      <c r="J150" s="38"/>
    </row>
    <row r="151" spans="2:10" x14ac:dyDescent="0.25">
      <c r="B151" s="17" t="s">
        <v>25</v>
      </c>
      <c r="D151" s="25">
        <f>SUM(D116:D150)</f>
        <v>1569779</v>
      </c>
      <c r="H151" s="24">
        <f>SUM(H116:H150)</f>
        <v>1</v>
      </c>
      <c r="J151" s="24">
        <f>SUM(J116:J150)</f>
        <v>2.3464223244163668E-2</v>
      </c>
    </row>
    <row r="152" spans="2:10" ht="13" thickBot="1" x14ac:dyDescent="0.3"/>
    <row r="153" spans="2:10" ht="13" thickBot="1" x14ac:dyDescent="0.3">
      <c r="B153" s="40" t="s">
        <v>54</v>
      </c>
      <c r="C153" s="41"/>
      <c r="D153" s="41"/>
      <c r="E153" s="41"/>
      <c r="F153" s="41"/>
      <c r="G153" s="41"/>
      <c r="H153" s="41"/>
      <c r="I153" s="41"/>
      <c r="J153" s="42"/>
    </row>
    <row r="154" spans="2:10" ht="39.75" customHeight="1" x14ac:dyDescent="0.25">
      <c r="B154" s="34" t="s">
        <v>46</v>
      </c>
      <c r="C154" s="35"/>
      <c r="D154" s="34" t="s">
        <v>47</v>
      </c>
      <c r="E154" s="35"/>
      <c r="F154" s="34" t="s">
        <v>48</v>
      </c>
      <c r="G154" s="35"/>
      <c r="H154" s="36" t="s">
        <v>49</v>
      </c>
      <c r="I154" s="35"/>
      <c r="J154" s="36" t="s">
        <v>50</v>
      </c>
    </row>
    <row r="155" spans="2:10" ht="5.15" customHeight="1" x14ac:dyDescent="0.25"/>
    <row r="156" spans="2:10" x14ac:dyDescent="0.25">
      <c r="B156" s="37">
        <v>350.2</v>
      </c>
      <c r="D156" s="25">
        <f>1471</f>
        <v>1471</v>
      </c>
      <c r="F156" s="24">
        <v>1.2500000000000001E-2</v>
      </c>
      <c r="H156" s="24">
        <f>(D156/D190)</f>
        <v>9.6657846337022452E-4</v>
      </c>
      <c r="J156" s="24">
        <f>F156*H156</f>
        <v>1.2082230792127807E-5</v>
      </c>
    </row>
    <row r="157" spans="2:10" x14ac:dyDescent="0.25">
      <c r="B157" s="37">
        <v>352</v>
      </c>
      <c r="D157" s="25">
        <f>37606</f>
        <v>37606</v>
      </c>
      <c r="F157" s="24">
        <v>2.9499999999999998E-2</v>
      </c>
      <c r="H157" s="24">
        <f>(D157/D190)</f>
        <v>2.4710502850782232E-2</v>
      </c>
      <c r="J157" s="24">
        <f t="shared" ref="J157:J188" si="5">F157*H157</f>
        <v>7.2895983409807582E-4</v>
      </c>
    </row>
    <row r="158" spans="2:10" x14ac:dyDescent="0.25">
      <c r="B158" s="37">
        <v>352.1</v>
      </c>
      <c r="D158" s="25">
        <f>95</f>
        <v>95</v>
      </c>
      <c r="F158" s="24">
        <v>2.4400000000000002E-2</v>
      </c>
      <c r="H158" s="24">
        <f>(D158/D190)</f>
        <v>6.2423490156472697E-5</v>
      </c>
      <c r="J158" s="24">
        <f t="shared" si="5"/>
        <v>1.523133159817934E-6</v>
      </c>
    </row>
    <row r="159" spans="2:10" x14ac:dyDescent="0.25">
      <c r="B159" s="37">
        <v>352.2</v>
      </c>
      <c r="D159" s="25">
        <f>113</f>
        <v>113</v>
      </c>
      <c r="F159" s="24">
        <v>3.27E-2</v>
      </c>
      <c r="H159" s="24">
        <f>(D159/D190)</f>
        <v>7.4251098817699091E-5</v>
      </c>
      <c r="J159" s="24">
        <f t="shared" si="5"/>
        <v>2.4280109313387601E-6</v>
      </c>
    </row>
    <row r="160" spans="2:10" x14ac:dyDescent="0.25">
      <c r="B160" s="37">
        <v>352.3</v>
      </c>
      <c r="D160" s="25">
        <f>67</f>
        <v>67</v>
      </c>
      <c r="F160" s="24">
        <v>3.0099999999999998E-2</v>
      </c>
      <c r="H160" s="24">
        <f>(D160/D190)</f>
        <v>4.4024987794564952E-5</v>
      </c>
      <c r="J160" s="24">
        <f t="shared" si="5"/>
        <v>1.325152132616405E-6</v>
      </c>
    </row>
    <row r="161" spans="2:10" x14ac:dyDescent="0.25">
      <c r="B161" s="37">
        <v>353</v>
      </c>
      <c r="D161" s="25">
        <f>890452</f>
        <v>890452</v>
      </c>
      <c r="F161" s="24">
        <v>2.6700000000000002E-2</v>
      </c>
      <c r="H161" s="24">
        <f>(D161/D190)</f>
        <v>0.58510654375590965</v>
      </c>
      <c r="J161" s="24">
        <f t="shared" si="5"/>
        <v>1.5622344718282789E-2</v>
      </c>
    </row>
    <row r="162" spans="2:10" x14ac:dyDescent="0.25">
      <c r="B162" s="37">
        <v>353.1</v>
      </c>
      <c r="D162" s="25">
        <f>5508</f>
        <v>5508</v>
      </c>
      <c r="F162" s="24">
        <v>1.95E-2</v>
      </c>
      <c r="H162" s="24">
        <f>(D162/D190)</f>
        <v>3.6192482503352797E-3</v>
      </c>
      <c r="J162" s="24">
        <f t="shared" si="5"/>
        <v>7.0575340881537957E-5</v>
      </c>
    </row>
    <row r="163" spans="2:10" x14ac:dyDescent="0.25">
      <c r="B163" s="37">
        <v>353.2</v>
      </c>
      <c r="D163" s="25">
        <f>7362</f>
        <v>7362</v>
      </c>
      <c r="F163" s="24">
        <v>3.0700000000000002E-2</v>
      </c>
      <c r="H163" s="24">
        <f>(D163/D190)</f>
        <v>4.8374919424415998E-3</v>
      </c>
      <c r="J163" s="24">
        <f t="shared" si="5"/>
        <v>1.4851100263295713E-4</v>
      </c>
    </row>
    <row r="164" spans="2:10" x14ac:dyDescent="0.25">
      <c r="B164" s="37">
        <v>353.3</v>
      </c>
      <c r="D164" s="25">
        <f>1252</f>
        <v>1252</v>
      </c>
      <c r="F164" s="24">
        <v>3.0099999999999998E-2</v>
      </c>
      <c r="H164" s="24">
        <f>(D164/D190)</f>
        <v>8.2267589132530331E-4</v>
      </c>
      <c r="J164" s="24">
        <f t="shared" si="5"/>
        <v>2.4762544328891627E-5</v>
      </c>
    </row>
    <row r="165" spans="2:10" x14ac:dyDescent="0.25">
      <c r="B165" s="37">
        <v>354</v>
      </c>
      <c r="D165" s="25">
        <f>111484</f>
        <v>111484</v>
      </c>
      <c r="F165" s="24">
        <v>1.9699999999999999E-2</v>
      </c>
      <c r="H165" s="24">
        <f>(D165/D190)</f>
        <v>7.3254951332675802E-2</v>
      </c>
      <c r="J165" s="24">
        <f t="shared" si="5"/>
        <v>1.4431225412537133E-3</v>
      </c>
    </row>
    <row r="166" spans="2:10" x14ac:dyDescent="0.25">
      <c r="B166" s="37">
        <v>354.1</v>
      </c>
      <c r="D166" s="25">
        <f>2664</f>
        <v>2664</v>
      </c>
      <c r="F166" s="24">
        <v>1.6899999999999998E-2</v>
      </c>
      <c r="H166" s="24">
        <f>(D166/D190)</f>
        <v>1.7504860818615079E-3</v>
      </c>
      <c r="J166" s="24">
        <f t="shared" si="5"/>
        <v>2.9583214783459482E-5</v>
      </c>
    </row>
    <row r="167" spans="2:10" x14ac:dyDescent="0.25">
      <c r="B167" s="37">
        <v>353.2</v>
      </c>
      <c r="D167" s="25">
        <f>3757</f>
        <v>3757</v>
      </c>
      <c r="F167" s="24">
        <v>1.9099999999999999E-2</v>
      </c>
      <c r="H167" s="24">
        <f>(D167/D190)</f>
        <v>2.4686847633459781E-3</v>
      </c>
      <c r="J167" s="24">
        <f t="shared" si="5"/>
        <v>4.7151878979908176E-5</v>
      </c>
    </row>
    <row r="168" spans="2:10" x14ac:dyDescent="0.25">
      <c r="B168" s="37">
        <v>354.3</v>
      </c>
      <c r="D168" s="25">
        <f>1000</f>
        <v>1000</v>
      </c>
      <c r="F168" s="24">
        <v>3.0099999999999998E-2</v>
      </c>
      <c r="H168" s="24">
        <f>(D168/D190)</f>
        <v>6.570893700681336E-4</v>
      </c>
      <c r="J168" s="24">
        <f t="shared" si="5"/>
        <v>1.977839003905082E-5</v>
      </c>
    </row>
    <row r="169" spans="2:10" x14ac:dyDescent="0.25">
      <c r="B169" s="37">
        <v>355</v>
      </c>
      <c r="D169" s="25">
        <f>12848</f>
        <v>12848</v>
      </c>
      <c r="F169" s="24">
        <v>2.8199999999999999E-2</v>
      </c>
      <c r="H169" s="24">
        <f>(D169/D190)</f>
        <v>8.4422842266353802E-3</v>
      </c>
      <c r="J169" s="24">
        <f t="shared" si="5"/>
        <v>2.3807241519111771E-4</v>
      </c>
    </row>
    <row r="170" spans="2:10" x14ac:dyDescent="0.25">
      <c r="B170" s="37">
        <v>355.1</v>
      </c>
      <c r="D170" s="25">
        <f>34</f>
        <v>34</v>
      </c>
      <c r="F170" s="24">
        <v>2.63E-2</v>
      </c>
      <c r="H170" s="24">
        <f>(D170/D190)</f>
        <v>2.2341038582316543E-5</v>
      </c>
      <c r="J170" s="24">
        <f t="shared" si="5"/>
        <v>5.875693147149251E-7</v>
      </c>
    </row>
    <row r="171" spans="2:10" x14ac:dyDescent="0.25">
      <c r="B171" s="37">
        <v>355.2</v>
      </c>
      <c r="D171" s="25">
        <v>46</v>
      </c>
      <c r="F171" s="24">
        <v>2.9100000000000001E-2</v>
      </c>
      <c r="H171" s="24">
        <f>(D171/D190)</f>
        <v>3.0226111023134145E-5</v>
      </c>
      <c r="J171" s="24">
        <f t="shared" si="5"/>
        <v>8.7957983077320366E-7</v>
      </c>
    </row>
    <row r="172" spans="2:10" x14ac:dyDescent="0.25">
      <c r="B172" s="37">
        <v>355.3</v>
      </c>
      <c r="D172" s="25">
        <f>6</f>
        <v>6</v>
      </c>
      <c r="F172" s="24">
        <v>3.0099999999999998E-2</v>
      </c>
      <c r="H172" s="24">
        <f>(D172/D190)</f>
        <v>3.9425362204088014E-6</v>
      </c>
      <c r="J172" s="24">
        <f t="shared" si="5"/>
        <v>1.1867034023430492E-7</v>
      </c>
    </row>
    <row r="173" spans="2:10" x14ac:dyDescent="0.25">
      <c r="B173" s="37">
        <v>356</v>
      </c>
      <c r="D173" s="25">
        <f>121298</f>
        <v>121298</v>
      </c>
      <c r="F173" s="24">
        <v>1.7899999999999999E-2</v>
      </c>
      <c r="H173" s="24">
        <f>(D173/D190)</f>
        <v>7.9703626410524475E-2</v>
      </c>
      <c r="J173" s="24">
        <f t="shared" si="5"/>
        <v>1.426694912748388E-3</v>
      </c>
    </row>
    <row r="174" spans="2:10" x14ac:dyDescent="0.25">
      <c r="B174" s="37">
        <v>356.1</v>
      </c>
      <c r="D174" s="25">
        <f>943</f>
        <v>943</v>
      </c>
      <c r="F174" s="24">
        <v>1.7999999999999999E-2</v>
      </c>
      <c r="H174" s="24">
        <f>(D174/D190)</f>
        <v>6.1963527597424996E-4</v>
      </c>
      <c r="J174" s="24">
        <f t="shared" si="5"/>
        <v>1.1153434967536498E-5</v>
      </c>
    </row>
    <row r="175" spans="2:10" x14ac:dyDescent="0.25">
      <c r="B175" s="37">
        <v>356.2</v>
      </c>
      <c r="D175" s="25">
        <f>1598</f>
        <v>1598</v>
      </c>
      <c r="F175" s="24">
        <v>1.5100000000000001E-2</v>
      </c>
      <c r="H175" s="24">
        <f>(D175/D190)</f>
        <v>1.0500288133688774E-3</v>
      </c>
      <c r="J175" s="24">
        <f t="shared" si="5"/>
        <v>1.5855435081870051E-5</v>
      </c>
    </row>
    <row r="176" spans="2:10" x14ac:dyDescent="0.25">
      <c r="B176" s="37">
        <v>356.3</v>
      </c>
      <c r="D176" s="25">
        <f>296</f>
        <v>296</v>
      </c>
      <c r="F176" s="24">
        <v>3.0099999999999998E-2</v>
      </c>
      <c r="H176" s="24">
        <f>(D176/D190)</f>
        <v>1.9449845354016753E-4</v>
      </c>
      <c r="J176" s="24">
        <f t="shared" si="5"/>
        <v>5.8544034515590427E-6</v>
      </c>
    </row>
    <row r="177" spans="2:10" x14ac:dyDescent="0.25">
      <c r="B177" s="37">
        <v>357</v>
      </c>
      <c r="D177" s="25">
        <f>112885</f>
        <v>112885</v>
      </c>
      <c r="F177" s="24">
        <v>1.77E-2</v>
      </c>
      <c r="H177" s="24">
        <f>(D177/D190)</f>
        <v>7.4175533540141267E-2</v>
      </c>
      <c r="J177" s="24">
        <f t="shared" si="5"/>
        <v>1.3129069436605004E-3</v>
      </c>
    </row>
    <row r="178" spans="2:10" x14ac:dyDescent="0.25">
      <c r="B178" s="37">
        <v>357.1</v>
      </c>
      <c r="D178" s="25">
        <f>812</f>
        <v>812</v>
      </c>
      <c r="F178" s="24">
        <v>1.7500000000000002E-2</v>
      </c>
      <c r="H178" s="24">
        <f>(D178/D190)</f>
        <v>5.3355656849532452E-4</v>
      </c>
      <c r="J178" s="24">
        <f t="shared" si="5"/>
        <v>9.3372399486681792E-6</v>
      </c>
    </row>
    <row r="179" spans="2:10" x14ac:dyDescent="0.25">
      <c r="B179" s="37">
        <v>357.2</v>
      </c>
      <c r="D179" s="25">
        <f>903</f>
        <v>903</v>
      </c>
      <c r="F179" s="24">
        <v>1.4999999999999999E-2</v>
      </c>
      <c r="H179" s="24">
        <f>(D179/D190)</f>
        <v>5.9335170117152459E-4</v>
      </c>
      <c r="J179" s="24">
        <f t="shared" si="5"/>
        <v>8.9002755175728689E-6</v>
      </c>
    </row>
    <row r="180" spans="2:10" x14ac:dyDescent="0.25">
      <c r="B180" s="37">
        <v>357.3</v>
      </c>
      <c r="D180" s="25">
        <f>201</f>
        <v>201</v>
      </c>
      <c r="F180" s="24">
        <v>3.0099999999999998E-2</v>
      </c>
      <c r="H180" s="24">
        <f>(D180/D190)</f>
        <v>1.3207496338369485E-4</v>
      </c>
      <c r="J180" s="24">
        <f t="shared" si="5"/>
        <v>3.9754563978492145E-6</v>
      </c>
    </row>
    <row r="181" spans="2:10" x14ac:dyDescent="0.25">
      <c r="B181" s="37">
        <v>358</v>
      </c>
      <c r="D181" s="25">
        <f>193382</f>
        <v>193382</v>
      </c>
      <c r="F181" s="24">
        <v>1.6899999999999998E-2</v>
      </c>
      <c r="H181" s="24">
        <f>(D181/D190)</f>
        <v>0.1270692565625158</v>
      </c>
      <c r="J181" s="24">
        <f t="shared" si="5"/>
        <v>2.1474704359065169E-3</v>
      </c>
    </row>
    <row r="182" spans="2:10" x14ac:dyDescent="0.25">
      <c r="B182" s="37">
        <v>358.1</v>
      </c>
      <c r="D182" s="25">
        <f>1237</f>
        <v>1237</v>
      </c>
      <c r="F182" s="24">
        <v>1.9300000000000001E-2</v>
      </c>
      <c r="H182" s="24">
        <f>(D182/D190)</f>
        <v>8.1281955077428122E-4</v>
      </c>
      <c r="J182" s="24">
        <f t="shared" si="5"/>
        <v>1.5687417329943627E-5</v>
      </c>
    </row>
    <row r="183" spans="2:10" x14ac:dyDescent="0.25">
      <c r="B183" s="37">
        <v>358.2</v>
      </c>
      <c r="D183" s="25">
        <v>1531</v>
      </c>
      <c r="F183" s="24">
        <v>1.24E-2</v>
      </c>
      <c r="H183" s="24">
        <f>(D183/D190)</f>
        <v>1.0060038255743126E-3</v>
      </c>
      <c r="J183" s="24">
        <f t="shared" si="5"/>
        <v>1.2474447437121475E-5</v>
      </c>
    </row>
    <row r="184" spans="2:10" x14ac:dyDescent="0.25">
      <c r="B184" s="37">
        <v>358.3</v>
      </c>
      <c r="D184" s="25">
        <v>287</v>
      </c>
      <c r="F184" s="24">
        <v>3.0099999999999998E-2</v>
      </c>
      <c r="H184" s="24">
        <f>(D184/D190)</f>
        <v>1.8858464920955433E-4</v>
      </c>
      <c r="J184" s="24">
        <f t="shared" si="5"/>
        <v>5.6763979412075854E-6</v>
      </c>
    </row>
    <row r="185" spans="2:10" x14ac:dyDescent="0.25">
      <c r="B185" s="37">
        <v>359</v>
      </c>
      <c r="D185" s="25">
        <f>9945</f>
        <v>9945</v>
      </c>
      <c r="F185" s="24">
        <v>1.7999999999999999E-2</v>
      </c>
      <c r="H185" s="24">
        <f>(D185/D190)</f>
        <v>6.5347537853275885E-3</v>
      </c>
      <c r="J185" s="24">
        <f t="shared" si="5"/>
        <v>1.1762556813589658E-4</v>
      </c>
    </row>
    <row r="186" spans="2:10" x14ac:dyDescent="0.25">
      <c r="B186" s="37">
        <v>359.1</v>
      </c>
      <c r="D186" s="25">
        <v>331</v>
      </c>
      <c r="F186" s="24">
        <v>1.8700000000000001E-2</v>
      </c>
      <c r="H186" s="24">
        <f>(D186/D190)</f>
        <v>2.1749658149255221E-4</v>
      </c>
      <c r="J186" s="24">
        <f t="shared" si="5"/>
        <v>4.0671860739107268E-6</v>
      </c>
    </row>
    <row r="187" spans="2:10" x14ac:dyDescent="0.25">
      <c r="B187" s="37">
        <v>359.2</v>
      </c>
      <c r="D187" s="25">
        <v>444</v>
      </c>
      <c r="F187" s="24">
        <v>1.49E-2</v>
      </c>
      <c r="H187" s="24">
        <f>(D187/D190)</f>
        <v>2.917476803102513E-4</v>
      </c>
      <c r="J187" s="24">
        <f t="shared" si="5"/>
        <v>4.3470404366227443E-6</v>
      </c>
    </row>
    <row r="188" spans="2:10" x14ac:dyDescent="0.25">
      <c r="B188" s="37">
        <v>359.3</v>
      </c>
      <c r="D188" s="25">
        <v>5</v>
      </c>
      <c r="F188" s="24">
        <v>3.0099999999999998E-2</v>
      </c>
      <c r="H188" s="24">
        <f>(D188/D190)</f>
        <v>3.285446850340668E-6</v>
      </c>
      <c r="J188" s="24">
        <f t="shared" si="5"/>
        <v>9.8891950195254105E-8</v>
      </c>
    </row>
    <row r="189" spans="2:10" ht="5.15" customHeight="1" x14ac:dyDescent="0.25">
      <c r="D189" s="38"/>
      <c r="H189" s="39"/>
      <c r="J189" s="38"/>
    </row>
    <row r="190" spans="2:10" x14ac:dyDescent="0.25">
      <c r="B190" s="17" t="s">
        <v>25</v>
      </c>
      <c r="D190" s="25">
        <f>SUM(D155:D189)</f>
        <v>1521863</v>
      </c>
      <c r="H190" s="24">
        <f>SUM(H155:H189)</f>
        <v>0.99999999999999989</v>
      </c>
      <c r="J190" s="24">
        <f>SUM(J155:J189)</f>
        <v>2.3493931713958475E-2</v>
      </c>
    </row>
    <row r="191" spans="2:10" ht="13" thickBot="1" x14ac:dyDescent="0.3"/>
    <row r="192" spans="2:10" ht="13" thickBot="1" x14ac:dyDescent="0.3">
      <c r="B192" s="40" t="s">
        <v>55</v>
      </c>
      <c r="C192" s="41"/>
      <c r="D192" s="41"/>
      <c r="E192" s="41"/>
      <c r="F192" s="41"/>
      <c r="G192" s="41"/>
      <c r="H192" s="41"/>
      <c r="I192" s="41"/>
      <c r="J192" s="42"/>
    </row>
    <row r="193" spans="2:10" ht="39.75" customHeight="1" x14ac:dyDescent="0.25">
      <c r="B193" s="34" t="s">
        <v>46</v>
      </c>
      <c r="C193" s="35"/>
      <c r="D193" s="34" t="s">
        <v>47</v>
      </c>
      <c r="E193" s="35"/>
      <c r="F193" s="34" t="s">
        <v>48</v>
      </c>
      <c r="G193" s="35"/>
      <c r="H193" s="36" t="s">
        <v>49</v>
      </c>
      <c r="I193" s="35"/>
      <c r="J193" s="36" t="s">
        <v>50</v>
      </c>
    </row>
    <row r="194" spans="2:10" ht="5.15" customHeight="1" x14ac:dyDescent="0.25"/>
    <row r="195" spans="2:10" x14ac:dyDescent="0.25">
      <c r="B195" s="37">
        <v>350.2</v>
      </c>
      <c r="D195" s="25">
        <f>1471</f>
        <v>1471</v>
      </c>
      <c r="F195" s="24">
        <v>1.2500000000000001E-2</v>
      </c>
      <c r="H195" s="24">
        <f>(D195/D229)</f>
        <v>1.1213753504774422E-3</v>
      </c>
      <c r="J195" s="24">
        <f>F195*H195</f>
        <v>1.4017191880968029E-5</v>
      </c>
    </row>
    <row r="196" spans="2:10" x14ac:dyDescent="0.25">
      <c r="B196" s="37">
        <v>352</v>
      </c>
      <c r="D196" s="25">
        <v>32160</v>
      </c>
      <c r="F196" s="24">
        <v>2.9499999999999998E-2</v>
      </c>
      <c r="H196" s="24">
        <f>(D196/D229)</f>
        <v>2.4516268709282488E-2</v>
      </c>
      <c r="J196" s="24">
        <f t="shared" ref="J196:J227" si="6">F196*H196</f>
        <v>7.232299269238333E-4</v>
      </c>
    </row>
    <row r="197" spans="2:10" x14ac:dyDescent="0.25">
      <c r="B197" s="37">
        <v>352.1</v>
      </c>
      <c r="D197" s="25">
        <v>96</v>
      </c>
      <c r="F197" s="24">
        <v>2.4400000000000002E-2</v>
      </c>
      <c r="H197" s="24">
        <f>(D197/D229)</f>
        <v>7.318289166949996E-5</v>
      </c>
      <c r="J197" s="24">
        <f t="shared" si="6"/>
        <v>1.7856625567357991E-6</v>
      </c>
    </row>
    <row r="198" spans="2:10" x14ac:dyDescent="0.25">
      <c r="B198" s="37">
        <v>352.2</v>
      </c>
      <c r="D198" s="25">
        <v>116</v>
      </c>
      <c r="F198" s="24">
        <v>3.27E-2</v>
      </c>
      <c r="H198" s="24">
        <f>(D198/D229)</f>
        <v>8.8429327433979117E-5</v>
      </c>
      <c r="J198" s="24">
        <f t="shared" si="6"/>
        <v>2.8916390070911172E-6</v>
      </c>
    </row>
    <row r="199" spans="2:10" x14ac:dyDescent="0.25">
      <c r="B199" s="37">
        <v>352.3</v>
      </c>
      <c r="D199" s="25">
        <v>88</v>
      </c>
      <c r="F199" s="24">
        <v>3.0099999999999998E-2</v>
      </c>
      <c r="H199" s="24">
        <f>(D199/D229)</f>
        <v>6.7084317363708294E-5</v>
      </c>
      <c r="J199" s="24">
        <f t="shared" si="6"/>
        <v>2.0192379526476195E-6</v>
      </c>
    </row>
    <row r="200" spans="2:10" x14ac:dyDescent="0.25">
      <c r="B200" s="37">
        <v>353</v>
      </c>
      <c r="D200" s="25">
        <v>725689</v>
      </c>
      <c r="F200" s="24">
        <v>2.6700000000000002E-2</v>
      </c>
      <c r="H200" s="24">
        <f>(D200/D229)</f>
        <v>0.55320853617445587</v>
      </c>
      <c r="J200" s="24">
        <f t="shared" si="6"/>
        <v>1.4770667915857972E-2</v>
      </c>
    </row>
    <row r="201" spans="2:10" x14ac:dyDescent="0.25">
      <c r="B201" s="37">
        <v>353.1</v>
      </c>
      <c r="D201" s="25">
        <v>5516</v>
      </c>
      <c r="F201" s="24">
        <v>1.95E-2</v>
      </c>
      <c r="H201" s="24">
        <f>(D201/D229)</f>
        <v>4.2049669838433524E-3</v>
      </c>
      <c r="J201" s="24">
        <f t="shared" si="6"/>
        <v>8.1996856184945376E-5</v>
      </c>
    </row>
    <row r="202" spans="2:10" x14ac:dyDescent="0.25">
      <c r="B202" s="37">
        <v>353.2</v>
      </c>
      <c r="D202" s="25">
        <v>7391</v>
      </c>
      <c r="F202" s="24">
        <v>3.0700000000000002E-2</v>
      </c>
      <c r="H202" s="24">
        <f>(D202/D229)</f>
        <v>5.6343203367632735E-3</v>
      </c>
      <c r="J202" s="24">
        <f t="shared" si="6"/>
        <v>1.729736343386325E-4</v>
      </c>
    </row>
    <row r="203" spans="2:10" x14ac:dyDescent="0.25">
      <c r="B203" s="37">
        <v>353.3</v>
      </c>
      <c r="D203" s="25">
        <v>1254</v>
      </c>
      <c r="F203" s="24">
        <v>3.0099999999999998E-2</v>
      </c>
      <c r="H203" s="24">
        <f>(D203/D229)</f>
        <v>9.5595152243284321E-4</v>
      </c>
      <c r="J203" s="24">
        <f t="shared" si="6"/>
        <v>2.877414082522858E-5</v>
      </c>
    </row>
    <row r="204" spans="2:10" x14ac:dyDescent="0.25">
      <c r="B204" s="37">
        <v>354</v>
      </c>
      <c r="D204" s="25">
        <v>110272</v>
      </c>
      <c r="F204" s="24">
        <v>1.9699999999999999E-2</v>
      </c>
      <c r="H204" s="24">
        <f>(D204/D229)</f>
        <v>8.4062748231032297E-2</v>
      </c>
      <c r="J204" s="24">
        <f t="shared" si="6"/>
        <v>1.6560361401513361E-3</v>
      </c>
    </row>
    <row r="205" spans="2:10" x14ac:dyDescent="0.25">
      <c r="B205" s="37">
        <v>354.1</v>
      </c>
      <c r="D205" s="25">
        <v>2664</v>
      </c>
      <c r="F205" s="24">
        <v>1.6899999999999998E-2</v>
      </c>
      <c r="H205" s="24">
        <f>(D205/D229)</f>
        <v>2.0308252438286239E-3</v>
      </c>
      <c r="J205" s="24">
        <f t="shared" si="6"/>
        <v>3.4320946620703743E-5</v>
      </c>
    </row>
    <row r="206" spans="2:10" x14ac:dyDescent="0.25">
      <c r="B206" s="37">
        <v>353.2</v>
      </c>
      <c r="D206" s="25">
        <v>3757</v>
      </c>
      <c r="F206" s="24">
        <v>1.9099999999999999E-2</v>
      </c>
      <c r="H206" s="24">
        <f>(D206/D229)</f>
        <v>2.8640429583574102E-3</v>
      </c>
      <c r="J206" s="24">
        <f t="shared" si="6"/>
        <v>5.4703220504626529E-5</v>
      </c>
    </row>
    <row r="207" spans="2:10" x14ac:dyDescent="0.25">
      <c r="B207" s="37">
        <v>354.3</v>
      </c>
      <c r="D207" s="25">
        <f>1000</f>
        <v>1000</v>
      </c>
      <c r="F207" s="24">
        <v>3.0099999999999998E-2</v>
      </c>
      <c r="H207" s="24">
        <f>(D207/D229)</f>
        <v>7.6232178822395794E-4</v>
      </c>
      <c r="J207" s="24">
        <f t="shared" si="6"/>
        <v>2.2945885825541132E-5</v>
      </c>
    </row>
    <row r="208" spans="2:10" x14ac:dyDescent="0.25">
      <c r="B208" s="37">
        <v>355</v>
      </c>
      <c r="D208" s="25">
        <v>12820</v>
      </c>
      <c r="F208" s="24">
        <v>2.8199999999999999E-2</v>
      </c>
      <c r="H208" s="24">
        <f>(D208/D229)</f>
        <v>9.7729653250311407E-3</v>
      </c>
      <c r="J208" s="24">
        <f t="shared" si="6"/>
        <v>2.7559762216587815E-4</v>
      </c>
    </row>
    <row r="209" spans="2:10" x14ac:dyDescent="0.25">
      <c r="B209" s="37">
        <v>355.1</v>
      </c>
      <c r="D209" s="25">
        <v>34</v>
      </c>
      <c r="F209" s="24">
        <v>2.63E-2</v>
      </c>
      <c r="H209" s="24">
        <f>(D209/D229)</f>
        <v>2.5918940799614569E-5</v>
      </c>
      <c r="J209" s="24">
        <f t="shared" si="6"/>
        <v>6.8166814302986313E-7</v>
      </c>
    </row>
    <row r="210" spans="2:10" x14ac:dyDescent="0.25">
      <c r="B210" s="37">
        <v>355.2</v>
      </c>
      <c r="D210" s="25">
        <v>46</v>
      </c>
      <c r="F210" s="24">
        <v>2.9100000000000001E-2</v>
      </c>
      <c r="H210" s="24">
        <f>(D210/D229)</f>
        <v>3.5066802258302067E-5</v>
      </c>
      <c r="J210" s="24">
        <f t="shared" si="6"/>
        <v>1.0204439457165902E-6</v>
      </c>
    </row>
    <row r="211" spans="2:10" x14ac:dyDescent="0.25">
      <c r="B211" s="37">
        <v>355.3</v>
      </c>
      <c r="D211" s="25">
        <v>6</v>
      </c>
      <c r="F211" s="24">
        <v>3.0099999999999998E-2</v>
      </c>
      <c r="H211" s="24">
        <f>(D211/D229)</f>
        <v>4.5739307293437475E-6</v>
      </c>
      <c r="J211" s="24">
        <f t="shared" si="6"/>
        <v>1.376753149532468E-7</v>
      </c>
    </row>
    <row r="212" spans="2:10" x14ac:dyDescent="0.25">
      <c r="B212" s="37">
        <v>356</v>
      </c>
      <c r="D212" s="25">
        <v>120790</v>
      </c>
      <c r="F212" s="24">
        <v>1.7899999999999999E-2</v>
      </c>
      <c r="H212" s="24">
        <f>(D212/D229)</f>
        <v>9.2080848799571874E-2</v>
      </c>
      <c r="J212" s="24">
        <f t="shared" si="6"/>
        <v>1.6482471935123364E-3</v>
      </c>
    </row>
    <row r="213" spans="2:10" x14ac:dyDescent="0.25">
      <c r="B213" s="37">
        <v>356.1</v>
      </c>
      <c r="D213" s="25">
        <v>943</v>
      </c>
      <c r="F213" s="24">
        <v>1.7999999999999999E-2</v>
      </c>
      <c r="H213" s="24">
        <f>(D213/D229)</f>
        <v>7.1886944629519234E-4</v>
      </c>
      <c r="J213" s="24">
        <f t="shared" si="6"/>
        <v>1.2939650033313461E-5</v>
      </c>
    </row>
    <row r="214" spans="2:10" x14ac:dyDescent="0.25">
      <c r="B214" s="37">
        <v>356.2</v>
      </c>
      <c r="D214" s="25">
        <v>1598</v>
      </c>
      <c r="F214" s="24">
        <v>1.5100000000000001E-2</v>
      </c>
      <c r="H214" s="24">
        <f>(D214/D229)</f>
        <v>1.2181902175818849E-3</v>
      </c>
      <c r="J214" s="24">
        <f t="shared" si="6"/>
        <v>1.8394672285486463E-5</v>
      </c>
    </row>
    <row r="215" spans="2:10" x14ac:dyDescent="0.25">
      <c r="B215" s="37">
        <v>356.3</v>
      </c>
      <c r="D215" s="25">
        <v>296</v>
      </c>
      <c r="F215" s="24">
        <v>3.0099999999999998E-2</v>
      </c>
      <c r="H215" s="24">
        <f>(D215/D229)</f>
        <v>2.2564724931429156E-4</v>
      </c>
      <c r="J215" s="24">
        <f t="shared" si="6"/>
        <v>6.791982204360176E-6</v>
      </c>
    </row>
    <row r="216" spans="2:10" x14ac:dyDescent="0.25">
      <c r="B216" s="37">
        <v>357</v>
      </c>
      <c r="D216" s="25">
        <v>83377</v>
      </c>
      <c r="F216" s="24">
        <v>1.77E-2</v>
      </c>
      <c r="H216" s="24">
        <f>(D216/D229)</f>
        <v>6.3560103736748946E-2</v>
      </c>
      <c r="J216" s="24">
        <f t="shared" si="6"/>
        <v>1.1250138361404564E-3</v>
      </c>
    </row>
    <row r="217" spans="2:10" x14ac:dyDescent="0.25">
      <c r="B217" s="37">
        <v>357.1</v>
      </c>
      <c r="D217" s="25">
        <f>812</f>
        <v>812</v>
      </c>
      <c r="F217" s="24">
        <v>1.7500000000000002E-2</v>
      </c>
      <c r="H217" s="24">
        <f>(D217/D229)</f>
        <v>6.1900529203785381E-4</v>
      </c>
      <c r="J217" s="24">
        <f t="shared" si="6"/>
        <v>1.0832592610662442E-5</v>
      </c>
    </row>
    <row r="218" spans="2:10" x14ac:dyDescent="0.25">
      <c r="B218" s="37">
        <v>357.2</v>
      </c>
      <c r="D218" s="25">
        <f>903</f>
        <v>903</v>
      </c>
      <c r="F218" s="24">
        <v>1.4999999999999999E-2</v>
      </c>
      <c r="H218" s="24">
        <f>(D218/D229)</f>
        <v>6.8837657476623405E-4</v>
      </c>
      <c r="J218" s="24">
        <f t="shared" si="6"/>
        <v>1.0325648621493511E-5</v>
      </c>
    </row>
    <row r="219" spans="2:10" x14ac:dyDescent="0.25">
      <c r="B219" s="37">
        <v>357.3</v>
      </c>
      <c r="D219" s="25">
        <f>201</f>
        <v>201</v>
      </c>
      <c r="F219" s="24">
        <v>3.0099999999999998E-2</v>
      </c>
      <c r="H219" s="24">
        <f>(D219/D229)</f>
        <v>1.5322667943301556E-4</v>
      </c>
      <c r="J219" s="24">
        <f t="shared" si="6"/>
        <v>4.6121230509337681E-6</v>
      </c>
    </row>
    <row r="220" spans="2:10" x14ac:dyDescent="0.25">
      <c r="B220" s="37">
        <v>358</v>
      </c>
      <c r="D220" s="25">
        <v>187089</v>
      </c>
      <c r="F220" s="24">
        <v>1.6899999999999998E-2</v>
      </c>
      <c r="H220" s="24">
        <f>(D220/D229)</f>
        <v>0.14262202103703206</v>
      </c>
      <c r="J220" s="24">
        <f t="shared" si="6"/>
        <v>2.4103121555258417E-3</v>
      </c>
    </row>
    <row r="221" spans="2:10" x14ac:dyDescent="0.25">
      <c r="B221" s="37">
        <v>358.1</v>
      </c>
      <c r="D221" s="25">
        <v>1238</v>
      </c>
      <c r="F221" s="24">
        <v>1.9300000000000001E-2</v>
      </c>
      <c r="H221" s="24">
        <f>(D221/D229)</f>
        <v>9.4375437382125996E-4</v>
      </c>
      <c r="J221" s="24">
        <f t="shared" si="6"/>
        <v>1.8214459414750317E-5</v>
      </c>
    </row>
    <row r="222" spans="2:10" x14ac:dyDescent="0.25">
      <c r="B222" s="37">
        <v>358.2</v>
      </c>
      <c r="D222" s="25">
        <v>1532</v>
      </c>
      <c r="F222" s="24">
        <v>1.24E-2</v>
      </c>
      <c r="H222" s="24">
        <f>(D222/D229)</f>
        <v>1.1678769795591035E-3</v>
      </c>
      <c r="J222" s="24">
        <f t="shared" si="6"/>
        <v>1.4481674546532882E-5</v>
      </c>
    </row>
    <row r="223" spans="2:10" x14ac:dyDescent="0.25">
      <c r="B223" s="37">
        <v>358.3</v>
      </c>
      <c r="D223" s="25">
        <f>287</f>
        <v>287</v>
      </c>
      <c r="F223" s="24">
        <v>3.0099999999999998E-2</v>
      </c>
      <c r="H223" s="24">
        <f>(D223/D229)</f>
        <v>2.1878635322027592E-4</v>
      </c>
      <c r="J223" s="24">
        <f t="shared" si="6"/>
        <v>6.5854692319303045E-6</v>
      </c>
    </row>
    <row r="224" spans="2:10" x14ac:dyDescent="0.25">
      <c r="B224" s="37">
        <v>359</v>
      </c>
      <c r="D224" s="25">
        <v>7556</v>
      </c>
      <c r="F224" s="24">
        <v>1.7999999999999999E-2</v>
      </c>
      <c r="H224" s="24">
        <f>(D224/D229)</f>
        <v>5.7601034318202262E-3</v>
      </c>
      <c r="J224" s="24">
        <f t="shared" si="6"/>
        <v>1.0368186177276407E-4</v>
      </c>
    </row>
    <row r="225" spans="2:10" x14ac:dyDescent="0.25">
      <c r="B225" s="37">
        <v>359.1</v>
      </c>
      <c r="D225" s="25">
        <v>331</v>
      </c>
      <c r="F225" s="24">
        <v>1.8700000000000001E-2</v>
      </c>
      <c r="H225" s="24">
        <f>(D225/D229)</f>
        <v>2.5232851190213007E-4</v>
      </c>
      <c r="J225" s="24">
        <f t="shared" si="6"/>
        <v>4.7185431725698331E-6</v>
      </c>
    </row>
    <row r="226" spans="2:10" x14ac:dyDescent="0.25">
      <c r="B226" s="37">
        <v>359.2</v>
      </c>
      <c r="D226" s="25">
        <v>444</v>
      </c>
      <c r="F226" s="24">
        <v>1.49E-2</v>
      </c>
      <c r="H226" s="24">
        <f>(D226/D229)</f>
        <v>3.3847087397143732E-4</v>
      </c>
      <c r="J226" s="24">
        <f t="shared" si="6"/>
        <v>5.0432160221744161E-6</v>
      </c>
    </row>
    <row r="227" spans="2:10" x14ac:dyDescent="0.25">
      <c r="B227" s="37">
        <v>359.3</v>
      </c>
      <c r="D227" s="25">
        <v>5</v>
      </c>
      <c r="F227" s="24">
        <v>3.0099999999999998E-2</v>
      </c>
      <c r="H227" s="24">
        <f>(D227/D229)</f>
        <v>3.8116089411197897E-6</v>
      </c>
      <c r="J227" s="24">
        <f t="shared" si="6"/>
        <v>1.1472942912770566E-7</v>
      </c>
    </row>
    <row r="228" spans="2:10" ht="5.15" customHeight="1" x14ac:dyDescent="0.25">
      <c r="D228" s="38"/>
      <c r="H228" s="39"/>
      <c r="J228" s="38"/>
    </row>
    <row r="229" spans="2:10" x14ac:dyDescent="0.25">
      <c r="B229" s="17" t="s">
        <v>25</v>
      </c>
      <c r="D229" s="25">
        <f>SUM(D194:D228)</f>
        <v>1311782</v>
      </c>
      <c r="H229" s="24">
        <f>SUM(H194:H228)</f>
        <v>1</v>
      </c>
      <c r="J229" s="24">
        <f>SUM(J194:J228)</f>
        <v>2.3244109615774576E-2</v>
      </c>
    </row>
    <row r="230" spans="2:10" ht="13" thickBot="1" x14ac:dyDescent="0.3"/>
    <row r="231" spans="2:10" ht="13" thickBot="1" x14ac:dyDescent="0.3">
      <c r="B231" s="40" t="s">
        <v>56</v>
      </c>
      <c r="C231" s="41"/>
      <c r="D231" s="41"/>
      <c r="E231" s="41"/>
      <c r="F231" s="41"/>
      <c r="G231" s="41"/>
      <c r="H231" s="41"/>
      <c r="I231" s="41"/>
      <c r="J231" s="42"/>
    </row>
    <row r="232" spans="2:10" ht="39.75" customHeight="1" x14ac:dyDescent="0.25">
      <c r="B232" s="34" t="s">
        <v>46</v>
      </c>
      <c r="C232" s="35"/>
      <c r="D232" s="34" t="s">
        <v>47</v>
      </c>
      <c r="E232" s="35"/>
      <c r="F232" s="34" t="s">
        <v>48</v>
      </c>
      <c r="G232" s="35"/>
      <c r="H232" s="36" t="s">
        <v>49</v>
      </c>
      <c r="I232" s="35"/>
      <c r="J232" s="36" t="s">
        <v>50</v>
      </c>
    </row>
    <row r="233" spans="2:10" ht="5.15" customHeight="1" x14ac:dyDescent="0.25"/>
    <row r="234" spans="2:10" x14ac:dyDescent="0.25">
      <c r="B234" s="37">
        <v>350.2</v>
      </c>
      <c r="D234" s="25">
        <v>1473</v>
      </c>
      <c r="F234" s="24">
        <v>1.2500000000000001E-2</v>
      </c>
      <c r="H234" s="24">
        <f>(D234/D268)</f>
        <v>1.1630073649237611E-3</v>
      </c>
      <c r="J234" s="24">
        <f>F234*H234</f>
        <v>1.4537592061547014E-5</v>
      </c>
    </row>
    <row r="235" spans="2:10" x14ac:dyDescent="0.25">
      <c r="B235" s="37">
        <v>352</v>
      </c>
      <c r="D235" s="25">
        <f>29728</f>
        <v>29728</v>
      </c>
      <c r="F235" s="24">
        <v>2.9499999999999998E-2</v>
      </c>
      <c r="H235" s="24">
        <f>(D235/D268)</f>
        <v>2.3471746737578798E-2</v>
      </c>
      <c r="J235" s="24">
        <f t="shared" ref="J235:J266" si="7">F235*H235</f>
        <v>6.9241652875857453E-4</v>
      </c>
    </row>
    <row r="236" spans="2:10" x14ac:dyDescent="0.25">
      <c r="B236" s="37">
        <v>352.1</v>
      </c>
      <c r="D236" s="25">
        <f>98</f>
        <v>98</v>
      </c>
      <c r="F236" s="24">
        <v>2.4400000000000002E-2</v>
      </c>
      <c r="H236" s="24">
        <f>(D236/D268)</f>
        <v>7.737591429906896E-5</v>
      </c>
      <c r="J236" s="24">
        <f t="shared" si="7"/>
        <v>1.8879723088972829E-6</v>
      </c>
    </row>
    <row r="237" spans="2:10" x14ac:dyDescent="0.25">
      <c r="B237" s="37">
        <v>352.2</v>
      </c>
      <c r="D237" s="25">
        <f>118</f>
        <v>118</v>
      </c>
      <c r="F237" s="24">
        <v>3.27E-2</v>
      </c>
      <c r="H237" s="24">
        <f>(D237/D268)</f>
        <v>9.3166917217246296E-5</v>
      </c>
      <c r="J237" s="24">
        <f t="shared" si="7"/>
        <v>3.046558193003954E-6</v>
      </c>
    </row>
    <row r="238" spans="2:10" x14ac:dyDescent="0.25">
      <c r="B238" s="37">
        <v>352.3</v>
      </c>
      <c r="D238" s="25">
        <f>68</f>
        <v>68</v>
      </c>
      <c r="F238" s="24">
        <v>3.0099999999999998E-2</v>
      </c>
      <c r="H238" s="24">
        <f>(D238/D268)</f>
        <v>5.368940992180295E-5</v>
      </c>
      <c r="J238" s="24">
        <f t="shared" si="7"/>
        <v>1.6160512386462688E-6</v>
      </c>
    </row>
    <row r="239" spans="2:10" x14ac:dyDescent="0.25">
      <c r="B239" s="37">
        <v>353</v>
      </c>
      <c r="D239" s="25">
        <f>686876</f>
        <v>686876</v>
      </c>
      <c r="F239" s="24">
        <v>2.6700000000000002E-2</v>
      </c>
      <c r="H239" s="24">
        <f>(D239/D268)</f>
        <v>0.54232304602129888</v>
      </c>
      <c r="J239" s="24">
        <f t="shared" si="7"/>
        <v>1.4480025328768681E-2</v>
      </c>
    </row>
    <row r="240" spans="2:10" x14ac:dyDescent="0.25">
      <c r="B240" s="37">
        <v>353.1</v>
      </c>
      <c r="D240" s="25">
        <f>5579</f>
        <v>5579</v>
      </c>
      <c r="F240" s="24">
        <v>1.95E-2</v>
      </c>
      <c r="H240" s="24">
        <f>(D240/D268)</f>
        <v>4.4049002640255686E-3</v>
      </c>
      <c r="J240" s="24">
        <f t="shared" si="7"/>
        <v>8.5895555148498586E-5</v>
      </c>
    </row>
    <row r="241" spans="2:10" x14ac:dyDescent="0.25">
      <c r="B241" s="37">
        <v>353.2</v>
      </c>
      <c r="D241" s="25">
        <f>7540</f>
        <v>7540</v>
      </c>
      <c r="F241" s="24">
        <v>3.0700000000000002E-2</v>
      </c>
      <c r="H241" s="24">
        <f>(D241/D268)</f>
        <v>5.9532081001528571E-3</v>
      </c>
      <c r="J241" s="24">
        <f t="shared" si="7"/>
        <v>1.8276348867469271E-4</v>
      </c>
    </row>
    <row r="242" spans="2:10" x14ac:dyDescent="0.25">
      <c r="B242" s="37">
        <v>353.3</v>
      </c>
      <c r="D242" s="25">
        <v>1282</v>
      </c>
      <c r="F242" s="24">
        <v>3.0099999999999998E-2</v>
      </c>
      <c r="H242" s="24">
        <f>(D242/D268)</f>
        <v>1.0122032870551675E-3</v>
      </c>
      <c r="J242" s="24">
        <f t="shared" si="7"/>
        <v>3.046731894036054E-5</v>
      </c>
    </row>
    <row r="243" spans="2:10" x14ac:dyDescent="0.25">
      <c r="B243" s="37">
        <v>354</v>
      </c>
      <c r="D243" s="25">
        <v>110937</v>
      </c>
      <c r="F243" s="24">
        <v>1.9699999999999999E-2</v>
      </c>
      <c r="H243" s="24">
        <f>(D243/D268)</f>
        <v>8.759032453669198E-2</v>
      </c>
      <c r="J243" s="24">
        <f t="shared" si="7"/>
        <v>1.7255293933728319E-3</v>
      </c>
    </row>
    <row r="244" spans="2:10" x14ac:dyDescent="0.25">
      <c r="B244" s="37">
        <v>354.1</v>
      </c>
      <c r="D244" s="25">
        <v>2664</v>
      </c>
      <c r="F244" s="24">
        <v>1.6899999999999998E-2</v>
      </c>
      <c r="H244" s="24">
        <f>(D244/D268)</f>
        <v>2.1033615887012217E-3</v>
      </c>
      <c r="J244" s="24">
        <f t="shared" si="7"/>
        <v>3.5546810849050645E-5</v>
      </c>
    </row>
    <row r="245" spans="2:10" x14ac:dyDescent="0.25">
      <c r="B245" s="37">
        <v>353.2</v>
      </c>
      <c r="D245" s="25">
        <v>3757</v>
      </c>
      <c r="F245" s="24">
        <v>1.9099999999999999E-2</v>
      </c>
      <c r="H245" s="24">
        <f>(D245/D268)</f>
        <v>2.9663398981796133E-3</v>
      </c>
      <c r="J245" s="24">
        <f t="shared" si="7"/>
        <v>5.6657092055230609E-5</v>
      </c>
    </row>
    <row r="246" spans="2:10" x14ac:dyDescent="0.25">
      <c r="B246" s="37">
        <v>354.3</v>
      </c>
      <c r="D246" s="25">
        <v>1000</v>
      </c>
      <c r="F246" s="24">
        <v>3.0099999999999998E-2</v>
      </c>
      <c r="H246" s="24">
        <f>(D246/D268)</f>
        <v>7.8955014590886699E-4</v>
      </c>
      <c r="J246" s="24">
        <f t="shared" si="7"/>
        <v>2.3765459391856895E-5</v>
      </c>
    </row>
    <row r="247" spans="2:10" x14ac:dyDescent="0.25">
      <c r="B247" s="37">
        <v>355</v>
      </c>
      <c r="D247" s="25">
        <v>12736</v>
      </c>
      <c r="F247" s="24">
        <v>2.8199999999999999E-2</v>
      </c>
      <c r="H247" s="24">
        <f>(D247/D268)</f>
        <v>1.005571065829533E-2</v>
      </c>
      <c r="J247" s="24">
        <f t="shared" si="7"/>
        <v>2.8357104056392829E-4</v>
      </c>
    </row>
    <row r="248" spans="2:10" x14ac:dyDescent="0.25">
      <c r="B248" s="37">
        <v>355.1</v>
      </c>
      <c r="D248" s="25">
        <v>34</v>
      </c>
      <c r="F248" s="24">
        <v>2.63E-2</v>
      </c>
      <c r="H248" s="24">
        <f>(D248/D268)</f>
        <v>2.6844704960901475E-5</v>
      </c>
      <c r="J248" s="24">
        <f t="shared" si="7"/>
        <v>7.0601574047170886E-7</v>
      </c>
    </row>
    <row r="249" spans="2:10" x14ac:dyDescent="0.25">
      <c r="B249" s="37">
        <v>355.2</v>
      </c>
      <c r="D249" s="25">
        <v>46</v>
      </c>
      <c r="F249" s="24">
        <v>2.9100000000000001E-2</v>
      </c>
      <c r="H249" s="24">
        <f>(D249/D268)</f>
        <v>3.6319306711807877E-5</v>
      </c>
      <c r="J249" s="24">
        <f t="shared" si="7"/>
        <v>1.0568918253136092E-6</v>
      </c>
    </row>
    <row r="250" spans="2:10" x14ac:dyDescent="0.25">
      <c r="B250" s="37">
        <v>355.3</v>
      </c>
      <c r="D250" s="25">
        <f>6</f>
        <v>6</v>
      </c>
      <c r="F250" s="24">
        <v>3.0099999999999998E-2</v>
      </c>
      <c r="H250" s="24">
        <f>(D250/D268)</f>
        <v>4.7373008754532018E-6</v>
      </c>
      <c r="J250" s="24">
        <f t="shared" si="7"/>
        <v>1.4259275635114137E-7</v>
      </c>
    </row>
    <row r="251" spans="2:10" x14ac:dyDescent="0.25">
      <c r="B251" s="37">
        <v>356</v>
      </c>
      <c r="D251" s="25">
        <v>116221</v>
      </c>
      <c r="F251" s="24">
        <v>1.7899999999999999E-2</v>
      </c>
      <c r="H251" s="24">
        <f>(D251/D268)</f>
        <v>9.1762307507674432E-2</v>
      </c>
      <c r="J251" s="24">
        <f t="shared" si="7"/>
        <v>1.6425453043873723E-3</v>
      </c>
    </row>
    <row r="252" spans="2:10" x14ac:dyDescent="0.25">
      <c r="B252" s="37">
        <v>356.1</v>
      </c>
      <c r="D252" s="25">
        <v>943</v>
      </c>
      <c r="F252" s="24">
        <v>1.7999999999999999E-2</v>
      </c>
      <c r="H252" s="24">
        <f>(D252/D268)</f>
        <v>7.4454578759206155E-4</v>
      </c>
      <c r="J252" s="24">
        <f t="shared" si="7"/>
        <v>1.3401824176657107E-5</v>
      </c>
    </row>
    <row r="253" spans="2:10" x14ac:dyDescent="0.25">
      <c r="B253" s="37">
        <v>356.2</v>
      </c>
      <c r="D253" s="25">
        <v>1598</v>
      </c>
      <c r="F253" s="24">
        <v>1.5100000000000001E-2</v>
      </c>
      <c r="H253" s="24">
        <f>(D253/D268)</f>
        <v>1.2617011331623694E-3</v>
      </c>
      <c r="J253" s="24">
        <f t="shared" si="7"/>
        <v>1.9051687110751777E-5</v>
      </c>
    </row>
    <row r="254" spans="2:10" x14ac:dyDescent="0.25">
      <c r="B254" s="37">
        <v>356.3</v>
      </c>
      <c r="D254" s="25">
        <v>296</v>
      </c>
      <c r="F254" s="24">
        <v>3.0099999999999998E-2</v>
      </c>
      <c r="H254" s="24">
        <f>(D254/D268)</f>
        <v>2.3370684318902463E-4</v>
      </c>
      <c r="J254" s="24">
        <f t="shared" si="7"/>
        <v>7.0345759799896409E-6</v>
      </c>
    </row>
    <row r="255" spans="2:10" x14ac:dyDescent="0.25">
      <c r="B255" s="37">
        <v>357</v>
      </c>
      <c r="D255" s="25">
        <v>82008</v>
      </c>
      <c r="F255" s="24">
        <v>1.77E-2</v>
      </c>
      <c r="H255" s="24">
        <f>(D255/D268)</f>
        <v>6.4749428365694361E-2</v>
      </c>
      <c r="J255" s="24">
        <f t="shared" si="7"/>
        <v>1.1460648820727903E-3</v>
      </c>
    </row>
    <row r="256" spans="2:10" x14ac:dyDescent="0.25">
      <c r="B256" s="37">
        <v>357.1</v>
      </c>
      <c r="D256" s="25">
        <v>812</v>
      </c>
      <c r="F256" s="24">
        <v>1.7500000000000002E-2</v>
      </c>
      <c r="H256" s="24">
        <f>(D256/D268)</f>
        <v>6.41114718478E-4</v>
      </c>
      <c r="J256" s="24">
        <f t="shared" si="7"/>
        <v>1.1219507573365E-5</v>
      </c>
    </row>
    <row r="257" spans="2:10" x14ac:dyDescent="0.25">
      <c r="B257" s="37">
        <v>357.2</v>
      </c>
      <c r="D257" s="25">
        <v>903</v>
      </c>
      <c r="F257" s="24">
        <v>1.4999999999999999E-2</v>
      </c>
      <c r="H257" s="24">
        <f>(D257/D268)</f>
        <v>7.1296378175570688E-4</v>
      </c>
      <c r="J257" s="24">
        <f t="shared" si="7"/>
        <v>1.0694456726335603E-5</v>
      </c>
    </row>
    <row r="258" spans="2:10" x14ac:dyDescent="0.25">
      <c r="B258" s="37">
        <v>357.3</v>
      </c>
      <c r="D258" s="25">
        <v>201</v>
      </c>
      <c r="F258" s="24">
        <v>3.0099999999999998E-2</v>
      </c>
      <c r="H258" s="24">
        <f>(D258/D268)</f>
        <v>1.5869957932768225E-4</v>
      </c>
      <c r="J258" s="24">
        <f t="shared" si="7"/>
        <v>4.7768573377632356E-6</v>
      </c>
    </row>
    <row r="259" spans="2:10" x14ac:dyDescent="0.25">
      <c r="B259" s="37">
        <v>358</v>
      </c>
      <c r="D259" s="25">
        <f>188225</f>
        <v>188225</v>
      </c>
      <c r="F259" s="24">
        <v>1.6899999999999998E-2</v>
      </c>
      <c r="H259" s="24">
        <f>(D259/D268)</f>
        <v>0.14861307621369649</v>
      </c>
      <c r="J259" s="24">
        <f t="shared" si="7"/>
        <v>2.5115609880114703E-3</v>
      </c>
    </row>
    <row r="260" spans="2:10" x14ac:dyDescent="0.25">
      <c r="B260" s="37">
        <v>358.1</v>
      </c>
      <c r="D260" s="25">
        <v>1239</v>
      </c>
      <c r="F260" s="24">
        <v>1.9300000000000001E-2</v>
      </c>
      <c r="H260" s="24">
        <f>(D260/D268)</f>
        <v>9.782526307810862E-4</v>
      </c>
      <c r="J260" s="24">
        <f t="shared" si="7"/>
        <v>1.8880275774074965E-5</v>
      </c>
    </row>
    <row r="261" spans="2:10" x14ac:dyDescent="0.25">
      <c r="B261" s="37">
        <v>358.2</v>
      </c>
      <c r="D261" s="25">
        <v>1533</v>
      </c>
      <c r="F261" s="24">
        <v>1.24E-2</v>
      </c>
      <c r="H261" s="24">
        <f>(D261/D268)</f>
        <v>1.210380373678293E-3</v>
      </c>
      <c r="J261" s="24">
        <f t="shared" si="7"/>
        <v>1.5008716633610832E-5</v>
      </c>
    </row>
    <row r="262" spans="2:10" x14ac:dyDescent="0.25">
      <c r="B262" s="37">
        <v>358.3</v>
      </c>
      <c r="D262" s="25">
        <f>287</f>
        <v>287</v>
      </c>
      <c r="F262" s="24">
        <v>3.0099999999999998E-2</v>
      </c>
      <c r="H262" s="24">
        <f>(D262/D268)</f>
        <v>2.2660089187584483E-4</v>
      </c>
      <c r="J262" s="24">
        <f t="shared" si="7"/>
        <v>6.8206868454629291E-6</v>
      </c>
    </row>
    <row r="263" spans="2:10" x14ac:dyDescent="0.25">
      <c r="B263" s="37">
        <v>359</v>
      </c>
      <c r="D263" s="25">
        <v>7556</v>
      </c>
      <c r="F263" s="24">
        <v>1.7999999999999999E-2</v>
      </c>
      <c r="H263" s="24">
        <f>(D263/D268)</f>
        <v>5.9658409024873991E-3</v>
      </c>
      <c r="J263" s="24">
        <f t="shared" si="7"/>
        <v>1.0738513624477317E-4</v>
      </c>
    </row>
    <row r="264" spans="2:10" x14ac:dyDescent="0.25">
      <c r="B264" s="37">
        <v>359.1</v>
      </c>
      <c r="D264" s="25">
        <v>331</v>
      </c>
      <c r="F264" s="24">
        <v>1.8700000000000001E-2</v>
      </c>
      <c r="H264" s="24">
        <f>(D264/D268)</f>
        <v>2.6134109829583496E-4</v>
      </c>
      <c r="J264" s="24">
        <f t="shared" si="7"/>
        <v>4.8870785381321143E-6</v>
      </c>
    </row>
    <row r="265" spans="2:10" x14ac:dyDescent="0.25">
      <c r="B265" s="37">
        <v>359.2</v>
      </c>
      <c r="D265" s="25">
        <v>444</v>
      </c>
      <c r="F265" s="24">
        <v>1.49E-2</v>
      </c>
      <c r="H265" s="24">
        <f>(D265/D268)</f>
        <v>3.5056026478353692E-4</v>
      </c>
      <c r="J265" s="24">
        <f t="shared" si="7"/>
        <v>5.2233479452747006E-6</v>
      </c>
    </row>
    <row r="266" spans="2:10" x14ac:dyDescent="0.25">
      <c r="B266" s="37">
        <v>359.3</v>
      </c>
      <c r="D266" s="25">
        <v>5</v>
      </c>
      <c r="F266" s="24">
        <v>3.0099999999999998E-2</v>
      </c>
      <c r="H266" s="24">
        <f>(D266/D268)</f>
        <v>3.9477507295443347E-6</v>
      </c>
      <c r="J266" s="24">
        <f t="shared" si="7"/>
        <v>1.1882729695928446E-7</v>
      </c>
    </row>
    <row r="267" spans="2:10" ht="5.15" customHeight="1" x14ac:dyDescent="0.25">
      <c r="D267" s="38"/>
      <c r="H267" s="39"/>
      <c r="J267" s="38"/>
    </row>
    <row r="268" spans="2:10" x14ac:dyDescent="0.25">
      <c r="B268" s="17" t="s">
        <v>25</v>
      </c>
      <c r="D268" s="25">
        <f>SUM(D233:D267)</f>
        <v>1266544</v>
      </c>
      <c r="H268" s="24">
        <f>SUM(H233:H267)</f>
        <v>1.0000000000000002</v>
      </c>
      <c r="J268" s="24">
        <f>SUM(J233:J267)</f>
        <v>2.314430584330273E-2</v>
      </c>
    </row>
    <row r="269" spans="2:10" ht="13" thickBot="1" x14ac:dyDescent="0.3"/>
    <row r="270" spans="2:10" ht="13" thickBot="1" x14ac:dyDescent="0.3">
      <c r="B270" s="40" t="s">
        <v>57</v>
      </c>
      <c r="C270" s="41"/>
      <c r="D270" s="41"/>
      <c r="E270" s="41"/>
      <c r="F270" s="41"/>
      <c r="G270" s="41"/>
      <c r="H270" s="41"/>
      <c r="I270" s="41"/>
      <c r="J270" s="42"/>
    </row>
    <row r="271" spans="2:10" ht="39.75" customHeight="1" x14ac:dyDescent="0.25">
      <c r="B271" s="34" t="s">
        <v>46</v>
      </c>
      <c r="C271" s="35"/>
      <c r="D271" s="34" t="s">
        <v>47</v>
      </c>
      <c r="E271" s="35"/>
      <c r="F271" s="34" t="s">
        <v>48</v>
      </c>
      <c r="G271" s="35"/>
      <c r="H271" s="36" t="s">
        <v>49</v>
      </c>
      <c r="I271" s="35"/>
      <c r="J271" s="36" t="s">
        <v>50</v>
      </c>
    </row>
    <row r="272" spans="2:10" ht="5.15" customHeight="1" x14ac:dyDescent="0.25"/>
    <row r="273" spans="2:10" x14ac:dyDescent="0.25">
      <c r="B273" s="37">
        <v>350.2</v>
      </c>
      <c r="D273" s="25">
        <v>1473</v>
      </c>
      <c r="F273" s="24">
        <v>1.2500000000000001E-2</v>
      </c>
      <c r="H273" s="24">
        <f>(D273/D307)</f>
        <v>1.2374511698240013E-3</v>
      </c>
      <c r="J273" s="24">
        <f>F273*H273</f>
        <v>1.5468139622800018E-5</v>
      </c>
    </row>
    <row r="274" spans="2:10" x14ac:dyDescent="0.25">
      <c r="B274" s="37">
        <v>352</v>
      </c>
      <c r="D274" s="25">
        <v>29451</v>
      </c>
      <c r="F274" s="24">
        <v>2.9499999999999998E-2</v>
      </c>
      <c r="H274" s="24">
        <f>(D274/D307)</f>
        <v>2.4741462595035072E-2</v>
      </c>
      <c r="J274" s="24">
        <f t="shared" ref="J274:J305" si="8">F274*H274</f>
        <v>7.2987314655353463E-4</v>
      </c>
    </row>
    <row r="275" spans="2:10" x14ac:dyDescent="0.25">
      <c r="B275" s="37">
        <v>352.1</v>
      </c>
      <c r="D275" s="25">
        <v>99</v>
      </c>
      <c r="F275" s="24">
        <v>2.4400000000000002E-2</v>
      </c>
      <c r="H275" s="24">
        <f>(D275/D307)</f>
        <v>8.3168815894484814E-5</v>
      </c>
      <c r="J275" s="24">
        <f t="shared" si="8"/>
        <v>2.0293191078254295E-6</v>
      </c>
    </row>
    <row r="276" spans="2:10" x14ac:dyDescent="0.25">
      <c r="B276" s="37">
        <v>352.2</v>
      </c>
      <c r="D276" s="25">
        <v>114</v>
      </c>
      <c r="F276" s="24">
        <v>3.27E-2</v>
      </c>
      <c r="H276" s="24">
        <f>(D276/D307)</f>
        <v>9.5770151636073421E-5</v>
      </c>
      <c r="J276" s="24">
        <f t="shared" si="8"/>
        <v>3.1316839584996008E-6</v>
      </c>
    </row>
    <row r="277" spans="2:10" x14ac:dyDescent="0.25">
      <c r="B277" s="37">
        <v>352.3</v>
      </c>
      <c r="D277" s="25">
        <v>68</v>
      </c>
      <c r="F277" s="24">
        <v>3.0099999999999998E-2</v>
      </c>
      <c r="H277" s="24">
        <f>(D277/D307)</f>
        <v>5.7126055361868357E-5</v>
      </c>
      <c r="J277" s="24">
        <f t="shared" si="8"/>
        <v>1.7194942663922374E-6</v>
      </c>
    </row>
    <row r="278" spans="2:10" x14ac:dyDescent="0.25">
      <c r="B278" s="37">
        <v>353</v>
      </c>
      <c r="D278" s="25">
        <v>651245</v>
      </c>
      <c r="F278" s="24">
        <v>2.6700000000000002E-2</v>
      </c>
      <c r="H278" s="24">
        <f>(D278/D307)</f>
        <v>0.54710379300205825</v>
      </c>
      <c r="J278" s="24">
        <f t="shared" si="8"/>
        <v>1.4607671273154956E-2</v>
      </c>
    </row>
    <row r="279" spans="2:10" x14ac:dyDescent="0.25">
      <c r="B279" s="37">
        <v>353.1</v>
      </c>
      <c r="D279" s="25">
        <v>5789</v>
      </c>
      <c r="F279" s="24">
        <v>1.95E-2</v>
      </c>
      <c r="H279" s="24">
        <f>(D279/D307)</f>
        <v>4.8632755072037636E-3</v>
      </c>
      <c r="J279" s="24">
        <f t="shared" si="8"/>
        <v>9.4833872390473397E-5</v>
      </c>
    </row>
    <row r="280" spans="2:10" x14ac:dyDescent="0.25">
      <c r="B280" s="37">
        <v>353.2</v>
      </c>
      <c r="D280" s="25">
        <v>7811</v>
      </c>
      <c r="F280" s="24">
        <v>3.0700000000000002E-2</v>
      </c>
      <c r="H280" s="24">
        <f>(D280/D307)</f>
        <v>6.5619355651699079E-3</v>
      </c>
      <c r="J280" s="24">
        <f t="shared" si="8"/>
        <v>2.0145142185071618E-4</v>
      </c>
    </row>
    <row r="281" spans="2:10" x14ac:dyDescent="0.25">
      <c r="B281" s="37">
        <v>353.3</v>
      </c>
      <c r="D281" s="25">
        <v>1309</v>
      </c>
      <c r="F281" s="24">
        <v>3.0099999999999998E-2</v>
      </c>
      <c r="H281" s="24">
        <f>(D281/D307)</f>
        <v>1.099676565715966E-3</v>
      </c>
      <c r="J281" s="24">
        <f t="shared" si="8"/>
        <v>3.3100264628050577E-5</v>
      </c>
    </row>
    <row r="282" spans="2:10" x14ac:dyDescent="0.25">
      <c r="B282" s="37">
        <v>354</v>
      </c>
      <c r="D282" s="25">
        <v>110751</v>
      </c>
      <c r="F282" s="24">
        <v>1.9699999999999999E-2</v>
      </c>
      <c r="H282" s="24">
        <f>(D282/D307)</f>
        <v>9.3040702314445334E-2</v>
      </c>
      <c r="J282" s="24">
        <f t="shared" si="8"/>
        <v>1.832901835594573E-3</v>
      </c>
    </row>
    <row r="283" spans="2:10" x14ac:dyDescent="0.25">
      <c r="B283" s="37">
        <v>354.1</v>
      </c>
      <c r="D283" s="25">
        <v>2664</v>
      </c>
      <c r="F283" s="24">
        <v>1.6899999999999998E-2</v>
      </c>
      <c r="H283" s="24">
        <f>(D283/D307)</f>
        <v>2.2379972277061367E-3</v>
      </c>
      <c r="J283" s="24">
        <f t="shared" si="8"/>
        <v>3.782215314823371E-5</v>
      </c>
    </row>
    <row r="284" spans="2:10" x14ac:dyDescent="0.25">
      <c r="B284" s="37">
        <v>353.2</v>
      </c>
      <c r="D284" s="25">
        <v>2760</v>
      </c>
      <c r="F284" s="24">
        <v>1.9099999999999999E-2</v>
      </c>
      <c r="H284" s="24">
        <f>(D284/D307)</f>
        <v>2.3186457764523037E-3</v>
      </c>
      <c r="J284" s="24">
        <f t="shared" si="8"/>
        <v>4.4286134330238999E-5</v>
      </c>
    </row>
    <row r="285" spans="2:10" x14ac:dyDescent="0.25">
      <c r="B285" s="37">
        <v>354.3</v>
      </c>
      <c r="D285" s="25">
        <v>1010</v>
      </c>
      <c r="F285" s="24">
        <v>3.0099999999999998E-2</v>
      </c>
      <c r="H285" s="24">
        <f>(D285/D307)</f>
        <v>8.48489939933633E-4</v>
      </c>
      <c r="J285" s="24">
        <f t="shared" si="8"/>
        <v>2.5539547192002352E-5</v>
      </c>
    </row>
    <row r="286" spans="2:10" x14ac:dyDescent="0.25">
      <c r="B286" s="37">
        <v>355</v>
      </c>
      <c r="D286" s="25">
        <v>1985</v>
      </c>
      <c r="F286" s="24">
        <v>2.8199999999999999E-2</v>
      </c>
      <c r="H286" s="24">
        <f>(D286/D307)</f>
        <v>1.6675767631368925E-3</v>
      </c>
      <c r="J286" s="24">
        <f t="shared" si="8"/>
        <v>4.7025664720460368E-5</v>
      </c>
    </row>
    <row r="287" spans="2:10" x14ac:dyDescent="0.25">
      <c r="B287" s="37">
        <v>355.1</v>
      </c>
      <c r="D287" s="25">
        <v>34</v>
      </c>
      <c r="F287" s="24">
        <v>2.63E-2</v>
      </c>
      <c r="H287" s="24">
        <f>(D287/D307)</f>
        <v>2.8563027680934179E-5</v>
      </c>
      <c r="J287" s="24">
        <f t="shared" si="8"/>
        <v>7.5120762800856894E-7</v>
      </c>
    </row>
    <row r="288" spans="2:10" x14ac:dyDescent="0.25">
      <c r="B288" s="37">
        <v>355.2</v>
      </c>
      <c r="D288" s="25">
        <v>46</v>
      </c>
      <c r="F288" s="24">
        <v>2.9100000000000001E-2</v>
      </c>
      <c r="H288" s="24">
        <f>(D288/D307)</f>
        <v>3.8644096274205064E-5</v>
      </c>
      <c r="J288" s="24">
        <f t="shared" si="8"/>
        <v>1.1245432015793675E-6</v>
      </c>
    </row>
    <row r="289" spans="2:10" x14ac:dyDescent="0.25">
      <c r="B289" s="37">
        <v>355.3</v>
      </c>
      <c r="D289" s="25">
        <v>6</v>
      </c>
      <c r="F289" s="24">
        <v>3.0099999999999998E-2</v>
      </c>
      <c r="H289" s="24">
        <f>(D289/D307)</f>
        <v>5.0405342966354434E-6</v>
      </c>
      <c r="J289" s="24">
        <f t="shared" si="8"/>
        <v>1.5172008232872683E-7</v>
      </c>
    </row>
    <row r="290" spans="2:10" x14ac:dyDescent="0.25">
      <c r="B290" s="37">
        <v>356</v>
      </c>
      <c r="D290" s="25">
        <v>95791</v>
      </c>
      <c r="F290" s="24">
        <v>1.7899999999999999E-2</v>
      </c>
      <c r="H290" s="24">
        <f>(D290/D307)</f>
        <v>8.0472970134834287E-2</v>
      </c>
      <c r="J290" s="24">
        <f t="shared" si="8"/>
        <v>1.4404661654135336E-3</v>
      </c>
    </row>
    <row r="291" spans="2:10" x14ac:dyDescent="0.25">
      <c r="B291" s="37">
        <v>356.1</v>
      </c>
      <c r="D291" s="25">
        <v>948</v>
      </c>
      <c r="F291" s="24">
        <v>1.7999999999999999E-2</v>
      </c>
      <c r="H291" s="24">
        <f>(D291/D307)</f>
        <v>7.9640441886840005E-4</v>
      </c>
      <c r="J291" s="24">
        <f t="shared" si="8"/>
        <v>1.43352795396312E-5</v>
      </c>
    </row>
    <row r="292" spans="2:10" x14ac:dyDescent="0.25">
      <c r="B292" s="37">
        <v>356.2</v>
      </c>
      <c r="D292" s="25">
        <v>1602</v>
      </c>
      <c r="F292" s="24">
        <v>1.5100000000000001E-2</v>
      </c>
      <c r="H292" s="24">
        <f>(D292/D307)</f>
        <v>1.3458226572016633E-3</v>
      </c>
      <c r="J292" s="24">
        <f t="shared" si="8"/>
        <v>2.0321922123745116E-5</v>
      </c>
    </row>
    <row r="293" spans="2:10" x14ac:dyDescent="0.25">
      <c r="B293" s="37">
        <v>356.3</v>
      </c>
      <c r="D293" s="25">
        <v>293</v>
      </c>
      <c r="F293" s="24">
        <v>3.0099999999999998E-2</v>
      </c>
      <c r="H293" s="24">
        <f>(D293/D307)</f>
        <v>2.4614609148569747E-4</v>
      </c>
      <c r="J293" s="24">
        <f t="shared" si="8"/>
        <v>7.4089973537194932E-6</v>
      </c>
    </row>
    <row r="294" spans="2:10" x14ac:dyDescent="0.25">
      <c r="B294" s="37">
        <v>357</v>
      </c>
      <c r="D294" s="25">
        <v>79399</v>
      </c>
      <c r="F294" s="24">
        <v>1.77E-2</v>
      </c>
      <c r="H294" s="24">
        <f>(D294/D307)</f>
        <v>6.6702230436426257E-2</v>
      </c>
      <c r="J294" s="24">
        <f t="shared" si="8"/>
        <v>1.1806294787247448E-3</v>
      </c>
    </row>
    <row r="295" spans="2:10" x14ac:dyDescent="0.25">
      <c r="B295" s="37">
        <v>357.1</v>
      </c>
      <c r="D295" s="25">
        <v>812</v>
      </c>
      <c r="F295" s="24">
        <v>1.7500000000000002E-2</v>
      </c>
      <c r="H295" s="24">
        <f>(D295/D307)</f>
        <v>6.8215230814466332E-4</v>
      </c>
      <c r="J295" s="24">
        <f t="shared" si="8"/>
        <v>1.1937665392531609E-5</v>
      </c>
    </row>
    <row r="296" spans="2:10" x14ac:dyDescent="0.25">
      <c r="B296" s="37">
        <v>357.2</v>
      </c>
      <c r="D296" s="25">
        <v>903</v>
      </c>
      <c r="F296" s="24">
        <v>1.4999999999999999E-2</v>
      </c>
      <c r="H296" s="24">
        <f>(D296/D307)</f>
        <v>7.5860041164363423E-4</v>
      </c>
      <c r="J296" s="24">
        <f t="shared" si="8"/>
        <v>1.1379006174654513E-5</v>
      </c>
    </row>
    <row r="297" spans="2:10" x14ac:dyDescent="0.25">
      <c r="B297" s="37">
        <v>357.3</v>
      </c>
      <c r="D297" s="25">
        <v>201</v>
      </c>
      <c r="F297" s="24">
        <v>3.0099999999999998E-2</v>
      </c>
      <c r="H297" s="24">
        <f>(D297/D307)</f>
        <v>1.6885789893728736E-4</v>
      </c>
      <c r="J297" s="24">
        <f t="shared" si="8"/>
        <v>5.0826227580123489E-6</v>
      </c>
    </row>
    <row r="298" spans="2:10" x14ac:dyDescent="0.25">
      <c r="B298" s="37">
        <v>358</v>
      </c>
      <c r="D298" s="25">
        <v>182371</v>
      </c>
      <c r="F298" s="24">
        <v>1.6899999999999998E-2</v>
      </c>
      <c r="H298" s="24">
        <f>(D298/D307)</f>
        <v>0.15320788003528374</v>
      </c>
      <c r="J298" s="24">
        <f t="shared" si="8"/>
        <v>2.5892131725962948E-3</v>
      </c>
    </row>
    <row r="299" spans="2:10" x14ac:dyDescent="0.25">
      <c r="B299" s="37">
        <v>358.1</v>
      </c>
      <c r="D299" s="25">
        <v>1248</v>
      </c>
      <c r="F299" s="24">
        <v>1.9300000000000001E-2</v>
      </c>
      <c r="H299" s="24">
        <f>(D299/D307)</f>
        <v>1.0484311337001723E-3</v>
      </c>
      <c r="J299" s="24">
        <f t="shared" si="8"/>
        <v>2.0234720880413326E-5</v>
      </c>
    </row>
    <row r="300" spans="2:10" x14ac:dyDescent="0.25">
      <c r="B300" s="37">
        <v>358.2</v>
      </c>
      <c r="D300" s="25">
        <v>1542</v>
      </c>
      <c r="F300" s="24">
        <v>1.24E-2</v>
      </c>
      <c r="H300" s="24">
        <f>(D300/D307)</f>
        <v>1.2954173142353089E-3</v>
      </c>
      <c r="J300" s="24">
        <f t="shared" si="8"/>
        <v>1.606317469651783E-5</v>
      </c>
    </row>
    <row r="301" spans="2:10" x14ac:dyDescent="0.25">
      <c r="B301" s="37">
        <v>358.3</v>
      </c>
      <c r="D301" s="25">
        <v>289</v>
      </c>
      <c r="F301" s="24">
        <v>3.0099999999999998E-2</v>
      </c>
      <c r="H301" s="24">
        <f>(D301/D307)</f>
        <v>2.4278573528794053E-4</v>
      </c>
      <c r="J301" s="24">
        <f t="shared" si="8"/>
        <v>7.3078506321670099E-6</v>
      </c>
    </row>
    <row r="302" spans="2:10" x14ac:dyDescent="0.25">
      <c r="B302" s="37">
        <v>359</v>
      </c>
      <c r="D302" s="25">
        <v>7556</v>
      </c>
      <c r="F302" s="24">
        <v>1.7999999999999999E-2</v>
      </c>
      <c r="H302" s="24">
        <f>(D302/D307)</f>
        <v>6.3477128575629019E-3</v>
      </c>
      <c r="J302" s="24">
        <f t="shared" si="8"/>
        <v>1.1425883143613223E-4</v>
      </c>
    </row>
    <row r="303" spans="2:10" x14ac:dyDescent="0.25">
      <c r="B303" s="37">
        <v>359.1</v>
      </c>
      <c r="D303" s="25">
        <v>331</v>
      </c>
      <c r="F303" s="24">
        <v>1.8700000000000001E-2</v>
      </c>
      <c r="H303" s="24">
        <f>(D303/D307)</f>
        <v>2.7806947536438862E-4</v>
      </c>
      <c r="J303" s="24">
        <f t="shared" si="8"/>
        <v>5.1998991893140674E-6</v>
      </c>
    </row>
    <row r="304" spans="2:10" x14ac:dyDescent="0.25">
      <c r="B304" s="37">
        <v>359.2</v>
      </c>
      <c r="D304" s="25">
        <v>444</v>
      </c>
      <c r="F304" s="24">
        <v>1.49E-2</v>
      </c>
      <c r="H304" s="24">
        <f>(D304/D307)</f>
        <v>3.7299953795102281E-4</v>
      </c>
      <c r="J304" s="24">
        <f t="shared" si="8"/>
        <v>5.5576931154702395E-6</v>
      </c>
    </row>
    <row r="305" spans="2:10" x14ac:dyDescent="0.25">
      <c r="B305" s="37">
        <v>359.3</v>
      </c>
      <c r="D305" s="25">
        <v>5</v>
      </c>
      <c r="F305" s="24">
        <v>3.0099999999999998E-2</v>
      </c>
      <c r="H305" s="24">
        <f>(D305/D307)</f>
        <v>4.2004452471962024E-6</v>
      </c>
      <c r="J305" s="24">
        <f t="shared" si="8"/>
        <v>1.2643340194060569E-7</v>
      </c>
    </row>
    <row r="306" spans="2:10" ht="5.15" customHeight="1" x14ac:dyDescent="0.25">
      <c r="D306" s="38"/>
      <c r="H306" s="39"/>
      <c r="J306" s="38"/>
    </row>
    <row r="307" spans="2:10" x14ac:dyDescent="0.25">
      <c r="B307" s="17" t="s">
        <v>25</v>
      </c>
      <c r="D307" s="25">
        <f>SUM(D272:D306)</f>
        <v>1190350</v>
      </c>
      <c r="H307" s="24">
        <f>SUM(H272:H306)</f>
        <v>0.99999999999999989</v>
      </c>
      <c r="J307" s="24">
        <f>SUM(J272:J306)</f>
        <v>2.3128404334859496E-2</v>
      </c>
    </row>
    <row r="308" spans="2:10" ht="13" thickBot="1" x14ac:dyDescent="0.3"/>
    <row r="309" spans="2:10" ht="13" thickBot="1" x14ac:dyDescent="0.3">
      <c r="B309" s="40" t="s">
        <v>58</v>
      </c>
      <c r="C309" s="41"/>
      <c r="D309" s="41"/>
      <c r="E309" s="41"/>
      <c r="F309" s="41"/>
      <c r="G309" s="41"/>
      <c r="H309" s="41"/>
      <c r="I309" s="41"/>
      <c r="J309" s="42"/>
    </row>
    <row r="310" spans="2:10" ht="39.75" customHeight="1" x14ac:dyDescent="0.25">
      <c r="B310" s="34" t="s">
        <v>46</v>
      </c>
      <c r="C310" s="35"/>
      <c r="D310" s="34" t="s">
        <v>47</v>
      </c>
      <c r="E310" s="35"/>
      <c r="F310" s="34" t="s">
        <v>48</v>
      </c>
      <c r="G310" s="35"/>
      <c r="H310" s="36" t="s">
        <v>49</v>
      </c>
      <c r="I310" s="35"/>
      <c r="J310" s="36" t="s">
        <v>50</v>
      </c>
    </row>
    <row r="311" spans="2:10" ht="5.15" customHeight="1" x14ac:dyDescent="0.25"/>
    <row r="312" spans="2:10" x14ac:dyDescent="0.25">
      <c r="B312" s="37">
        <v>350.2</v>
      </c>
      <c r="D312" s="25">
        <v>1321</v>
      </c>
      <c r="F312" s="24">
        <v>1.2500000000000001E-2</v>
      </c>
      <c r="H312" s="24">
        <f>(D312/D346)</f>
        <v>1.1871777612217956E-3</v>
      </c>
      <c r="J312" s="24">
        <f>F312*H312</f>
        <v>1.4839722015272446E-5</v>
      </c>
    </row>
    <row r="313" spans="2:10" x14ac:dyDescent="0.25">
      <c r="B313" s="37">
        <v>352</v>
      </c>
      <c r="D313" s="25">
        <v>29051</v>
      </c>
      <c r="F313" s="24">
        <v>2.9499999999999998E-2</v>
      </c>
      <c r="H313" s="24">
        <f>(D313/D346)</f>
        <v>2.6108025088004833E-2</v>
      </c>
      <c r="J313" s="24">
        <f t="shared" ref="J313:J344" si="9">F313*H313</f>
        <v>7.7018674009614253E-4</v>
      </c>
    </row>
    <row r="314" spans="2:10" x14ac:dyDescent="0.25">
      <c r="B314" s="37">
        <v>352.1</v>
      </c>
      <c r="D314" s="25">
        <v>99</v>
      </c>
      <c r="F314" s="24">
        <v>2.4400000000000002E-2</v>
      </c>
      <c r="H314" s="24">
        <f>(D314/D346)</f>
        <v>8.8970929872034634E-5</v>
      </c>
      <c r="J314" s="24">
        <f t="shared" si="9"/>
        <v>2.1708906888776451E-6</v>
      </c>
    </row>
    <row r="315" spans="2:10" x14ac:dyDescent="0.25">
      <c r="B315" s="37">
        <v>352.2</v>
      </c>
      <c r="D315" s="25">
        <v>119</v>
      </c>
      <c r="F315" s="24">
        <v>3.27E-2</v>
      </c>
      <c r="H315" s="24">
        <f>(D315/D346)</f>
        <v>1.0694485509870831E-4</v>
      </c>
      <c r="J315" s="24">
        <f t="shared" si="9"/>
        <v>3.4970967617277618E-6</v>
      </c>
    </row>
    <row r="316" spans="2:10" x14ac:dyDescent="0.25">
      <c r="B316" s="37">
        <v>352.3</v>
      </c>
      <c r="D316" s="25">
        <v>68</v>
      </c>
      <c r="F316" s="24">
        <v>3.0099999999999998E-2</v>
      </c>
      <c r="H316" s="24">
        <f>(D316/D346)</f>
        <v>6.1111345770690459E-5</v>
      </c>
      <c r="J316" s="24">
        <f t="shared" si="9"/>
        <v>1.8394515076977827E-6</v>
      </c>
    </row>
    <row r="317" spans="2:10" x14ac:dyDescent="0.25">
      <c r="B317" s="37">
        <v>353</v>
      </c>
      <c r="D317" s="25">
        <v>626537</v>
      </c>
      <c r="F317" s="24">
        <v>2.6700000000000002E-2</v>
      </c>
      <c r="H317" s="24">
        <f>(D317/D346)</f>
        <v>0.56306645948722189</v>
      </c>
      <c r="J317" s="24">
        <f t="shared" si="9"/>
        <v>1.5033874468308825E-2</v>
      </c>
    </row>
    <row r="318" spans="2:10" x14ac:dyDescent="0.25">
      <c r="B318" s="37">
        <v>353.1</v>
      </c>
      <c r="D318" s="25">
        <v>5823</v>
      </c>
      <c r="F318" s="24">
        <v>1.95E-2</v>
      </c>
      <c r="H318" s="24">
        <f>(D318/D346)</f>
        <v>5.2331083297460371E-3</v>
      </c>
      <c r="J318" s="24">
        <f t="shared" si="9"/>
        <v>1.0204561243004772E-4</v>
      </c>
    </row>
    <row r="319" spans="2:10" x14ac:dyDescent="0.25">
      <c r="B319" s="37">
        <v>353.2</v>
      </c>
      <c r="D319" s="25">
        <v>7922</v>
      </c>
      <c r="F319" s="24">
        <v>3.0700000000000002E-2</v>
      </c>
      <c r="H319" s="24">
        <f>(D319/D346)</f>
        <v>7.1194717822854383E-3</v>
      </c>
      <c r="J319" s="24">
        <f t="shared" si="9"/>
        <v>2.1856778371616298E-4</v>
      </c>
    </row>
    <row r="320" spans="2:10" x14ac:dyDescent="0.25">
      <c r="B320" s="37">
        <v>353.3</v>
      </c>
      <c r="D320" s="25">
        <v>1334</v>
      </c>
      <c r="F320" s="24">
        <v>3.0099999999999998E-2</v>
      </c>
      <c r="H320" s="24">
        <f>(D320/D346)</f>
        <v>1.1988608126191334E-3</v>
      </c>
      <c r="J320" s="24">
        <f t="shared" si="9"/>
        <v>3.6085710459835911E-5</v>
      </c>
    </row>
    <row r="321" spans="2:10" x14ac:dyDescent="0.25">
      <c r="B321" s="37">
        <v>354</v>
      </c>
      <c r="D321" s="25">
        <v>110751</v>
      </c>
      <c r="F321" s="24">
        <v>1.9699999999999999E-2</v>
      </c>
      <c r="H321" s="24">
        <f>(D321/D346)</f>
        <v>9.9531509638966745E-2</v>
      </c>
      <c r="J321" s="24">
        <f t="shared" si="9"/>
        <v>1.9607707398876448E-3</v>
      </c>
    </row>
    <row r="322" spans="2:10" x14ac:dyDescent="0.25">
      <c r="B322" s="37">
        <v>354.1</v>
      </c>
      <c r="D322" s="25">
        <v>2664</v>
      </c>
      <c r="F322" s="24">
        <v>1.6899999999999998E-2</v>
      </c>
      <c r="H322" s="24">
        <f>(D322/D346)</f>
        <v>2.394126840192932E-3</v>
      </c>
      <c r="J322" s="24">
        <f t="shared" si="9"/>
        <v>4.0460743599260545E-5</v>
      </c>
    </row>
    <row r="323" spans="2:10" x14ac:dyDescent="0.25">
      <c r="B323" s="37">
        <v>353.2</v>
      </c>
      <c r="D323" s="25">
        <v>3760</v>
      </c>
      <c r="F323" s="24">
        <v>1.9099999999999999E-2</v>
      </c>
      <c r="H323" s="24">
        <f>(D323/D346)</f>
        <v>3.3790979426146488E-3</v>
      </c>
      <c r="J323" s="24">
        <f t="shared" si="9"/>
        <v>6.4540770703939784E-5</v>
      </c>
    </row>
    <row r="324" spans="2:10" x14ac:dyDescent="0.25">
      <c r="B324" s="37">
        <v>354.3</v>
      </c>
      <c r="D324" s="25">
        <v>1010</v>
      </c>
      <c r="F324" s="24">
        <v>3.0099999999999998E-2</v>
      </c>
      <c r="H324" s="24">
        <f>(D324/D346)</f>
        <v>9.0768322394702006E-4</v>
      </c>
      <c r="J324" s="24">
        <f t="shared" si="9"/>
        <v>2.7321265040805304E-5</v>
      </c>
    </row>
    <row r="325" spans="2:10" x14ac:dyDescent="0.25">
      <c r="B325" s="37">
        <v>355</v>
      </c>
      <c r="D325" s="25">
        <v>1985</v>
      </c>
      <c r="F325" s="24">
        <v>2.8199999999999999E-2</v>
      </c>
      <c r="H325" s="24">
        <f>(D325/D346)</f>
        <v>1.7839120787473612E-3</v>
      </c>
      <c r="J325" s="24">
        <f t="shared" si="9"/>
        <v>5.0306320620675587E-5</v>
      </c>
    </row>
    <row r="326" spans="2:10" x14ac:dyDescent="0.25">
      <c r="B326" s="37">
        <v>355.1</v>
      </c>
      <c r="D326" s="25">
        <v>34</v>
      </c>
      <c r="F326" s="24">
        <v>2.63E-2</v>
      </c>
      <c r="H326" s="24">
        <f>(D326/D346)</f>
        <v>3.055567288534523E-5</v>
      </c>
      <c r="J326" s="24">
        <f t="shared" si="9"/>
        <v>8.0361419688457954E-7</v>
      </c>
    </row>
    <row r="327" spans="2:10" x14ac:dyDescent="0.25">
      <c r="B327" s="37">
        <v>355.2</v>
      </c>
      <c r="D327" s="25">
        <v>46</v>
      </c>
      <c r="F327" s="24">
        <v>2.9100000000000001E-2</v>
      </c>
      <c r="H327" s="24">
        <f>(D327/D346)</f>
        <v>4.1340028021349429E-5</v>
      </c>
      <c r="J327" s="24">
        <f t="shared" si="9"/>
        <v>1.2029948154212683E-6</v>
      </c>
    </row>
    <row r="328" spans="2:10" x14ac:dyDescent="0.25">
      <c r="B328" s="37">
        <v>355.3</v>
      </c>
      <c r="D328" s="25">
        <v>6</v>
      </c>
      <c r="F328" s="24">
        <v>3.0099999999999998E-2</v>
      </c>
      <c r="H328" s="24">
        <f>(D328/D346)</f>
        <v>5.3921775680020995E-6</v>
      </c>
      <c r="J328" s="24">
        <f t="shared" si="9"/>
        <v>1.623045447968632E-7</v>
      </c>
    </row>
    <row r="329" spans="2:10" x14ac:dyDescent="0.25">
      <c r="B329" s="37">
        <v>356</v>
      </c>
      <c r="D329" s="25">
        <v>89493</v>
      </c>
      <c r="F329" s="24">
        <v>1.7899999999999999E-2</v>
      </c>
      <c r="H329" s="24">
        <f>(D329/D346)</f>
        <v>8.0427024515535309E-2</v>
      </c>
      <c r="J329" s="24">
        <f t="shared" si="9"/>
        <v>1.439643738828082E-3</v>
      </c>
    </row>
    <row r="330" spans="2:10" x14ac:dyDescent="0.25">
      <c r="B330" s="37">
        <v>356.1</v>
      </c>
      <c r="D330" s="25">
        <v>948</v>
      </c>
      <c r="F330" s="24">
        <v>1.7999999999999999E-2</v>
      </c>
      <c r="H330" s="24">
        <f>(D330/D346)</f>
        <v>8.5196405574433165E-4</v>
      </c>
      <c r="J330" s="24">
        <f t="shared" si="9"/>
        <v>1.5335353003397968E-5</v>
      </c>
    </row>
    <row r="331" spans="2:10" x14ac:dyDescent="0.25">
      <c r="B331" s="37">
        <v>356.2</v>
      </c>
      <c r="D331" s="25">
        <v>1602</v>
      </c>
      <c r="F331" s="24">
        <v>1.5100000000000001E-2</v>
      </c>
      <c r="H331" s="24">
        <f>(D331/D346)</f>
        <v>1.4397114106565606E-3</v>
      </c>
      <c r="J331" s="24">
        <f t="shared" si="9"/>
        <v>2.1739642300914064E-5</v>
      </c>
    </row>
    <row r="332" spans="2:10" x14ac:dyDescent="0.25">
      <c r="B332" s="37">
        <v>356.3</v>
      </c>
      <c r="D332" s="25">
        <v>297</v>
      </c>
      <c r="F332" s="24">
        <v>3.0099999999999998E-2</v>
      </c>
      <c r="H332" s="24">
        <f>(D332/D346)</f>
        <v>2.669127896161039E-4</v>
      </c>
      <c r="J332" s="24">
        <f t="shared" si="9"/>
        <v>8.0340749674447273E-6</v>
      </c>
    </row>
    <row r="333" spans="2:10" x14ac:dyDescent="0.25">
      <c r="B333" s="37">
        <v>357</v>
      </c>
      <c r="D333" s="25">
        <v>73241</v>
      </c>
      <c r="F333" s="24">
        <v>1.77E-2</v>
      </c>
      <c r="H333" s="24">
        <f>(D333/D346)</f>
        <v>6.5821412876340288E-2</v>
      </c>
      <c r="J333" s="24">
        <f t="shared" si="9"/>
        <v>1.1650390079112232E-3</v>
      </c>
    </row>
    <row r="334" spans="2:10" x14ac:dyDescent="0.25">
      <c r="B334" s="37">
        <v>357.1</v>
      </c>
      <c r="D334" s="25">
        <v>812</v>
      </c>
      <c r="F334" s="24">
        <v>1.7500000000000002E-2</v>
      </c>
      <c r="H334" s="24">
        <f>(D334/D346)</f>
        <v>7.2974136420295079E-4</v>
      </c>
      <c r="J334" s="24">
        <f t="shared" si="9"/>
        <v>1.277047387355164E-5</v>
      </c>
    </row>
    <row r="335" spans="2:10" x14ac:dyDescent="0.25">
      <c r="B335" s="37">
        <v>357.2</v>
      </c>
      <c r="D335" s="25">
        <v>903</v>
      </c>
      <c r="F335" s="24">
        <v>1.4999999999999999E-2</v>
      </c>
      <c r="H335" s="24">
        <f>(D335/D346)</f>
        <v>8.1152272398431593E-4</v>
      </c>
      <c r="J335" s="24">
        <f t="shared" si="9"/>
        <v>1.2172840859764738E-5</v>
      </c>
    </row>
    <row r="336" spans="2:10" x14ac:dyDescent="0.25">
      <c r="B336" s="37">
        <v>357.3</v>
      </c>
      <c r="D336" s="25">
        <v>201</v>
      </c>
      <c r="F336" s="24">
        <v>3.0099999999999998E-2</v>
      </c>
      <c r="H336" s="24">
        <f>(D336/D346)</f>
        <v>1.8063794852807034E-4</v>
      </c>
      <c r="J336" s="24">
        <f t="shared" si="9"/>
        <v>5.4372022506949165E-6</v>
      </c>
    </row>
    <row r="337" spans="2:10" x14ac:dyDescent="0.25">
      <c r="B337" s="37">
        <v>358</v>
      </c>
      <c r="D337" s="25">
        <v>141281</v>
      </c>
      <c r="F337" s="24">
        <v>1.6899999999999998E-2</v>
      </c>
      <c r="H337" s="24">
        <f>(D337/D346)</f>
        <v>0.1269687064974841</v>
      </c>
      <c r="J337" s="24">
        <f t="shared" si="9"/>
        <v>2.145771139807481E-3</v>
      </c>
    </row>
    <row r="338" spans="2:10" x14ac:dyDescent="0.25">
      <c r="B338" s="37">
        <v>358.1</v>
      </c>
      <c r="D338" s="25">
        <v>1248</v>
      </c>
      <c r="F338" s="24">
        <v>1.9300000000000001E-2</v>
      </c>
      <c r="H338" s="24">
        <f>(D338/D346)</f>
        <v>1.1215729341444367E-3</v>
      </c>
      <c r="J338" s="24">
        <f t="shared" si="9"/>
        <v>2.1646357628987628E-5</v>
      </c>
    </row>
    <row r="339" spans="2:10" x14ac:dyDescent="0.25">
      <c r="B339" s="37">
        <v>358.2</v>
      </c>
      <c r="D339" s="25">
        <v>1542</v>
      </c>
      <c r="F339" s="24">
        <v>1.24E-2</v>
      </c>
      <c r="H339" s="24">
        <f>(D339/D346)</f>
        <v>1.3857896349765396E-3</v>
      </c>
      <c r="J339" s="24">
        <f t="shared" si="9"/>
        <v>1.718379147370909E-5</v>
      </c>
    </row>
    <row r="340" spans="2:10" x14ac:dyDescent="0.25">
      <c r="B340" s="37">
        <v>358.3</v>
      </c>
      <c r="D340" s="25">
        <v>289</v>
      </c>
      <c r="F340" s="24">
        <v>3.0099999999999998E-2</v>
      </c>
      <c r="H340" s="24">
        <f>(D340/D346)</f>
        <v>2.5972321952543446E-4</v>
      </c>
      <c r="J340" s="24">
        <f t="shared" si="9"/>
        <v>7.8176689077155773E-6</v>
      </c>
    </row>
    <row r="341" spans="2:10" x14ac:dyDescent="0.25">
      <c r="B341" s="37">
        <v>359</v>
      </c>
      <c r="D341" s="25">
        <v>7556</v>
      </c>
      <c r="F341" s="24">
        <v>1.7999999999999999E-2</v>
      </c>
      <c r="H341" s="24">
        <f>(D341/D346)</f>
        <v>6.7905489506373106E-3</v>
      </c>
      <c r="J341" s="24">
        <f t="shared" si="9"/>
        <v>1.2222988111147158E-4</v>
      </c>
    </row>
    <row r="342" spans="2:10" x14ac:dyDescent="0.25">
      <c r="B342" s="37">
        <v>359.1</v>
      </c>
      <c r="D342" s="25">
        <v>331</v>
      </c>
      <c r="F342" s="24">
        <v>1.8700000000000001E-2</v>
      </c>
      <c r="H342" s="24">
        <f>(D342/D346)</f>
        <v>2.9746846250144915E-4</v>
      </c>
      <c r="J342" s="24">
        <f t="shared" si="9"/>
        <v>5.5626602487770993E-6</v>
      </c>
    </row>
    <row r="343" spans="2:10" x14ac:dyDescent="0.25">
      <c r="B343" s="37">
        <v>359.2</v>
      </c>
      <c r="D343" s="25">
        <v>444</v>
      </c>
      <c r="F343" s="24">
        <v>1.49E-2</v>
      </c>
      <c r="H343" s="24">
        <f>(D343/D346)</f>
        <v>3.9902114003215536E-4</v>
      </c>
      <c r="J343" s="24">
        <f t="shared" si="9"/>
        <v>5.9454149864791147E-6</v>
      </c>
    </row>
    <row r="344" spans="2:10" x14ac:dyDescent="0.25">
      <c r="B344" s="37">
        <v>359.3</v>
      </c>
      <c r="D344" s="25">
        <v>5</v>
      </c>
      <c r="F344" s="24">
        <v>3.0099999999999998E-2</v>
      </c>
      <c r="H344" s="24">
        <f>(D344/D346)</f>
        <v>4.4934813066684157E-6</v>
      </c>
      <c r="J344" s="24">
        <f t="shared" si="9"/>
        <v>1.352537873307193E-7</v>
      </c>
    </row>
    <row r="345" spans="2:10" ht="5.15" customHeight="1" x14ac:dyDescent="0.25">
      <c r="D345" s="38"/>
      <c r="H345" s="39"/>
      <c r="J345" s="38"/>
    </row>
    <row r="346" spans="2:10" x14ac:dyDescent="0.25">
      <c r="B346" s="17" t="s">
        <v>25</v>
      </c>
      <c r="D346" s="25">
        <f>SUM(D311:D345)</f>
        <v>1112723</v>
      </c>
      <c r="H346" s="24">
        <f>SUM(H311:H345)</f>
        <v>0.99999999999999989</v>
      </c>
      <c r="J346" s="24">
        <f>SUM(J311:J345)</f>
        <v>2.3335140731341041E-2</v>
      </c>
    </row>
    <row r="347" spans="2:10" ht="13" thickBot="1" x14ac:dyDescent="0.3"/>
    <row r="348" spans="2:10" ht="13" thickBot="1" x14ac:dyDescent="0.3">
      <c r="B348" s="40" t="s">
        <v>59</v>
      </c>
      <c r="C348" s="41"/>
      <c r="D348" s="41"/>
      <c r="E348" s="41"/>
      <c r="F348" s="41"/>
      <c r="G348" s="41"/>
      <c r="H348" s="41"/>
      <c r="I348" s="41"/>
      <c r="J348" s="42"/>
    </row>
    <row r="349" spans="2:10" ht="39.75" customHeight="1" x14ac:dyDescent="0.25">
      <c r="B349" s="34" t="s">
        <v>46</v>
      </c>
      <c r="C349" s="35"/>
      <c r="D349" s="34" t="s">
        <v>47</v>
      </c>
      <c r="E349" s="35"/>
      <c r="F349" s="34" t="s">
        <v>48</v>
      </c>
      <c r="G349" s="35"/>
      <c r="H349" s="36" t="s">
        <v>49</v>
      </c>
      <c r="I349" s="35"/>
      <c r="J349" s="36" t="s">
        <v>50</v>
      </c>
    </row>
    <row r="350" spans="2:10" ht="5.15" customHeight="1" x14ac:dyDescent="0.25"/>
    <row r="351" spans="2:10" x14ac:dyDescent="0.25">
      <c r="B351" s="37">
        <v>350.2</v>
      </c>
      <c r="D351" s="25">
        <v>1325</v>
      </c>
      <c r="F351" s="24">
        <v>1.2500000000000001E-2</v>
      </c>
      <c r="H351" s="24">
        <f>(D351/D385)</f>
        <v>1.2529669311293723E-3</v>
      </c>
      <c r="J351" s="24">
        <f>F351*H351</f>
        <v>1.5662086639117156E-5</v>
      </c>
    </row>
    <row r="352" spans="2:10" x14ac:dyDescent="0.25">
      <c r="B352" s="37">
        <v>352</v>
      </c>
      <c r="D352" s="25">
        <v>28925</v>
      </c>
      <c r="F352" s="24">
        <v>2.9499999999999998E-2</v>
      </c>
      <c r="H352" s="24">
        <f>(D352/D385)</f>
        <v>2.7352504515409128E-2</v>
      </c>
      <c r="J352" s="24">
        <f t="shared" ref="J352:J383" si="10">F352*H352</f>
        <v>8.0689888320456928E-4</v>
      </c>
    </row>
    <row r="353" spans="2:10" x14ac:dyDescent="0.25">
      <c r="B353" s="37">
        <v>352.1</v>
      </c>
      <c r="D353" s="25">
        <v>99</v>
      </c>
      <c r="F353" s="24">
        <v>2.4400000000000002E-2</v>
      </c>
      <c r="H353" s="24">
        <f>(D353/D385)</f>
        <v>9.3617906552307827E-5</v>
      </c>
      <c r="J353" s="24">
        <f t="shared" si="10"/>
        <v>2.2842769198763112E-6</v>
      </c>
    </row>
    <row r="354" spans="2:10" x14ac:dyDescent="0.25">
      <c r="B354" s="37">
        <v>352.2</v>
      </c>
      <c r="D354" s="25">
        <v>119</v>
      </c>
      <c r="F354" s="24">
        <v>3.27E-2</v>
      </c>
      <c r="H354" s="24">
        <f>(D354/D385)</f>
        <v>1.1253061494671345E-4</v>
      </c>
      <c r="J354" s="24">
        <f t="shared" si="10"/>
        <v>3.6797511087575295E-6</v>
      </c>
    </row>
    <row r="355" spans="2:10" x14ac:dyDescent="0.25">
      <c r="B355" s="37">
        <v>352.3</v>
      </c>
      <c r="D355" s="25">
        <v>68</v>
      </c>
      <c r="F355" s="24">
        <v>3.0099999999999998E-2</v>
      </c>
      <c r="H355" s="24">
        <f>(D355/D385)</f>
        <v>6.4303208540979106E-5</v>
      </c>
      <c r="J355" s="24">
        <f t="shared" si="10"/>
        <v>1.935526577083471E-6</v>
      </c>
    </row>
    <row r="356" spans="2:10" x14ac:dyDescent="0.25">
      <c r="B356" s="37">
        <v>353</v>
      </c>
      <c r="D356" s="25">
        <v>582427</v>
      </c>
      <c r="F356" s="24">
        <v>2.6700000000000002E-2</v>
      </c>
      <c r="H356" s="24">
        <f>(D356/D385)</f>
        <v>0.55076360060142415</v>
      </c>
      <c r="J356" s="24">
        <f t="shared" si="10"/>
        <v>1.4705388136058026E-2</v>
      </c>
    </row>
    <row r="357" spans="2:10" x14ac:dyDescent="0.25">
      <c r="B357" s="37">
        <v>353.1</v>
      </c>
      <c r="D357" s="25">
        <v>5823</v>
      </c>
      <c r="F357" s="24">
        <v>1.95E-2</v>
      </c>
      <c r="H357" s="24">
        <f>(D357/D385)</f>
        <v>5.5064350490311963E-3</v>
      </c>
      <c r="J357" s="24">
        <f t="shared" si="10"/>
        <v>1.0737548345610833E-4</v>
      </c>
    </row>
    <row r="358" spans="2:10" x14ac:dyDescent="0.25">
      <c r="B358" s="37">
        <v>353.2</v>
      </c>
      <c r="D358" s="25">
        <v>7970</v>
      </c>
      <c r="F358" s="24">
        <v>3.0700000000000002E-2</v>
      </c>
      <c r="H358" s="24">
        <f>(D358/D385)</f>
        <v>7.5367142951706396E-3</v>
      </c>
      <c r="J358" s="24">
        <f t="shared" si="10"/>
        <v>2.3137712886173864E-4</v>
      </c>
    </row>
    <row r="359" spans="2:10" x14ac:dyDescent="0.25">
      <c r="B359" s="37">
        <v>353.3</v>
      </c>
      <c r="D359" s="25">
        <v>1334</v>
      </c>
      <c r="F359" s="24">
        <v>3.0099999999999998E-2</v>
      </c>
      <c r="H359" s="24">
        <f>(D359/D385)</f>
        <v>1.2614776499068549E-3</v>
      </c>
      <c r="J359" s="24">
        <f t="shared" si="10"/>
        <v>3.7970477262196327E-5</v>
      </c>
    </row>
    <row r="360" spans="2:10" x14ac:dyDescent="0.25">
      <c r="B360" s="37">
        <v>354</v>
      </c>
      <c r="D360" s="25">
        <v>110751</v>
      </c>
      <c r="F360" s="24">
        <v>1.9699999999999999E-2</v>
      </c>
      <c r="H360" s="24">
        <f>(D360/D385)</f>
        <v>0.10473006836944085</v>
      </c>
      <c r="J360" s="24">
        <f t="shared" si="10"/>
        <v>2.0631823468779844E-3</v>
      </c>
    </row>
    <row r="361" spans="2:10" x14ac:dyDescent="0.25">
      <c r="B361" s="37">
        <v>354.1</v>
      </c>
      <c r="D361" s="25">
        <v>2664</v>
      </c>
      <c r="F361" s="24">
        <v>1.6899999999999998E-2</v>
      </c>
      <c r="H361" s="24">
        <f>(D361/D385)</f>
        <v>2.5191727581348289E-3</v>
      </c>
      <c r="J361" s="24">
        <f t="shared" si="10"/>
        <v>4.2574019612478602E-5</v>
      </c>
    </row>
    <row r="362" spans="2:10" x14ac:dyDescent="0.25">
      <c r="B362" s="37">
        <v>353.2</v>
      </c>
      <c r="D362" s="25">
        <v>3760</v>
      </c>
      <c r="F362" s="24">
        <v>1.9099999999999999E-2</v>
      </c>
      <c r="H362" s="24">
        <f>(D362/D385)</f>
        <v>3.5555891781482566E-3</v>
      </c>
      <c r="J362" s="24">
        <f t="shared" si="10"/>
        <v>6.7911753302631693E-5</v>
      </c>
    </row>
    <row r="363" spans="2:10" x14ac:dyDescent="0.25">
      <c r="B363" s="37">
        <v>354.3</v>
      </c>
      <c r="D363" s="25">
        <v>1010</v>
      </c>
      <c r="F363" s="24">
        <v>3.0099999999999998E-2</v>
      </c>
      <c r="H363" s="24">
        <f>(D363/D385)</f>
        <v>9.5509177391748384E-4</v>
      </c>
      <c r="J363" s="24">
        <f t="shared" si="10"/>
        <v>2.874826239491626E-5</v>
      </c>
    </row>
    <row r="364" spans="2:10" x14ac:dyDescent="0.25">
      <c r="B364" s="37">
        <v>355</v>
      </c>
      <c r="D364" s="25">
        <v>1985</v>
      </c>
      <c r="F364" s="24">
        <v>2.8199999999999999E-2</v>
      </c>
      <c r="H364" s="24">
        <f>(D364/D385)</f>
        <v>1.8770863081447578E-3</v>
      </c>
      <c r="J364" s="24">
        <f t="shared" si="10"/>
        <v>5.2933833889682169E-5</v>
      </c>
    </row>
    <row r="365" spans="2:10" x14ac:dyDescent="0.25">
      <c r="B365" s="37">
        <v>355.1</v>
      </c>
      <c r="D365" s="25">
        <v>34</v>
      </c>
      <c r="F365" s="24">
        <v>2.63E-2</v>
      </c>
      <c r="H365" s="24">
        <f>(D365/D385)</f>
        <v>3.2151604270489553E-5</v>
      </c>
      <c r="J365" s="24">
        <f t="shared" si="10"/>
        <v>8.4558719231387528E-7</v>
      </c>
    </row>
    <row r="366" spans="2:10" x14ac:dyDescent="0.25">
      <c r="B366" s="37">
        <v>355.2</v>
      </c>
      <c r="D366" s="25">
        <v>46</v>
      </c>
      <c r="F366" s="24">
        <v>2.9100000000000001E-2</v>
      </c>
      <c r="H366" s="24">
        <f>(D366/D385)</f>
        <v>4.3499229307132925E-5</v>
      </c>
      <c r="J366" s="24">
        <f t="shared" si="10"/>
        <v>1.2658275728375681E-6</v>
      </c>
    </row>
    <row r="367" spans="2:10" x14ac:dyDescent="0.25">
      <c r="B367" s="37">
        <v>355.3</v>
      </c>
      <c r="D367" s="25">
        <v>6</v>
      </c>
      <c r="F367" s="24">
        <v>3.0099999999999998E-2</v>
      </c>
      <c r="H367" s="24">
        <f>(D367/D385)</f>
        <v>5.6738125183216858E-6</v>
      </c>
      <c r="J367" s="24">
        <f t="shared" si="10"/>
        <v>1.7078175680148273E-7</v>
      </c>
    </row>
    <row r="368" spans="2:10" x14ac:dyDescent="0.25">
      <c r="B368" s="37">
        <v>356</v>
      </c>
      <c r="D368" s="25">
        <v>82566</v>
      </c>
      <c r="F368" s="24">
        <v>1.7899999999999999E-2</v>
      </c>
      <c r="H368" s="24">
        <f>(D368/D385)</f>
        <v>7.807733406462472E-2</v>
      </c>
      <c r="J368" s="24">
        <f t="shared" si="10"/>
        <v>1.3975842797567825E-3</v>
      </c>
    </row>
    <row r="369" spans="2:10" x14ac:dyDescent="0.25">
      <c r="B369" s="37">
        <v>356.1</v>
      </c>
      <c r="D369" s="25">
        <v>949</v>
      </c>
      <c r="F369" s="24">
        <v>1.7999999999999999E-2</v>
      </c>
      <c r="H369" s="24">
        <f>(D369/D385)</f>
        <v>8.9740801331454666E-4</v>
      </c>
      <c r="J369" s="24">
        <f t="shared" si="10"/>
        <v>1.615334423966184E-5</v>
      </c>
    </row>
    <row r="370" spans="2:10" x14ac:dyDescent="0.25">
      <c r="B370" s="37">
        <v>356.2</v>
      </c>
      <c r="D370" s="25">
        <v>1604</v>
      </c>
      <c r="F370" s="24">
        <v>1.5100000000000001E-2</v>
      </c>
      <c r="H370" s="24">
        <f>(D370/D385)</f>
        <v>1.5167992132313307E-3</v>
      </c>
      <c r="J370" s="24">
        <f t="shared" si="10"/>
        <v>2.2903668119793093E-5</v>
      </c>
    </row>
    <row r="371" spans="2:10" x14ac:dyDescent="0.25">
      <c r="B371" s="37">
        <v>356.3</v>
      </c>
      <c r="D371" s="25">
        <v>297</v>
      </c>
      <c r="F371" s="24">
        <v>3.0099999999999998E-2</v>
      </c>
      <c r="H371" s="24">
        <f>(D371/D385)</f>
        <v>2.8085371965692348E-4</v>
      </c>
      <c r="J371" s="24">
        <f t="shared" si="10"/>
        <v>8.4536969616733958E-6</v>
      </c>
    </row>
    <row r="372" spans="2:10" x14ac:dyDescent="0.25">
      <c r="B372" s="37">
        <v>357</v>
      </c>
      <c r="D372" s="25">
        <v>63432</v>
      </c>
      <c r="F372" s="24">
        <v>1.77E-2</v>
      </c>
      <c r="H372" s="24">
        <f>(D372/D385)</f>
        <v>5.998354594369687E-2</v>
      </c>
      <c r="J372" s="24">
        <f t="shared" si="10"/>
        <v>1.0617087632034347E-3</v>
      </c>
    </row>
    <row r="373" spans="2:10" x14ac:dyDescent="0.25">
      <c r="B373" s="37">
        <v>357.1</v>
      </c>
      <c r="D373" s="25">
        <v>812</v>
      </c>
      <c r="F373" s="24">
        <v>1.7500000000000002E-2</v>
      </c>
      <c r="H373" s="24">
        <f>(D373/D385)</f>
        <v>7.6785596081286819E-4</v>
      </c>
      <c r="J373" s="24">
        <f t="shared" si="10"/>
        <v>1.3437479314225195E-5</v>
      </c>
    </row>
    <row r="374" spans="2:10" x14ac:dyDescent="0.25">
      <c r="B374" s="37">
        <v>357.2</v>
      </c>
      <c r="D374" s="25">
        <v>903</v>
      </c>
      <c r="F374" s="24">
        <v>1.4999999999999999E-2</v>
      </c>
      <c r="H374" s="24">
        <f>(D374/D385)</f>
        <v>8.539087840074138E-4</v>
      </c>
      <c r="J374" s="24">
        <f t="shared" si="10"/>
        <v>1.2808631760111207E-5</v>
      </c>
    </row>
    <row r="375" spans="2:10" x14ac:dyDescent="0.25">
      <c r="B375" s="37">
        <v>357.3</v>
      </c>
      <c r="D375" s="25">
        <v>201</v>
      </c>
      <c r="F375" s="24">
        <v>3.0099999999999998E-2</v>
      </c>
      <c r="H375" s="24">
        <f>(D375/D385)</f>
        <v>1.9007271936377648E-4</v>
      </c>
      <c r="J375" s="24">
        <f t="shared" si="10"/>
        <v>5.7211888528496716E-6</v>
      </c>
    </row>
    <row r="376" spans="2:10" x14ac:dyDescent="0.25">
      <c r="B376" s="37">
        <v>358</v>
      </c>
      <c r="D376" s="25">
        <v>146980</v>
      </c>
      <c r="F376" s="24">
        <v>1.6899999999999998E-2</v>
      </c>
      <c r="H376" s="24">
        <f>(D376/D385)</f>
        <v>0.13898949399048691</v>
      </c>
      <c r="J376" s="24">
        <f t="shared" si="10"/>
        <v>2.3489224484392283E-3</v>
      </c>
    </row>
    <row r="377" spans="2:10" x14ac:dyDescent="0.25">
      <c r="B377" s="37">
        <v>358.1</v>
      </c>
      <c r="D377" s="25">
        <v>1248</v>
      </c>
      <c r="F377" s="24">
        <v>1.9300000000000001E-2</v>
      </c>
      <c r="H377" s="24">
        <f>(D377/D385)</f>
        <v>1.1801530038109108E-3</v>
      </c>
      <c r="J377" s="24">
        <f t="shared" si="10"/>
        <v>2.277695297355058E-5</v>
      </c>
    </row>
    <row r="378" spans="2:10" x14ac:dyDescent="0.25">
      <c r="B378" s="37">
        <v>358.2</v>
      </c>
      <c r="D378" s="25">
        <v>1542</v>
      </c>
      <c r="F378" s="24">
        <v>1.24E-2</v>
      </c>
      <c r="H378" s="24">
        <f>(D378/D385)</f>
        <v>1.4581698172086734E-3</v>
      </c>
      <c r="J378" s="24">
        <f t="shared" si="10"/>
        <v>1.8081305733387549E-5</v>
      </c>
    </row>
    <row r="379" spans="2:10" x14ac:dyDescent="0.25">
      <c r="B379" s="37">
        <v>358.3</v>
      </c>
      <c r="D379" s="25">
        <v>289</v>
      </c>
      <c r="F379" s="24">
        <v>3.0099999999999998E-2</v>
      </c>
      <c r="H379" s="24">
        <f>(D379/D385)</f>
        <v>2.732886362991612E-4</v>
      </c>
      <c r="J379" s="24">
        <f t="shared" si="10"/>
        <v>8.2259879526047519E-6</v>
      </c>
    </row>
    <row r="380" spans="2:10" x14ac:dyDescent="0.25">
      <c r="B380" s="37">
        <v>359</v>
      </c>
      <c r="D380" s="25">
        <v>7541</v>
      </c>
      <c r="F380" s="24">
        <v>1.7999999999999999E-2</v>
      </c>
      <c r="H380" s="24">
        <f>(D380/D385)</f>
        <v>7.1310367001106391E-3</v>
      </c>
      <c r="J380" s="24">
        <f t="shared" si="10"/>
        <v>1.283586606019915E-4</v>
      </c>
    </row>
    <row r="381" spans="2:10" x14ac:dyDescent="0.25">
      <c r="B381" s="37">
        <v>359.1</v>
      </c>
      <c r="D381" s="25">
        <v>331</v>
      </c>
      <c r="F381" s="24">
        <v>1.8700000000000001E-2</v>
      </c>
      <c r="H381" s="24">
        <f>(D381/D385)</f>
        <v>3.1300532392741304E-4</v>
      </c>
      <c r="J381" s="24">
        <f t="shared" si="10"/>
        <v>5.853199557442624E-6</v>
      </c>
    </row>
    <row r="382" spans="2:10" x14ac:dyDescent="0.25">
      <c r="B382" s="37">
        <v>359.2</v>
      </c>
      <c r="D382" s="25">
        <v>444</v>
      </c>
      <c r="F382" s="24">
        <v>1.49E-2</v>
      </c>
      <c r="H382" s="24">
        <f>(D382/D385)</f>
        <v>4.1986212635580479E-4</v>
      </c>
      <c r="J382" s="24">
        <f t="shared" si="10"/>
        <v>6.2559456827014915E-6</v>
      </c>
    </row>
    <row r="383" spans="2:10" x14ac:dyDescent="0.25">
      <c r="B383" s="37">
        <v>359.3</v>
      </c>
      <c r="D383" s="25">
        <v>5</v>
      </c>
      <c r="F383" s="24">
        <v>3.0099999999999998E-2</v>
      </c>
      <c r="H383" s="24">
        <f>(D383/D385)</f>
        <v>4.7281770986014049E-6</v>
      </c>
      <c r="J383" s="24">
        <f t="shared" si="10"/>
        <v>1.4231813066790227E-7</v>
      </c>
    </row>
    <row r="384" spans="2:10" ht="5.15" customHeight="1" x14ac:dyDescent="0.25">
      <c r="D384" s="38"/>
      <c r="H384" s="39"/>
      <c r="J384" s="38"/>
    </row>
    <row r="385" spans="2:10" x14ac:dyDescent="0.25">
      <c r="B385" s="17" t="s">
        <v>25</v>
      </c>
      <c r="D385" s="25">
        <f>SUM(D350:D384)</f>
        <v>1057490</v>
      </c>
      <c r="H385" s="24">
        <f>SUM(H350:H384)</f>
        <v>0.99999999999999989</v>
      </c>
      <c r="J385" s="24">
        <f>SUM(J350:J384)</f>
        <v>2.3247592033967236E-2</v>
      </c>
    </row>
    <row r="386" spans="2:10" ht="13" thickBot="1" x14ac:dyDescent="0.3"/>
    <row r="387" spans="2:10" ht="13" thickBot="1" x14ac:dyDescent="0.3">
      <c r="B387" s="40" t="s">
        <v>60</v>
      </c>
      <c r="C387" s="41"/>
      <c r="D387" s="41"/>
      <c r="E387" s="41"/>
      <c r="F387" s="41"/>
      <c r="G387" s="41"/>
      <c r="H387" s="41"/>
      <c r="I387" s="41"/>
      <c r="J387" s="42"/>
    </row>
    <row r="388" spans="2:10" ht="39.75" customHeight="1" x14ac:dyDescent="0.25">
      <c r="B388" s="34" t="s">
        <v>46</v>
      </c>
      <c r="C388" s="35"/>
      <c r="D388" s="34" t="s">
        <v>47</v>
      </c>
      <c r="E388" s="35"/>
      <c r="F388" s="34" t="s">
        <v>48</v>
      </c>
      <c r="G388" s="35"/>
      <c r="H388" s="36" t="s">
        <v>49</v>
      </c>
      <c r="I388" s="35"/>
      <c r="J388" s="36" t="s">
        <v>50</v>
      </c>
    </row>
    <row r="389" spans="2:10" ht="5.15" customHeight="1" x14ac:dyDescent="0.25"/>
    <row r="390" spans="2:10" x14ac:dyDescent="0.25">
      <c r="B390" s="37">
        <v>350.2</v>
      </c>
      <c r="D390" s="25">
        <v>1335</v>
      </c>
      <c r="F390" s="24">
        <v>1.2500000000000001E-2</v>
      </c>
      <c r="H390" s="24">
        <f>(D390/D424)</f>
        <v>1.5374339248903066E-3</v>
      </c>
      <c r="J390" s="24">
        <f>F390*H390</f>
        <v>1.9217924061128833E-5</v>
      </c>
    </row>
    <row r="391" spans="2:10" x14ac:dyDescent="0.25">
      <c r="B391" s="37">
        <v>352</v>
      </c>
      <c r="D391" s="25">
        <v>29281</v>
      </c>
      <c r="F391" s="24">
        <v>2.9499999999999998E-2</v>
      </c>
      <c r="H391" s="24">
        <f>(D391/D424)</f>
        <v>3.3721050752594059E-2</v>
      </c>
      <c r="J391" s="24">
        <f t="shared" ref="J391:J422" si="11">F391*H391</f>
        <v>9.9477099720152477E-4</v>
      </c>
    </row>
    <row r="392" spans="2:10" x14ac:dyDescent="0.25">
      <c r="B392" s="37">
        <v>352.1</v>
      </c>
      <c r="D392" s="25">
        <v>99</v>
      </c>
      <c r="F392" s="24">
        <v>2.4400000000000002E-2</v>
      </c>
      <c r="H392" s="24">
        <f>(D392/D424)</f>
        <v>1.1401195398062948E-4</v>
      </c>
      <c r="J392" s="24">
        <f t="shared" si="11"/>
        <v>2.7818916771273596E-6</v>
      </c>
    </row>
    <row r="393" spans="2:10" x14ac:dyDescent="0.25">
      <c r="B393" s="37">
        <v>352.2</v>
      </c>
      <c r="D393" s="25">
        <v>119</v>
      </c>
      <c r="F393" s="24">
        <v>3.27E-2</v>
      </c>
      <c r="H393" s="24">
        <f>(D393/D424)</f>
        <v>1.3704467195651423E-4</v>
      </c>
      <c r="J393" s="24">
        <f t="shared" si="11"/>
        <v>4.4813607729780151E-6</v>
      </c>
    </row>
    <row r="394" spans="2:10" x14ac:dyDescent="0.25">
      <c r="B394" s="37">
        <v>352.3</v>
      </c>
      <c r="D394" s="25">
        <v>68</v>
      </c>
      <c r="F394" s="24">
        <v>3.0099999999999998E-2</v>
      </c>
      <c r="H394" s="24">
        <f>(D394/D424)</f>
        <v>7.8311241118008131E-5</v>
      </c>
      <c r="J394" s="24">
        <f t="shared" si="11"/>
        <v>2.3571683576520446E-6</v>
      </c>
    </row>
    <row r="395" spans="2:10" x14ac:dyDescent="0.25">
      <c r="B395" s="37">
        <v>353</v>
      </c>
      <c r="D395" s="25">
        <v>492984</v>
      </c>
      <c r="F395" s="24">
        <v>2.6700000000000002E-2</v>
      </c>
      <c r="H395" s="24">
        <f>(D395/D424)</f>
        <v>0.5677380719311782</v>
      </c>
      <c r="J395" s="24">
        <f t="shared" si="11"/>
        <v>1.5158606520562459E-2</v>
      </c>
    </row>
    <row r="396" spans="2:10" x14ac:dyDescent="0.25">
      <c r="B396" s="37">
        <v>353.1</v>
      </c>
      <c r="D396" s="25">
        <v>5842</v>
      </c>
      <c r="F396" s="24">
        <v>1.95E-2</v>
      </c>
      <c r="H396" s="24">
        <f>(D396/D424)</f>
        <v>6.7278569207559341E-3</v>
      </c>
      <c r="J396" s="24">
        <f t="shared" si="11"/>
        <v>1.311932099547407E-4</v>
      </c>
    </row>
    <row r="397" spans="2:10" x14ac:dyDescent="0.25">
      <c r="B397" s="37">
        <v>353.2</v>
      </c>
      <c r="D397" s="25">
        <v>8003</v>
      </c>
      <c r="F397" s="24">
        <v>3.0700000000000002E-2</v>
      </c>
      <c r="H397" s="24">
        <f>(D397/D424)</f>
        <v>9.2165420980502809E-3</v>
      </c>
      <c r="J397" s="24">
        <f t="shared" si="11"/>
        <v>2.8294784241014362E-4</v>
      </c>
    </row>
    <row r="398" spans="2:10" x14ac:dyDescent="0.25">
      <c r="B398" s="37">
        <v>353.3</v>
      </c>
      <c r="D398" s="25">
        <v>1341</v>
      </c>
      <c r="F398" s="24">
        <v>3.0099999999999998E-2</v>
      </c>
      <c r="H398" s="24">
        <f>(D398/D424)</f>
        <v>1.5443437402830721E-3</v>
      </c>
      <c r="J398" s="24">
        <f t="shared" si="11"/>
        <v>4.6484746582520467E-5</v>
      </c>
    </row>
    <row r="399" spans="2:10" x14ac:dyDescent="0.25">
      <c r="B399" s="37">
        <v>354</v>
      </c>
      <c r="D399" s="25">
        <v>110985</v>
      </c>
      <c r="F399" s="24">
        <v>1.9699999999999999E-2</v>
      </c>
      <c r="H399" s="24">
        <f>(D399/D424)</f>
        <v>0.12781431022767842</v>
      </c>
      <c r="J399" s="24">
        <f t="shared" si="11"/>
        <v>2.5179419114852645E-3</v>
      </c>
    </row>
    <row r="400" spans="2:10" x14ac:dyDescent="0.25">
      <c r="B400" s="37">
        <v>354.1</v>
      </c>
      <c r="D400" s="25">
        <v>2664</v>
      </c>
      <c r="F400" s="24">
        <v>1.6899999999999998E-2</v>
      </c>
      <c r="H400" s="24">
        <f>(D400/D424)</f>
        <v>3.067958034387848E-3</v>
      </c>
      <c r="J400" s="24">
        <f t="shared" si="11"/>
        <v>5.1848490781154624E-5</v>
      </c>
    </row>
    <row r="401" spans="2:10" x14ac:dyDescent="0.25">
      <c r="B401" s="37">
        <v>353.2</v>
      </c>
      <c r="D401" s="25">
        <v>3760</v>
      </c>
      <c r="F401" s="24">
        <v>1.9099999999999999E-2</v>
      </c>
      <c r="H401" s="24">
        <f>(D401/D424)</f>
        <v>4.3301509794663323E-3</v>
      </c>
      <c r="J401" s="24">
        <f t="shared" si="11"/>
        <v>8.2705883707806938E-5</v>
      </c>
    </row>
    <row r="402" spans="2:10" x14ac:dyDescent="0.25">
      <c r="B402" s="37">
        <v>354.3</v>
      </c>
      <c r="D402" s="25">
        <v>1010</v>
      </c>
      <c r="F402" s="24">
        <v>3.0099999999999998E-2</v>
      </c>
      <c r="H402" s="24">
        <f>(D402/D424)</f>
        <v>1.1631522577821795E-3</v>
      </c>
      <c r="J402" s="24">
        <f t="shared" si="11"/>
        <v>3.5010882959243601E-5</v>
      </c>
    </row>
    <row r="403" spans="2:10" x14ac:dyDescent="0.25">
      <c r="B403" s="37">
        <v>355</v>
      </c>
      <c r="D403" s="25">
        <v>1698</v>
      </c>
      <c r="F403" s="24">
        <v>2.8199999999999999E-2</v>
      </c>
      <c r="H403" s="24">
        <f>(D403/D424)</f>
        <v>1.9554777561526147E-3</v>
      </c>
      <c r="J403" s="24">
        <f t="shared" si="11"/>
        <v>5.5144472723503733E-5</v>
      </c>
    </row>
    <row r="404" spans="2:10" x14ac:dyDescent="0.25">
      <c r="B404" s="37">
        <v>355.1</v>
      </c>
      <c r="D404" s="25">
        <f>34</f>
        <v>34</v>
      </c>
      <c r="F404" s="24">
        <v>2.63E-2</v>
      </c>
      <c r="H404" s="24">
        <f>(D404/D424)</f>
        <v>3.9155620559004065E-5</v>
      </c>
      <c r="J404" s="24">
        <f t="shared" si="11"/>
        <v>1.0297928207018069E-6</v>
      </c>
    </row>
    <row r="405" spans="2:10" x14ac:dyDescent="0.25">
      <c r="B405" s="37">
        <v>355.2</v>
      </c>
      <c r="D405" s="25">
        <f>46</f>
        <v>46</v>
      </c>
      <c r="F405" s="24">
        <v>2.9100000000000001E-2</v>
      </c>
      <c r="H405" s="24">
        <f>(D405/D424)</f>
        <v>5.2975251344534914E-5</v>
      </c>
      <c r="J405" s="24">
        <f t="shared" si="11"/>
        <v>1.5415798141259661E-6</v>
      </c>
    </row>
    <row r="406" spans="2:10" x14ac:dyDescent="0.25">
      <c r="B406" s="37">
        <v>355.3</v>
      </c>
      <c r="D406" s="25">
        <f>6</f>
        <v>6</v>
      </c>
      <c r="F406" s="24">
        <v>3.0099999999999998E-2</v>
      </c>
      <c r="H406" s="24">
        <f>(D406/D424)</f>
        <v>6.9098153927654233E-6</v>
      </c>
      <c r="J406" s="24">
        <f t="shared" si="11"/>
        <v>2.0798544332223922E-7</v>
      </c>
    </row>
    <row r="407" spans="2:10" x14ac:dyDescent="0.25">
      <c r="B407" s="37">
        <v>356</v>
      </c>
      <c r="D407" s="25">
        <v>47486</v>
      </c>
      <c r="F407" s="24">
        <v>1.7899999999999999E-2</v>
      </c>
      <c r="H407" s="24">
        <f>(D407/D424)</f>
        <v>5.468658229014315E-2</v>
      </c>
      <c r="J407" s="24">
        <f t="shared" si="11"/>
        <v>9.7888982299356234E-4</v>
      </c>
    </row>
    <row r="408" spans="2:10" x14ac:dyDescent="0.25">
      <c r="B408" s="37">
        <v>356.1</v>
      </c>
      <c r="D408" s="25">
        <v>953</v>
      </c>
      <c r="F408" s="24">
        <v>1.7999999999999999E-2</v>
      </c>
      <c r="H408" s="24">
        <f>(D408/D424)</f>
        <v>1.097509011550908E-3</v>
      </c>
      <c r="J408" s="24">
        <f t="shared" si="11"/>
        <v>1.9755162207916342E-5</v>
      </c>
    </row>
    <row r="409" spans="2:10" x14ac:dyDescent="0.25">
      <c r="B409" s="37">
        <v>356.2</v>
      </c>
      <c r="D409" s="25">
        <v>1609</v>
      </c>
      <c r="F409" s="24">
        <v>1.5100000000000001E-2</v>
      </c>
      <c r="H409" s="24">
        <f>(D409/D424)</f>
        <v>1.8529821611599276E-3</v>
      </c>
      <c r="J409" s="24">
        <f t="shared" si="11"/>
        <v>2.7980030633514906E-5</v>
      </c>
    </row>
    <row r="410" spans="2:10" x14ac:dyDescent="0.25">
      <c r="B410" s="37">
        <v>356.3</v>
      </c>
      <c r="D410" s="25">
        <v>291</v>
      </c>
      <c r="F410" s="24">
        <v>3.0099999999999998E-2</v>
      </c>
      <c r="H410" s="24">
        <f>(D410/D424)</f>
        <v>3.3512604654912305E-4</v>
      </c>
      <c r="J410" s="24">
        <f t="shared" si="11"/>
        <v>1.0087294001128603E-5</v>
      </c>
    </row>
    <row r="411" spans="2:10" x14ac:dyDescent="0.25">
      <c r="B411" s="37">
        <v>357</v>
      </c>
      <c r="D411" s="25">
        <v>63213</v>
      </c>
      <c r="F411" s="24">
        <v>1.77E-2</v>
      </c>
      <c r="H411" s="24">
        <f>(D411/D424)</f>
        <v>7.2798360070480114E-2</v>
      </c>
      <c r="J411" s="24">
        <f t="shared" si="11"/>
        <v>1.288530973247498E-3</v>
      </c>
    </row>
    <row r="412" spans="2:10" x14ac:dyDescent="0.25">
      <c r="B412" s="37">
        <v>357.1</v>
      </c>
      <c r="D412" s="25">
        <f>812</f>
        <v>812</v>
      </c>
      <c r="F412" s="24">
        <v>1.7500000000000002E-2</v>
      </c>
      <c r="H412" s="24">
        <f>(D412/D424)</f>
        <v>9.3512834982092063E-4</v>
      </c>
      <c r="J412" s="24">
        <f t="shared" si="11"/>
        <v>1.6364746121866112E-5</v>
      </c>
    </row>
    <row r="413" spans="2:10" x14ac:dyDescent="0.25">
      <c r="B413" s="37">
        <v>357.2</v>
      </c>
      <c r="D413" s="25">
        <f>903</f>
        <v>903</v>
      </c>
      <c r="F413" s="24">
        <v>1.4999999999999999E-2</v>
      </c>
      <c r="H413" s="24">
        <f>(D413/D424)</f>
        <v>1.0399272166111962E-3</v>
      </c>
      <c r="J413" s="24">
        <f t="shared" si="11"/>
        <v>1.5598908249167941E-5</v>
      </c>
    </row>
    <row r="414" spans="2:10" x14ac:dyDescent="0.25">
      <c r="B414" s="37">
        <v>357.3</v>
      </c>
      <c r="D414" s="25">
        <f>201</f>
        <v>201</v>
      </c>
      <c r="F414" s="24">
        <v>3.0099999999999998E-2</v>
      </c>
      <c r="H414" s="24">
        <f>(D414/D424)</f>
        <v>2.3147881565764168E-4</v>
      </c>
      <c r="J414" s="24">
        <f t="shared" si="11"/>
        <v>6.9675123512950142E-6</v>
      </c>
    </row>
    <row r="415" spans="2:10" x14ac:dyDescent="0.25">
      <c r="B415" s="37">
        <v>358</v>
      </c>
      <c r="D415" s="25">
        <v>82267</v>
      </c>
      <c r="F415" s="24">
        <v>1.6899999999999998E-2</v>
      </c>
      <c r="H415" s="24">
        <f>(D415/D424)</f>
        <v>9.474163048610551E-2</v>
      </c>
      <c r="J415" s="24">
        <f t="shared" si="11"/>
        <v>1.6011335552151829E-3</v>
      </c>
    </row>
    <row r="416" spans="2:10" x14ac:dyDescent="0.25">
      <c r="B416" s="37">
        <v>358.1</v>
      </c>
      <c r="D416" s="25">
        <v>1248</v>
      </c>
      <c r="F416" s="24">
        <v>1.9300000000000001E-2</v>
      </c>
      <c r="H416" s="24">
        <f>(D416/D424)</f>
        <v>1.4372416016952081E-3</v>
      </c>
      <c r="J416" s="24">
        <f t="shared" si="11"/>
        <v>2.7738762912717519E-5</v>
      </c>
    </row>
    <row r="417" spans="2:10" x14ac:dyDescent="0.25">
      <c r="B417" s="37">
        <v>358.2</v>
      </c>
      <c r="D417" s="25">
        <v>1542</v>
      </c>
      <c r="F417" s="24">
        <v>1.24E-2</v>
      </c>
      <c r="H417" s="24">
        <f>(D417/D424)</f>
        <v>1.7758225559407139E-3</v>
      </c>
      <c r="J417" s="24">
        <f t="shared" si="11"/>
        <v>2.2020199693664852E-5</v>
      </c>
    </row>
    <row r="418" spans="2:10" x14ac:dyDescent="0.25">
      <c r="B418" s="37">
        <v>358.3</v>
      </c>
      <c r="D418" s="25">
        <v>289</v>
      </c>
      <c r="F418" s="24">
        <v>3.0099999999999998E-2</v>
      </c>
      <c r="H418" s="24">
        <f>(D418/D424)</f>
        <v>3.3282277475153455E-4</v>
      </c>
      <c r="J418" s="24">
        <f t="shared" si="11"/>
        <v>1.0017965520021189E-5</v>
      </c>
    </row>
    <row r="419" spans="2:10" x14ac:dyDescent="0.25">
      <c r="B419" s="37">
        <v>359</v>
      </c>
      <c r="D419" s="25">
        <v>7461</v>
      </c>
      <c r="F419" s="24">
        <v>1.7999999999999999E-2</v>
      </c>
      <c r="H419" s="24">
        <f>(D419/D424)</f>
        <v>8.5923554409038042E-3</v>
      </c>
      <c r="J419" s="24">
        <f t="shared" si="11"/>
        <v>1.5466239793626845E-4</v>
      </c>
    </row>
    <row r="420" spans="2:10" x14ac:dyDescent="0.25">
      <c r="B420" s="37">
        <v>359.1</v>
      </c>
      <c r="D420" s="25">
        <v>331</v>
      </c>
      <c r="F420" s="24">
        <v>1.8700000000000001E-2</v>
      </c>
      <c r="H420" s="24">
        <f>(D420/D424)</f>
        <v>3.811914825008925E-4</v>
      </c>
      <c r="J420" s="24">
        <f t="shared" si="11"/>
        <v>7.1282807227666903E-6</v>
      </c>
    </row>
    <row r="421" spans="2:10" x14ac:dyDescent="0.25">
      <c r="B421" s="37">
        <v>359.2</v>
      </c>
      <c r="D421" s="25">
        <v>444</v>
      </c>
      <c r="F421" s="24">
        <v>1.49E-2</v>
      </c>
      <c r="H421" s="24">
        <f>(D421/D424)</f>
        <v>5.1132633906464137E-4</v>
      </c>
      <c r="J421" s="24">
        <f t="shared" si="11"/>
        <v>7.6187624520631569E-6</v>
      </c>
    </row>
    <row r="422" spans="2:10" x14ac:dyDescent="0.25">
      <c r="B422" s="37">
        <v>359.3</v>
      </c>
      <c r="D422" s="25">
        <v>5</v>
      </c>
      <c r="F422" s="24">
        <v>3.0099999999999998E-2</v>
      </c>
      <c r="H422" s="24">
        <f>(D422/D424)</f>
        <v>5.7581794939711862E-6</v>
      </c>
      <c r="J422" s="24">
        <f t="shared" si="11"/>
        <v>1.733212027685327E-7</v>
      </c>
    </row>
    <row r="423" spans="2:10" ht="5.15" customHeight="1" x14ac:dyDescent="0.25">
      <c r="D423" s="38"/>
      <c r="H423" s="39"/>
      <c r="J423" s="38"/>
    </row>
    <row r="424" spans="2:10" x14ac:dyDescent="0.25">
      <c r="B424" s="17" t="s">
        <v>25</v>
      </c>
      <c r="D424" s="25">
        <f>SUM(D389:D423)</f>
        <v>868330</v>
      </c>
      <c r="H424" s="24">
        <f>SUM(H389:H423)</f>
        <v>0.99999999999999989</v>
      </c>
      <c r="J424" s="24">
        <f>SUM(J389:J423)</f>
        <v>2.3582940356776803E-2</v>
      </c>
    </row>
    <row r="425" spans="2:10" ht="13" thickBot="1" x14ac:dyDescent="0.3"/>
    <row r="426" spans="2:10" ht="13" thickBot="1" x14ac:dyDescent="0.3">
      <c r="B426" s="40" t="s">
        <v>61</v>
      </c>
      <c r="C426" s="41"/>
      <c r="D426" s="41"/>
      <c r="E426" s="41"/>
      <c r="F426" s="41"/>
      <c r="G426" s="41"/>
      <c r="H426" s="41"/>
      <c r="I426" s="41"/>
      <c r="J426" s="42"/>
    </row>
    <row r="427" spans="2:10" ht="39.75" customHeight="1" x14ac:dyDescent="0.25">
      <c r="B427" s="34" t="s">
        <v>46</v>
      </c>
      <c r="C427" s="35"/>
      <c r="D427" s="34" t="s">
        <v>47</v>
      </c>
      <c r="E427" s="35"/>
      <c r="F427" s="34" t="s">
        <v>48</v>
      </c>
      <c r="G427" s="35"/>
      <c r="H427" s="36" t="s">
        <v>49</v>
      </c>
      <c r="I427" s="35"/>
      <c r="J427" s="36" t="s">
        <v>50</v>
      </c>
    </row>
    <row r="428" spans="2:10" ht="5.15" customHeight="1" x14ac:dyDescent="0.25"/>
    <row r="429" spans="2:10" x14ac:dyDescent="0.25">
      <c r="B429" s="37">
        <v>350.2</v>
      </c>
      <c r="D429" s="25">
        <v>1321</v>
      </c>
      <c r="F429" s="24">
        <v>1.2500000000000001E-2</v>
      </c>
      <c r="H429" s="24">
        <f>(D429/D463)</f>
        <v>1.7075721323193897E-3</v>
      </c>
      <c r="J429" s="24">
        <f>F429*H429</f>
        <v>2.1344651653992372E-5</v>
      </c>
    </row>
    <row r="430" spans="2:10" x14ac:dyDescent="0.25">
      <c r="B430" s="37">
        <v>352</v>
      </c>
      <c r="D430" s="25">
        <v>24259</v>
      </c>
      <c r="F430" s="24">
        <v>2.9499999999999998E-2</v>
      </c>
      <c r="H430" s="24">
        <f>(D430/D463)</f>
        <v>3.1358056289126475E-2</v>
      </c>
      <c r="J430" s="24">
        <f t="shared" ref="J430:J461" si="12">F430*H430</f>
        <v>9.2506266052923096E-4</v>
      </c>
    </row>
    <row r="431" spans="2:10" x14ac:dyDescent="0.25">
      <c r="B431" s="37">
        <v>352.1</v>
      </c>
      <c r="D431" s="25">
        <v>99</v>
      </c>
      <c r="F431" s="24">
        <v>2.4400000000000002E-2</v>
      </c>
      <c r="H431" s="24">
        <f>(D431/D463)</f>
        <v>1.2797096222529869E-4</v>
      </c>
      <c r="J431" s="24">
        <f t="shared" si="12"/>
        <v>3.1224914782972882E-6</v>
      </c>
    </row>
    <row r="432" spans="2:10" x14ac:dyDescent="0.25">
      <c r="B432" s="37">
        <v>352.2</v>
      </c>
      <c r="D432" s="25">
        <v>119</v>
      </c>
      <c r="F432" s="24">
        <v>3.27E-2</v>
      </c>
      <c r="H432" s="24">
        <f>(D432/D463)</f>
        <v>1.5382368186677318E-4</v>
      </c>
      <c r="J432" s="24">
        <f t="shared" si="12"/>
        <v>5.0300343970434827E-6</v>
      </c>
    </row>
    <row r="433" spans="2:10" x14ac:dyDescent="0.25">
      <c r="B433" s="37">
        <v>352.3</v>
      </c>
      <c r="D433" s="25">
        <v>68</v>
      </c>
      <c r="F433" s="24">
        <v>3.0099999999999998E-2</v>
      </c>
      <c r="H433" s="24">
        <f>(D433/D463)</f>
        <v>8.7899246781013247E-5</v>
      </c>
      <c r="J433" s="24">
        <f t="shared" si="12"/>
        <v>2.6457673281084988E-6</v>
      </c>
    </row>
    <row r="434" spans="2:10" x14ac:dyDescent="0.25">
      <c r="B434" s="37">
        <v>353</v>
      </c>
      <c r="D434" s="25">
        <v>407136</v>
      </c>
      <c r="F434" s="24">
        <v>2.6700000000000002E-2</v>
      </c>
      <c r="H434" s="24">
        <f>(D434/D463)</f>
        <v>0.52627864319756779</v>
      </c>
      <c r="J434" s="24">
        <f t="shared" si="12"/>
        <v>1.4051639773375061E-2</v>
      </c>
    </row>
    <row r="435" spans="2:10" x14ac:dyDescent="0.25">
      <c r="B435" s="37">
        <v>353.1</v>
      </c>
      <c r="D435" s="25">
        <v>5842</v>
      </c>
      <c r="F435" s="24">
        <v>1.95E-2</v>
      </c>
      <c r="H435" s="24">
        <f>(D435/D463)</f>
        <v>7.5515794072746967E-3</v>
      </c>
      <c r="J435" s="24">
        <f t="shared" si="12"/>
        <v>1.4725579844185658E-4</v>
      </c>
    </row>
    <row r="436" spans="2:10" x14ac:dyDescent="0.25">
      <c r="B436" s="37">
        <v>353.2</v>
      </c>
      <c r="D436" s="25">
        <v>8003</v>
      </c>
      <c r="F436" s="24">
        <v>3.0700000000000002E-2</v>
      </c>
      <c r="H436" s="24">
        <f>(D436/D463)</f>
        <v>1.0344965764536015E-2</v>
      </c>
      <c r="J436" s="24">
        <f t="shared" si="12"/>
        <v>3.1759044897125571E-4</v>
      </c>
    </row>
    <row r="437" spans="2:10" x14ac:dyDescent="0.25">
      <c r="B437" s="37">
        <v>353.3</v>
      </c>
      <c r="D437" s="25">
        <v>1341</v>
      </c>
      <c r="F437" s="24">
        <v>3.0099999999999998E-2</v>
      </c>
      <c r="H437" s="24">
        <f>(D437/D463)</f>
        <v>1.7334248519608642E-3</v>
      </c>
      <c r="J437" s="24">
        <f t="shared" si="12"/>
        <v>5.2176088044022007E-5</v>
      </c>
    </row>
    <row r="438" spans="2:10" x14ac:dyDescent="0.25">
      <c r="B438" s="37">
        <v>354</v>
      </c>
      <c r="D438" s="25">
        <v>110781</v>
      </c>
      <c r="F438" s="24">
        <v>1.9699999999999999E-2</v>
      </c>
      <c r="H438" s="24">
        <f>(D438/D463)</f>
        <v>0.14319950673010923</v>
      </c>
      <c r="J438" s="24">
        <f t="shared" si="12"/>
        <v>2.8210302825831517E-3</v>
      </c>
    </row>
    <row r="439" spans="2:10" x14ac:dyDescent="0.25">
      <c r="B439" s="37">
        <v>354.1</v>
      </c>
      <c r="D439" s="25">
        <f>2664</f>
        <v>2664</v>
      </c>
      <c r="F439" s="24">
        <v>1.6899999999999998E-2</v>
      </c>
      <c r="H439" s="24">
        <f>(D439/D463)</f>
        <v>3.4435822562444013E-3</v>
      </c>
      <c r="J439" s="24">
        <f t="shared" si="12"/>
        <v>5.8196540130530373E-5</v>
      </c>
    </row>
    <row r="440" spans="2:10" x14ac:dyDescent="0.25">
      <c r="B440" s="37">
        <v>353.2</v>
      </c>
      <c r="D440" s="25">
        <v>3760</v>
      </c>
      <c r="F440" s="24">
        <v>1.9099999999999999E-2</v>
      </c>
      <c r="H440" s="24">
        <f>(D440/D463)</f>
        <v>4.8603112925972034E-3</v>
      </c>
      <c r="J440" s="24">
        <f t="shared" si="12"/>
        <v>9.2831945688606586E-5</v>
      </c>
    </row>
    <row r="441" spans="2:10" x14ac:dyDescent="0.25">
      <c r="B441" s="37">
        <v>354.3</v>
      </c>
      <c r="D441" s="25">
        <v>1010</v>
      </c>
      <c r="F441" s="24">
        <v>3.0099999999999998E-2</v>
      </c>
      <c r="H441" s="24">
        <f>(D441/D463)</f>
        <v>1.3055623418944614E-3</v>
      </c>
      <c r="J441" s="24">
        <f t="shared" si="12"/>
        <v>3.9297426491023284E-5</v>
      </c>
    </row>
    <row r="442" spans="2:10" x14ac:dyDescent="0.25">
      <c r="B442" s="37">
        <v>355</v>
      </c>
      <c r="D442" s="25">
        <v>1341</v>
      </c>
      <c r="F442" s="24">
        <v>2.8199999999999999E-2</v>
      </c>
      <c r="H442" s="24">
        <f>(D442/D463)</f>
        <v>1.7334248519608642E-3</v>
      </c>
      <c r="J442" s="24">
        <f t="shared" si="12"/>
        <v>4.8882580825296371E-5</v>
      </c>
    </row>
    <row r="443" spans="2:10" x14ac:dyDescent="0.25">
      <c r="B443" s="37">
        <v>355.1</v>
      </c>
      <c r="D443" s="25">
        <f>34</f>
        <v>34</v>
      </c>
      <c r="F443" s="24">
        <v>2.63E-2</v>
      </c>
      <c r="H443" s="24">
        <f>(D443/D463)</f>
        <v>4.3949623390506624E-5</v>
      </c>
      <c r="J443" s="24">
        <f t="shared" si="12"/>
        <v>1.1558750951703241E-6</v>
      </c>
    </row>
    <row r="444" spans="2:10" x14ac:dyDescent="0.25">
      <c r="B444" s="37">
        <v>355.2</v>
      </c>
      <c r="D444" s="25">
        <f>46</f>
        <v>46</v>
      </c>
      <c r="F444" s="24">
        <v>2.9100000000000001E-2</v>
      </c>
      <c r="H444" s="24">
        <f>(D444/D463)</f>
        <v>5.9461255175391314E-5</v>
      </c>
      <c r="J444" s="24">
        <f t="shared" si="12"/>
        <v>1.7303225256038873E-6</v>
      </c>
    </row>
    <row r="445" spans="2:10" x14ac:dyDescent="0.25">
      <c r="B445" s="37">
        <v>355.3</v>
      </c>
      <c r="D445" s="25">
        <f>6</f>
        <v>6</v>
      </c>
      <c r="F445" s="24">
        <v>3.0099999999999998E-2</v>
      </c>
      <c r="H445" s="24">
        <f>(D445/D463)</f>
        <v>7.7558158924423451E-6</v>
      </c>
      <c r="J445" s="24">
        <f t="shared" si="12"/>
        <v>2.3345005836251458E-7</v>
      </c>
    </row>
    <row r="446" spans="2:10" x14ac:dyDescent="0.25">
      <c r="B446" s="37">
        <v>356</v>
      </c>
      <c r="D446" s="25">
        <v>45446</v>
      </c>
      <c r="F446" s="24">
        <v>1.7899999999999999E-2</v>
      </c>
      <c r="H446" s="24">
        <f>(D446/D463)</f>
        <v>5.8745134841322467E-2</v>
      </c>
      <c r="J446" s="24">
        <f t="shared" si="12"/>
        <v>1.0515379136596722E-3</v>
      </c>
    </row>
    <row r="447" spans="2:10" x14ac:dyDescent="0.25">
      <c r="B447" s="37">
        <v>356.1</v>
      </c>
      <c r="D447" s="25">
        <v>953</v>
      </c>
      <c r="F447" s="24">
        <v>1.7999999999999999E-2</v>
      </c>
      <c r="H447" s="24">
        <f>(D447/D463)</f>
        <v>1.2318820909162592E-3</v>
      </c>
      <c r="J447" s="24">
        <f t="shared" si="12"/>
        <v>2.2173877636492664E-5</v>
      </c>
    </row>
    <row r="448" spans="2:10" x14ac:dyDescent="0.25">
      <c r="B448" s="37">
        <v>356.2</v>
      </c>
      <c r="D448" s="25">
        <v>1609</v>
      </c>
      <c r="F448" s="24">
        <v>1.5100000000000001E-2</v>
      </c>
      <c r="H448" s="24">
        <f>(D448/D463)</f>
        <v>2.0798512951566224E-3</v>
      </c>
      <c r="J448" s="24">
        <f t="shared" si="12"/>
        <v>3.1405754556864997E-5</v>
      </c>
    </row>
    <row r="449" spans="2:10" x14ac:dyDescent="0.25">
      <c r="B449" s="37">
        <v>356.3</v>
      </c>
      <c r="D449" s="25">
        <v>291</v>
      </c>
      <c r="F449" s="24">
        <v>3.0099999999999998E-2</v>
      </c>
      <c r="H449" s="24">
        <f>(D449/D463)</f>
        <v>3.7615707078345376E-4</v>
      </c>
      <c r="J449" s="24">
        <f t="shared" si="12"/>
        <v>1.1322327830581957E-5</v>
      </c>
    </row>
    <row r="450" spans="2:10" x14ac:dyDescent="0.25">
      <c r="B450" s="37">
        <v>357</v>
      </c>
      <c r="D450" s="25">
        <v>63213</v>
      </c>
      <c r="F450" s="24">
        <v>1.77E-2</v>
      </c>
      <c r="H450" s="24">
        <f>(D450/D463)</f>
        <v>8.1711398334826324E-2</v>
      </c>
      <c r="J450" s="24">
        <f t="shared" si="12"/>
        <v>1.4462917505264259E-3</v>
      </c>
    </row>
    <row r="451" spans="2:10" x14ac:dyDescent="0.25">
      <c r="B451" s="37">
        <v>357.1</v>
      </c>
      <c r="D451" s="25">
        <v>812</v>
      </c>
      <c r="F451" s="24">
        <v>1.7500000000000002E-2</v>
      </c>
      <c r="H451" s="24">
        <f>(D451/D463)</f>
        <v>1.049620417443864E-3</v>
      </c>
      <c r="J451" s="24">
        <f t="shared" si="12"/>
        <v>1.8368357305267622E-5</v>
      </c>
    </row>
    <row r="452" spans="2:10" x14ac:dyDescent="0.25">
      <c r="B452" s="37">
        <v>357.2</v>
      </c>
      <c r="D452" s="25">
        <v>903</v>
      </c>
      <c r="F452" s="24">
        <v>1.4999999999999999E-2</v>
      </c>
      <c r="H452" s="24">
        <f>(D452/D463)</f>
        <v>1.1672502918125729E-3</v>
      </c>
      <c r="J452" s="24">
        <f t="shared" si="12"/>
        <v>1.7508754377188594E-5</v>
      </c>
    </row>
    <row r="453" spans="2:10" x14ac:dyDescent="0.25">
      <c r="B453" s="37">
        <v>357.3</v>
      </c>
      <c r="D453" s="25">
        <v>201</v>
      </c>
      <c r="F453" s="24">
        <v>3.0099999999999998E-2</v>
      </c>
      <c r="H453" s="24">
        <f>(D453/D463)</f>
        <v>2.5981983239681857E-4</v>
      </c>
      <c r="J453" s="24">
        <f t="shared" si="12"/>
        <v>7.8205769551442384E-6</v>
      </c>
    </row>
    <row r="454" spans="2:10" x14ac:dyDescent="0.25">
      <c r="B454" s="37">
        <v>358</v>
      </c>
      <c r="D454" s="25">
        <v>81035</v>
      </c>
      <c r="F454" s="24">
        <v>1.6899999999999998E-2</v>
      </c>
      <c r="H454" s="24">
        <f>(D454/D463)</f>
        <v>0.10474875680734425</v>
      </c>
      <c r="J454" s="24">
        <f t="shared" si="12"/>
        <v>1.7702539900441175E-3</v>
      </c>
    </row>
    <row r="455" spans="2:10" x14ac:dyDescent="0.25">
      <c r="B455" s="37">
        <v>358.1</v>
      </c>
      <c r="D455" s="25">
        <v>1248</v>
      </c>
      <c r="F455" s="24">
        <v>1.9300000000000001E-2</v>
      </c>
      <c r="H455" s="24">
        <f>(D455/D463)</f>
        <v>1.6132097056280078E-3</v>
      </c>
      <c r="J455" s="24">
        <f t="shared" si="12"/>
        <v>3.1134947318620551E-5</v>
      </c>
    </row>
    <row r="456" spans="2:10" x14ac:dyDescent="0.25">
      <c r="B456" s="37">
        <v>358.2</v>
      </c>
      <c r="D456" s="25">
        <v>1542</v>
      </c>
      <c r="F456" s="24">
        <v>1.24E-2</v>
      </c>
      <c r="H456" s="24">
        <f>(D456/D463)</f>
        <v>1.9932446843576829E-3</v>
      </c>
      <c r="J456" s="24">
        <f t="shared" si="12"/>
        <v>2.4716234086035266E-5</v>
      </c>
    </row>
    <row r="457" spans="2:10" x14ac:dyDescent="0.25">
      <c r="B457" s="37">
        <v>358.3</v>
      </c>
      <c r="D457" s="25">
        <v>289</v>
      </c>
      <c r="F457" s="24">
        <v>3.0099999999999998E-2</v>
      </c>
      <c r="H457" s="24">
        <f>(D457/D463)</f>
        <v>3.7357179881930628E-4</v>
      </c>
      <c r="J457" s="24">
        <f t="shared" si="12"/>
        <v>1.1244511144461119E-5</v>
      </c>
    </row>
    <row r="458" spans="2:10" x14ac:dyDescent="0.25">
      <c r="B458" s="37">
        <v>359</v>
      </c>
      <c r="D458" s="25">
        <v>7461</v>
      </c>
      <c r="F458" s="24">
        <v>1.7999999999999999E-2</v>
      </c>
      <c r="H458" s="24">
        <f>(D458/D463)</f>
        <v>9.6443570622520569E-3</v>
      </c>
      <c r="J458" s="24">
        <f t="shared" si="12"/>
        <v>1.7359842712053701E-4</v>
      </c>
    </row>
    <row r="459" spans="2:10" x14ac:dyDescent="0.25">
      <c r="B459" s="37">
        <v>359.1</v>
      </c>
      <c r="D459" s="25">
        <v>331</v>
      </c>
      <c r="F459" s="24">
        <v>1.8700000000000001E-2</v>
      </c>
      <c r="H459" s="24">
        <f>(D459/D463)</f>
        <v>4.2786251006640273E-4</v>
      </c>
      <c r="J459" s="24">
        <f t="shared" si="12"/>
        <v>8.0010289382417312E-6</v>
      </c>
    </row>
    <row r="460" spans="2:10" x14ac:dyDescent="0.25">
      <c r="B460" s="37">
        <v>359.2</v>
      </c>
      <c r="D460" s="25">
        <v>444</v>
      </c>
      <c r="F460" s="24">
        <v>1.49E-2</v>
      </c>
      <c r="H460" s="24">
        <f>(D460/D463)</f>
        <v>5.7393037604073355E-4</v>
      </c>
      <c r="J460" s="24">
        <f t="shared" si="12"/>
        <v>8.55156260300693E-6</v>
      </c>
    </row>
    <row r="461" spans="2:10" x14ac:dyDescent="0.25">
      <c r="B461" s="37">
        <v>359.3</v>
      </c>
      <c r="D461" s="25">
        <v>5</v>
      </c>
      <c r="F461" s="24">
        <v>3.0099999999999998E-2</v>
      </c>
      <c r="H461" s="24">
        <f>(D461/D463)</f>
        <v>6.4631799103686207E-6</v>
      </c>
      <c r="J461" s="24">
        <f t="shared" si="12"/>
        <v>1.9454171530209546E-7</v>
      </c>
    </row>
    <row r="462" spans="2:10" ht="5.15" customHeight="1" x14ac:dyDescent="0.25">
      <c r="D462" s="38"/>
      <c r="H462" s="39"/>
      <c r="J462" s="38"/>
    </row>
    <row r="463" spans="2:10" x14ac:dyDescent="0.25">
      <c r="B463" s="17" t="s">
        <v>25</v>
      </c>
      <c r="D463" s="25">
        <f>SUM(D428:D462)</f>
        <v>773613</v>
      </c>
      <c r="H463" s="24">
        <f>SUM(H428:H462)</f>
        <v>1</v>
      </c>
      <c r="J463" s="24">
        <f>SUM(J428:J462)</f>
        <v>2.3223350693434581E-2</v>
      </c>
    </row>
    <row r="464" spans="2:10" ht="13" thickBot="1" x14ac:dyDescent="0.3"/>
    <row r="465" spans="2:10" ht="13" thickBot="1" x14ac:dyDescent="0.3">
      <c r="B465" s="40" t="s">
        <v>62</v>
      </c>
      <c r="C465" s="41"/>
      <c r="D465" s="41"/>
      <c r="E465" s="41"/>
      <c r="F465" s="41"/>
      <c r="G465" s="41"/>
      <c r="H465" s="41"/>
      <c r="I465" s="41"/>
      <c r="J465" s="42"/>
    </row>
    <row r="466" spans="2:10" ht="39.75" customHeight="1" x14ac:dyDescent="0.25">
      <c r="B466" s="34" t="s">
        <v>46</v>
      </c>
      <c r="C466" s="35"/>
      <c r="D466" s="34" t="s">
        <v>47</v>
      </c>
      <c r="E466" s="35"/>
      <c r="F466" s="34" t="s">
        <v>48</v>
      </c>
      <c r="G466" s="35"/>
      <c r="H466" s="36" t="s">
        <v>49</v>
      </c>
      <c r="I466" s="35"/>
      <c r="J466" s="36" t="s">
        <v>50</v>
      </c>
    </row>
    <row r="467" spans="2:10" ht="5.15" customHeight="1" x14ac:dyDescent="0.25"/>
    <row r="468" spans="2:10" x14ac:dyDescent="0.25">
      <c r="B468" s="37">
        <v>350.2</v>
      </c>
      <c r="D468" s="25">
        <v>1321</v>
      </c>
      <c r="F468" s="24">
        <v>1.2500000000000001E-2</v>
      </c>
      <c r="H468" s="24">
        <f>(D468/D502)</f>
        <v>1.7762371471560709E-3</v>
      </c>
      <c r="J468" s="24">
        <f>F468*H468</f>
        <v>2.2202964339450889E-5</v>
      </c>
    </row>
    <row r="469" spans="2:10" x14ac:dyDescent="0.25">
      <c r="B469" s="37">
        <v>352</v>
      </c>
      <c r="D469" s="25">
        <v>23778</v>
      </c>
      <c r="F469" s="24">
        <v>2.9499999999999998E-2</v>
      </c>
      <c r="H469" s="24">
        <f>(D469/D502)</f>
        <v>3.1972268648809275E-2</v>
      </c>
      <c r="J469" s="24">
        <f t="shared" ref="J469:J500" si="13">F469*H469</f>
        <v>9.4318192513987353E-4</v>
      </c>
    </row>
    <row r="470" spans="2:10" x14ac:dyDescent="0.25">
      <c r="B470" s="37">
        <v>352.1</v>
      </c>
      <c r="D470" s="25">
        <v>99</v>
      </c>
      <c r="F470" s="24">
        <v>2.4400000000000002E-2</v>
      </c>
      <c r="H470" s="24">
        <f>(D470/D502)</f>
        <v>1.3311693987013703E-4</v>
      </c>
      <c r="J470" s="24">
        <f t="shared" si="13"/>
        <v>3.2480533328313438E-6</v>
      </c>
    </row>
    <row r="471" spans="2:10" x14ac:dyDescent="0.25">
      <c r="B471" s="37">
        <v>352.2</v>
      </c>
      <c r="D471" s="25">
        <v>119</v>
      </c>
      <c r="F471" s="24">
        <v>3.27E-2</v>
      </c>
      <c r="H471" s="24">
        <f>(D471/D502)</f>
        <v>1.6000925095501319E-4</v>
      </c>
      <c r="J471" s="24">
        <f t="shared" si="13"/>
        <v>5.2323025062289313E-6</v>
      </c>
    </row>
    <row r="472" spans="2:10" x14ac:dyDescent="0.25">
      <c r="B472" s="37">
        <v>352.3</v>
      </c>
      <c r="D472" s="25">
        <v>68</v>
      </c>
      <c r="F472" s="24">
        <v>3.0099999999999998E-2</v>
      </c>
      <c r="H472" s="24">
        <f>(D472/D502)</f>
        <v>9.1433857688578976E-5</v>
      </c>
      <c r="J472" s="24">
        <f t="shared" si="13"/>
        <v>2.752159116426227E-6</v>
      </c>
    </row>
    <row r="473" spans="2:10" x14ac:dyDescent="0.25">
      <c r="B473" s="37">
        <v>353</v>
      </c>
      <c r="D473" s="25">
        <v>379239</v>
      </c>
      <c r="F473" s="24">
        <v>2.6700000000000002E-2</v>
      </c>
      <c r="H473" s="24">
        <f>(D473/D502)</f>
        <v>0.50993065817586769</v>
      </c>
      <c r="J473" s="24">
        <f t="shared" si="13"/>
        <v>1.3615148573295668E-2</v>
      </c>
    </row>
    <row r="474" spans="2:10" x14ac:dyDescent="0.25">
      <c r="B474" s="37">
        <v>353.1</v>
      </c>
      <c r="D474" s="25">
        <v>5857</v>
      </c>
      <c r="F474" s="24">
        <v>1.95E-2</v>
      </c>
      <c r="H474" s="24">
        <f>(D474/D502)</f>
        <v>7.875413301205985E-3</v>
      </c>
      <c r="J474" s="24">
        <f t="shared" si="13"/>
        <v>1.535705593735167E-4</v>
      </c>
    </row>
    <row r="475" spans="2:10" x14ac:dyDescent="0.25">
      <c r="B475" s="37">
        <v>353.2</v>
      </c>
      <c r="D475" s="25">
        <v>8023</v>
      </c>
      <c r="F475" s="24">
        <v>3.0700000000000002E-2</v>
      </c>
      <c r="H475" s="24">
        <f>(D475/D502)</f>
        <v>1.0787850591698074E-2</v>
      </c>
      <c r="J475" s="24">
        <f t="shared" si="13"/>
        <v>3.3118701316513092E-4</v>
      </c>
    </row>
    <row r="476" spans="2:10" x14ac:dyDescent="0.25">
      <c r="B476" s="37">
        <v>353.3</v>
      </c>
      <c r="D476" s="25">
        <v>1350</v>
      </c>
      <c r="F476" s="24">
        <v>3.0099999999999998E-2</v>
      </c>
      <c r="H476" s="24">
        <f>(D476/D502)</f>
        <v>1.8152309982291414E-3</v>
      </c>
      <c r="J476" s="24">
        <f t="shared" si="13"/>
        <v>5.463845304669715E-5</v>
      </c>
    </row>
    <row r="477" spans="2:10" x14ac:dyDescent="0.25">
      <c r="B477" s="37">
        <v>354</v>
      </c>
      <c r="D477" s="25">
        <v>110377</v>
      </c>
      <c r="F477" s="24">
        <v>1.9699999999999999E-2</v>
      </c>
      <c r="H477" s="24">
        <f>(D477/D502)</f>
        <v>0.14841463103076885</v>
      </c>
      <c r="J477" s="24">
        <f t="shared" si="13"/>
        <v>2.9237682313061463E-3</v>
      </c>
    </row>
    <row r="478" spans="2:10" x14ac:dyDescent="0.25">
      <c r="B478" s="37">
        <v>354.1</v>
      </c>
      <c r="D478" s="25">
        <v>2664</v>
      </c>
      <c r="F478" s="24">
        <v>1.6899999999999998E-2</v>
      </c>
      <c r="H478" s="24">
        <f>(D478/D502)</f>
        <v>3.5820558365055057E-3</v>
      </c>
      <c r="J478" s="24">
        <f t="shared" si="13"/>
        <v>6.0536743636943044E-5</v>
      </c>
    </row>
    <row r="479" spans="2:10" x14ac:dyDescent="0.25">
      <c r="B479" s="37">
        <v>353.2</v>
      </c>
      <c r="D479" s="25">
        <v>3760</v>
      </c>
      <c r="F479" s="24">
        <v>1.9099999999999999E-2</v>
      </c>
      <c r="H479" s="24">
        <f>(D479/D502)</f>
        <v>5.0557544839567193E-3</v>
      </c>
      <c r="J479" s="24">
        <f t="shared" si="13"/>
        <v>9.6564910643573331E-5</v>
      </c>
    </row>
    <row r="480" spans="2:10" x14ac:dyDescent="0.25">
      <c r="B480" s="37">
        <v>354.3</v>
      </c>
      <c r="D480" s="25">
        <v>1010</v>
      </c>
      <c r="F480" s="24">
        <v>3.0099999999999998E-2</v>
      </c>
      <c r="H480" s="24">
        <f>(D480/D502)</f>
        <v>1.3580617097862465E-3</v>
      </c>
      <c r="J480" s="24">
        <f t="shared" si="13"/>
        <v>4.087765746456602E-5</v>
      </c>
    </row>
    <row r="481" spans="2:10" x14ac:dyDescent="0.25">
      <c r="B481" s="37">
        <v>355</v>
      </c>
      <c r="D481" s="25">
        <v>1393</v>
      </c>
      <c r="F481" s="24">
        <v>2.8199999999999999E-2</v>
      </c>
      <c r="H481" s="24">
        <f>(D481/D502)</f>
        <v>1.8730494670616252E-3</v>
      </c>
      <c r="J481" s="24">
        <f t="shared" si="13"/>
        <v>5.2819994971137825E-5</v>
      </c>
    </row>
    <row r="482" spans="2:10" x14ac:dyDescent="0.25">
      <c r="B482" s="37">
        <v>355.1</v>
      </c>
      <c r="D482" s="25">
        <f>34</f>
        <v>34</v>
      </c>
      <c r="F482" s="24">
        <v>2.63E-2</v>
      </c>
      <c r="H482" s="24">
        <f>(D482/D502)</f>
        <v>4.5716928844289488E-5</v>
      </c>
      <c r="J482" s="24">
        <f t="shared" si="13"/>
        <v>1.2023552286048136E-6</v>
      </c>
    </row>
    <row r="483" spans="2:10" x14ac:dyDescent="0.25">
      <c r="B483" s="37">
        <v>355.2</v>
      </c>
      <c r="D483" s="25">
        <f>46</f>
        <v>46</v>
      </c>
      <c r="F483" s="24">
        <v>2.9100000000000001E-2</v>
      </c>
      <c r="H483" s="24">
        <f>(D483/D502)</f>
        <v>6.1852315495215189E-5</v>
      </c>
      <c r="J483" s="24">
        <f t="shared" si="13"/>
        <v>1.7999023809107621E-6</v>
      </c>
    </row>
    <row r="484" spans="2:10" x14ac:dyDescent="0.25">
      <c r="B484" s="37">
        <v>355.3</v>
      </c>
      <c r="D484" s="25">
        <f>6</f>
        <v>6</v>
      </c>
      <c r="F484" s="24">
        <v>3.0099999999999998E-2</v>
      </c>
      <c r="H484" s="24">
        <f>(D484/D502)</f>
        <v>8.0676933254628502E-6</v>
      </c>
      <c r="J484" s="24">
        <f t="shared" si="13"/>
        <v>2.4283756909643178E-7</v>
      </c>
    </row>
    <row r="485" spans="2:10" x14ac:dyDescent="0.25">
      <c r="B485" s="37">
        <v>356</v>
      </c>
      <c r="D485" s="25">
        <v>44928</v>
      </c>
      <c r="F485" s="24">
        <v>1.7899999999999999E-2</v>
      </c>
      <c r="H485" s="24">
        <f>(D485/D502)</f>
        <v>6.041088762106582E-2</v>
      </c>
      <c r="J485" s="24">
        <f t="shared" si="13"/>
        <v>1.0813548884170781E-3</v>
      </c>
    </row>
    <row r="486" spans="2:10" x14ac:dyDescent="0.25">
      <c r="B486" s="37">
        <v>356.1</v>
      </c>
      <c r="D486" s="25">
        <v>953</v>
      </c>
      <c r="F486" s="24">
        <v>1.7999999999999999E-2</v>
      </c>
      <c r="H486" s="24">
        <f>(D486/D502)</f>
        <v>1.2814186231943493E-3</v>
      </c>
      <c r="J486" s="24">
        <f t="shared" si="13"/>
        <v>2.3065535217498285E-5</v>
      </c>
    </row>
    <row r="487" spans="2:10" x14ac:dyDescent="0.25">
      <c r="B487" s="37">
        <v>356.2</v>
      </c>
      <c r="D487" s="25">
        <v>1609</v>
      </c>
      <c r="F487" s="24">
        <v>1.5100000000000001E-2</v>
      </c>
      <c r="H487" s="24">
        <f>(D487/D502)</f>
        <v>2.1634864267782877E-3</v>
      </c>
      <c r="J487" s="24">
        <f t="shared" si="13"/>
        <v>3.2668645044352147E-5</v>
      </c>
    </row>
    <row r="488" spans="2:10" x14ac:dyDescent="0.25">
      <c r="B488" s="37">
        <v>356.3</v>
      </c>
      <c r="D488" s="25">
        <v>291</v>
      </c>
      <c r="F488" s="24">
        <v>3.0099999999999998E-2</v>
      </c>
      <c r="H488" s="24">
        <f>(D488/D502)</f>
        <v>3.9128312628494824E-4</v>
      </c>
      <c r="J488" s="24">
        <f t="shared" si="13"/>
        <v>1.1777622101176941E-5</v>
      </c>
    </row>
    <row r="489" spans="2:10" x14ac:dyDescent="0.25">
      <c r="B489" s="37">
        <v>357</v>
      </c>
      <c r="D489" s="25">
        <v>63275</v>
      </c>
      <c r="F489" s="24">
        <v>1.77E-2</v>
      </c>
      <c r="H489" s="24">
        <f>(D489/D502)</f>
        <v>8.5080549194776978E-2</v>
      </c>
      <c r="J489" s="24">
        <f t="shared" si="13"/>
        <v>1.5059257207475525E-3</v>
      </c>
    </row>
    <row r="490" spans="2:10" x14ac:dyDescent="0.25">
      <c r="B490" s="37">
        <v>357.1</v>
      </c>
      <c r="D490" s="25">
        <v>812</v>
      </c>
      <c r="F490" s="24">
        <v>1.7500000000000002E-2</v>
      </c>
      <c r="H490" s="24">
        <f>(D490/D502)</f>
        <v>1.0918278300459724E-3</v>
      </c>
      <c r="J490" s="24">
        <f t="shared" si="13"/>
        <v>1.910698702580452E-5</v>
      </c>
    </row>
    <row r="491" spans="2:10" x14ac:dyDescent="0.25">
      <c r="B491" s="37">
        <v>357.2</v>
      </c>
      <c r="D491" s="25">
        <v>903</v>
      </c>
      <c r="F491" s="24">
        <v>1.4999999999999999E-2</v>
      </c>
      <c r="H491" s="24">
        <f>(D491/D502)</f>
        <v>1.2141878454821589E-3</v>
      </c>
      <c r="J491" s="24">
        <f t="shared" si="13"/>
        <v>1.8212817682232383E-5</v>
      </c>
    </row>
    <row r="492" spans="2:10" x14ac:dyDescent="0.25">
      <c r="B492" s="37">
        <v>357.3</v>
      </c>
      <c r="D492" s="25">
        <v>201</v>
      </c>
      <c r="F492" s="24">
        <v>3.0099999999999998E-2</v>
      </c>
      <c r="H492" s="24">
        <f>(D492/D502)</f>
        <v>2.7026772640300549E-4</v>
      </c>
      <c r="J492" s="24">
        <f t="shared" si="13"/>
        <v>8.1350585647304654E-6</v>
      </c>
    </row>
    <row r="493" spans="2:10" x14ac:dyDescent="0.25">
      <c r="B493" s="37">
        <v>358</v>
      </c>
      <c r="D493" s="25">
        <v>80271</v>
      </c>
      <c r="F493" s="24">
        <v>1.6899999999999998E-2</v>
      </c>
      <c r="H493" s="24">
        <f>(D493/D502)</f>
        <v>0.10793363515470475</v>
      </c>
      <c r="J493" s="24">
        <f t="shared" si="13"/>
        <v>1.82407843411451E-3</v>
      </c>
    </row>
    <row r="494" spans="2:10" x14ac:dyDescent="0.25">
      <c r="B494" s="37">
        <v>358.1</v>
      </c>
      <c r="D494" s="25">
        <v>1248</v>
      </c>
      <c r="F494" s="24">
        <v>1.9300000000000001E-2</v>
      </c>
      <c r="H494" s="24">
        <f>(D494/D502)</f>
        <v>1.6780802116962729E-3</v>
      </c>
      <c r="J494" s="24">
        <f t="shared" si="13"/>
        <v>3.2386948085738069E-5</v>
      </c>
    </row>
    <row r="495" spans="2:10" x14ac:dyDescent="0.25">
      <c r="B495" s="37">
        <v>358.2</v>
      </c>
      <c r="D495" s="25">
        <v>1542</v>
      </c>
      <c r="F495" s="24">
        <v>1.24E-2</v>
      </c>
      <c r="H495" s="24">
        <f>(D495/D502)</f>
        <v>2.0733971846439527E-3</v>
      </c>
      <c r="J495" s="24">
        <f t="shared" si="13"/>
        <v>2.5710125089585011E-5</v>
      </c>
    </row>
    <row r="496" spans="2:10" x14ac:dyDescent="0.25">
      <c r="B496" s="37">
        <v>358.3</v>
      </c>
      <c r="D496" s="25">
        <v>289</v>
      </c>
      <c r="F496" s="24">
        <v>3.0099999999999998E-2</v>
      </c>
      <c r="H496" s="24">
        <f>(D496/D502)</f>
        <v>3.8859389517646064E-4</v>
      </c>
      <c r="J496" s="24">
        <f t="shared" si="13"/>
        <v>1.1696676244811465E-5</v>
      </c>
    </row>
    <row r="497" spans="2:10" x14ac:dyDescent="0.25">
      <c r="B497" s="37">
        <v>359</v>
      </c>
      <c r="D497" s="25">
        <v>7461</v>
      </c>
      <c r="F497" s="24">
        <v>1.7999999999999999E-2</v>
      </c>
      <c r="H497" s="24">
        <f>(D497/D502)</f>
        <v>1.0032176650213054E-2</v>
      </c>
      <c r="J497" s="24">
        <f t="shared" si="13"/>
        <v>1.8057917970383495E-4</v>
      </c>
    </row>
    <row r="498" spans="2:10" x14ac:dyDescent="0.25">
      <c r="B498" s="37">
        <v>359.1</v>
      </c>
      <c r="D498" s="25">
        <v>331</v>
      </c>
      <c r="F498" s="24">
        <v>1.8700000000000001E-2</v>
      </c>
      <c r="H498" s="24">
        <f>(D498/D502)</f>
        <v>4.4506774845470056E-4</v>
      </c>
      <c r="J498" s="24">
        <f t="shared" si="13"/>
        <v>8.3227668961029005E-6</v>
      </c>
    </row>
    <row r="499" spans="2:10" x14ac:dyDescent="0.25">
      <c r="B499" s="37">
        <v>359.2</v>
      </c>
      <c r="D499" s="25">
        <v>444</v>
      </c>
      <c r="F499" s="24">
        <v>1.49E-2</v>
      </c>
      <c r="H499" s="24">
        <f>(D499/D502)</f>
        <v>5.9700930608425095E-4</v>
      </c>
      <c r="J499" s="24">
        <f t="shared" si="13"/>
        <v>8.8954386606553397E-6</v>
      </c>
    </row>
    <row r="500" spans="2:10" x14ac:dyDescent="0.25">
      <c r="B500" s="37">
        <v>359.3</v>
      </c>
      <c r="D500" s="25">
        <v>5</v>
      </c>
      <c r="F500" s="24">
        <v>3.0099999999999998E-2</v>
      </c>
      <c r="H500" s="24">
        <f>(D500/D502)</f>
        <v>6.7230777712190419E-6</v>
      </c>
      <c r="J500" s="24">
        <f t="shared" si="13"/>
        <v>2.0236464091369316E-7</v>
      </c>
    </row>
    <row r="501" spans="2:10" ht="5.15" customHeight="1" x14ac:dyDescent="0.25">
      <c r="D501" s="38"/>
      <c r="H501" s="39"/>
      <c r="J501" s="38"/>
    </row>
    <row r="502" spans="2:10" x14ac:dyDescent="0.25">
      <c r="B502" s="17" t="s">
        <v>25</v>
      </c>
      <c r="D502" s="25">
        <f>SUM(D467:D501)</f>
        <v>743707</v>
      </c>
      <c r="H502" s="24">
        <f>SUM(H467:H501)</f>
        <v>0.99999999999999989</v>
      </c>
      <c r="J502" s="24">
        <f>SUM(J467:J501)</f>
        <v>2.3101093844753385E-2</v>
      </c>
    </row>
    <row r="503" spans="2:10" ht="13" thickBot="1" x14ac:dyDescent="0.3"/>
    <row r="504" spans="2:10" ht="13" thickBot="1" x14ac:dyDescent="0.3">
      <c r="B504" s="40" t="s">
        <v>63</v>
      </c>
      <c r="C504" s="41"/>
      <c r="D504" s="41"/>
      <c r="E504" s="41"/>
      <c r="F504" s="41"/>
      <c r="G504" s="41"/>
      <c r="H504" s="41"/>
      <c r="I504" s="41"/>
      <c r="J504" s="42"/>
    </row>
    <row r="505" spans="2:10" ht="39.75" customHeight="1" x14ac:dyDescent="0.25">
      <c r="B505" s="34" t="s">
        <v>46</v>
      </c>
      <c r="C505" s="35"/>
      <c r="D505" s="34" t="s">
        <v>47</v>
      </c>
      <c r="E505" s="35"/>
      <c r="F505" s="34" t="s">
        <v>48</v>
      </c>
      <c r="G505" s="35"/>
      <c r="H505" s="36" t="s">
        <v>49</v>
      </c>
      <c r="I505" s="35"/>
      <c r="J505" s="36" t="s">
        <v>50</v>
      </c>
    </row>
    <row r="506" spans="2:10" ht="5.15" customHeight="1" x14ac:dyDescent="0.25"/>
    <row r="507" spans="2:10" x14ac:dyDescent="0.25">
      <c r="B507" s="37">
        <v>350.2</v>
      </c>
      <c r="D507" s="25">
        <v>1321</v>
      </c>
      <c r="F507" s="24">
        <v>1.2500000000000001E-2</v>
      </c>
      <c r="H507" s="24">
        <f>(D507/D541)</f>
        <v>1.9231357157311337E-3</v>
      </c>
      <c r="J507" s="24">
        <f>F507*H507</f>
        <v>2.4039196446639173E-5</v>
      </c>
    </row>
    <row r="508" spans="2:10" x14ac:dyDescent="0.25">
      <c r="B508" s="37">
        <v>352</v>
      </c>
      <c r="D508" s="25">
        <v>23599</v>
      </c>
      <c r="F508" s="24">
        <v>2.9499999999999998E-2</v>
      </c>
      <c r="H508" s="24">
        <f>(D508/D541)</f>
        <v>3.4355851442497372E-2</v>
      </c>
      <c r="J508" s="24">
        <f t="shared" ref="J508:J539" si="14">F508*H508</f>
        <v>1.0134976175536724E-3</v>
      </c>
    </row>
    <row r="509" spans="2:10" x14ac:dyDescent="0.25">
      <c r="B509" s="37">
        <v>352.1</v>
      </c>
      <c r="D509" s="25">
        <v>99</v>
      </c>
      <c r="F509" s="24">
        <v>2.4400000000000002E-2</v>
      </c>
      <c r="H509" s="24">
        <f>(D509/D541)</f>
        <v>1.4412599232201532E-4</v>
      </c>
      <c r="J509" s="24">
        <f t="shared" si="14"/>
        <v>3.5166742126571741E-6</v>
      </c>
    </row>
    <row r="510" spans="2:10" x14ac:dyDescent="0.25">
      <c r="B510" s="37">
        <v>352.2</v>
      </c>
      <c r="D510" s="25">
        <v>119</v>
      </c>
      <c r="F510" s="24">
        <v>3.27E-2</v>
      </c>
      <c r="H510" s="24">
        <f>(D510/D541)</f>
        <v>1.7324235440727094E-4</v>
      </c>
      <c r="J510" s="24">
        <f t="shared" si="14"/>
        <v>5.6650249891177595E-6</v>
      </c>
    </row>
    <row r="511" spans="2:10" x14ac:dyDescent="0.25">
      <c r="B511" s="37">
        <v>352.3</v>
      </c>
      <c r="D511" s="25">
        <v>69</v>
      </c>
      <c r="F511" s="24">
        <v>3.0099999999999998E-2</v>
      </c>
      <c r="H511" s="24">
        <f>(D511/D541)</f>
        <v>1.0045144919413189E-4</v>
      </c>
      <c r="J511" s="24">
        <f t="shared" si="14"/>
        <v>3.0235886207433696E-6</v>
      </c>
    </row>
    <row r="512" spans="2:10" x14ac:dyDescent="0.25">
      <c r="B512" s="37">
        <v>353</v>
      </c>
      <c r="D512" s="25">
        <v>323584</v>
      </c>
      <c r="F512" s="24">
        <v>2.6700000000000002E-2</v>
      </c>
      <c r="H512" s="24">
        <f>(D512/D541)</f>
        <v>0.47107944544976771</v>
      </c>
      <c r="J512" s="24">
        <f t="shared" si="14"/>
        <v>1.2577821193508799E-2</v>
      </c>
    </row>
    <row r="513" spans="2:10" x14ac:dyDescent="0.25">
      <c r="B513" s="37">
        <v>353.1</v>
      </c>
      <c r="D513" s="25">
        <v>5863</v>
      </c>
      <c r="F513" s="24">
        <v>1.95E-2</v>
      </c>
      <c r="H513" s="24">
        <f>(D513/D541)</f>
        <v>8.5354615452926854E-3</v>
      </c>
      <c r="J513" s="24">
        <f t="shared" si="14"/>
        <v>1.6644150013320736E-4</v>
      </c>
    </row>
    <row r="514" spans="2:10" x14ac:dyDescent="0.25">
      <c r="B514" s="37">
        <v>353.2</v>
      </c>
      <c r="D514" s="25">
        <v>8013</v>
      </c>
      <c r="F514" s="24">
        <v>3.0700000000000002E-2</v>
      </c>
      <c r="H514" s="24">
        <f>(D514/D541)</f>
        <v>1.1665470469457664E-2</v>
      </c>
      <c r="J514" s="24">
        <f t="shared" si="14"/>
        <v>3.581299434123503E-4</v>
      </c>
    </row>
    <row r="515" spans="2:10" x14ac:dyDescent="0.25">
      <c r="B515" s="37">
        <v>353.3</v>
      </c>
      <c r="D515" s="25">
        <v>1351</v>
      </c>
      <c r="F515" s="24">
        <v>3.0099999999999998E-2</v>
      </c>
      <c r="H515" s="24">
        <f>(D515/D541)</f>
        <v>1.9668102588590169E-3</v>
      </c>
      <c r="J515" s="24">
        <f t="shared" si="14"/>
        <v>5.9200988791656405E-5</v>
      </c>
    </row>
    <row r="516" spans="2:10" x14ac:dyDescent="0.25">
      <c r="B516" s="37">
        <v>354</v>
      </c>
      <c r="D516" s="25">
        <v>110332</v>
      </c>
      <c r="F516" s="24">
        <v>1.9699999999999999E-2</v>
      </c>
      <c r="H516" s="24">
        <f>(D516/D541)</f>
        <v>0.16062332307952115</v>
      </c>
      <c r="J516" s="24">
        <f t="shared" si="14"/>
        <v>3.1642794646665664E-3</v>
      </c>
    </row>
    <row r="517" spans="2:10" x14ac:dyDescent="0.25">
      <c r="B517" s="37">
        <v>354.1</v>
      </c>
      <c r="D517" s="25">
        <f>2664</f>
        <v>2664</v>
      </c>
      <c r="F517" s="24">
        <v>1.6899999999999998E-2</v>
      </c>
      <c r="H517" s="24">
        <f>(D517/D541)</f>
        <v>3.8782994297560484E-3</v>
      </c>
      <c r="J517" s="24">
        <f t="shared" si="14"/>
        <v>6.5543260362877206E-5</v>
      </c>
    </row>
    <row r="518" spans="2:10" x14ac:dyDescent="0.25">
      <c r="B518" s="37">
        <v>353.2</v>
      </c>
      <c r="D518" s="25">
        <v>3760</v>
      </c>
      <c r="F518" s="24">
        <v>1.9099999999999999E-2</v>
      </c>
      <c r="H518" s="24">
        <f>(D518/D541)</f>
        <v>5.4738760720280562E-3</v>
      </c>
      <c r="J518" s="24">
        <f t="shared" si="14"/>
        <v>1.0455103297573587E-4</v>
      </c>
    </row>
    <row r="519" spans="2:10" x14ac:dyDescent="0.25">
      <c r="B519" s="37">
        <v>354.3</v>
      </c>
      <c r="D519" s="25">
        <v>1010</v>
      </c>
      <c r="F519" s="24">
        <v>3.0099999999999998E-2</v>
      </c>
      <c r="H519" s="24">
        <f>(D519/D541)</f>
        <v>1.4703762853054089E-3</v>
      </c>
      <c r="J519" s="24">
        <f t="shared" si="14"/>
        <v>4.4258326187692805E-5</v>
      </c>
    </row>
    <row r="520" spans="2:10" x14ac:dyDescent="0.25">
      <c r="B520" s="37">
        <v>355</v>
      </c>
      <c r="D520" s="25">
        <v>1367</v>
      </c>
      <c r="F520" s="24">
        <v>2.8199999999999999E-2</v>
      </c>
      <c r="H520" s="24">
        <f>(D520/D541)</f>
        <v>1.9901033485272214E-3</v>
      </c>
      <c r="J520" s="24">
        <f t="shared" si="14"/>
        <v>5.6120914428467644E-5</v>
      </c>
    </row>
    <row r="521" spans="2:10" x14ac:dyDescent="0.25">
      <c r="B521" s="37">
        <v>355.1</v>
      </c>
      <c r="D521" s="25">
        <v>34</v>
      </c>
      <c r="F521" s="24">
        <v>2.63E-2</v>
      </c>
      <c r="H521" s="24">
        <f>(D521/D541)</f>
        <v>4.9497815544934554E-5</v>
      </c>
      <c r="J521" s="24">
        <f t="shared" si="14"/>
        <v>1.3017925488317788E-6</v>
      </c>
    </row>
    <row r="522" spans="2:10" x14ac:dyDescent="0.25">
      <c r="B522" s="37">
        <v>355.2</v>
      </c>
      <c r="D522" s="25">
        <f>46</f>
        <v>46</v>
      </c>
      <c r="F522" s="24">
        <v>2.9100000000000001E-2</v>
      </c>
      <c r="H522" s="24">
        <f>(D522/D541)</f>
        <v>6.696763279608792E-5</v>
      </c>
      <c r="J522" s="24">
        <f t="shared" si="14"/>
        <v>1.9487581143661586E-6</v>
      </c>
    </row>
    <row r="523" spans="2:10" x14ac:dyDescent="0.25">
      <c r="B523" s="37">
        <v>355.3</v>
      </c>
      <c r="D523" s="25">
        <f>6</f>
        <v>6</v>
      </c>
      <c r="F523" s="24">
        <v>3.0099999999999998E-2</v>
      </c>
      <c r="H523" s="24">
        <f>(D523/D541)</f>
        <v>8.7349086255766866E-6</v>
      </c>
      <c r="J523" s="24">
        <f t="shared" si="14"/>
        <v>2.6292074962985824E-7</v>
      </c>
    </row>
    <row r="524" spans="2:10" x14ac:dyDescent="0.25">
      <c r="B524" s="37">
        <v>356</v>
      </c>
      <c r="D524" s="25">
        <v>44903</v>
      </c>
      <c r="F524" s="24">
        <v>1.7899999999999999E-2</v>
      </c>
      <c r="H524" s="24">
        <f>(D524/D541)</f>
        <v>6.5370600335711654E-2</v>
      </c>
      <c r="J524" s="24">
        <f t="shared" si="14"/>
        <v>1.1701337460092386E-3</v>
      </c>
    </row>
    <row r="525" spans="2:10" x14ac:dyDescent="0.25">
      <c r="B525" s="37">
        <v>356.1</v>
      </c>
      <c r="D525" s="25">
        <v>953</v>
      </c>
      <c r="F525" s="24">
        <v>1.7999999999999999E-2</v>
      </c>
      <c r="H525" s="24">
        <f>(D525/D541)</f>
        <v>1.3873946533624303E-3</v>
      </c>
      <c r="J525" s="24">
        <f t="shared" si="14"/>
        <v>2.4973103760523742E-5</v>
      </c>
    </row>
    <row r="526" spans="2:10" x14ac:dyDescent="0.25">
      <c r="B526" s="37">
        <v>356.2</v>
      </c>
      <c r="D526" s="25">
        <v>1609</v>
      </c>
      <c r="F526" s="24">
        <v>1.5100000000000001E-2</v>
      </c>
      <c r="H526" s="24">
        <f>(D526/D541)</f>
        <v>2.3424113297588144E-3</v>
      </c>
      <c r="J526" s="24">
        <f t="shared" si="14"/>
        <v>3.5370411079358096E-5</v>
      </c>
    </row>
    <row r="527" spans="2:10" x14ac:dyDescent="0.25">
      <c r="B527" s="37">
        <v>356.3</v>
      </c>
      <c r="D527" s="25">
        <v>291</v>
      </c>
      <c r="F527" s="24">
        <v>3.0099999999999998E-2</v>
      </c>
      <c r="H527" s="24">
        <f>(D527/D541)</f>
        <v>4.2364306834046927E-4</v>
      </c>
      <c r="J527" s="24">
        <f t="shared" si="14"/>
        <v>1.2751656357048124E-5</v>
      </c>
    </row>
    <row r="528" spans="2:10" x14ac:dyDescent="0.25">
      <c r="B528" s="37">
        <v>357</v>
      </c>
      <c r="D528" s="25">
        <v>63275</v>
      </c>
      <c r="F528" s="24">
        <v>1.77E-2</v>
      </c>
      <c r="H528" s="24">
        <f>(D528/D541)</f>
        <v>9.2116890547227465E-2</v>
      </c>
      <c r="J528" s="24">
        <f t="shared" si="14"/>
        <v>1.6304689626859261E-3</v>
      </c>
    </row>
    <row r="529" spans="2:10" x14ac:dyDescent="0.25">
      <c r="B529" s="37">
        <v>357.1</v>
      </c>
      <c r="D529" s="25">
        <v>812</v>
      </c>
      <c r="F529" s="24">
        <v>1.7500000000000002E-2</v>
      </c>
      <c r="H529" s="24">
        <f>(D529/D541)</f>
        <v>1.1821243006613781E-3</v>
      </c>
      <c r="J529" s="24">
        <f t="shared" si="14"/>
        <v>2.0687175261574117E-5</v>
      </c>
    </row>
    <row r="530" spans="2:10" x14ac:dyDescent="0.25">
      <c r="B530" s="37">
        <v>357.2</v>
      </c>
      <c r="D530" s="25">
        <v>903</v>
      </c>
      <c r="F530" s="24">
        <v>1.4999999999999999E-2</v>
      </c>
      <c r="H530" s="24">
        <f>(D530/D541)</f>
        <v>1.3146037481492913E-3</v>
      </c>
      <c r="J530" s="24">
        <f t="shared" si="14"/>
        <v>1.971905622223937E-5</v>
      </c>
    </row>
    <row r="531" spans="2:10" x14ac:dyDescent="0.25">
      <c r="B531" s="37">
        <v>357.3</v>
      </c>
      <c r="D531" s="25">
        <v>201</v>
      </c>
      <c r="F531" s="24">
        <v>3.0099999999999998E-2</v>
      </c>
      <c r="H531" s="24">
        <f>(D531/D541)</f>
        <v>2.9261943895681896E-4</v>
      </c>
      <c r="J531" s="24">
        <f t="shared" si="14"/>
        <v>8.8078451126002507E-6</v>
      </c>
    </row>
    <row r="532" spans="2:10" x14ac:dyDescent="0.25">
      <c r="B532" s="37">
        <v>358</v>
      </c>
      <c r="D532" s="25">
        <v>79396</v>
      </c>
      <c r="F532" s="24">
        <v>1.6899999999999998E-2</v>
      </c>
      <c r="H532" s="24">
        <f>(D532/D541)</f>
        <v>0.11558613420604776</v>
      </c>
      <c r="J532" s="24">
        <f t="shared" si="14"/>
        <v>1.9534056680822068E-3</v>
      </c>
    </row>
    <row r="533" spans="2:10" x14ac:dyDescent="0.25">
      <c r="B533" s="37">
        <v>358.1</v>
      </c>
      <c r="D533" s="25">
        <v>1248</v>
      </c>
      <c r="F533" s="24">
        <v>1.9300000000000001E-2</v>
      </c>
      <c r="H533" s="24">
        <f>(D533/D541)</f>
        <v>1.8168609941199506E-3</v>
      </c>
      <c r="J533" s="24">
        <f t="shared" si="14"/>
        <v>3.5065417186515047E-5</v>
      </c>
    </row>
    <row r="534" spans="2:10" x14ac:dyDescent="0.25">
      <c r="B534" s="37">
        <v>358.2</v>
      </c>
      <c r="D534" s="25">
        <v>1541</v>
      </c>
      <c r="F534" s="24">
        <v>1.24E-2</v>
      </c>
      <c r="H534" s="24">
        <f>(D534/D541)</f>
        <v>2.2434156986689455E-3</v>
      </c>
      <c r="J534" s="24">
        <f t="shared" si="14"/>
        <v>2.7818354663494923E-5</v>
      </c>
    </row>
    <row r="535" spans="2:10" x14ac:dyDescent="0.25">
      <c r="B535" s="37">
        <v>358.3</v>
      </c>
      <c r="D535" s="25">
        <v>289</v>
      </c>
      <c r="F535" s="24">
        <v>3.0099999999999998E-2</v>
      </c>
      <c r="H535" s="24">
        <f>(D535/D541)</f>
        <v>4.2073143213194371E-4</v>
      </c>
      <c r="J535" s="24">
        <f t="shared" si="14"/>
        <v>1.2664016107171504E-5</v>
      </c>
    </row>
    <row r="536" spans="2:10" x14ac:dyDescent="0.25">
      <c r="B536" s="37">
        <v>359</v>
      </c>
      <c r="D536" s="25">
        <v>7461</v>
      </c>
      <c r="F536" s="24">
        <v>1.7999999999999999E-2</v>
      </c>
      <c r="H536" s="24">
        <f>(D536/D541)</f>
        <v>1.086185887590461E-2</v>
      </c>
      <c r="J536" s="24">
        <f t="shared" si="14"/>
        <v>1.9551345976628296E-4</v>
      </c>
    </row>
    <row r="537" spans="2:10" x14ac:dyDescent="0.25">
      <c r="B537" s="37">
        <v>359.1</v>
      </c>
      <c r="D537" s="25">
        <v>331</v>
      </c>
      <c r="F537" s="24">
        <v>1.8700000000000001E-2</v>
      </c>
      <c r="H537" s="24">
        <f>(D537/D541)</f>
        <v>4.818757925109805E-4</v>
      </c>
      <c r="J537" s="24">
        <f t="shared" si="14"/>
        <v>9.0110773199553367E-6</v>
      </c>
    </row>
    <row r="538" spans="2:10" x14ac:dyDescent="0.25">
      <c r="B538" s="37">
        <v>359.2</v>
      </c>
      <c r="D538" s="25">
        <v>444</v>
      </c>
      <c r="F538" s="24">
        <v>1.49E-2</v>
      </c>
      <c r="H538" s="24">
        <f>(D538/D541)</f>
        <v>6.4638323829267481E-4</v>
      </c>
      <c r="J538" s="24">
        <f t="shared" si="14"/>
        <v>9.6311102505608541E-6</v>
      </c>
    </row>
    <row r="539" spans="2:10" x14ac:dyDescent="0.25">
      <c r="B539" s="37">
        <v>359.3</v>
      </c>
      <c r="D539" s="25">
        <v>5</v>
      </c>
      <c r="F539" s="24">
        <v>3.0099999999999998E-2</v>
      </c>
      <c r="H539" s="24">
        <f>(D539/D541)</f>
        <v>7.2790905213139046E-6</v>
      </c>
      <c r="J539" s="24">
        <f t="shared" si="14"/>
        <v>2.1910062469154852E-7</v>
      </c>
    </row>
    <row r="540" spans="2:10" ht="5.15" customHeight="1" x14ac:dyDescent="0.25">
      <c r="D540" s="38"/>
      <c r="H540" s="39"/>
      <c r="J540" s="38"/>
    </row>
    <row r="541" spans="2:10" x14ac:dyDescent="0.25">
      <c r="B541" s="17" t="s">
        <v>25</v>
      </c>
      <c r="D541" s="25">
        <f>SUM(D506:D540)</f>
        <v>686899</v>
      </c>
      <c r="H541" s="24">
        <f>SUM(H506:H540)</f>
        <v>1.0000000000000002</v>
      </c>
      <c r="J541" s="24">
        <f>SUM(J506:J540)</f>
        <v>2.2815842358192392E-2</v>
      </c>
    </row>
    <row r="542" spans="2:10" ht="13" thickBot="1" x14ac:dyDescent="0.3"/>
    <row r="543" spans="2:10" ht="13" thickBot="1" x14ac:dyDescent="0.3">
      <c r="B543" s="40" t="s">
        <v>64</v>
      </c>
      <c r="C543" s="41"/>
      <c r="D543" s="41"/>
      <c r="E543" s="41"/>
      <c r="F543" s="41"/>
      <c r="G543" s="41"/>
      <c r="H543" s="41"/>
      <c r="I543" s="41"/>
      <c r="J543" s="42"/>
    </row>
    <row r="544" spans="2:10" ht="39.75" customHeight="1" x14ac:dyDescent="0.25">
      <c r="B544" s="34" t="s">
        <v>46</v>
      </c>
      <c r="C544" s="35"/>
      <c r="D544" s="34" t="s">
        <v>47</v>
      </c>
      <c r="E544" s="35"/>
      <c r="F544" s="34" t="s">
        <v>48</v>
      </c>
      <c r="G544" s="35"/>
      <c r="H544" s="36" t="s">
        <v>49</v>
      </c>
      <c r="I544" s="35"/>
      <c r="J544" s="36" t="s">
        <v>50</v>
      </c>
    </row>
    <row r="545" spans="2:10" ht="5.15" customHeight="1" x14ac:dyDescent="0.25"/>
    <row r="546" spans="2:10" x14ac:dyDescent="0.25">
      <c r="B546" s="37">
        <v>350.2</v>
      </c>
      <c r="D546" s="25">
        <v>704</v>
      </c>
      <c r="F546" s="24">
        <v>1.2500000000000001E-2</v>
      </c>
      <c r="H546" s="24">
        <f>(D546/D580)</f>
        <v>1.0349805794127073E-3</v>
      </c>
      <c r="J546" s="24">
        <f>F546*H546</f>
        <v>1.2937257242658842E-5</v>
      </c>
    </row>
    <row r="547" spans="2:10" x14ac:dyDescent="0.25">
      <c r="B547" s="37">
        <v>352</v>
      </c>
      <c r="D547" s="25">
        <v>23783</v>
      </c>
      <c r="F547" s="24">
        <v>2.9499999999999998E-2</v>
      </c>
      <c r="H547" s="24">
        <f>(D547/D580)</f>
        <v>3.4964407841154004E-2</v>
      </c>
      <c r="J547" s="24">
        <f t="shared" ref="J547:J578" si="15">F547*H547</f>
        <v>1.0314500313140431E-3</v>
      </c>
    </row>
    <row r="548" spans="2:10" x14ac:dyDescent="0.25">
      <c r="B548" s="37">
        <v>352.1</v>
      </c>
      <c r="D548" s="25">
        <v>0</v>
      </c>
      <c r="F548" s="24">
        <v>2.4400000000000002E-2</v>
      </c>
      <c r="H548" s="24">
        <f>(D548/D580)</f>
        <v>0</v>
      </c>
      <c r="J548" s="24">
        <f t="shared" si="15"/>
        <v>0</v>
      </c>
    </row>
    <row r="549" spans="2:10" x14ac:dyDescent="0.25">
      <c r="B549" s="37">
        <v>352.2</v>
      </c>
      <c r="D549" s="25">
        <v>0</v>
      </c>
      <c r="F549" s="24">
        <v>3.27E-2</v>
      </c>
      <c r="H549" s="24">
        <f>(D549/D580)</f>
        <v>0</v>
      </c>
      <c r="J549" s="24">
        <f t="shared" si="15"/>
        <v>0</v>
      </c>
    </row>
    <row r="550" spans="2:10" x14ac:dyDescent="0.25">
      <c r="B550" s="37">
        <v>352.3</v>
      </c>
      <c r="D550" s="25">
        <v>0</v>
      </c>
      <c r="F550" s="24">
        <v>3.0099999999999998E-2</v>
      </c>
      <c r="H550" s="24">
        <f>(D550/D580)</f>
        <v>0</v>
      </c>
      <c r="J550" s="24">
        <f t="shared" si="15"/>
        <v>0</v>
      </c>
    </row>
    <row r="551" spans="2:10" x14ac:dyDescent="0.25">
      <c r="B551" s="37">
        <v>353</v>
      </c>
      <c r="D551" s="25">
        <v>333620</v>
      </c>
      <c r="F551" s="24">
        <v>2.6700000000000002E-2</v>
      </c>
      <c r="H551" s="24">
        <f>(D551/D580)</f>
        <v>0.49046906378361849</v>
      </c>
      <c r="J551" s="24">
        <f t="shared" si="15"/>
        <v>1.3095524003022614E-2</v>
      </c>
    </row>
    <row r="552" spans="2:10" x14ac:dyDescent="0.25">
      <c r="B552" s="37">
        <v>353.1</v>
      </c>
      <c r="D552" s="25">
        <v>0</v>
      </c>
      <c r="F552" s="24">
        <v>1.95E-2</v>
      </c>
      <c r="H552" s="24">
        <f>(D552/D580)</f>
        <v>0</v>
      </c>
      <c r="J552" s="24">
        <f t="shared" si="15"/>
        <v>0</v>
      </c>
    </row>
    <row r="553" spans="2:10" x14ac:dyDescent="0.25">
      <c r="B553" s="37">
        <v>353.2</v>
      </c>
      <c r="D553" s="25">
        <v>0</v>
      </c>
      <c r="F553" s="24">
        <v>3.0700000000000002E-2</v>
      </c>
      <c r="H553" s="24">
        <f>(D553/D580)</f>
        <v>0</v>
      </c>
      <c r="J553" s="24">
        <f t="shared" si="15"/>
        <v>0</v>
      </c>
    </row>
    <row r="554" spans="2:10" x14ac:dyDescent="0.25">
      <c r="B554" s="37">
        <v>353.3</v>
      </c>
      <c r="D554" s="25">
        <v>0</v>
      </c>
      <c r="F554" s="24">
        <v>3.0099999999999998E-2</v>
      </c>
      <c r="H554" s="24">
        <f>(D554/D580)</f>
        <v>0</v>
      </c>
      <c r="J554" s="24">
        <f t="shared" si="15"/>
        <v>0</v>
      </c>
    </row>
    <row r="555" spans="2:10" x14ac:dyDescent="0.25">
      <c r="B555" s="37">
        <v>354</v>
      </c>
      <c r="D555" s="25">
        <v>117622</v>
      </c>
      <c r="F555" s="24">
        <v>1.9699999999999999E-2</v>
      </c>
      <c r="H555" s="24">
        <f>(D555/D580)</f>
        <v>0.17292114447682025</v>
      </c>
      <c r="J555" s="24">
        <f t="shared" si="15"/>
        <v>3.4065465461933587E-3</v>
      </c>
    </row>
    <row r="556" spans="2:10" x14ac:dyDescent="0.25">
      <c r="B556" s="37">
        <v>354.1</v>
      </c>
      <c r="D556" s="25">
        <v>0</v>
      </c>
      <c r="F556" s="24">
        <v>1.6899999999999998E-2</v>
      </c>
      <c r="H556" s="24">
        <f>(D556/D580)</f>
        <v>0</v>
      </c>
      <c r="J556" s="24">
        <f t="shared" si="15"/>
        <v>0</v>
      </c>
    </row>
    <row r="557" spans="2:10" x14ac:dyDescent="0.25">
      <c r="B557" s="37">
        <v>353.2</v>
      </c>
      <c r="D557" s="25">
        <v>0</v>
      </c>
      <c r="F557" s="24">
        <v>1.9099999999999999E-2</v>
      </c>
      <c r="H557" s="24">
        <f>(D557/D580)</f>
        <v>0</v>
      </c>
      <c r="J557" s="24">
        <f t="shared" si="15"/>
        <v>0</v>
      </c>
    </row>
    <row r="558" spans="2:10" x14ac:dyDescent="0.25">
      <c r="B558" s="37">
        <v>354.3</v>
      </c>
      <c r="D558" s="25">
        <v>0</v>
      </c>
      <c r="F558" s="24">
        <v>3.0099999999999998E-2</v>
      </c>
      <c r="H558" s="24">
        <f>(D558/D580)</f>
        <v>0</v>
      </c>
      <c r="J558" s="24">
        <f t="shared" si="15"/>
        <v>0</v>
      </c>
    </row>
    <row r="559" spans="2:10" x14ac:dyDescent="0.25">
      <c r="B559" s="37">
        <v>355</v>
      </c>
      <c r="D559" s="25">
        <v>1428</v>
      </c>
      <c r="F559" s="24">
        <v>2.8199999999999999E-2</v>
      </c>
      <c r="H559" s="24">
        <f>(D559/D580)</f>
        <v>2.0993640161950937E-3</v>
      </c>
      <c r="J559" s="24">
        <f t="shared" si="15"/>
        <v>5.920206525670164E-5</v>
      </c>
    </row>
    <row r="560" spans="2:10" x14ac:dyDescent="0.25">
      <c r="B560" s="37">
        <v>355.1</v>
      </c>
      <c r="D560" s="25">
        <v>0</v>
      </c>
      <c r="F560" s="24">
        <v>2.63E-2</v>
      </c>
      <c r="H560" s="24">
        <f>(D560/D580)</f>
        <v>0</v>
      </c>
      <c r="J560" s="24">
        <f t="shared" si="15"/>
        <v>0</v>
      </c>
    </row>
    <row r="561" spans="2:10" x14ac:dyDescent="0.25">
      <c r="B561" s="37">
        <v>355.2</v>
      </c>
      <c r="D561" s="25">
        <v>0</v>
      </c>
      <c r="F561" s="24">
        <v>2.9100000000000001E-2</v>
      </c>
      <c r="H561" s="24">
        <f>(D561/D580)</f>
        <v>0</v>
      </c>
      <c r="J561" s="24">
        <f t="shared" si="15"/>
        <v>0</v>
      </c>
    </row>
    <row r="562" spans="2:10" x14ac:dyDescent="0.25">
      <c r="B562" s="37">
        <v>355.3</v>
      </c>
      <c r="D562" s="25">
        <v>0</v>
      </c>
      <c r="F562" s="24">
        <v>3.0099999999999998E-2</v>
      </c>
      <c r="H562" s="24">
        <f>(D562/D580)</f>
        <v>0</v>
      </c>
      <c r="J562" s="24">
        <f t="shared" si="15"/>
        <v>0</v>
      </c>
    </row>
    <row r="563" spans="2:10" x14ac:dyDescent="0.25">
      <c r="B563" s="37">
        <v>356</v>
      </c>
      <c r="D563" s="25">
        <v>47730</v>
      </c>
      <c r="F563" s="24">
        <v>1.7899999999999999E-2</v>
      </c>
      <c r="H563" s="24">
        <f>(D563/D580)</f>
        <v>7.0169919112739371E-2</v>
      </c>
      <c r="J563" s="24">
        <f t="shared" si="15"/>
        <v>1.2560415521180347E-3</v>
      </c>
    </row>
    <row r="564" spans="2:10" x14ac:dyDescent="0.25">
      <c r="B564" s="37">
        <v>356.1</v>
      </c>
      <c r="D564" s="25">
        <v>0</v>
      </c>
      <c r="F564" s="24">
        <v>1.7999999999999999E-2</v>
      </c>
      <c r="H564" s="24">
        <f>(D564/D580)</f>
        <v>0</v>
      </c>
      <c r="J564" s="24">
        <f t="shared" si="15"/>
        <v>0</v>
      </c>
    </row>
    <row r="565" spans="2:10" x14ac:dyDescent="0.25">
      <c r="B565" s="37">
        <v>356.2</v>
      </c>
      <c r="D565" s="25">
        <v>0</v>
      </c>
      <c r="F565" s="24">
        <v>1.5100000000000001E-2</v>
      </c>
      <c r="H565" s="24">
        <f>(D565/D580)</f>
        <v>0</v>
      </c>
      <c r="J565" s="24">
        <f t="shared" si="15"/>
        <v>0</v>
      </c>
    </row>
    <row r="566" spans="2:10" x14ac:dyDescent="0.25">
      <c r="B566" s="37">
        <v>356.3</v>
      </c>
      <c r="D566" s="25">
        <v>0</v>
      </c>
      <c r="F566" s="24">
        <v>3.0099999999999998E-2</v>
      </c>
      <c r="H566" s="24">
        <f>(D566/D580)</f>
        <v>0</v>
      </c>
      <c r="J566" s="24">
        <f t="shared" si="15"/>
        <v>0</v>
      </c>
    </row>
    <row r="567" spans="2:10" x14ac:dyDescent="0.25">
      <c r="B567" s="37">
        <v>357</v>
      </c>
      <c r="D567" s="25">
        <v>65186</v>
      </c>
      <c r="F567" s="24">
        <v>1.77E-2</v>
      </c>
      <c r="H567" s="24">
        <f>(D567/D580)</f>
        <v>9.583273302499537E-2</v>
      </c>
      <c r="J567" s="24">
        <f t="shared" si="15"/>
        <v>1.6962393745424181E-3</v>
      </c>
    </row>
    <row r="568" spans="2:10" x14ac:dyDescent="0.25">
      <c r="B568" s="37">
        <v>357.1</v>
      </c>
      <c r="D568" s="25">
        <v>0</v>
      </c>
      <c r="F568" s="24">
        <v>1.7500000000000002E-2</v>
      </c>
      <c r="H568" s="24">
        <f>(D568/D580)</f>
        <v>0</v>
      </c>
      <c r="J568" s="24">
        <f t="shared" si="15"/>
        <v>0</v>
      </c>
    </row>
    <row r="569" spans="2:10" x14ac:dyDescent="0.25">
      <c r="B569" s="37">
        <v>357.2</v>
      </c>
      <c r="D569" s="25">
        <v>0</v>
      </c>
      <c r="F569" s="24">
        <v>1.4999999999999999E-2</v>
      </c>
      <c r="H569" s="24">
        <f>(D569/D580)</f>
        <v>0</v>
      </c>
      <c r="J569" s="24">
        <f t="shared" si="15"/>
        <v>0</v>
      </c>
    </row>
    <row r="570" spans="2:10" x14ac:dyDescent="0.25">
      <c r="B570" s="37">
        <v>357.3</v>
      </c>
      <c r="D570" s="25">
        <v>0</v>
      </c>
      <c r="F570" s="24">
        <v>3.0099999999999998E-2</v>
      </c>
      <c r="H570" s="24">
        <f>(D570/D580)</f>
        <v>0</v>
      </c>
      <c r="J570" s="24">
        <f t="shared" si="15"/>
        <v>0</v>
      </c>
    </row>
    <row r="571" spans="2:10" x14ac:dyDescent="0.25">
      <c r="B571" s="37">
        <v>358</v>
      </c>
      <c r="D571" s="25">
        <v>81892</v>
      </c>
      <c r="F571" s="24">
        <v>1.6899999999999998E-2</v>
      </c>
      <c r="H571" s="24">
        <f>(D571/D580)</f>
        <v>0.12039293978588839</v>
      </c>
      <c r="J571" s="24">
        <f t="shared" si="15"/>
        <v>2.0346406823815136E-3</v>
      </c>
    </row>
    <row r="572" spans="2:10" x14ac:dyDescent="0.25">
      <c r="B572" s="37">
        <v>358.1</v>
      </c>
      <c r="D572" s="25">
        <v>0</v>
      </c>
      <c r="F572" s="24">
        <v>1.9300000000000001E-2</v>
      </c>
      <c r="H572" s="24">
        <f>(D572/D580)</f>
        <v>0</v>
      </c>
      <c r="J572" s="24">
        <f t="shared" si="15"/>
        <v>0</v>
      </c>
    </row>
    <row r="573" spans="2:10" x14ac:dyDescent="0.25">
      <c r="B573" s="37">
        <v>358.2</v>
      </c>
      <c r="D573" s="25">
        <v>0</v>
      </c>
      <c r="F573" s="24">
        <v>1.24E-2</v>
      </c>
      <c r="H573" s="24">
        <f>(D573/D580)</f>
        <v>0</v>
      </c>
      <c r="J573" s="24">
        <f t="shared" si="15"/>
        <v>0</v>
      </c>
    </row>
    <row r="574" spans="2:10" x14ac:dyDescent="0.25">
      <c r="B574" s="37">
        <v>358.3</v>
      </c>
      <c r="D574" s="25">
        <v>0</v>
      </c>
      <c r="F574" s="24">
        <v>3.0099999999999998E-2</v>
      </c>
      <c r="H574" s="24">
        <f>(D574/D580)</f>
        <v>0</v>
      </c>
      <c r="J574" s="24">
        <f t="shared" si="15"/>
        <v>0</v>
      </c>
    </row>
    <row r="575" spans="2:10" x14ac:dyDescent="0.25">
      <c r="B575" s="37">
        <v>359</v>
      </c>
      <c r="D575" s="25">
        <v>8241</v>
      </c>
      <c r="F575" s="24">
        <v>1.7999999999999999E-2</v>
      </c>
      <c r="H575" s="24">
        <f>(D575/D580)</f>
        <v>1.2115447379176308E-2</v>
      </c>
      <c r="J575" s="24">
        <f t="shared" si="15"/>
        <v>2.1807805282517354E-4</v>
      </c>
    </row>
    <row r="576" spans="2:10" x14ac:dyDescent="0.25">
      <c r="B576" s="37">
        <v>359.1</v>
      </c>
      <c r="D576" s="25">
        <v>0</v>
      </c>
      <c r="F576" s="24">
        <v>1.8700000000000001E-2</v>
      </c>
      <c r="H576" s="24">
        <f>(D576/D580)</f>
        <v>0</v>
      </c>
      <c r="J576" s="24">
        <f t="shared" si="15"/>
        <v>0</v>
      </c>
    </row>
    <row r="577" spans="2:10" x14ac:dyDescent="0.25">
      <c r="B577" s="37">
        <v>359.2</v>
      </c>
      <c r="D577" s="25">
        <v>0</v>
      </c>
      <c r="F577" s="24">
        <v>1.49E-2</v>
      </c>
      <c r="H577" s="24">
        <f>(D577/D580)</f>
        <v>0</v>
      </c>
      <c r="J577" s="24">
        <f t="shared" si="15"/>
        <v>0</v>
      </c>
    </row>
    <row r="578" spans="2:10" x14ac:dyDescent="0.25">
      <c r="B578" s="37">
        <v>359.3</v>
      </c>
      <c r="D578" s="25">
        <v>0</v>
      </c>
      <c r="F578" s="24">
        <v>3.0099999999999998E-2</v>
      </c>
      <c r="H578" s="24">
        <f>(D578/D580)</f>
        <v>0</v>
      </c>
      <c r="J578" s="24">
        <f t="shared" si="15"/>
        <v>0</v>
      </c>
    </row>
    <row r="579" spans="2:10" ht="5.15" customHeight="1" x14ac:dyDescent="0.25">
      <c r="D579" s="38"/>
      <c r="H579" s="39"/>
      <c r="J579" s="38"/>
    </row>
    <row r="580" spans="2:10" x14ac:dyDescent="0.25">
      <c r="B580" s="17" t="s">
        <v>25</v>
      </c>
      <c r="D580" s="25">
        <f>SUM(D545:D579)</f>
        <v>680206</v>
      </c>
      <c r="H580" s="24">
        <f>SUM(H545:H579)</f>
        <v>1</v>
      </c>
      <c r="J580" s="24">
        <f>SUM(J545:J579)</f>
        <v>2.2810659564896515E-2</v>
      </c>
    </row>
    <row r="581" spans="2:10" ht="13" thickBot="1" x14ac:dyDescent="0.3"/>
    <row r="582" spans="2:10" ht="13" thickBot="1" x14ac:dyDescent="0.3">
      <c r="B582" s="40" t="s">
        <v>65</v>
      </c>
      <c r="C582" s="41"/>
      <c r="D582" s="41"/>
      <c r="E582" s="41"/>
      <c r="F582" s="41"/>
      <c r="G582" s="41"/>
      <c r="H582" s="41"/>
      <c r="I582" s="41"/>
      <c r="J582" s="42"/>
    </row>
    <row r="583" spans="2:10" ht="39.75" customHeight="1" x14ac:dyDescent="0.25">
      <c r="B583" s="34" t="s">
        <v>46</v>
      </c>
      <c r="C583" s="35"/>
      <c r="D583" s="34" t="s">
        <v>47</v>
      </c>
      <c r="E583" s="35"/>
      <c r="F583" s="34" t="s">
        <v>48</v>
      </c>
      <c r="G583" s="35"/>
      <c r="H583" s="36" t="s">
        <v>49</v>
      </c>
      <c r="I583" s="35"/>
      <c r="J583" s="36" t="s">
        <v>50</v>
      </c>
    </row>
    <row r="584" spans="2:10" ht="5.15" customHeight="1" x14ac:dyDescent="0.25"/>
    <row r="585" spans="2:10" x14ac:dyDescent="0.25">
      <c r="B585" s="37">
        <v>350.2</v>
      </c>
      <c r="D585" s="25">
        <v>712</v>
      </c>
      <c r="F585" s="24">
        <v>1.2500000000000001E-2</v>
      </c>
      <c r="H585" s="24">
        <f>(D585/D619)</f>
        <v>1.1617320249707119E-3</v>
      </c>
      <c r="J585" s="24">
        <f>F585*H585</f>
        <v>1.4521650312133899E-5</v>
      </c>
    </row>
    <row r="586" spans="2:10" x14ac:dyDescent="0.25">
      <c r="B586" s="37">
        <v>352</v>
      </c>
      <c r="D586" s="25">
        <v>21861</v>
      </c>
      <c r="F586" s="24">
        <v>2.9499999999999998E-2</v>
      </c>
      <c r="H586" s="24">
        <f>(D586/D619)</f>
        <v>3.5669415446467324E-2</v>
      </c>
      <c r="J586" s="24">
        <f t="shared" ref="J586:J617" si="16">F586*H586</f>
        <v>1.052247755670786E-3</v>
      </c>
    </row>
    <row r="587" spans="2:10" x14ac:dyDescent="0.25">
      <c r="B587" s="37">
        <v>352.1</v>
      </c>
      <c r="D587" s="25">
        <v>0</v>
      </c>
      <c r="F587" s="24">
        <v>2.4400000000000002E-2</v>
      </c>
      <c r="H587" s="24">
        <f>(D587/D619)</f>
        <v>0</v>
      </c>
      <c r="J587" s="24">
        <f t="shared" si="16"/>
        <v>0</v>
      </c>
    </row>
    <row r="588" spans="2:10" x14ac:dyDescent="0.25">
      <c r="B588" s="37">
        <v>352.2</v>
      </c>
      <c r="D588" s="25">
        <v>0</v>
      </c>
      <c r="F588" s="24">
        <v>3.27E-2</v>
      </c>
      <c r="H588" s="24">
        <f>(D588/D619)</f>
        <v>0</v>
      </c>
      <c r="J588" s="24">
        <f t="shared" si="16"/>
        <v>0</v>
      </c>
    </row>
    <row r="589" spans="2:10" x14ac:dyDescent="0.25">
      <c r="B589" s="37">
        <v>352.3</v>
      </c>
      <c r="D589" s="25">
        <v>0</v>
      </c>
      <c r="F589" s="24">
        <v>3.0099999999999998E-2</v>
      </c>
      <c r="H589" s="24">
        <f>(D589/D619)</f>
        <v>0</v>
      </c>
      <c r="J589" s="24">
        <f t="shared" si="16"/>
        <v>0</v>
      </c>
    </row>
    <row r="590" spans="2:10" x14ac:dyDescent="0.25">
      <c r="B590" s="37">
        <v>353</v>
      </c>
      <c r="D590" s="25">
        <v>303195</v>
      </c>
      <c r="F590" s="24">
        <v>2.6700000000000002E-2</v>
      </c>
      <c r="H590" s="24">
        <f>(D590/D619)</f>
        <v>0.49470694004353233</v>
      </c>
      <c r="J590" s="24">
        <f t="shared" si="16"/>
        <v>1.3208675299162314E-2</v>
      </c>
    </row>
    <row r="591" spans="2:10" x14ac:dyDescent="0.25">
      <c r="B591" s="37">
        <v>353.1</v>
      </c>
      <c r="D591" s="25">
        <v>0</v>
      </c>
      <c r="F591" s="24">
        <v>1.95E-2</v>
      </c>
      <c r="H591" s="24">
        <f>(D591/D619)</f>
        <v>0</v>
      </c>
      <c r="J591" s="24">
        <f t="shared" si="16"/>
        <v>0</v>
      </c>
    </row>
    <row r="592" spans="2:10" x14ac:dyDescent="0.25">
      <c r="B592" s="37">
        <v>353.2</v>
      </c>
      <c r="D592" s="25">
        <v>0</v>
      </c>
      <c r="F592" s="24">
        <v>3.0700000000000002E-2</v>
      </c>
      <c r="H592" s="24">
        <f>(D592/D619)</f>
        <v>0</v>
      </c>
      <c r="J592" s="24">
        <f t="shared" si="16"/>
        <v>0</v>
      </c>
    </row>
    <row r="593" spans="2:10" x14ac:dyDescent="0.25">
      <c r="B593" s="37">
        <v>353.3</v>
      </c>
      <c r="D593" s="25">
        <v>0</v>
      </c>
      <c r="F593" s="24">
        <v>3.0099999999999998E-2</v>
      </c>
      <c r="H593" s="24">
        <f>(D593/D619)</f>
        <v>0</v>
      </c>
      <c r="J593" s="24">
        <f t="shared" si="16"/>
        <v>0</v>
      </c>
    </row>
    <row r="594" spans="2:10" x14ac:dyDescent="0.25">
      <c r="B594" s="37">
        <v>354</v>
      </c>
      <c r="D594" s="25">
        <v>117525</v>
      </c>
      <c r="F594" s="24">
        <v>1.9699999999999999E-2</v>
      </c>
      <c r="H594" s="24">
        <f>(D594/D619)</f>
        <v>0.19175920819477937</v>
      </c>
      <c r="J594" s="24">
        <f t="shared" si="16"/>
        <v>3.7776564014371534E-3</v>
      </c>
    </row>
    <row r="595" spans="2:10" x14ac:dyDescent="0.25">
      <c r="B595" s="37">
        <v>354.1</v>
      </c>
      <c r="D595" s="25">
        <v>0</v>
      </c>
      <c r="F595" s="24">
        <v>1.6899999999999998E-2</v>
      </c>
      <c r="H595" s="24">
        <f>(D595/D619)</f>
        <v>0</v>
      </c>
      <c r="J595" s="24">
        <f t="shared" si="16"/>
        <v>0</v>
      </c>
    </row>
    <row r="596" spans="2:10" x14ac:dyDescent="0.25">
      <c r="B596" s="37">
        <v>353.2</v>
      </c>
      <c r="D596" s="25">
        <v>0</v>
      </c>
      <c r="F596" s="24">
        <v>1.9099999999999999E-2</v>
      </c>
      <c r="H596" s="24">
        <f>(D596/D619)</f>
        <v>0</v>
      </c>
      <c r="J596" s="24">
        <f t="shared" si="16"/>
        <v>0</v>
      </c>
    </row>
    <row r="597" spans="2:10" x14ac:dyDescent="0.25">
      <c r="B597" s="37">
        <v>354.3</v>
      </c>
      <c r="D597" s="25">
        <v>0</v>
      </c>
      <c r="F597" s="24">
        <v>3.0099999999999998E-2</v>
      </c>
      <c r="H597" s="24">
        <f>(D597/D619)</f>
        <v>0</v>
      </c>
      <c r="J597" s="24">
        <f t="shared" si="16"/>
        <v>0</v>
      </c>
    </row>
    <row r="598" spans="2:10" x14ac:dyDescent="0.25">
      <c r="B598" s="37">
        <v>355</v>
      </c>
      <c r="D598" s="25">
        <v>1260</v>
      </c>
      <c r="F598" s="24">
        <v>2.8199999999999999E-2</v>
      </c>
      <c r="H598" s="24">
        <f>(D598/D619)</f>
        <v>2.0558740891335634E-3</v>
      </c>
      <c r="J598" s="24">
        <f t="shared" si="16"/>
        <v>5.797564931356649E-5</v>
      </c>
    </row>
    <row r="599" spans="2:10" x14ac:dyDescent="0.25">
      <c r="B599" s="37">
        <v>355.1</v>
      </c>
      <c r="D599" s="25">
        <v>0</v>
      </c>
      <c r="F599" s="24">
        <v>2.63E-2</v>
      </c>
      <c r="H599" s="24">
        <f>(D599/D619)</f>
        <v>0</v>
      </c>
      <c r="J599" s="24">
        <f t="shared" si="16"/>
        <v>0</v>
      </c>
    </row>
    <row r="600" spans="2:10" x14ac:dyDescent="0.25">
      <c r="B600" s="37">
        <v>355.2</v>
      </c>
      <c r="D600" s="25">
        <v>0</v>
      </c>
      <c r="F600" s="24">
        <v>2.9100000000000001E-2</v>
      </c>
      <c r="H600" s="24">
        <f>(D600/D619)</f>
        <v>0</v>
      </c>
      <c r="J600" s="24">
        <f t="shared" si="16"/>
        <v>0</v>
      </c>
    </row>
    <row r="601" spans="2:10" x14ac:dyDescent="0.25">
      <c r="B601" s="37">
        <v>355.3</v>
      </c>
      <c r="D601" s="25">
        <v>0</v>
      </c>
      <c r="F601" s="24">
        <v>3.0099999999999998E-2</v>
      </c>
      <c r="H601" s="24">
        <f>(D601/D619)</f>
        <v>0</v>
      </c>
      <c r="J601" s="24">
        <f t="shared" si="16"/>
        <v>0</v>
      </c>
    </row>
    <row r="602" spans="2:10" x14ac:dyDescent="0.25">
      <c r="B602" s="37">
        <v>356</v>
      </c>
      <c r="D602" s="25">
        <v>47730</v>
      </c>
      <c r="F602" s="24">
        <v>1.7899999999999999E-2</v>
      </c>
      <c r="H602" s="24">
        <f>(D602/D619)</f>
        <v>7.7878468471702364E-2</v>
      </c>
      <c r="J602" s="24">
        <f t="shared" si="16"/>
        <v>1.3940245856434723E-3</v>
      </c>
    </row>
    <row r="603" spans="2:10" x14ac:dyDescent="0.25">
      <c r="B603" s="37">
        <v>356.1</v>
      </c>
      <c r="D603" s="25">
        <v>0</v>
      </c>
      <c r="F603" s="24">
        <v>1.7999999999999999E-2</v>
      </c>
      <c r="H603" s="24">
        <f>(D603/D619)</f>
        <v>0</v>
      </c>
      <c r="J603" s="24">
        <f t="shared" si="16"/>
        <v>0</v>
      </c>
    </row>
    <row r="604" spans="2:10" x14ac:dyDescent="0.25">
      <c r="B604" s="37">
        <v>356.2</v>
      </c>
      <c r="D604" s="25">
        <v>0</v>
      </c>
      <c r="F604" s="24">
        <v>1.5100000000000001E-2</v>
      </c>
      <c r="H604" s="24">
        <f>(D604/D619)</f>
        <v>0</v>
      </c>
      <c r="J604" s="24">
        <f t="shared" si="16"/>
        <v>0</v>
      </c>
    </row>
    <row r="605" spans="2:10" x14ac:dyDescent="0.25">
      <c r="B605" s="37">
        <v>356.3</v>
      </c>
      <c r="D605" s="25">
        <v>0</v>
      </c>
      <c r="F605" s="24">
        <v>3.0099999999999998E-2</v>
      </c>
      <c r="H605" s="24">
        <f>(D605/D619)</f>
        <v>0</v>
      </c>
      <c r="J605" s="24">
        <f t="shared" si="16"/>
        <v>0</v>
      </c>
    </row>
    <row r="606" spans="2:10" x14ac:dyDescent="0.25">
      <c r="B606" s="37">
        <v>357</v>
      </c>
      <c r="D606" s="25">
        <v>64085</v>
      </c>
      <c r="F606" s="24">
        <v>1.77E-2</v>
      </c>
      <c r="H606" s="24">
        <f>(D606/D619)</f>
        <v>0.10456404047787651</v>
      </c>
      <c r="J606" s="24">
        <f t="shared" si="16"/>
        <v>1.8507835164584144E-3</v>
      </c>
    </row>
    <row r="607" spans="2:10" x14ac:dyDescent="0.25">
      <c r="B607" s="37">
        <v>357.1</v>
      </c>
      <c r="D607" s="25">
        <v>0</v>
      </c>
      <c r="F607" s="24">
        <v>1.7500000000000002E-2</v>
      </c>
      <c r="H607" s="24">
        <f>(D607/D619)</f>
        <v>0</v>
      </c>
      <c r="J607" s="24">
        <f t="shared" si="16"/>
        <v>0</v>
      </c>
    </row>
    <row r="608" spans="2:10" x14ac:dyDescent="0.25">
      <c r="B608" s="37">
        <v>357.2</v>
      </c>
      <c r="D608" s="25">
        <v>0</v>
      </c>
      <c r="F608" s="24">
        <v>1.4999999999999999E-2</v>
      </c>
      <c r="H608" s="24">
        <f>(D608/D619)</f>
        <v>0</v>
      </c>
      <c r="J608" s="24">
        <f t="shared" si="16"/>
        <v>0</v>
      </c>
    </row>
    <row r="609" spans="2:10" x14ac:dyDescent="0.25">
      <c r="B609" s="37">
        <v>357.3</v>
      </c>
      <c r="D609" s="25">
        <v>0</v>
      </c>
      <c r="F609" s="24">
        <v>3.0099999999999998E-2</v>
      </c>
      <c r="H609" s="24">
        <f>(D609/D619)</f>
        <v>0</v>
      </c>
      <c r="J609" s="24">
        <f t="shared" si="16"/>
        <v>0</v>
      </c>
    </row>
    <row r="610" spans="2:10" x14ac:dyDescent="0.25">
      <c r="B610" s="37">
        <v>358</v>
      </c>
      <c r="D610" s="25">
        <v>48269</v>
      </c>
      <c r="F610" s="24">
        <v>1.6899999999999998E-2</v>
      </c>
      <c r="H610" s="24">
        <f>(D610/D619)</f>
        <v>7.8757925720942826E-2</v>
      </c>
      <c r="J610" s="24">
        <f t="shared" si="16"/>
        <v>1.3310089446839336E-3</v>
      </c>
    </row>
    <row r="611" spans="2:10" x14ac:dyDescent="0.25">
      <c r="B611" s="37">
        <v>358.1</v>
      </c>
      <c r="D611" s="25">
        <v>0</v>
      </c>
      <c r="F611" s="24">
        <v>1.9300000000000001E-2</v>
      </c>
      <c r="H611" s="24">
        <f>(D611/D619)</f>
        <v>0</v>
      </c>
      <c r="J611" s="24">
        <f t="shared" si="16"/>
        <v>0</v>
      </c>
    </row>
    <row r="612" spans="2:10" x14ac:dyDescent="0.25">
      <c r="B612" s="37">
        <v>358.2</v>
      </c>
      <c r="D612" s="25">
        <v>0</v>
      </c>
      <c r="F612" s="24">
        <v>1.24E-2</v>
      </c>
      <c r="H612" s="24">
        <f>(D612/D619)</f>
        <v>0</v>
      </c>
      <c r="J612" s="24">
        <f t="shared" si="16"/>
        <v>0</v>
      </c>
    </row>
    <row r="613" spans="2:10" x14ac:dyDescent="0.25">
      <c r="B613" s="37">
        <v>358.3</v>
      </c>
      <c r="D613" s="25">
        <v>0</v>
      </c>
      <c r="F613" s="24">
        <v>3.0099999999999998E-2</v>
      </c>
      <c r="H613" s="24">
        <f>(D613/D619)</f>
        <v>0</v>
      </c>
      <c r="J613" s="24">
        <f t="shared" si="16"/>
        <v>0</v>
      </c>
    </row>
    <row r="614" spans="2:10" x14ac:dyDescent="0.25">
      <c r="B614" s="37">
        <v>359</v>
      </c>
      <c r="D614" s="25">
        <v>8241</v>
      </c>
      <c r="F614" s="24">
        <v>1.7999999999999999E-2</v>
      </c>
      <c r="H614" s="24">
        <f>(D614/D619)</f>
        <v>1.3446395530594997E-2</v>
      </c>
      <c r="J614" s="24">
        <f t="shared" si="16"/>
        <v>2.4203511955070992E-4</v>
      </c>
    </row>
    <row r="615" spans="2:10" x14ac:dyDescent="0.25">
      <c r="B615" s="37">
        <v>359.1</v>
      </c>
      <c r="D615" s="25">
        <v>0</v>
      </c>
      <c r="F615" s="24">
        <v>1.8700000000000001E-2</v>
      </c>
      <c r="H615" s="24">
        <f>(D615/D619)</f>
        <v>0</v>
      </c>
      <c r="J615" s="24">
        <f t="shared" si="16"/>
        <v>0</v>
      </c>
    </row>
    <row r="616" spans="2:10" x14ac:dyDescent="0.25">
      <c r="B616" s="37">
        <v>359.2</v>
      </c>
      <c r="D616" s="25">
        <v>0</v>
      </c>
      <c r="F616" s="24">
        <v>1.49E-2</v>
      </c>
      <c r="H616" s="24">
        <f>(D616/D619)</f>
        <v>0</v>
      </c>
      <c r="J616" s="24">
        <f t="shared" si="16"/>
        <v>0</v>
      </c>
    </row>
    <row r="617" spans="2:10" x14ac:dyDescent="0.25">
      <c r="B617" s="37">
        <v>359.3</v>
      </c>
      <c r="D617" s="25">
        <v>0</v>
      </c>
      <c r="F617" s="24">
        <v>3.0099999999999998E-2</v>
      </c>
      <c r="H617" s="24">
        <f>(D617/D619)</f>
        <v>0</v>
      </c>
      <c r="J617" s="24">
        <f t="shared" si="16"/>
        <v>0</v>
      </c>
    </row>
    <row r="618" spans="2:10" ht="5.15" customHeight="1" x14ac:dyDescent="0.25">
      <c r="D618" s="38"/>
      <c r="H618" s="39"/>
      <c r="J618" s="38"/>
    </row>
    <row r="619" spans="2:10" x14ac:dyDescent="0.25">
      <c r="B619" s="17" t="s">
        <v>25</v>
      </c>
      <c r="D619" s="25">
        <f>SUM(D584:D618)</f>
        <v>612878</v>
      </c>
      <c r="H619" s="24">
        <f>SUM(H584:H618)</f>
        <v>0.99999999999999989</v>
      </c>
      <c r="J619" s="24">
        <f>SUM(J584:J618)</f>
        <v>2.2928928922232486E-2</v>
      </c>
    </row>
    <row r="620" spans="2:10" ht="13" thickBot="1" x14ac:dyDescent="0.3"/>
    <row r="621" spans="2:10" ht="13" thickBot="1" x14ac:dyDescent="0.3">
      <c r="B621" s="40" t="s">
        <v>66</v>
      </c>
      <c r="C621" s="41"/>
      <c r="D621" s="41"/>
      <c r="E621" s="41"/>
      <c r="F621" s="41"/>
      <c r="G621" s="41"/>
      <c r="H621" s="41"/>
      <c r="I621" s="41"/>
      <c r="J621" s="42"/>
    </row>
    <row r="622" spans="2:10" ht="39.75" customHeight="1" x14ac:dyDescent="0.25">
      <c r="B622" s="34" t="s">
        <v>46</v>
      </c>
      <c r="C622" s="35"/>
      <c r="D622" s="34" t="s">
        <v>47</v>
      </c>
      <c r="E622" s="35"/>
      <c r="F622" s="34" t="s">
        <v>48</v>
      </c>
      <c r="G622" s="35"/>
      <c r="H622" s="36" t="s">
        <v>49</v>
      </c>
      <c r="I622" s="35"/>
      <c r="J622" s="36" t="s">
        <v>50</v>
      </c>
    </row>
    <row r="623" spans="2:10" ht="5.15" customHeight="1" x14ac:dyDescent="0.25"/>
    <row r="624" spans="2:10" x14ac:dyDescent="0.25">
      <c r="B624" s="37">
        <v>350.2</v>
      </c>
      <c r="D624" s="25">
        <v>712</v>
      </c>
      <c r="F624" s="24">
        <v>1.2500000000000001E-2</v>
      </c>
      <c r="H624" s="24">
        <f>(D624/D658)</f>
        <v>1.1766377905650836E-3</v>
      </c>
      <c r="J624" s="24">
        <f>F624*H624</f>
        <v>1.4707972382063546E-5</v>
      </c>
    </row>
    <row r="625" spans="2:10" x14ac:dyDescent="0.25">
      <c r="B625" s="37">
        <v>352</v>
      </c>
      <c r="D625" s="25">
        <v>21592</v>
      </c>
      <c r="F625" s="24">
        <v>2.9499999999999998E-2</v>
      </c>
      <c r="H625" s="24">
        <f>(D625/D658)</f>
        <v>3.5682532547586077E-2</v>
      </c>
      <c r="J625" s="24">
        <f t="shared" ref="J625:J656" si="17">F625*H625</f>
        <v>1.0526347101537893E-3</v>
      </c>
    </row>
    <row r="626" spans="2:10" x14ac:dyDescent="0.25">
      <c r="B626" s="37">
        <v>352.1</v>
      </c>
      <c r="D626" s="25">
        <v>0</v>
      </c>
      <c r="F626" s="24">
        <v>2.4400000000000002E-2</v>
      </c>
      <c r="H626" s="24">
        <f>(D626/D658)</f>
        <v>0</v>
      </c>
      <c r="J626" s="24">
        <f t="shared" si="17"/>
        <v>0</v>
      </c>
    </row>
    <row r="627" spans="2:10" x14ac:dyDescent="0.25">
      <c r="B627" s="37">
        <v>352.2</v>
      </c>
      <c r="D627" s="25">
        <v>0</v>
      </c>
      <c r="F627" s="24">
        <v>3.27E-2</v>
      </c>
      <c r="H627" s="24">
        <f>(D627/D658)</f>
        <v>0</v>
      </c>
      <c r="J627" s="24">
        <f t="shared" si="17"/>
        <v>0</v>
      </c>
    </row>
    <row r="628" spans="2:10" x14ac:dyDescent="0.25">
      <c r="B628" s="37">
        <v>352.3</v>
      </c>
      <c r="D628" s="25">
        <v>0</v>
      </c>
      <c r="F628" s="24">
        <v>3.0099999999999998E-2</v>
      </c>
      <c r="H628" s="24">
        <f>(D628/D658)</f>
        <v>0</v>
      </c>
      <c r="J628" s="24">
        <f t="shared" si="17"/>
        <v>0</v>
      </c>
    </row>
    <row r="629" spans="2:10" x14ac:dyDescent="0.25">
      <c r="B629" s="37">
        <v>353</v>
      </c>
      <c r="D629" s="25">
        <v>295728</v>
      </c>
      <c r="F629" s="24">
        <v>2.6700000000000002E-2</v>
      </c>
      <c r="H629" s="24">
        <f>(D629/D658)</f>
        <v>0.48871452321380765</v>
      </c>
      <c r="J629" s="24">
        <f t="shared" si="17"/>
        <v>1.3048677769808665E-2</v>
      </c>
    </row>
    <row r="630" spans="2:10" x14ac:dyDescent="0.25">
      <c r="B630" s="37">
        <v>353.1</v>
      </c>
      <c r="D630" s="25">
        <v>0</v>
      </c>
      <c r="F630" s="24">
        <v>1.95E-2</v>
      </c>
      <c r="H630" s="24">
        <f>(D630/D658)</f>
        <v>0</v>
      </c>
      <c r="J630" s="24">
        <f t="shared" si="17"/>
        <v>0</v>
      </c>
    </row>
    <row r="631" spans="2:10" x14ac:dyDescent="0.25">
      <c r="B631" s="37">
        <v>353.2</v>
      </c>
      <c r="D631" s="25">
        <v>0</v>
      </c>
      <c r="F631" s="24">
        <v>3.0700000000000002E-2</v>
      </c>
      <c r="H631" s="24">
        <f>(D631/D658)</f>
        <v>0</v>
      </c>
      <c r="J631" s="24">
        <f t="shared" si="17"/>
        <v>0</v>
      </c>
    </row>
    <row r="632" spans="2:10" x14ac:dyDescent="0.25">
      <c r="B632" s="37">
        <v>353.3</v>
      </c>
      <c r="D632" s="25">
        <v>0</v>
      </c>
      <c r="F632" s="24">
        <v>3.0099999999999998E-2</v>
      </c>
      <c r="H632" s="24">
        <f>(D632/D658)</f>
        <v>0</v>
      </c>
      <c r="J632" s="24">
        <f t="shared" si="17"/>
        <v>0</v>
      </c>
    </row>
    <row r="633" spans="2:10" x14ac:dyDescent="0.25">
      <c r="B633" s="37">
        <v>354</v>
      </c>
      <c r="D633" s="25">
        <v>117525</v>
      </c>
      <c r="F633" s="24">
        <v>1.9699999999999999E-2</v>
      </c>
      <c r="H633" s="24">
        <f>(D633/D658)</f>
        <v>0.19421960159573237</v>
      </c>
      <c r="J633" s="24">
        <f t="shared" si="17"/>
        <v>3.8261261514359276E-3</v>
      </c>
    </row>
    <row r="634" spans="2:10" x14ac:dyDescent="0.25">
      <c r="B634" s="37">
        <v>354.1</v>
      </c>
      <c r="D634" s="25">
        <v>0</v>
      </c>
      <c r="F634" s="24">
        <v>1.6899999999999998E-2</v>
      </c>
      <c r="H634" s="24">
        <f>(D634/D658)</f>
        <v>0</v>
      </c>
      <c r="J634" s="24">
        <f t="shared" si="17"/>
        <v>0</v>
      </c>
    </row>
    <row r="635" spans="2:10" x14ac:dyDescent="0.25">
      <c r="B635" s="37">
        <v>353.2</v>
      </c>
      <c r="D635" s="25">
        <v>0</v>
      </c>
      <c r="F635" s="24">
        <v>1.9099999999999999E-2</v>
      </c>
      <c r="H635" s="24">
        <f>(D635/D658)</f>
        <v>0</v>
      </c>
      <c r="J635" s="24">
        <f t="shared" si="17"/>
        <v>0</v>
      </c>
    </row>
    <row r="636" spans="2:10" x14ac:dyDescent="0.25">
      <c r="B636" s="37">
        <v>354.3</v>
      </c>
      <c r="D636" s="25">
        <v>0</v>
      </c>
      <c r="F636" s="24">
        <v>3.0099999999999998E-2</v>
      </c>
      <c r="H636" s="24">
        <f>(D636/D658)</f>
        <v>0</v>
      </c>
      <c r="J636" s="24">
        <f t="shared" si="17"/>
        <v>0</v>
      </c>
    </row>
    <row r="637" spans="2:10" x14ac:dyDescent="0.25">
      <c r="B637" s="37">
        <v>355</v>
      </c>
      <c r="D637" s="25">
        <v>1232</v>
      </c>
      <c r="F637" s="24">
        <v>2.8199999999999999E-2</v>
      </c>
      <c r="H637" s="24">
        <f>(D637/D658)</f>
        <v>2.0359799971575603E-3</v>
      </c>
      <c r="J637" s="24">
        <f t="shared" si="17"/>
        <v>5.7414635919843201E-5</v>
      </c>
    </row>
    <row r="638" spans="2:10" x14ac:dyDescent="0.25">
      <c r="B638" s="37">
        <v>355.1</v>
      </c>
      <c r="D638" s="25">
        <v>0</v>
      </c>
      <c r="F638" s="24">
        <v>2.63E-2</v>
      </c>
      <c r="H638" s="24">
        <f>(D638/D658)</f>
        <v>0</v>
      </c>
      <c r="J638" s="24">
        <f t="shared" si="17"/>
        <v>0</v>
      </c>
    </row>
    <row r="639" spans="2:10" x14ac:dyDescent="0.25">
      <c r="B639" s="37">
        <v>355.2</v>
      </c>
      <c r="D639" s="25">
        <v>0</v>
      </c>
      <c r="F639" s="24">
        <v>2.9100000000000001E-2</v>
      </c>
      <c r="H639" s="24">
        <f>(D639/D658)</f>
        <v>0</v>
      </c>
      <c r="J639" s="24">
        <f t="shared" si="17"/>
        <v>0</v>
      </c>
    </row>
    <row r="640" spans="2:10" x14ac:dyDescent="0.25">
      <c r="B640" s="37">
        <v>355.3</v>
      </c>
      <c r="D640" s="25">
        <v>0</v>
      </c>
      <c r="F640" s="24">
        <v>3.0099999999999998E-2</v>
      </c>
      <c r="H640" s="24">
        <f>(D640/D658)</f>
        <v>0</v>
      </c>
      <c r="J640" s="24">
        <f t="shared" si="17"/>
        <v>0</v>
      </c>
    </row>
    <row r="641" spans="2:10" x14ac:dyDescent="0.25">
      <c r="B641" s="37">
        <v>356</v>
      </c>
      <c r="D641" s="25">
        <v>47730</v>
      </c>
      <c r="F641" s="24">
        <v>1.7899999999999999E-2</v>
      </c>
      <c r="H641" s="24">
        <f>(D641/D658)</f>
        <v>7.8877699078190228E-2</v>
      </c>
      <c r="J641" s="24">
        <f t="shared" si="17"/>
        <v>1.4119108134996051E-3</v>
      </c>
    </row>
    <row r="642" spans="2:10" x14ac:dyDescent="0.25">
      <c r="B642" s="37">
        <v>356.1</v>
      </c>
      <c r="D642" s="25">
        <v>0</v>
      </c>
      <c r="F642" s="24">
        <v>1.7999999999999999E-2</v>
      </c>
      <c r="H642" s="24">
        <f>(D642/D658)</f>
        <v>0</v>
      </c>
      <c r="J642" s="24">
        <f t="shared" si="17"/>
        <v>0</v>
      </c>
    </row>
    <row r="643" spans="2:10" x14ac:dyDescent="0.25">
      <c r="B643" s="37">
        <v>356.2</v>
      </c>
      <c r="D643" s="25">
        <v>0</v>
      </c>
      <c r="F643" s="24">
        <v>1.5100000000000001E-2</v>
      </c>
      <c r="H643" s="24">
        <f>(D643/D658)</f>
        <v>0</v>
      </c>
      <c r="J643" s="24">
        <f t="shared" si="17"/>
        <v>0</v>
      </c>
    </row>
    <row r="644" spans="2:10" x14ac:dyDescent="0.25">
      <c r="B644" s="37">
        <v>356.3</v>
      </c>
      <c r="D644" s="25">
        <v>0</v>
      </c>
      <c r="F644" s="24">
        <v>3.0099999999999998E-2</v>
      </c>
      <c r="H644" s="24">
        <f>(D644/D658)</f>
        <v>0</v>
      </c>
      <c r="J644" s="24">
        <f t="shared" si="17"/>
        <v>0</v>
      </c>
    </row>
    <row r="645" spans="2:10" x14ac:dyDescent="0.25">
      <c r="B645" s="37">
        <v>357</v>
      </c>
      <c r="D645" s="25">
        <v>64085</v>
      </c>
      <c r="F645" s="24">
        <v>1.77E-2</v>
      </c>
      <c r="H645" s="24">
        <f>(D645/D658)</f>
        <v>0.10590566405669015</v>
      </c>
      <c r="J645" s="24">
        <f t="shared" si="17"/>
        <v>1.8745302538034157E-3</v>
      </c>
    </row>
    <row r="646" spans="2:10" x14ac:dyDescent="0.25">
      <c r="B646" s="37">
        <v>357.1</v>
      </c>
      <c r="D646" s="25">
        <v>0</v>
      </c>
      <c r="F646" s="24">
        <v>1.7500000000000002E-2</v>
      </c>
      <c r="H646" s="24">
        <f>(D646/D658)</f>
        <v>0</v>
      </c>
      <c r="J646" s="24">
        <f t="shared" si="17"/>
        <v>0</v>
      </c>
    </row>
    <row r="647" spans="2:10" x14ac:dyDescent="0.25">
      <c r="B647" s="37">
        <v>357.2</v>
      </c>
      <c r="D647" s="25">
        <v>0</v>
      </c>
      <c r="F647" s="24">
        <v>1.4999999999999999E-2</v>
      </c>
      <c r="H647" s="24">
        <f>(D647/D658)</f>
        <v>0</v>
      </c>
      <c r="J647" s="24">
        <f t="shared" si="17"/>
        <v>0</v>
      </c>
    </row>
    <row r="648" spans="2:10" x14ac:dyDescent="0.25">
      <c r="B648" s="37">
        <v>357.3</v>
      </c>
      <c r="D648" s="25">
        <v>0</v>
      </c>
      <c r="F648" s="24">
        <v>3.0099999999999998E-2</v>
      </c>
      <c r="H648" s="24">
        <f>(D648/D658)</f>
        <v>0</v>
      </c>
      <c r="J648" s="24">
        <f t="shared" si="17"/>
        <v>0</v>
      </c>
    </row>
    <row r="649" spans="2:10" x14ac:dyDescent="0.25">
      <c r="B649" s="37">
        <v>358</v>
      </c>
      <c r="D649" s="25">
        <v>48269</v>
      </c>
      <c r="F649" s="24">
        <v>1.6899999999999998E-2</v>
      </c>
      <c r="H649" s="24">
        <f>(D649/D658)</f>
        <v>7.976844032694666E-2</v>
      </c>
      <c r="J649" s="24">
        <f t="shared" si="17"/>
        <v>1.3480866415253984E-3</v>
      </c>
    </row>
    <row r="650" spans="2:10" x14ac:dyDescent="0.25">
      <c r="B650" s="37">
        <v>358.1</v>
      </c>
      <c r="D650" s="25">
        <v>0</v>
      </c>
      <c r="F650" s="24">
        <v>1.9300000000000001E-2</v>
      </c>
      <c r="H650" s="24">
        <f>(D650/D658)</f>
        <v>0</v>
      </c>
      <c r="J650" s="24">
        <f t="shared" si="17"/>
        <v>0</v>
      </c>
    </row>
    <row r="651" spans="2:10" x14ac:dyDescent="0.25">
      <c r="B651" s="37">
        <v>358.2</v>
      </c>
      <c r="D651" s="25">
        <v>0</v>
      </c>
      <c r="F651" s="24">
        <v>1.24E-2</v>
      </c>
      <c r="H651" s="24">
        <f>(D651/D658)</f>
        <v>0</v>
      </c>
      <c r="J651" s="24">
        <f t="shared" si="17"/>
        <v>0</v>
      </c>
    </row>
    <row r="652" spans="2:10" x14ac:dyDescent="0.25">
      <c r="B652" s="37">
        <v>358.3</v>
      </c>
      <c r="D652" s="25">
        <v>0</v>
      </c>
      <c r="F652" s="24">
        <v>3.0099999999999998E-2</v>
      </c>
      <c r="H652" s="24">
        <f>(D652/D658)</f>
        <v>0</v>
      </c>
      <c r="J652" s="24">
        <f t="shared" si="17"/>
        <v>0</v>
      </c>
    </row>
    <row r="653" spans="2:10" x14ac:dyDescent="0.25">
      <c r="B653" s="37">
        <v>359</v>
      </c>
      <c r="D653" s="25">
        <v>8241</v>
      </c>
      <c r="F653" s="24">
        <v>1.7999999999999999E-2</v>
      </c>
      <c r="H653" s="24">
        <f>(D653/D658)</f>
        <v>1.3618921393324233E-2</v>
      </c>
      <c r="J653" s="24">
        <f t="shared" si="17"/>
        <v>2.4514058507983617E-4</v>
      </c>
    </row>
    <row r="654" spans="2:10" x14ac:dyDescent="0.25">
      <c r="B654" s="37">
        <v>359.1</v>
      </c>
      <c r="D654" s="25">
        <v>0</v>
      </c>
      <c r="F654" s="24">
        <v>1.8700000000000001E-2</v>
      </c>
      <c r="H654" s="24">
        <f>(D654/D658)</f>
        <v>0</v>
      </c>
      <c r="J654" s="24">
        <f t="shared" si="17"/>
        <v>0</v>
      </c>
    </row>
    <row r="655" spans="2:10" x14ac:dyDescent="0.25">
      <c r="B655" s="37">
        <v>359.2</v>
      </c>
      <c r="D655" s="25">
        <v>0</v>
      </c>
      <c r="F655" s="24">
        <v>1.49E-2</v>
      </c>
      <c r="H655" s="24">
        <f>(D655/D658)</f>
        <v>0</v>
      </c>
      <c r="J655" s="24">
        <f t="shared" si="17"/>
        <v>0</v>
      </c>
    </row>
    <row r="656" spans="2:10" x14ac:dyDescent="0.25">
      <c r="B656" s="37">
        <v>359.3</v>
      </c>
      <c r="D656" s="25">
        <v>0</v>
      </c>
      <c r="F656" s="24">
        <v>3.0099999999999998E-2</v>
      </c>
      <c r="H656" s="24">
        <f>(D656/D658)</f>
        <v>0</v>
      </c>
      <c r="J656" s="24">
        <f t="shared" si="17"/>
        <v>0</v>
      </c>
    </row>
    <row r="657" spans="2:10" ht="5.15" customHeight="1" x14ac:dyDescent="0.25">
      <c r="D657" s="38"/>
      <c r="H657" s="39"/>
      <c r="J657" s="38"/>
    </row>
    <row r="658" spans="2:10" x14ac:dyDescent="0.25">
      <c r="B658" s="17" t="s">
        <v>25</v>
      </c>
      <c r="D658" s="25">
        <f>SUM(D623:D657)</f>
        <v>605114</v>
      </c>
      <c r="H658" s="24">
        <f>SUM(H623:H657)</f>
        <v>0.99999999999999989</v>
      </c>
      <c r="J658" s="24">
        <f>SUM(J623:J657)</f>
        <v>2.2879229533608544E-2</v>
      </c>
    </row>
  </sheetData>
  <mergeCells count="18">
    <mergeCell ref="B621:J621"/>
    <mergeCell ref="B426:J426"/>
    <mergeCell ref="B21:J21"/>
    <mergeCell ref="B36:J36"/>
    <mergeCell ref="B75:J75"/>
    <mergeCell ref="B114:J114"/>
    <mergeCell ref="B153:J153"/>
    <mergeCell ref="B192:J192"/>
    <mergeCell ref="B231:J231"/>
    <mergeCell ref="B270:J270"/>
    <mergeCell ref="B309:J309"/>
    <mergeCell ref="B348:J348"/>
    <mergeCell ref="B387:J387"/>
    <mergeCell ref="B6:J6"/>
    <mergeCell ref="B465:J465"/>
    <mergeCell ref="B504:J504"/>
    <mergeCell ref="B543:J543"/>
    <mergeCell ref="B582:J582"/>
  </mergeCells>
  <pageMargins left="0.7" right="0.7" top="0.75" bottom="0.75" header="0.3" footer="0.3"/>
  <pageSetup orientation="portrait" r:id="rId1"/>
  <headerFooter>
    <oddFooter>&amp;C&amp;"Arial,Regular"&amp;10&amp;A&amp;R&amp;"Arial,Regular"Page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AFUDC Equity Depreciation</vt:lpstr>
      <vt:lpstr>2. AFUDC Equity Incurred</vt:lpstr>
      <vt:lpstr>3. Depreciation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Kennedy, Geneva:(BSC)</cp:lastModifiedBy>
  <dcterms:created xsi:type="dcterms:W3CDTF">2022-05-05T21:08:28Z</dcterms:created>
  <dcterms:modified xsi:type="dcterms:W3CDTF">2023-05-12T17:50:18Z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2022-05-05T21:08:30Z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3bc4b1fb-9211-4a00-a22f-403b718eb995</vt:lpwstr>
  </property>
  <property fmtid="{D5CDD505-2E9C-101B-9397-08002B2CF9AE}" pid="8" name="MSIP_Label_c968b3d1-e05f-4796-9c23-acaf26d588cb_ContentBits">
    <vt:lpwstr>0</vt:lpwstr>
  </property>
</Properties>
</file>